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Central Neb - Broken Bow group/"/>
    </mc:Choice>
  </mc:AlternateContent>
  <xr:revisionPtr revIDLastSave="12" documentId="8_{EBBF7D39-2E98-4DF4-91C4-BBF74CE18811}" xr6:coauthVersionLast="47" xr6:coauthVersionMax="47" xr10:uidLastSave="{6E935AC5-4F29-4CD8-AFDC-479BABA1E8F9}"/>
  <bookViews>
    <workbookView xWindow="-120" yWindow="-120" windowWidth="29040" windowHeight="17640" activeTab="9" xr2:uid="{00000000-000D-0000-FFFF-FFFF00000000}"/>
  </bookViews>
  <sheets>
    <sheet name="Title Page" sheetId="8" r:id="rId1"/>
    <sheet name="Inputs" sheetId="1" r:id="rId2"/>
    <sheet name="Bulls" sheetId="6" r:id="rId3"/>
    <sheet name="Replacements" sheetId="7" r:id="rId4"/>
    <sheet name="Breeding Herd" sheetId="2" r:id="rId5"/>
    <sheet name="Backgrounding"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Backgrounding!$B$1:$I$81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1" i="1" l="1"/>
  <c r="Z91" i="1" l="1"/>
  <c r="D11" i="3"/>
  <c r="Q99" i="1" l="1"/>
  <c r="O18" i="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9" i="1"/>
  <c r="R89" i="1"/>
  <c r="S89" i="1"/>
  <c r="T89" i="1"/>
  <c r="U89" i="1"/>
  <c r="Q90" i="1"/>
  <c r="R90" i="1"/>
  <c r="S90" i="1"/>
  <c r="T90" i="1"/>
  <c r="U90"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6" i="6"/>
  <c r="J17" i="6"/>
  <c r="J18" i="6"/>
  <c r="J19" i="6"/>
  <c r="J14" i="6"/>
  <c r="J15" i="6"/>
  <c r="L18" i="2"/>
  <c r="C4" i="4"/>
  <c r="F4" i="4" s="1"/>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F56" i="3" s="1"/>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9"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R7" i="9" l="1"/>
  <c r="R7" i="10"/>
  <c r="S3" i="6"/>
  <c r="S7" i="9"/>
  <c r="S7" i="10"/>
  <c r="Q7" i="9"/>
  <c r="Q7" i="10"/>
  <c r="O3" i="3"/>
  <c r="S3" i="3"/>
  <c r="U3" i="3"/>
  <c r="C8" i="4"/>
  <c r="E8" i="4" s="1"/>
  <c r="S5" i="2"/>
  <c r="O5" i="2"/>
  <c r="X88" i="1"/>
  <c r="D28" i="3" s="1"/>
  <c r="S4" i="11"/>
  <c r="O4" i="11"/>
  <c r="C6" i="4"/>
  <c r="E6" i="4" s="1"/>
  <c r="S92" i="1"/>
  <c r="F30" i="9" s="1"/>
  <c r="H30" i="9"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90" i="1"/>
  <c r="V94" i="1"/>
  <c r="Y88" i="1"/>
  <c r="F69" i="11"/>
  <c r="F71" i="11"/>
  <c r="H71" i="11" s="1"/>
  <c r="F73" i="11"/>
  <c r="O57" i="1"/>
  <c r="T74" i="1" s="1"/>
  <c r="C4" i="11"/>
  <c r="J15" i="11" s="1"/>
  <c r="R2" i="11" s="1"/>
  <c r="C13" i="4"/>
  <c r="F13" i="4" s="1"/>
  <c r="Y84" i="1"/>
  <c r="Z84" i="1" s="1"/>
  <c r="F70" i="11"/>
  <c r="F72" i="11"/>
  <c r="H72" i="11" s="1"/>
  <c r="V95" i="1"/>
  <c r="V93" i="1"/>
  <c r="V89"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N3" i="7"/>
  <c r="U2" i="7"/>
  <c r="S2" i="7"/>
  <c r="Q2" i="7"/>
  <c r="M2" i="3"/>
  <c r="M6" i="3"/>
  <c r="M4" i="3"/>
  <c r="V7" i="3"/>
  <c r="T7" i="3"/>
  <c r="R7" i="3"/>
  <c r="P7" i="3"/>
  <c r="N7" i="3"/>
  <c r="U6" i="3"/>
  <c r="S6" i="3"/>
  <c r="Q6" i="3"/>
  <c r="O6" i="3"/>
  <c r="V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8"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F71" i="2"/>
  <c r="H78" i="2"/>
  <c r="I78" i="2" s="1"/>
  <c r="H79" i="2"/>
  <c r="H80" i="2"/>
  <c r="H35" i="2"/>
  <c r="H38" i="2"/>
  <c r="O37" i="1"/>
  <c r="R74" i="1" s="1"/>
  <c r="F13" i="1"/>
  <c r="D1" i="7"/>
  <c r="J10" i="7" s="1"/>
  <c r="Q7" i="7" s="1"/>
  <c r="B66" i="4"/>
  <c r="B67" i="4"/>
  <c r="B68" i="4"/>
  <c r="B69" i="4"/>
  <c r="B65" i="4"/>
  <c r="G77" i="4"/>
  <c r="C22" i="4"/>
  <c r="E1" i="3"/>
  <c r="H4" i="9" l="1"/>
  <c r="Z88" i="1"/>
  <c r="I47" i="3"/>
  <c r="F6" i="4"/>
  <c r="K17" i="10"/>
  <c r="N3" i="10" s="1"/>
  <c r="N8" i="10" s="1"/>
  <c r="F55" i="1"/>
  <c r="X89" i="1"/>
  <c r="D28" i="9" s="1"/>
  <c r="Y90" i="1"/>
  <c r="X90" i="1"/>
  <c r="D28" i="10" s="1"/>
  <c r="H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F7" i="2"/>
  <c r="E7" i="2"/>
  <c r="C7" i="2"/>
  <c r="D84" i="2"/>
  <c r="H84" i="2" s="1"/>
  <c r="G98" i="4" s="1"/>
  <c r="H28" i="9" l="1"/>
  <c r="V3" i="7"/>
  <c r="V8" i="7" s="1"/>
  <c r="P3" i="7"/>
  <c r="Q5" i="7"/>
  <c r="Q8" i="7" s="1"/>
  <c r="P5" i="7"/>
  <c r="Z90" i="1"/>
  <c r="G49" i="4" s="1"/>
  <c r="Z89" i="1"/>
  <c r="R2" i="10"/>
  <c r="R8" i="10" s="1"/>
  <c r="G13" i="4"/>
  <c r="I13" i="9"/>
  <c r="I28" i="9"/>
  <c r="W3" i="11"/>
  <c r="V8" i="10"/>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G48" i="4" l="1"/>
  <c r="I36" i="4"/>
  <c r="C36" i="4" s="1"/>
  <c r="P8" i="7"/>
  <c r="I30" i="4" s="1"/>
  <c r="C30" i="4" s="1"/>
  <c r="W2" i="10"/>
  <c r="O8" i="7"/>
  <c r="W2" i="7"/>
  <c r="M8" i="9"/>
  <c r="W2" i="9"/>
  <c r="W4" i="7"/>
  <c r="W5" i="7"/>
  <c r="M8" i="7"/>
  <c r="S3" i="9"/>
  <c r="S8" i="9" s="1"/>
  <c r="U3" i="9"/>
  <c r="U8" i="9" s="1"/>
  <c r="W6" i="7"/>
  <c r="W3" i="7"/>
  <c r="G9" i="4"/>
  <c r="G5" i="4"/>
  <c r="W7" i="2"/>
  <c r="D15" i="4"/>
  <c r="F15" i="4"/>
  <c r="E15" i="4"/>
  <c r="E4" i="6"/>
  <c r="L27" i="4" l="1"/>
  <c r="I27" i="4"/>
  <c r="C27" i="4" s="1"/>
  <c r="W3" i="9"/>
  <c r="R75" i="1"/>
  <c r="T75" i="1"/>
  <c r="Q75" i="1"/>
  <c r="S75" i="1"/>
  <c r="G15" i="4"/>
  <c r="E12" i="3"/>
  <c r="D12" i="3"/>
  <c r="C12" i="3"/>
  <c r="H28" i="3" s="1"/>
  <c r="F4" i="2"/>
  <c r="E4" i="2"/>
  <c r="C4" i="2"/>
  <c r="H33" i="2" s="1"/>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88" i="1" l="1"/>
  <c r="S85" i="1"/>
  <c r="S84" i="1"/>
  <c r="S86" i="1"/>
  <c r="S87" i="1"/>
  <c r="R84" i="1"/>
  <c r="R87" i="1"/>
  <c r="R86" i="1"/>
  <c r="R85" i="1"/>
  <c r="R88" i="1"/>
  <c r="I33" i="2"/>
  <c r="G46" i="4"/>
  <c r="Q83" i="1"/>
  <c r="Q85" i="1"/>
  <c r="Q84" i="1"/>
  <c r="Q86" i="1"/>
  <c r="U87" i="1"/>
  <c r="U86" i="1"/>
  <c r="U85" i="1"/>
  <c r="U84" i="1"/>
  <c r="U88" i="1"/>
  <c r="T85" i="1"/>
  <c r="T84" i="1"/>
  <c r="T86" i="1"/>
  <c r="T88" i="1"/>
  <c r="T87" i="1"/>
  <c r="Q88" i="1"/>
  <c r="V88" i="1" s="1"/>
  <c r="Q87" i="1"/>
  <c r="V87" i="1" s="1"/>
  <c r="T91" i="1"/>
  <c r="F29" i="10" s="1"/>
  <c r="H29" i="10" s="1"/>
  <c r="I29" i="10" s="1"/>
  <c r="S116" i="1"/>
  <c r="S118" i="1"/>
  <c r="F53" i="9" s="1"/>
  <c r="S103" i="1"/>
  <c r="S107" i="1"/>
  <c r="S117" i="1"/>
  <c r="F52" i="9" s="1"/>
  <c r="S121" i="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U102" i="1"/>
  <c r="U107" i="1"/>
  <c r="U106" i="1"/>
  <c r="T119" i="1"/>
  <c r="F54" i="10" s="1"/>
  <c r="T100" i="1"/>
  <c r="T104" i="1"/>
  <c r="T108" i="1"/>
  <c r="T116" i="1"/>
  <c r="T118" i="1"/>
  <c r="F53" i="10" s="1"/>
  <c r="T103" i="1"/>
  <c r="T107" i="1"/>
  <c r="T101" i="1"/>
  <c r="T117" i="1"/>
  <c r="F52" i="10" s="1"/>
  <c r="T121" i="1"/>
  <c r="T102" i="1"/>
  <c r="T106" i="1"/>
  <c r="T105" i="1"/>
  <c r="T99" i="1"/>
  <c r="T120" i="1"/>
  <c r="R118" i="1"/>
  <c r="F53" i="3" s="1"/>
  <c r="R103" i="1"/>
  <c r="R107" i="1"/>
  <c r="R117" i="1"/>
  <c r="F52" i="3" s="1"/>
  <c r="R121" i="1"/>
  <c r="R102" i="1"/>
  <c r="R106" i="1"/>
  <c r="R99" i="1"/>
  <c r="R104" i="1"/>
  <c r="R120" i="1"/>
  <c r="R101" i="1"/>
  <c r="R105" i="1"/>
  <c r="R108" i="1"/>
  <c r="R116" i="1"/>
  <c r="R119" i="1"/>
  <c r="F54" i="3" s="1"/>
  <c r="R100" i="1"/>
  <c r="V99" i="1"/>
  <c r="U99" i="1"/>
  <c r="F30" i="2"/>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K19" i="3"/>
  <c r="T5" i="3" s="1"/>
  <c r="G47" i="4"/>
  <c r="H4" i="2"/>
  <c r="J84" i="2"/>
  <c r="H11" i="3"/>
  <c r="H6" i="2"/>
  <c r="H45" i="2"/>
  <c r="J45" i="2" s="1"/>
  <c r="H71"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V84" i="1" l="1"/>
  <c r="V86" i="1"/>
  <c r="V85" i="1"/>
  <c r="T3" i="3"/>
  <c r="W3" i="3" s="1"/>
  <c r="Q3" i="3"/>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G95" i="4"/>
  <c r="G94" i="4"/>
  <c r="G93" i="4"/>
  <c r="G92" i="4"/>
  <c r="G91" i="4"/>
  <c r="G90" i="4"/>
  <c r="G89" i="4"/>
  <c r="G88" i="4"/>
  <c r="G87" i="4"/>
  <c r="H13" i="3"/>
  <c r="I13" i="3" s="1"/>
  <c r="D36" i="4"/>
  <c r="F36" i="4"/>
  <c r="H6" i="6"/>
  <c r="H10" i="6"/>
  <c r="C21" i="4"/>
  <c r="G21" i="4" s="1"/>
  <c r="G22" i="4"/>
  <c r="H69" i="1"/>
  <c r="H70" i="1"/>
  <c r="H71" i="1"/>
  <c r="H72" i="1"/>
  <c r="H10" i="7" s="1"/>
  <c r="H73" i="1"/>
  <c r="H74" i="1"/>
  <c r="H75" i="1"/>
  <c r="H76" i="1"/>
  <c r="H77" i="1"/>
  <c r="F5" i="2"/>
  <c r="H5" i="2" s="1"/>
  <c r="F17" i="3" l="1"/>
  <c r="H17" i="3" s="1"/>
  <c r="I17" i="3" s="1"/>
  <c r="F18" i="6"/>
  <c r="H18" i="6"/>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<sst xmlns="http://schemas.openxmlformats.org/spreadsheetml/2006/main" count="928" uniqueCount="282">
  <si>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</si>
  <si>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</si>
  <si>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</si>
  <si>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</si>
  <si>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</si>
  <si>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</si>
  <si>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</si>
  <si>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</si>
  <si>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</si>
  <si>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</si>
  <si>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</si>
  <si>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</si>
  <si>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</si>
  <si>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</si>
  <si>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</si>
  <si>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</si>
  <si>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</si>
  <si>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</si>
  <si>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</si>
  <si>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</si>
  <si>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</si>
  <si>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</si>
  <si>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</si>
  <si>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</si>
  <si>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</si>
  <si>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</si>
  <si>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</si>
  <si>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</si>
  <si>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</si>
  <si>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</si>
  <si>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</si>
  <si>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</si>
  <si>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</si>
  <si>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</si>
  <si>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</si>
  <si>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</si>
  <si>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</si>
  <si>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</si>
  <si>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</si>
  <si>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</si>
  <si>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</si>
  <si>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</si>
  <si>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</si>
  <si>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</si>
  <si>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</si>
  <si>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</si>
  <si>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</si>
  <si>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</si>
  <si>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</si>
  <si>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</si>
  <si>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</si>
  <si>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</si>
  <si>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</si>
  <si>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</si>
  <si>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</si>
  <si>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</si>
  <si>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</si>
  <si>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</si>
  <si>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</si>
  <si>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</si>
  <si>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</si>
  <si>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</si>
  <si>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</si>
  <si>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</si>
  <si>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</si>
  <si>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</si>
  <si>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</si>
  <si>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</si>
  <si>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</si>
  <si>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</si>
  <si>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</si>
  <si>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</si>
  <si>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</si>
  <si>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</si>
  <si>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</si>
  <si>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</si>
  <si>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</si>
  <si>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</si>
  <si>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</si>
  <si>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</si>
  <si>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</si>
  <si>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</si>
  <si>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</si>
  <si>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</si>
  <si>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</si>
  <si>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</si>
  <si>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</si>
  <si>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</si>
  <si>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</si>
  <si>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</si>
  <si>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</si>
  <si>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</si>
  <si>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</si>
  <si>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</si>
  <si>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</si>
  <si>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</si>
  <si>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</si>
  <si>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</si>
  <si>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</si>
  <si>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</si>
  <si>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</si>
  <si>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</si>
  <si>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</si>
  <si>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</si>
  <si>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</si>
  <si>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</si>
  <si>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</si>
  <si>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</si>
  <si>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</si>
  <si>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</si>
  <si>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</si>
  <si>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</si>
  <si>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</si>
  <si>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</si>
  <si>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</si>
  <si>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</si>
  <si>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</si>
  <si>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</si>
  <si>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</si>
  <si>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</si>
  <si>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</si>
  <si>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</si>
  <si>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</si>
  <si>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</si>
  <si>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</si>
  <si>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</si>
  <si>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</si>
  <si>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</si>
  <si>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</si>
  <si>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</si>
  <si>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</si>
  <si>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</si>
  <si>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</si>
  <si>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</si>
  <si>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</si>
  <si>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</si>
  <si>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</si>
  <si>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</si>
  <si>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</si>
  <si>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</si>
  <si>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</si>
  <si>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</si>
  <si>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</si>
  <si>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</si>
  <si>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</si>
  <si>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</si>
  <si>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</si>
  <si>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</si>
  <si>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</si>
  <si>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</si>
  <si>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</si>
  <si>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</si>
  <si>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</si>
  <si>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</si>
  <si>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</si>
  <si>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</si>
  <si>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</si>
  <si>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</si>
  <si>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</si>
  <si>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</si>
  <si>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</si>
  <si>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</si>
  <si>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</si>
  <si>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</si>
  <si>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</si>
  <si>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</si>
  <si>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</si>
  <si>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</si>
  <si>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</si>
  <si>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</si>
  <si>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</si>
  <si>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</si>
  <si>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</si>
  <si>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</si>
  <si>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</si>
  <si>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</si>
  <si>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</si>
  <si>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</si>
  <si>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</si>
  <si>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</si>
  <si>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</si>
  <si>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</si>
  <si>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</si>
  <si>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</si>
  <si>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</si>
  <si>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</si>
  <si>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</si>
  <si>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</si>
  <si>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</si>
  <si>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</si>
  <si>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</si>
  <si>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</si>
  <si>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</si>
  <si>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</si>
  <si>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</si>
  <si>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</si>
  <si>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</si>
  <si>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</si>
  <si>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</si>
  <si>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</si>
  <si>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</si>
  <si>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</si>
  <si>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</si>
  <si>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</si>
  <si>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</si>
  <si>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</si>
  <si>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</si>
  <si>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</si>
  <si>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</si>
  <si>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</si>
  <si>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</si>
  <si>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</si>
  <si>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</si>
  <si>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</si>
  <si>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</si>
  <si>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</si>
  <si>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</si>
  <si>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</si>
  <si>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</si>
  <si>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</si>
  <si>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</si>
  <si>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</si>
  <si>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</si>
  <si>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</si>
  <si>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</si>
  <si>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</si>
  <si>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</si>
  <si>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</si>
  <si>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</si>
  <si>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</si>
  <si>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</si>
  <si>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</si>
  <si>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</si>
  <si>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</si>
  <si>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</si>
  <si>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</si>
  <si>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</si>
  <si>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</si>
  <si>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</si>
  <si>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</si>
  <si>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</si>
  <si>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</si>
  <si>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</si>
  <si>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</si>
  <si>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</si>
  <si>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</si>
  <si>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</si>
  <si>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steers</t>
  </si>
  <si>
    <t>Prairie Hay</t>
  </si>
  <si>
    <t>ton</t>
  </si>
  <si>
    <t>lbs</t>
  </si>
  <si>
    <t>Alfalfa</t>
  </si>
  <si>
    <t>DDG Cubes</t>
  </si>
  <si>
    <t>Salt and Mineral</t>
  </si>
  <si>
    <t>bu</t>
  </si>
  <si>
    <t>day</t>
  </si>
  <si>
    <t>salt and mineral</t>
  </si>
  <si>
    <t>Corn Stalks</t>
  </si>
  <si>
    <t>Vehicles</t>
  </si>
  <si>
    <t>v150416</t>
  </si>
  <si>
    <t>ounce</t>
  </si>
  <si>
    <t>Barn /fencing</t>
  </si>
  <si>
    <t xml:space="preserve">Breeding Herd </t>
  </si>
  <si>
    <t>5 months</t>
  </si>
  <si>
    <t>Pasture</t>
  </si>
  <si>
    <t>Dried Rolled Corn</t>
  </si>
  <si>
    <t>month</t>
  </si>
  <si>
    <t>Any AI use?</t>
  </si>
  <si>
    <t>Machinery (Livestock)</t>
  </si>
  <si>
    <t>Updated September, 2021</t>
  </si>
  <si>
    <t>Background Calves</t>
  </si>
  <si>
    <t>Real Estate Tax*</t>
  </si>
  <si>
    <t>Backgrounded Calves Budget</t>
  </si>
  <si>
    <t>AI Expense $40 per new heifers</t>
  </si>
  <si>
    <t>Background Calves (Optional)</t>
  </si>
  <si>
    <t>Marketing Adjustment</t>
  </si>
  <si>
    <t>Stocker Marketing</t>
  </si>
  <si>
    <t xml:space="preserve">Marketing Adjustment </t>
  </si>
  <si>
    <t>Backgrounded Steers</t>
  </si>
  <si>
    <t>Backgrounded Heifers</t>
  </si>
  <si>
    <t>Backgrounded Calf Marketing -Adj</t>
  </si>
  <si>
    <t>600 cow herd - Central Nebraska, Sept.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</si>
</sst>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5">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3" fontId="9" fillId="4" borderId="25" xfId="0" applyNumberFormat="1" applyFont="1" applyFill="1" applyBorder="1" applyAlignment="1" applyProtection="1">
      <alignment horizontal="center"/>
      <protection locked="0"/>
    </xf>
    <xf numFmtId="3" fontId="9" fillId="4" borderId="4" xfId="2" applyNumberFormat="1" applyFont="1" applyFill="1" applyBorder="1" applyAlignment="1" applyProtection="1">
      <alignment horizontal="center"/>
      <protection locked="0"/>
    </xf>
    <xf numFmtId="3" fontId="9" fillId="4" borderId="4" xfId="0" applyNumberFormat="1" applyFont="1" applyFill="1" applyBorder="1" applyAlignment="1" applyProtection="1">
      <alignment horizontal="center"/>
      <protection locked="0"/>
    </xf>
    <xf numFmtId="9" fontId="9" fillId="4" borderId="4" xfId="2" applyFont="1" applyFill="1" applyBorder="1" applyAlignment="1" applyProtection="1">
      <alignment horizontal="center"/>
      <protection locked="0"/>
    </xf>
    <xf numFmtId="3" fontId="9" fillId="4" borderId="21" xfId="0" applyNumberFormat="1"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3" fontId="9" fillId="4" borderId="48" xfId="0" applyNumberFormat="1" applyFont="1" applyFill="1" applyBorder="1" applyAlignment="1" applyProtection="1">
      <alignment horizontal="center"/>
      <protection locked="0"/>
    </xf>
    <xf numFmtId="2" fontId="9" fillId="4" borderId="1" xfId="0" applyNumberFormat="1" applyFont="1" applyFill="1" applyBorder="1" applyProtection="1">
      <protection locked="0"/>
    </xf>
    <xf numFmtId="2" fontId="9" fillId="4" borderId="2" xfId="0" applyNumberFormat="1" applyFont="1" applyFill="1" applyBorder="1" applyProtection="1">
      <protection locked="0"/>
    </xf>
    <xf numFmtId="9" fontId="0" fillId="13" borderId="0" xfId="2" applyFont="1" applyFill="1" applyBorder="1" applyProtection="1"/>
    <xf numFmtId="9" fontId="0" fillId="13" borderId="10" xfId="2" applyFont="1" applyFill="1" applyBorder="1" applyProtection="1"/>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xf numFmtId="0" fontId="0" fillId="3" borderId="12" xfId="0" applyFont="1" applyFill="1" applyBorder="1" applyAlignment="1"/>
    <xf numFmtId="0" fontId="0" fillId="9" borderId="0" xfId="0" applyFont="1" applyFill="1"/>
    <xf numFmtId="0" fontId="0" fillId="3" borderId="0" xfId="0" applyFont="1" applyFill="1"/>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 McClure, Extension Educator</a:t>
          </a:r>
          <a:r>
            <a:rPr lang="en-US" sz="2000" b="1" cap="none" spc="0" baseline="0">
              <a:ln w="10541" cmpd="sng">
                <a:solidFill>
                  <a:schemeClr val="accent1">
                    <a:shade val="88000"/>
                    <a:satMod val="110000"/>
                  </a:schemeClr>
                </a:solidFill>
                <a:prstDash val="solid"/>
              </a:ln>
              <a:solidFill>
                <a:schemeClr val="tx1"/>
              </a:solidFill>
              <a:effectLst/>
            </a:rPr>
            <a:t> /Farm &amp; Ranch Management Analyst</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314324</xdr:colOff>
      <xdr:row>26</xdr:row>
      <xdr:rowOff>19050</xdr:rowOff>
    </xdr:from>
    <xdr:to>
      <xdr:col>14</xdr:col>
      <xdr:colOff>285749</xdr:colOff>
      <xdr:row>36</xdr:row>
      <xdr:rowOff>76199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4" y="4229100"/>
          <a:ext cx="7896225" cy="167639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to provide a</a:t>
          </a:r>
          <a:r>
            <a:rPr lang="en-US" sz="1600" b="1" baseline="0">
              <a:solidFill>
                <a:srgbClr val="002060"/>
              </a:solidFill>
            </a:rPr>
            <a:t>nalysis of the components of a beef production system. This template provides an example of a 600 head cow herd based in central Nebraska. It may be modified for current values, various herd sizes, management practices, and locations.   </a:t>
          </a:r>
        </a:p>
        <a:p>
          <a:pPr algn="l"/>
          <a:endParaRPr lang="en-US" sz="1600" b="1" baseline="0">
            <a:solidFill>
              <a:srgbClr val="002060"/>
            </a:solidFill>
          </a:endParaRPr>
        </a:p>
        <a:p>
          <a:pPr algn="l"/>
          <a:r>
            <a:rPr lang="en-US" sz="1600" b="1" baseline="0">
              <a:solidFill>
                <a:srgbClr val="002060"/>
              </a:solidFill>
            </a:rPr>
            <a:t>Budget template designed by Roger Wilson, retired Farm &amp; Ranch Management Analyst</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428625</xdr:colOff>
      <xdr:row>82</xdr:row>
      <xdr:rowOff>76200</xdr:rowOff>
    </xdr:from>
    <xdr:ext cx="65" cy="172227"/>
    <xdr:sp macro="" textlink="">
      <xdr:nvSpPr>
        <xdr:cNvPr id="2" name="TextBox 1">
          <a:extLst>
            <a:ext uri="{FF2B5EF4-FFF2-40B4-BE49-F238E27FC236}">
              <a16:creationId xmlns:a16="http://schemas.microsoft.com/office/drawing/2014/main" id="{624C9983-537C-447B-8982-3E587FC3DBD1}"/>
            </a:ext>
          </a:extLst>
        </xdr:cNvPr>
        <xdr:cNvSpPr txBox="1"/>
      </xdr:nvSpPr>
      <xdr:spPr>
        <a:xfrm>
          <a:off x="8820150" y="15211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104775</xdr:colOff>
      <xdr:row>80</xdr:row>
      <xdr:rowOff>152400</xdr:rowOff>
    </xdr:from>
    <xdr:ext cx="65" cy="172227"/>
    <xdr:sp macro="" textlink="">
      <xdr:nvSpPr>
        <xdr:cNvPr id="3" name="TextBox 2">
          <a:extLst>
            <a:ext uri="{FF2B5EF4-FFF2-40B4-BE49-F238E27FC236}">
              <a16:creationId xmlns:a16="http://schemas.microsoft.com/office/drawing/2014/main" id="{90D53D0D-F00D-459E-B861-5444361DF338}"/>
            </a:ext>
          </a:extLst>
        </xdr:cNvPr>
        <xdr:cNvSpPr txBox="1"/>
      </xdr:nvSpPr>
      <xdr:spPr>
        <a:xfrm>
          <a:off x="5410200" y="1495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zoomScaleNormal="100" workbookViewId="0">
      <selection activeCell="A2" sqref="A2"/>
    </sheetView>
  </sheetViews>
  <sheetFormatPr defaultColWidth="9.140625" defaultRowHeight="12.75"/>
  <cols>
    <col min="1" max="16384" width="9.140625" style="43"/>
  </cols>
  <sheetData>
    <row r="1" spans="1:1">
      <c r="A1" s="43" t="s">
        <v>259</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abSelected="1" zoomScaleNormal="100" workbookViewId="0">
      <selection activeCell="A2" sqref="A2"/>
    </sheetView>
  </sheetViews>
  <sheetFormatPr defaultColWidth="9.140625"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244</v>
      </c>
      <c r="C1" s="100"/>
      <c r="D1" s="842" t="s">
        <v>281</v>
      </c>
      <c r="E1" s="843"/>
      <c r="F1" s="844"/>
      <c r="G1" s="842"/>
      <c r="H1" s="153"/>
      <c r="I1" s="415"/>
      <c r="J1" s="216"/>
      <c r="K1" s="216"/>
      <c r="L1" s="216"/>
      <c r="S1" s="153"/>
      <c r="T1" s="153"/>
      <c r="U1" s="153"/>
      <c r="V1" s="153"/>
      <c r="W1" s="153"/>
      <c r="X1" s="153"/>
      <c r="Y1" s="153"/>
    </row>
    <row r="2" spans="1:29" ht="16.5" thickBot="1">
      <c r="B2" s="66" t="s">
        <v>97</v>
      </c>
      <c r="C2" s="108"/>
      <c r="D2" s="109"/>
      <c r="E2" s="109"/>
      <c r="F2" s="109"/>
      <c r="G2" s="118" t="s">
        <v>74</v>
      </c>
      <c r="I2" s="415"/>
      <c r="J2" s="217"/>
      <c r="K2" s="217"/>
      <c r="L2" s="217"/>
    </row>
    <row r="3" spans="1:29">
      <c r="B3" s="71"/>
      <c r="C3" s="36" t="s">
        <v>44</v>
      </c>
      <c r="D3" s="69" t="s">
        <v>30</v>
      </c>
      <c r="E3" s="69" t="s">
        <v>5</v>
      </c>
      <c r="F3" s="69"/>
      <c r="G3" s="72" t="s">
        <v>31</v>
      </c>
      <c r="I3" s="415"/>
      <c r="J3" s="461"/>
      <c r="K3" s="217"/>
      <c r="L3" s="217"/>
    </row>
    <row r="4" spans="1:29">
      <c r="B4" s="250" t="s">
        <v>180</v>
      </c>
      <c r="C4" s="645">
        <f>ROUND(Inputs!G23/2,0)-Inputs!G32</f>
        <v>0</v>
      </c>
      <c r="D4" s="49">
        <f>IF(C4=0,0,Inputs!G24)</f>
        <v>0</v>
      </c>
      <c r="E4" s="49">
        <f>IF(C4=0,0,Inputs!G26)</f>
        <v>0</v>
      </c>
      <c r="F4" s="49">
        <f>IF(C4=0,0,"$ / cwt")</f>
        <v>0</v>
      </c>
      <c r="G4" s="444">
        <f t="shared" ref="G4:G15" si="0">C4*D4*E4/100</f>
        <v>0</v>
      </c>
      <c r="I4" s="415"/>
      <c r="J4" s="217"/>
      <c r="K4" s="217"/>
      <c r="L4" s="217"/>
    </row>
    <row r="5" spans="1:29">
      <c r="B5" s="250" t="s">
        <v>181</v>
      </c>
      <c r="C5" s="645">
        <f>ROUND(Inputs!G23/2,0)-Inputs!G7-Inputs!G9+Inputs!G13-Inputs!G35</f>
        <v>0</v>
      </c>
      <c r="D5" s="251">
        <f>IF(C5=0,0,Inputs!G25)</f>
        <v>0</v>
      </c>
      <c r="E5" s="251">
        <f>IF(C5=0,0,Inputs!G27)</f>
        <v>0</v>
      </c>
      <c r="F5" s="251">
        <f t="shared" ref="F5:F15" si="1">IF(C5=0,0,"$ / cwt")</f>
        <v>0</v>
      </c>
      <c r="G5" s="444">
        <f t="shared" si="0"/>
        <v>0</v>
      </c>
      <c r="I5" s="415"/>
      <c r="J5" s="217"/>
      <c r="K5" s="217"/>
      <c r="L5" s="217"/>
    </row>
    <row r="6" spans="1:29" s="219" customFormat="1">
      <c r="A6" s="277"/>
      <c r="B6" s="250" t="s">
        <v>278</v>
      </c>
      <c r="C6" s="645">
        <f>Inputs!G32-Inputs!O32-Inputs!G42</f>
        <v>273</v>
      </c>
      <c r="D6" s="189">
        <f>IF(C6=0,0,Inputs!G33)</f>
        <v>675</v>
      </c>
      <c r="E6" s="189">
        <f>IF(C6=0,0,Inputs!G34)</f>
        <v>165</v>
      </c>
      <c r="F6" s="251" t="str">
        <f t="shared" si="1"/>
        <v>$ / cwt</v>
      </c>
      <c r="G6" s="444">
        <f t="shared" si="0"/>
        <v>304053.75</v>
      </c>
      <c r="H6" s="221"/>
      <c r="I6" s="415"/>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279</v>
      </c>
      <c r="C7" s="645">
        <f>Inputs!G35-Inputs!O35-Inputs!G45</f>
        <v>193</v>
      </c>
      <c r="D7" s="189">
        <f>IF(C7=0,0,Inputs!G36)</f>
        <v>610</v>
      </c>
      <c r="E7" s="189">
        <f>IF(C7=0,0,Inputs!G37)</f>
        <v>158</v>
      </c>
      <c r="F7" s="251" t="str">
        <f t="shared" si="1"/>
        <v>$ / cwt</v>
      </c>
      <c r="G7" s="444">
        <f t="shared" si="0"/>
        <v>186013.4</v>
      </c>
      <c r="H7" s="221"/>
      <c r="I7" s="415"/>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5">
        <f>Inputs!G42-Inputs!O42-Inputs!G52</f>
        <v>0</v>
      </c>
      <c r="D8" s="189">
        <f>IF(C8=0,0,Inputs!G43)</f>
        <v>0</v>
      </c>
      <c r="E8" s="189">
        <f>IF(C8=0,0,Inputs!G44)</f>
        <v>0</v>
      </c>
      <c r="F8" s="251">
        <f t="shared" si="1"/>
        <v>0</v>
      </c>
      <c r="G8" s="444">
        <f t="shared" si="0"/>
        <v>0</v>
      </c>
      <c r="H8" s="221"/>
      <c r="I8" s="415"/>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5">
        <f>Inputs!G45-Inputs!O45-Inputs!G55</f>
        <v>0</v>
      </c>
      <c r="D9" s="189">
        <f>IF(C9=0,0,Inputs!G46)</f>
        <v>0</v>
      </c>
      <c r="E9" s="189">
        <f>IF(C9=0,0,Inputs!G47)</f>
        <v>0</v>
      </c>
      <c r="F9" s="251">
        <f t="shared" si="1"/>
        <v>0</v>
      </c>
      <c r="G9" s="444">
        <f t="shared" si="0"/>
        <v>0</v>
      </c>
      <c r="H9" s="221"/>
      <c r="I9" s="415"/>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5">
        <f>Inputs!G52-Inputs!O52</f>
        <v>0</v>
      </c>
      <c r="D10" s="189">
        <f>IF(C10=0,0,Inputs!G53)</f>
        <v>0</v>
      </c>
      <c r="E10" s="189">
        <f>IF(C10=0,0,Inputs!G54)</f>
        <v>0</v>
      </c>
      <c r="F10" s="251">
        <f t="shared" si="1"/>
        <v>0</v>
      </c>
      <c r="G10" s="444">
        <f t="shared" si="0"/>
        <v>0</v>
      </c>
      <c r="H10" s="221"/>
      <c r="I10" s="415"/>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6">
        <f>Inputs!G55-Inputs!O55</f>
        <v>0</v>
      </c>
      <c r="D11" s="189">
        <f>IF(C11=0,0,Inputs!G56)</f>
        <v>0</v>
      </c>
      <c r="E11" s="189">
        <f>IF(C11=0,0,Inputs!G57)</f>
        <v>0</v>
      </c>
      <c r="F11" s="251">
        <f t="shared" si="1"/>
        <v>0</v>
      </c>
      <c r="G11" s="444">
        <f t="shared" si="0"/>
        <v>0</v>
      </c>
      <c r="I11" s="415"/>
      <c r="J11" s="217"/>
      <c r="K11" s="217"/>
      <c r="L11" s="217"/>
    </row>
    <row r="12" spans="1:29">
      <c r="B12" s="27" t="s">
        <v>85</v>
      </c>
      <c r="C12" s="646">
        <f>Inputs!G5-Inputs!G62</f>
        <v>70</v>
      </c>
      <c r="D12" s="189">
        <f>IF(C12=0,0,Inputs!G15)</f>
        <v>1350</v>
      </c>
      <c r="E12" s="49">
        <f>IF(C12=0,0,Inputs!G16)</f>
        <v>64</v>
      </c>
      <c r="F12" s="251" t="str">
        <f t="shared" si="1"/>
        <v>$ / cwt</v>
      </c>
      <c r="G12" s="444">
        <f t="shared" si="0"/>
        <v>60480</v>
      </c>
      <c r="I12" s="415"/>
      <c r="J12" s="217"/>
      <c r="K12" s="217"/>
      <c r="L12" s="217"/>
    </row>
    <row r="13" spans="1:29" s="219" customFormat="1">
      <c r="A13" s="277"/>
      <c r="B13" s="250" t="s">
        <v>240</v>
      </c>
      <c r="C13" s="646">
        <f>Inputs!O63</f>
        <v>0</v>
      </c>
      <c r="D13" s="189">
        <f>IF(C13=0,0,Inputs!G63)</f>
        <v>0</v>
      </c>
      <c r="E13" s="251">
        <f>IF(C13=0,0,Inputs!G64)</f>
        <v>0</v>
      </c>
      <c r="F13" s="251">
        <f>IF(C13=0,0,"$ / cwt")</f>
        <v>0</v>
      </c>
      <c r="G13" s="444">
        <f t="shared" si="0"/>
        <v>0</v>
      </c>
      <c r="H13" s="221"/>
      <c r="I13" s="415"/>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5">
        <f>Bulls!C4</f>
        <v>5.9399999999999995</v>
      </c>
      <c r="D14" s="189">
        <f>IF(C14=0,0,Inputs!G22)</f>
        <v>1700</v>
      </c>
      <c r="E14" s="225">
        <f>IF(C14=0,0,Bulls!F4)</f>
        <v>85</v>
      </c>
      <c r="F14" s="251" t="str">
        <f t="shared" si="1"/>
        <v>$ / cwt</v>
      </c>
      <c r="G14" s="444">
        <f t="shared" si="0"/>
        <v>8583.2999999999993</v>
      </c>
      <c r="I14" s="415"/>
      <c r="J14" s="217"/>
      <c r="K14" s="217"/>
      <c r="L14" s="217"/>
    </row>
    <row r="15" spans="1:29">
      <c r="B15" s="48" t="s">
        <v>140</v>
      </c>
      <c r="C15" s="645">
        <f>'Breeding Herd'!C7</f>
        <v>0</v>
      </c>
      <c r="D15" s="189">
        <f>IF(C15=0,0,'Breeding Herd'!E7)</f>
        <v>0</v>
      </c>
      <c r="E15" s="225">
        <f>IF(C15=0,0,'Breeding Herd'!F7)</f>
        <v>0</v>
      </c>
      <c r="F15" s="251">
        <f t="shared" si="1"/>
        <v>0</v>
      </c>
      <c r="G15" s="444">
        <f t="shared" si="0"/>
        <v>0</v>
      </c>
      <c r="I15" s="415"/>
      <c r="J15" s="217"/>
      <c r="K15" s="217"/>
      <c r="L15" s="217"/>
    </row>
    <row r="16" spans="1:29" ht="13.5" thickBot="1">
      <c r="B16" s="48"/>
      <c r="C16" s="645"/>
      <c r="D16" s="49"/>
      <c r="E16" s="49"/>
      <c r="F16" s="49"/>
      <c r="G16" s="649"/>
      <c r="I16" s="415"/>
      <c r="J16" s="217"/>
      <c r="K16" s="217"/>
      <c r="L16" s="217"/>
    </row>
    <row r="17" spans="2:21" ht="16.5" thickBot="1">
      <c r="B17" s="66"/>
      <c r="C17" s="42"/>
      <c r="D17" s="38"/>
      <c r="E17" s="38"/>
      <c r="F17" s="21" t="s">
        <v>33</v>
      </c>
      <c r="G17" s="650">
        <f>SUM(G4:G16)</f>
        <v>559130.45000000007</v>
      </c>
      <c r="I17" s="415"/>
      <c r="J17" s="217"/>
      <c r="K17" s="217"/>
      <c r="L17" s="217"/>
    </row>
    <row r="18" spans="2:21" ht="13.5" thickBot="1">
      <c r="B18" s="151"/>
      <c r="C18" s="49"/>
      <c r="D18" s="49"/>
      <c r="E18" s="49"/>
      <c r="F18" s="49"/>
      <c r="G18" s="595"/>
      <c r="I18" s="415"/>
      <c r="J18" s="217"/>
      <c r="K18" s="217"/>
      <c r="L18" s="217"/>
    </row>
    <row r="19" spans="2:21" ht="16.5" thickBot="1">
      <c r="B19" s="66" t="s">
        <v>34</v>
      </c>
      <c r="C19" s="108"/>
      <c r="D19" s="109"/>
      <c r="E19" s="109"/>
      <c r="F19" s="109"/>
      <c r="G19" s="651" t="s">
        <v>74</v>
      </c>
      <c r="I19" s="415"/>
      <c r="J19" s="217"/>
      <c r="K19" s="217"/>
      <c r="L19" s="217"/>
    </row>
    <row r="20" spans="2:21">
      <c r="B20" s="78" t="s">
        <v>69</v>
      </c>
      <c r="C20" s="36" t="s">
        <v>44</v>
      </c>
      <c r="D20" s="69" t="s">
        <v>5</v>
      </c>
      <c r="E20" s="45"/>
      <c r="F20" s="45"/>
      <c r="G20" s="652" t="s">
        <v>31</v>
      </c>
      <c r="I20" s="415"/>
      <c r="J20" s="217"/>
      <c r="K20" s="217"/>
      <c r="L20" s="217"/>
    </row>
    <row r="21" spans="2:21">
      <c r="B21" s="250" t="s">
        <v>186</v>
      </c>
      <c r="C21" s="73">
        <f>'Breeding Herd'!C14</f>
        <v>0</v>
      </c>
      <c r="D21" s="366">
        <f>Inputs!G14</f>
        <v>0</v>
      </c>
      <c r="E21" s="49" t="s">
        <v>35</v>
      </c>
      <c r="F21" s="49"/>
      <c r="G21" s="444">
        <f>C21*D21</f>
        <v>0</v>
      </c>
      <c r="I21" s="415"/>
      <c r="J21" s="217"/>
      <c r="K21" s="217"/>
      <c r="L21" s="217"/>
    </row>
    <row r="22" spans="2:21" ht="13.5" thickBot="1">
      <c r="B22" s="48" t="s">
        <v>76</v>
      </c>
      <c r="C22" s="74">
        <f>IF(Inputs!G19=0,0,Inputs!G17/Inputs!G19)</f>
        <v>6</v>
      </c>
      <c r="D22" s="366">
        <f>Inputs!G18</f>
        <v>3000</v>
      </c>
      <c r="E22" s="49" t="s">
        <v>35</v>
      </c>
      <c r="F22" s="49"/>
      <c r="G22" s="449">
        <f>C22*D22</f>
        <v>18000</v>
      </c>
      <c r="I22" s="415"/>
      <c r="J22" s="217"/>
      <c r="K22" s="217"/>
      <c r="L22" s="217"/>
    </row>
    <row r="23" spans="2:21" ht="13.5" thickTop="1">
      <c r="B23" s="27"/>
      <c r="C23" s="94"/>
      <c r="D23" s="49"/>
      <c r="E23" s="49"/>
      <c r="F23" s="58" t="s">
        <v>57</v>
      </c>
      <c r="G23" s="653">
        <f>SUM(G21:G22)</f>
        <v>18000</v>
      </c>
      <c r="I23" s="415"/>
      <c r="J23" s="217"/>
      <c r="K23" s="217"/>
      <c r="L23" s="217"/>
    </row>
    <row r="24" spans="2:21">
      <c r="B24" s="48"/>
      <c r="C24" s="32"/>
      <c r="D24" s="58"/>
      <c r="E24" s="49"/>
      <c r="F24" s="49"/>
      <c r="G24" s="595"/>
      <c r="I24" s="415"/>
      <c r="J24" s="217"/>
      <c r="K24" s="217"/>
      <c r="L24" s="217"/>
    </row>
    <row r="25" spans="2:21" ht="12.75" customHeight="1">
      <c r="B25" s="48"/>
      <c r="C25" s="838" t="s">
        <v>56</v>
      </c>
      <c r="D25" s="55"/>
      <c r="E25" s="49"/>
      <c r="F25" s="49"/>
      <c r="G25" s="595"/>
      <c r="I25" s="415"/>
      <c r="J25" s="217"/>
      <c r="K25" s="217"/>
      <c r="L25" s="217"/>
    </row>
    <row r="26" spans="2:21" ht="14.25" customHeight="1">
      <c r="B26" s="79" t="s">
        <v>7</v>
      </c>
      <c r="C26" s="838"/>
      <c r="D26" s="49"/>
      <c r="E26" s="39" t="s">
        <v>5</v>
      </c>
      <c r="F26" s="49"/>
      <c r="G26" s="596" t="s">
        <v>31</v>
      </c>
      <c r="I26" s="415"/>
      <c r="J26" s="419"/>
      <c r="K26" s="419"/>
      <c r="L26" s="419"/>
      <c r="M26" s="411"/>
      <c r="N26" s="411"/>
      <c r="O26" s="411"/>
      <c r="P26" s="411"/>
      <c r="Q26" s="411"/>
    </row>
    <row r="27" spans="2:21" ht="12.75" customHeight="1">
      <c r="B27" s="48" t="str">
        <f>IF(Inputs!B68="","",Inputs!B68)</f>
        <v/>
      </c>
      <c r="C27" s="647">
        <f>IF(Inputs!G68=0,0,I27/Inputs!G68)</f>
        <v>0</v>
      </c>
      <c r="D27" s="373" t="str">
        <f t="shared" ref="D27:D35" si="2">IFERROR(VLOOKUP(B27,Feed, 4,FALSE)&amp;"  @","")</f>
        <v/>
      </c>
      <c r="E27" s="50" t="str">
        <f t="shared" ref="E27:E35" si="3">IF(B27="","",VLOOKUP($B27,Feed,3,FALSE))</f>
        <v/>
      </c>
      <c r="F27" s="49" t="str">
        <f t="shared" ref="F27:F35" si="4">IF(B27="","",CONCATENATE("per ",VLOOKUP(B27,Feed,4,FALSE)))</f>
        <v/>
      </c>
      <c r="G27" s="444">
        <f>IFERROR(C27*E27,0)</f>
        <v>0</v>
      </c>
      <c r="I27" s="415">
        <f>SUM('Bulls:Fed Cull Cow'!M8)</f>
        <v>0</v>
      </c>
      <c r="J27" s="419"/>
      <c r="K27" s="217"/>
      <c r="L27" s="415">
        <f>SUM('Bulls:Fed Cull Cow'!P8)</f>
        <v>123000</v>
      </c>
      <c r="S27" s="411">
        <f>SUM('Bulls:Fed Cull Cow'!W8)</f>
        <v>0</v>
      </c>
      <c r="U27" s="411">
        <f>SUM('Bulls:Fed Cull Cow'!Y8)</f>
        <v>0</v>
      </c>
    </row>
    <row r="28" spans="2:21" ht="14.25" customHeight="1">
      <c r="B28" s="48" t="str">
        <f>IF(Inputs!B69="","",Inputs!B69)</f>
        <v>Pasture</v>
      </c>
      <c r="C28" s="647">
        <f>IF(Inputs!G69=0,0,I28/Inputs!G69)</f>
        <v>706</v>
      </c>
      <c r="D28" s="373" t="str">
        <f t="shared" si="2"/>
        <v>5 months  @</v>
      </c>
      <c r="E28" s="252">
        <f t="shared" si="3"/>
        <v>300</v>
      </c>
      <c r="F28" s="251" t="str">
        <f t="shared" si="4"/>
        <v>per 5 months</v>
      </c>
      <c r="G28" s="444">
        <f t="shared" ref="G28:G36" si="5">IFERROR(C28*E28,0)</f>
        <v>211800</v>
      </c>
      <c r="I28" s="415">
        <f>SUM('Bulls:Fed Cull Cow'!N8)</f>
        <v>105900</v>
      </c>
      <c r="J28" s="419"/>
      <c r="K28" s="419"/>
      <c r="L28" s="415"/>
      <c r="M28" s="411"/>
      <c r="N28" s="411"/>
      <c r="O28" s="411"/>
      <c r="P28" s="411"/>
      <c r="Q28" s="411"/>
    </row>
    <row r="29" spans="2:21">
      <c r="B29" s="48" t="str">
        <f>IF(Inputs!B70="","",Inputs!B70)</f>
        <v>Prairie Hay</v>
      </c>
      <c r="C29" s="647">
        <f>IF(Inputs!G70=0,0,I29/Inputs!G70)</f>
        <v>936.45</v>
      </c>
      <c r="D29" s="373" t="str">
        <f t="shared" si="2"/>
        <v>ton  @</v>
      </c>
      <c r="E29" s="252">
        <f t="shared" si="3"/>
        <v>130</v>
      </c>
      <c r="F29" s="251" t="str">
        <f t="shared" si="4"/>
        <v>per ton</v>
      </c>
      <c r="G29" s="444">
        <f t="shared" si="5"/>
        <v>121738.5</v>
      </c>
      <c r="I29" s="415">
        <f>SUM('Bulls:Fed Cull Cow'!O8)</f>
        <v>1872900</v>
      </c>
      <c r="J29" s="419"/>
      <c r="K29" s="419"/>
      <c r="L29" s="415"/>
      <c r="M29" s="411"/>
      <c r="N29" s="411"/>
      <c r="O29" s="411"/>
      <c r="P29" s="411"/>
      <c r="Q29" s="411"/>
    </row>
    <row r="30" spans="2:21">
      <c r="B30" s="48" t="str">
        <f>IF(Inputs!B71="","",Inputs!B71)</f>
        <v>Alfalfa</v>
      </c>
      <c r="C30" s="647">
        <f>IF(Inputs!G71=0,0,I30/Inputs!G71)</f>
        <v>61.5</v>
      </c>
      <c r="D30" s="373" t="str">
        <f t="shared" si="2"/>
        <v>ton  @</v>
      </c>
      <c r="E30" s="252">
        <f t="shared" si="3"/>
        <v>150</v>
      </c>
      <c r="F30" s="251" t="str">
        <f t="shared" si="4"/>
        <v>per ton</v>
      </c>
      <c r="G30" s="444">
        <f t="shared" si="5"/>
        <v>9225</v>
      </c>
      <c r="I30" s="415">
        <f>SUM('Bulls:Fed Cull Cow'!P8)</f>
        <v>123000</v>
      </c>
      <c r="J30" s="419"/>
      <c r="K30" s="419"/>
      <c r="L30" s="415"/>
      <c r="M30" s="411"/>
      <c r="N30" s="411"/>
      <c r="O30" s="411"/>
      <c r="P30" s="411"/>
      <c r="Q30" s="411"/>
    </row>
    <row r="31" spans="2:21">
      <c r="B31" s="48" t="str">
        <f>IF(Inputs!B72="","",Inputs!B72)</f>
        <v>DDG Cubes</v>
      </c>
      <c r="C31" s="647">
        <f>IF(Inputs!G72=0,0,I31/Inputs!G72)</f>
        <v>390.67500000000001</v>
      </c>
      <c r="D31" s="373" t="str">
        <f t="shared" si="2"/>
        <v>ton  @</v>
      </c>
      <c r="E31" s="252">
        <f t="shared" si="3"/>
        <v>300</v>
      </c>
      <c r="F31" s="251" t="str">
        <f t="shared" si="4"/>
        <v>per ton</v>
      </c>
      <c r="G31" s="444">
        <f t="shared" si="5"/>
        <v>117202.5</v>
      </c>
      <c r="I31" s="415">
        <f>SUM('Bulls:Fed Cull Cow'!Q8)</f>
        <v>781350</v>
      </c>
      <c r="J31" s="419"/>
      <c r="K31" s="419"/>
      <c r="L31" s="415"/>
      <c r="M31" s="411"/>
      <c r="N31" s="411"/>
      <c r="O31" s="411"/>
      <c r="P31" s="411"/>
      <c r="Q31" s="411"/>
    </row>
    <row r="32" spans="2:21">
      <c r="B32" s="48" t="str">
        <f>IF(Inputs!B73="","",Inputs!B73)</f>
        <v>Salt and Mineral</v>
      </c>
      <c r="C32" s="647">
        <f>IF(Inputs!G73=0,0,I32/Inputs!G73)</f>
        <v>27.838125000000002</v>
      </c>
      <c r="D32" s="373" t="str">
        <f t="shared" si="2"/>
        <v>ton  @</v>
      </c>
      <c r="E32" s="252">
        <f t="shared" si="3"/>
        <v>900</v>
      </c>
      <c r="F32" s="251" t="str">
        <f t="shared" si="4"/>
        <v>per ton</v>
      </c>
      <c r="G32" s="444">
        <f t="shared" si="5"/>
        <v>25054.3125</v>
      </c>
      <c r="I32" s="415">
        <f>SUM('Bulls:Fed Cull Cow'!R8)</f>
        <v>890820</v>
      </c>
      <c r="J32" s="419"/>
      <c r="K32" s="419"/>
      <c r="L32" s="415"/>
      <c r="M32" s="411"/>
      <c r="N32" s="411"/>
      <c r="O32" s="411"/>
      <c r="P32" s="411"/>
      <c r="Q32" s="411"/>
    </row>
    <row r="33" spans="1:29">
      <c r="B33" s="48" t="str">
        <f>IF(Inputs!B74="","",Inputs!B74)</f>
        <v>Corn Stalks</v>
      </c>
      <c r="C33" s="647">
        <f>IF(Inputs!G74=0,0,I33/Inputs!G74)</f>
        <v>2400</v>
      </c>
      <c r="D33" s="373" t="str">
        <f t="shared" si="2"/>
        <v>month  @</v>
      </c>
      <c r="E33" s="252">
        <f t="shared" si="3"/>
        <v>17.5</v>
      </c>
      <c r="F33" s="251" t="str">
        <f t="shared" si="4"/>
        <v>per month</v>
      </c>
      <c r="G33" s="444">
        <f t="shared" si="5"/>
        <v>42000</v>
      </c>
      <c r="I33" s="415">
        <f>SUM('Bulls:Fed Cull Cow'!S8)</f>
        <v>72000</v>
      </c>
      <c r="J33" s="419"/>
      <c r="K33" s="419"/>
      <c r="L33" s="415"/>
      <c r="M33" s="411"/>
      <c r="N33" s="411"/>
      <c r="O33" s="411"/>
      <c r="P33" s="411"/>
      <c r="Q33" s="411"/>
    </row>
    <row r="34" spans="1:29">
      <c r="B34" s="48" t="str">
        <f>IF(Inputs!B75="","",Inputs!B75)</f>
        <v>Dried Rolled Corn</v>
      </c>
      <c r="C34" s="647">
        <f>IF(Inputs!G75=0,0,I34/Inputs!G75)</f>
        <v>2402.6785714285716</v>
      </c>
      <c r="D34" s="373" t="str">
        <f t="shared" si="2"/>
        <v>bu  @</v>
      </c>
      <c r="E34" s="252">
        <f t="shared" si="3"/>
        <v>5.4</v>
      </c>
      <c r="F34" s="251" t="str">
        <f t="shared" si="4"/>
        <v>per bu</v>
      </c>
      <c r="G34" s="444">
        <f t="shared" si="5"/>
        <v>12974.464285714288</v>
      </c>
      <c r="I34" s="415">
        <f>SUM('Bulls:Fed Cull Cow'!T8)</f>
        <v>134550</v>
      </c>
      <c r="J34" s="419"/>
      <c r="K34" s="419"/>
      <c r="L34" s="415"/>
      <c r="M34" s="411"/>
      <c r="N34" s="411"/>
      <c r="O34" s="411"/>
      <c r="P34" s="411"/>
      <c r="Q34" s="411"/>
    </row>
    <row r="35" spans="1:29">
      <c r="B35" s="48" t="str">
        <f>IF(Inputs!B76="","",Inputs!B76)</f>
        <v/>
      </c>
      <c r="C35" s="647">
        <f>IF(Inputs!G76=0,0,I35/Inputs!G76)</f>
        <v>0</v>
      </c>
      <c r="D35" s="373" t="str">
        <f t="shared" si="2"/>
        <v/>
      </c>
      <c r="E35" s="252" t="str">
        <f t="shared" si="3"/>
        <v/>
      </c>
      <c r="F35" s="251" t="str">
        <f t="shared" si="4"/>
        <v/>
      </c>
      <c r="G35" s="444">
        <f t="shared" si="5"/>
        <v>0</v>
      </c>
      <c r="I35" s="415">
        <f>SUM('Bulls:Fed Cull Cow'!U8)</f>
        <v>0</v>
      </c>
      <c r="J35" s="419"/>
      <c r="K35" s="419"/>
      <c r="L35" s="415"/>
      <c r="M35" s="411"/>
      <c r="N35" s="411"/>
      <c r="O35" s="411"/>
      <c r="P35" s="411"/>
      <c r="Q35" s="411"/>
    </row>
    <row r="36" spans="1:29" ht="13.5" thickBot="1">
      <c r="B36" s="48" t="str">
        <f>IF(Inputs!B77="","",Inputs!B77)</f>
        <v/>
      </c>
      <c r="C36" s="647">
        <f>IF(Inputs!G77=0,0,I36/Inputs!G77)</f>
        <v>0</v>
      </c>
      <c r="D36" s="410" t="str">
        <f>IFERROR(VLOOKUP(B36,Feed, 4,FALSE)&amp;"s  @","")</f>
        <v/>
      </c>
      <c r="E36" s="252" t="str">
        <f>IF(B36="","",VLOOKUP($B36,Feed,3,FALSE))</f>
        <v/>
      </c>
      <c r="F36" s="49" t="str">
        <f>IF(B36="","",CONCATENATE("per ",VLOOKUP(B36,Feed,4,FALSE)))</f>
        <v/>
      </c>
      <c r="G36" s="449">
        <f t="shared" si="5"/>
        <v>0</v>
      </c>
      <c r="I36" s="415">
        <f>SUM('Bulls:Fed Cull Cow'!V8)</f>
        <v>0</v>
      </c>
      <c r="J36" s="419"/>
      <c r="K36" s="419"/>
      <c r="L36" s="415"/>
      <c r="M36" s="411"/>
      <c r="N36" s="411"/>
      <c r="O36" s="411"/>
      <c r="P36" s="411"/>
      <c r="Q36" s="411"/>
    </row>
    <row r="37" spans="1:29" ht="13.5" thickTop="1">
      <c r="B37" s="48"/>
      <c r="C37" s="648"/>
      <c r="D37" s="49"/>
      <c r="E37" s="49"/>
      <c r="F37" s="28" t="s">
        <v>36</v>
      </c>
      <c r="G37" s="524">
        <f>SUM(G27:G36)</f>
        <v>539994.77678571432</v>
      </c>
    </row>
    <row r="38" spans="1:29">
      <c r="B38" s="48"/>
      <c r="C38" s="31"/>
      <c r="D38" s="49"/>
      <c r="E38" s="49"/>
      <c r="F38" s="49"/>
      <c r="G38" s="595"/>
    </row>
    <row r="39" spans="1:29">
      <c r="B39" s="79" t="s">
        <v>47</v>
      </c>
      <c r="C39" s="31"/>
      <c r="D39" s="83"/>
      <c r="E39" s="39"/>
      <c r="F39" s="39"/>
      <c r="G39" s="596" t="s">
        <v>31</v>
      </c>
    </row>
    <row r="40" spans="1:29">
      <c r="B40" s="211" t="str">
        <f>Inputs!B81</f>
        <v>Labor</v>
      </c>
      <c r="C40" s="31"/>
      <c r="D40" s="80"/>
      <c r="E40" s="57"/>
      <c r="F40" s="57"/>
      <c r="G40" s="444">
        <f>'Breeding Herd'!H28+Backgrounding!H25+Stocker!H25+Feedlot!H25+'Fed Cull Cow'!H24</f>
        <v>11862.322130177525</v>
      </c>
    </row>
    <row r="41" spans="1:29">
      <c r="B41" s="250" t="str">
        <f>Inputs!B82</f>
        <v>Fuel</v>
      </c>
      <c r="C41" s="31"/>
      <c r="D41" s="80"/>
      <c r="E41" s="57"/>
      <c r="F41" s="57"/>
      <c r="G41" s="444">
        <f>'Breeding Herd'!H29+Backgrounding!H26+Stocker!H26+Feedlot!H26+'Fed Cull Cow'!H25</f>
        <v>11862.322130177525</v>
      </c>
    </row>
    <row r="42" spans="1:29">
      <c r="B42" s="250" t="str">
        <f>Inputs!B83</f>
        <v>Veterinary and Medical</v>
      </c>
      <c r="C42" s="31"/>
      <c r="D42" s="80"/>
      <c r="E42" s="57"/>
      <c r="F42" s="57"/>
      <c r="G42" s="444">
        <f>'Fed Cull Cow'!H26+Feedlot!H27+Stocker!H27+Backgrounding!H27+'Breeding Herd'!H30</f>
        <v>11862.322130177525</v>
      </c>
    </row>
    <row r="43" spans="1:29">
      <c r="B43" s="250" t="str">
        <f>Inputs!B84</f>
        <v>Cull Cow Marketing</v>
      </c>
      <c r="C43" s="31"/>
      <c r="D43" s="80"/>
      <c r="E43" s="57"/>
      <c r="F43" s="57"/>
      <c r="G43" s="444">
        <f>'Fed Cull Cow'!H27+'Breeding Herd'!H31</f>
        <v>1750</v>
      </c>
    </row>
    <row r="44" spans="1:29">
      <c r="B44" s="250" t="str">
        <f>Inputs!B85</f>
        <v>Cull Bull Marketing</v>
      </c>
      <c r="C44" s="31"/>
      <c r="D44" s="80"/>
      <c r="E44" s="57"/>
      <c r="F44" s="57"/>
      <c r="G44" s="444">
        <f>Bulls!H23</f>
        <v>148.5</v>
      </c>
    </row>
    <row r="45" spans="1:29" s="219" customFormat="1">
      <c r="A45" s="277"/>
      <c r="B45" s="250" t="str">
        <f>Inputs!B86</f>
        <v>Cull Replacement Marketing</v>
      </c>
      <c r="C45" s="243"/>
      <c r="D45" s="264"/>
      <c r="E45" s="257"/>
      <c r="F45" s="257"/>
      <c r="G45" s="444">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4">
        <f>'Breeding Herd'!H33</f>
        <v>9520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 -Adj</v>
      </c>
      <c r="C47" s="243"/>
      <c r="D47" s="264"/>
      <c r="E47" s="257"/>
      <c r="F47" s="257"/>
      <c r="G47" s="444">
        <f>Backgrounding!H28</f>
        <v>2130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4">
        <f>Stocker!H28</f>
        <v>0</v>
      </c>
    </row>
    <row r="49" spans="1:29" s="219" customFormat="1">
      <c r="A49" s="277"/>
      <c r="B49" s="250" t="str">
        <f>Inputs!B90</f>
        <v>Feedlot Marketing</v>
      </c>
      <c r="C49" s="243"/>
      <c r="D49" s="264"/>
      <c r="E49" s="257"/>
      <c r="F49" s="257"/>
      <c r="G49" s="444">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t="str">
        <f>Inputs!B91</f>
        <v>AI Expense $40 per new heifers</v>
      </c>
      <c r="C50" s="243"/>
      <c r="D50" s="264"/>
      <c r="E50" s="257"/>
      <c r="F50" s="257"/>
      <c r="G50" s="444">
        <f>'Breeding Herd'!H34+Backgrounding!H29+Stocker!H29+Feedlot!H29+'Fed Cull Cow'!H28</f>
        <v>3280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4">
        <f>'Breeding Herd'!H35+Backgrounding!H30+Stocker!H30+Feedlot!H30+'Fed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4">
        <f>'Breeding Herd'!H36+Backgrounding!H31+Stocker!H31+Feedlot!H31+'Fed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4">
        <f>'Breeding Herd'!H37+Backgrounding!H32+Stocker!H32+Feedlot!H32+'Fed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4">
        <f>'Breeding Herd'!H38+Backgrounding!H33+Stocker!H33+Feedlot!H33+'Fed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9" t="s">
        <v>118</v>
      </c>
      <c r="D55" s="840"/>
      <c r="E55" s="840"/>
      <c r="F55" s="841"/>
      <c r="G55" s="456">
        <f>'Breeding Herd'!H39+Bulls!H24+Backgrounding!H34+Stocker!H34+Feedlot!H34+'Fed Cull Cow'!H33</f>
        <v>21238.139530293181</v>
      </c>
    </row>
    <row r="56" spans="1:29" ht="14.25" thickTop="1" thickBot="1">
      <c r="B56" s="51"/>
      <c r="C56" s="34"/>
      <c r="D56" s="52"/>
      <c r="E56" s="49"/>
      <c r="F56" s="59" t="s">
        <v>49</v>
      </c>
      <c r="G56" s="654">
        <f>SUM(G40:G55)</f>
        <v>73653.60592082575</v>
      </c>
    </row>
    <row r="57" spans="1:29" ht="16.5" thickBot="1">
      <c r="B57" s="66"/>
      <c r="C57" s="38"/>
      <c r="D57" s="38"/>
      <c r="E57" s="38"/>
      <c r="F57" s="21" t="s">
        <v>38</v>
      </c>
      <c r="G57" s="650">
        <f>G23+G37+G56</f>
        <v>631648.38270654005</v>
      </c>
    </row>
    <row r="58" spans="1:29" ht="13.5" thickBot="1">
      <c r="B58" s="48"/>
      <c r="C58" s="49"/>
      <c r="D58" s="49"/>
      <c r="E58" s="58"/>
      <c r="F58" s="58"/>
      <c r="G58" s="655"/>
    </row>
    <row r="59" spans="1:29" ht="16.5" thickBot="1">
      <c r="B59" s="66" t="s">
        <v>109</v>
      </c>
      <c r="C59" s="108"/>
      <c r="D59" s="109"/>
      <c r="E59" s="109"/>
      <c r="F59" s="109"/>
      <c r="G59" s="651" t="s">
        <v>74</v>
      </c>
    </row>
    <row r="60" spans="1:29">
      <c r="B60" s="78" t="s">
        <v>39</v>
      </c>
      <c r="C60" s="102"/>
      <c r="D60" s="69" t="s">
        <v>15</v>
      </c>
      <c r="E60" s="49"/>
      <c r="F60" s="47"/>
      <c r="G60" s="652" t="s">
        <v>31</v>
      </c>
    </row>
    <row r="61" spans="1:29">
      <c r="B61" s="48" t="str">
        <f>IF(Inputs!B99="","",Inputs!B99)</f>
        <v>Barn /fencing</v>
      </c>
      <c r="C61" s="77"/>
      <c r="D61" s="457">
        <f>Inputs!G99</f>
        <v>2000</v>
      </c>
      <c r="E61" s="49"/>
      <c r="F61" s="56"/>
      <c r="G61" s="444">
        <f>D61</f>
        <v>2000</v>
      </c>
    </row>
    <row r="62" spans="1:29">
      <c r="B62" s="48" t="str">
        <f>IF(Inputs!B100="","",Inputs!B100)</f>
        <v>Machinery (Livestock)</v>
      </c>
      <c r="C62" s="77"/>
      <c r="D62" s="457">
        <f>Inputs!G100</f>
        <v>2000</v>
      </c>
      <c r="E62" s="49"/>
      <c r="F62" s="56"/>
      <c r="G62" s="444">
        <f t="shared" ref="G62:G69" si="6">D62</f>
        <v>2000</v>
      </c>
    </row>
    <row r="63" spans="1:29">
      <c r="B63" s="48" t="str">
        <f>IF(Inputs!B101="","",Inputs!B101)</f>
        <v>Vehicles</v>
      </c>
      <c r="C63" s="77"/>
      <c r="D63" s="457">
        <f>Inputs!G101</f>
        <v>1200</v>
      </c>
      <c r="E63" s="49"/>
      <c r="F63" s="56"/>
      <c r="G63" s="444">
        <f t="shared" si="6"/>
        <v>1200</v>
      </c>
    </row>
    <row r="64" spans="1:29">
      <c r="B64" s="48" t="str">
        <f>IF(Inputs!B102="","",Inputs!B102)</f>
        <v/>
      </c>
      <c r="C64" s="77"/>
      <c r="D64" s="457">
        <f>Inputs!G102</f>
        <v>0</v>
      </c>
      <c r="E64" s="49"/>
      <c r="F64" s="56"/>
      <c r="G64" s="444">
        <f t="shared" si="6"/>
        <v>0</v>
      </c>
    </row>
    <row r="65" spans="2:7">
      <c r="B65" s="48">
        <f>Inputs!B104</f>
        <v>0</v>
      </c>
      <c r="C65" s="77"/>
      <c r="D65" s="457">
        <f>Inputs!G103</f>
        <v>0</v>
      </c>
      <c r="E65" s="49"/>
      <c r="F65" s="56"/>
      <c r="G65" s="444">
        <f t="shared" si="6"/>
        <v>0</v>
      </c>
    </row>
    <row r="66" spans="2:7">
      <c r="B66" s="211">
        <f>Inputs!B105</f>
        <v>0</v>
      </c>
      <c r="C66" s="77"/>
      <c r="D66" s="457">
        <f>Inputs!G104</f>
        <v>0</v>
      </c>
      <c r="E66" s="49"/>
      <c r="F66" s="56"/>
      <c r="G66" s="444">
        <f t="shared" si="6"/>
        <v>0</v>
      </c>
    </row>
    <row r="67" spans="2:7">
      <c r="B67" s="211">
        <f>Inputs!B106</f>
        <v>0</v>
      </c>
      <c r="C67" s="77"/>
      <c r="D67" s="457">
        <f>Inputs!G105</f>
        <v>0</v>
      </c>
      <c r="E67" s="49"/>
      <c r="F67" s="56"/>
      <c r="G67" s="444">
        <f t="shared" si="6"/>
        <v>0</v>
      </c>
    </row>
    <row r="68" spans="2:7">
      <c r="B68" s="211">
        <f>Inputs!B107</f>
        <v>0</v>
      </c>
      <c r="C68" s="77"/>
      <c r="D68" s="457">
        <f>Inputs!G106</f>
        <v>0</v>
      </c>
      <c r="E68" s="49"/>
      <c r="F68" s="56"/>
      <c r="G68" s="444">
        <f t="shared" si="6"/>
        <v>0</v>
      </c>
    </row>
    <row r="69" spans="2:7" ht="13.5" thickBot="1">
      <c r="B69" s="211">
        <f>Inputs!B108</f>
        <v>0</v>
      </c>
      <c r="C69" s="77"/>
      <c r="D69" s="457">
        <f>Inputs!G107</f>
        <v>0</v>
      </c>
      <c r="E69" s="49"/>
      <c r="F69" s="56"/>
      <c r="G69" s="449">
        <f t="shared" si="6"/>
        <v>0</v>
      </c>
    </row>
    <row r="70" spans="2:7" ht="13.5" thickTop="1">
      <c r="B70" s="48"/>
      <c r="C70" s="33"/>
      <c r="D70" s="57"/>
      <c r="E70" s="57"/>
      <c r="F70" s="29" t="s">
        <v>50</v>
      </c>
      <c r="G70" s="524">
        <f>SUM(G61:G69)</f>
        <v>5200</v>
      </c>
    </row>
    <row r="71" spans="2:7">
      <c r="B71" s="48"/>
      <c r="C71" s="31"/>
      <c r="D71" s="49"/>
      <c r="E71" s="49"/>
      <c r="F71" s="58"/>
      <c r="G71" s="655"/>
    </row>
    <row r="72" spans="2:7">
      <c r="B72" s="79" t="s">
        <v>54</v>
      </c>
      <c r="C72" s="31"/>
      <c r="D72" s="83"/>
      <c r="E72" s="83"/>
      <c r="F72" s="49"/>
      <c r="G72" s="596" t="s">
        <v>31</v>
      </c>
    </row>
    <row r="73" spans="2:7">
      <c r="B73" s="48" t="s">
        <v>19</v>
      </c>
      <c r="C73" s="31"/>
      <c r="D73" s="84"/>
      <c r="E73" s="84"/>
      <c r="F73" s="49"/>
      <c r="G73" s="444">
        <f>Inputs!E117</f>
        <v>0</v>
      </c>
    </row>
    <row r="74" spans="2:7">
      <c r="B74" s="48" t="s">
        <v>41</v>
      </c>
      <c r="C74" s="31"/>
      <c r="D74" s="84"/>
      <c r="E74" s="84"/>
      <c r="F74" s="49"/>
      <c r="G74" s="444">
        <f>Inputs!E118</f>
        <v>3000</v>
      </c>
    </row>
    <row r="75" spans="2:7">
      <c r="B75" s="48" t="s">
        <v>22</v>
      </c>
      <c r="C75" s="31"/>
      <c r="D75" s="84"/>
      <c r="E75" s="84"/>
      <c r="F75" s="49"/>
      <c r="G75" s="444">
        <f>Inputs!E119</f>
        <v>1500</v>
      </c>
    </row>
    <row r="76" spans="2:7">
      <c r="B76" s="48" t="s">
        <v>42</v>
      </c>
      <c r="C76" s="31"/>
      <c r="D76" s="84"/>
      <c r="E76" s="84"/>
      <c r="F76" s="49"/>
      <c r="G76" s="444">
        <f>Inputs!E120</f>
        <v>0</v>
      </c>
    </row>
    <row r="77" spans="2:7" ht="13.5" thickBot="1">
      <c r="B77" s="48" t="s">
        <v>24</v>
      </c>
      <c r="C77" s="31"/>
      <c r="D77" s="84"/>
      <c r="E77" s="84"/>
      <c r="F77" s="49"/>
      <c r="G77" s="456">
        <f>Inputs!E121</f>
        <v>0</v>
      </c>
    </row>
    <row r="78" spans="2:7" ht="14.25" thickTop="1" thickBot="1">
      <c r="B78" s="51"/>
      <c r="C78" s="34"/>
      <c r="D78" s="52"/>
      <c r="E78" s="52"/>
      <c r="F78" s="59" t="s">
        <v>51</v>
      </c>
      <c r="G78" s="654">
        <f>SUM(G73:G77)</f>
        <v>4500</v>
      </c>
    </row>
    <row r="79" spans="2:7" ht="16.5" thickBot="1">
      <c r="B79" s="66"/>
      <c r="C79" s="67"/>
      <c r="D79" s="67"/>
      <c r="E79" s="67"/>
      <c r="F79" s="21" t="s">
        <v>103</v>
      </c>
      <c r="G79" s="650">
        <f>G70+G78</f>
        <v>9700</v>
      </c>
    </row>
    <row r="80" spans="2:7" ht="13.5" thickBot="1">
      <c r="B80" s="48"/>
      <c r="C80" s="49"/>
      <c r="D80" s="49"/>
      <c r="E80" s="49"/>
      <c r="F80" s="49"/>
      <c r="G80" s="595"/>
    </row>
    <row r="81" spans="2:10" ht="16.5" thickBot="1">
      <c r="B81" s="66"/>
      <c r="C81" s="67"/>
      <c r="D81" s="67"/>
      <c r="E81" s="67"/>
      <c r="F81" s="21" t="s">
        <v>111</v>
      </c>
      <c r="G81" s="650">
        <f>G57+G79</f>
        <v>641348.38270654005</v>
      </c>
    </row>
    <row r="82" spans="2:10" ht="13.5" thickBot="1">
      <c r="B82" s="48"/>
      <c r="C82" s="49"/>
      <c r="D82" s="49"/>
      <c r="E82" s="49"/>
      <c r="F82" s="49"/>
      <c r="G82" s="595"/>
    </row>
    <row r="83" spans="2:10" ht="16.5" thickBot="1">
      <c r="B83" s="66"/>
      <c r="C83" s="67"/>
      <c r="D83" s="67"/>
      <c r="E83" s="67"/>
      <c r="F83" s="21" t="s">
        <v>105</v>
      </c>
      <c r="G83" s="650">
        <f>G17-G81</f>
        <v>-82217.932706539985</v>
      </c>
    </row>
    <row r="84" spans="2:10" ht="13.5" thickBot="1">
      <c r="B84" s="43" t="s">
        <v>9</v>
      </c>
      <c r="C84" s="43"/>
      <c r="D84" s="43"/>
      <c r="E84" s="43"/>
      <c r="F84" s="43"/>
      <c r="G84" s="590"/>
    </row>
    <row r="85" spans="2:10" ht="16.5" thickBot="1">
      <c r="B85" s="41" t="s">
        <v>98</v>
      </c>
      <c r="C85" s="376"/>
      <c r="D85" s="109"/>
      <c r="E85" s="109"/>
      <c r="F85" s="109"/>
      <c r="G85" s="651" t="s">
        <v>74</v>
      </c>
    </row>
    <row r="86" spans="2:10" ht="25.5">
      <c r="B86" s="375" t="s">
        <v>115</v>
      </c>
      <c r="C86" s="251"/>
      <c r="D86" s="276" t="s">
        <v>151</v>
      </c>
      <c r="E86" s="367" t="s">
        <v>113</v>
      </c>
      <c r="F86" s="47"/>
      <c r="G86" s="652" t="s">
        <v>31</v>
      </c>
    </row>
    <row r="87" spans="2:10">
      <c r="B87" s="284" t="str">
        <f>IF(Inputs!B99="","",Inputs!B99)</f>
        <v>Barn /fencing</v>
      </c>
      <c r="C87" s="251"/>
      <c r="D87" s="366">
        <f>IF(Inputs!F99=0,0,(Inputs!D99-Inputs!E99)/Inputs!F99)</f>
        <v>2500</v>
      </c>
      <c r="E87" s="366">
        <f>IF(Inputs!B99=0,0,Inputs!D99*Inputs!$E$112)</f>
        <v>3000</v>
      </c>
      <c r="F87" s="56"/>
      <c r="G87" s="444">
        <f t="shared" ref="G87:G95" si="7">SUM(D87:E87)</f>
        <v>5500</v>
      </c>
    </row>
    <row r="88" spans="2:10">
      <c r="B88" s="284" t="str">
        <f>IF(Inputs!B100="","",Inputs!B100)</f>
        <v>Machinery (Livestock)</v>
      </c>
      <c r="C88" s="251"/>
      <c r="D88" s="366">
        <f>IF(Inputs!F100=0,0,(Inputs!D100-Inputs!E100)/Inputs!F100)</f>
        <v>9000</v>
      </c>
      <c r="E88" s="366">
        <f>IF(Inputs!B100=0,0,Inputs!D100*Inputs!$E$112)</f>
        <v>4500</v>
      </c>
      <c r="F88" s="56"/>
      <c r="G88" s="444">
        <f t="shared" si="7"/>
        <v>13500</v>
      </c>
    </row>
    <row r="89" spans="2:10">
      <c r="B89" s="284" t="str">
        <f>IF(Inputs!B101="","",Inputs!B101)</f>
        <v>Vehicles</v>
      </c>
      <c r="C89" s="251"/>
      <c r="D89" s="366">
        <f>IF(Inputs!F101=0,0,(Inputs!D101-Inputs!E101)/Inputs!F101)</f>
        <v>2857.1428571428573</v>
      </c>
      <c r="E89" s="366">
        <f>IF(Inputs!B101=0,0,Inputs!D101*Inputs!$E$112)</f>
        <v>1050</v>
      </c>
      <c r="F89" s="56"/>
      <c r="G89" s="444">
        <f t="shared" si="7"/>
        <v>3907.1428571428573</v>
      </c>
    </row>
    <row r="90" spans="2:10">
      <c r="B90" s="284" t="str">
        <f>IF(Inputs!B102="","",Inputs!B102)</f>
        <v/>
      </c>
      <c r="C90" s="251"/>
      <c r="D90" s="366">
        <f>IF(Inputs!F102=0,0,(Inputs!D102-Inputs!E102)/Inputs!F102)</f>
        <v>0</v>
      </c>
      <c r="E90" s="366">
        <f>IF(Inputs!B102=0,0,Inputs!D102*Inputs!$E$112)</f>
        <v>0</v>
      </c>
      <c r="F90" s="56"/>
      <c r="G90" s="444">
        <f t="shared" si="7"/>
        <v>0</v>
      </c>
    </row>
    <row r="91" spans="2:10">
      <c r="B91" s="284" t="str">
        <f>IF(Inputs!B104="","",Inputs!B104)</f>
        <v/>
      </c>
      <c r="C91" s="251"/>
      <c r="D91" s="366">
        <f>IF(Inputs!F103=0,0,(Inputs!D103-Inputs!E103)/Inputs!F103)</f>
        <v>0</v>
      </c>
      <c r="E91" s="366">
        <f>IF(Inputs!B103=0,0,Inputs!D103*Inputs!$E$112)</f>
        <v>0</v>
      </c>
      <c r="F91" s="56"/>
      <c r="G91" s="444">
        <f t="shared" si="7"/>
        <v>0</v>
      </c>
    </row>
    <row r="92" spans="2:10">
      <c r="B92" s="284" t="str">
        <f>IF(Inputs!B105="","",Inputs!B105)</f>
        <v/>
      </c>
      <c r="C92" s="251"/>
      <c r="D92" s="366">
        <f>IF(Inputs!F104=0,0,(Inputs!D104-Inputs!E104)/Inputs!F104)</f>
        <v>0</v>
      </c>
      <c r="E92" s="366">
        <f>IF(Inputs!B104=0,0,Inputs!D104*Inputs!$E$112)</f>
        <v>0</v>
      </c>
      <c r="F92" s="56"/>
      <c r="G92" s="444">
        <f t="shared" si="7"/>
        <v>0</v>
      </c>
    </row>
    <row r="93" spans="2:10">
      <c r="B93" s="284" t="str">
        <f>IF(Inputs!B106="","",Inputs!B106)</f>
        <v/>
      </c>
      <c r="C93" s="251"/>
      <c r="D93" s="366">
        <f>IF(Inputs!F105=0,0,(Inputs!D105-Inputs!E105)/Inputs!F105)</f>
        <v>0</v>
      </c>
      <c r="E93" s="366">
        <f>IF(Inputs!B105=0,0,Inputs!D105*Inputs!$E$112)</f>
        <v>0</v>
      </c>
      <c r="F93" s="56"/>
      <c r="G93" s="444">
        <f t="shared" si="7"/>
        <v>0</v>
      </c>
    </row>
    <row r="94" spans="2:10">
      <c r="B94" s="284" t="str">
        <f>IF(Inputs!B107="","",Inputs!B107)</f>
        <v/>
      </c>
      <c r="C94" s="251"/>
      <c r="D94" s="366">
        <f>IF(Inputs!F106=0,0,(Inputs!D106-Inputs!E106)/Inputs!F106)</f>
        <v>0</v>
      </c>
      <c r="E94" s="366">
        <f>IF(Inputs!B106=0,0,Inputs!D106*Inputs!$E$112)</f>
        <v>0</v>
      </c>
      <c r="F94" s="56"/>
      <c r="G94" s="444">
        <f t="shared" si="7"/>
        <v>0</v>
      </c>
      <c r="J94" s="154"/>
    </row>
    <row r="95" spans="2:10">
      <c r="B95" s="284" t="str">
        <f>IF(Inputs!B108="","",Inputs!B108)</f>
        <v/>
      </c>
      <c r="C95" s="251"/>
      <c r="D95" s="366">
        <f>IF(Inputs!F107=0,0,(Inputs!D107-Inputs!E107)/Inputs!F107)</f>
        <v>0</v>
      </c>
      <c r="E95" s="366">
        <f>IF(Inputs!B107=0,0,Inputs!D107*Inputs!$E$112)</f>
        <v>0</v>
      </c>
      <c r="F95" s="56"/>
      <c r="G95" s="444">
        <f t="shared" si="7"/>
        <v>0</v>
      </c>
    </row>
    <row r="96" spans="2:10">
      <c r="B96" s="79" t="s">
        <v>113</v>
      </c>
      <c r="C96" s="31"/>
      <c r="D96" s="83"/>
      <c r="E96" s="83"/>
      <c r="F96" s="49"/>
      <c r="G96" s="444"/>
    </row>
    <row r="97" spans="2:7">
      <c r="B97" s="48" t="s">
        <v>40</v>
      </c>
      <c r="C97" s="31" t="s">
        <v>121</v>
      </c>
      <c r="D97" s="84"/>
      <c r="E97" s="84"/>
      <c r="F97" s="49"/>
      <c r="G97" s="444">
        <f>Inputs!E116*Inputs!E112</f>
        <v>0</v>
      </c>
    </row>
    <row r="98" spans="2:7" ht="13.5" thickBot="1">
      <c r="B98" s="48" t="s">
        <v>101</v>
      </c>
      <c r="C98" s="31" t="s">
        <v>120</v>
      </c>
      <c r="D98" s="84"/>
      <c r="E98" s="84"/>
      <c r="F98" s="49"/>
      <c r="G98" s="456">
        <f>'Breeding Herd'!H84</f>
        <v>28669.8</v>
      </c>
    </row>
    <row r="99" spans="2:7" ht="17.25" thickTop="1" thickBot="1">
      <c r="B99" s="66"/>
      <c r="C99" s="67"/>
      <c r="D99" s="67"/>
      <c r="E99" s="67"/>
      <c r="F99" s="21" t="s">
        <v>106</v>
      </c>
      <c r="G99" s="650">
        <f>SUM(G87:G98)</f>
        <v>51576.942857142858</v>
      </c>
    </row>
    <row r="100" spans="2:7" ht="13.5" thickBot="1">
      <c r="B100" s="378"/>
      <c r="C100" s="378"/>
      <c r="D100" s="378"/>
      <c r="E100" s="378"/>
      <c r="F100" s="378"/>
      <c r="G100" s="532"/>
    </row>
    <row r="101" spans="2:7" ht="15.75">
      <c r="B101" s="142" t="s">
        <v>108</v>
      </c>
      <c r="C101" s="139"/>
      <c r="D101" s="143"/>
      <c r="E101" s="143"/>
      <c r="F101" s="143"/>
      <c r="G101" s="656" t="s">
        <v>74</v>
      </c>
    </row>
    <row r="102" spans="2:7" ht="16.5" thickBot="1">
      <c r="B102" s="148"/>
      <c r="C102" s="136"/>
      <c r="D102" s="136"/>
      <c r="E102" s="136"/>
      <c r="F102" s="137" t="s">
        <v>71</v>
      </c>
      <c r="G102" s="657">
        <f>G81+G99</f>
        <v>692925.32556368294</v>
      </c>
    </row>
    <row r="103" spans="2:7" ht="13.5" thickBot="1">
      <c r="B103" s="378"/>
      <c r="C103" s="378"/>
      <c r="D103" s="378"/>
      <c r="E103" s="378"/>
      <c r="F103" s="378"/>
      <c r="G103" s="532"/>
    </row>
    <row r="104" spans="2:7" ht="16.5" thickBot="1">
      <c r="B104" s="41"/>
      <c r="C104" s="149"/>
      <c r="D104" s="67"/>
      <c r="E104" s="67"/>
      <c r="F104" s="21" t="s">
        <v>107</v>
      </c>
      <c r="G104" s="650">
        <f>G17-G102</f>
        <v>-133794.87556368287</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zoomScaleNormal="100" workbookViewId="0">
      <selection activeCell="A2" sqref="A2"/>
    </sheetView>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3" hidden="1" customWidth="1"/>
    <col min="15" max="15" width="10.28515625" style="313" hidden="1" customWidth="1"/>
    <col min="16" max="16" width="10.71093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t="s">
        <v>269</v>
      </c>
      <c r="H1" s="5"/>
      <c r="I1" s="5"/>
      <c r="J1" s="325"/>
      <c r="K1" s="325"/>
      <c r="L1" s="325"/>
      <c r="M1" s="325"/>
      <c r="O1" s="658"/>
      <c r="P1" s="658"/>
      <c r="Q1" s="658"/>
      <c r="R1" s="658"/>
      <c r="S1" s="658"/>
      <c r="T1" s="658"/>
      <c r="U1" s="658"/>
      <c r="V1" s="658"/>
      <c r="W1" s="658"/>
      <c r="X1" s="658"/>
      <c r="Y1" s="659"/>
      <c r="Z1" s="659"/>
    </row>
    <row r="2" spans="2:26" ht="18.75" thickBot="1">
      <c r="B2" s="4" t="s">
        <v>72</v>
      </c>
      <c r="C2" s="288"/>
      <c r="D2" s="178"/>
      <c r="E2" s="178"/>
      <c r="F2" s="178"/>
      <c r="G2" s="178"/>
      <c r="H2" s="230"/>
      <c r="I2" s="200"/>
      <c r="J2" s="325"/>
      <c r="K2" s="325"/>
      <c r="L2" s="325"/>
      <c r="M2" s="325"/>
      <c r="O2" s="658"/>
      <c r="P2" s="658"/>
      <c r="Q2" s="658"/>
      <c r="R2" s="658"/>
      <c r="S2" s="658"/>
      <c r="T2" s="658"/>
      <c r="U2" s="658"/>
      <c r="V2" s="658"/>
      <c r="W2" s="658"/>
      <c r="X2" s="658"/>
      <c r="Y2" s="659"/>
      <c r="Z2" s="659"/>
    </row>
    <row r="3" spans="2:26" ht="15" customHeight="1">
      <c r="B3" s="802" t="s">
        <v>157</v>
      </c>
      <c r="C3" s="305" t="s">
        <v>73</v>
      </c>
      <c r="D3" s="793" t="s">
        <v>172</v>
      </c>
      <c r="E3" s="794"/>
      <c r="F3" s="795"/>
      <c r="G3" s="677">
        <v>600</v>
      </c>
      <c r="H3" s="306" t="s">
        <v>86</v>
      </c>
      <c r="I3" s="200"/>
      <c r="J3" s="325"/>
      <c r="K3" s="325"/>
      <c r="L3" s="325"/>
      <c r="M3" s="325"/>
      <c r="O3" s="658"/>
      <c r="P3" s="658"/>
      <c r="Q3" s="658"/>
      <c r="R3" s="658"/>
      <c r="S3" s="658"/>
      <c r="T3" s="658"/>
      <c r="U3" s="658"/>
      <c r="V3" s="658"/>
      <c r="W3" s="658"/>
      <c r="X3" s="658"/>
      <c r="Y3" s="659"/>
      <c r="Z3" s="659"/>
    </row>
    <row r="4" spans="2:26">
      <c r="B4" s="788"/>
      <c r="C4" s="294" t="s">
        <v>102</v>
      </c>
      <c r="D4" s="796"/>
      <c r="E4" s="797"/>
      <c r="F4" s="798"/>
      <c r="G4" s="763">
        <v>1400</v>
      </c>
      <c r="H4" s="307" t="s">
        <v>2</v>
      </c>
      <c r="I4" s="200"/>
      <c r="J4" s="325"/>
      <c r="K4" s="325"/>
      <c r="L4" s="325"/>
      <c r="M4" s="325"/>
      <c r="O4" s="658"/>
      <c r="P4" s="658"/>
      <c r="Q4" s="658"/>
      <c r="R4" s="658"/>
      <c r="S4" s="658"/>
      <c r="T4" s="658"/>
      <c r="U4" s="658"/>
      <c r="V4" s="658"/>
      <c r="W4" s="658"/>
      <c r="X4" s="658"/>
      <c r="Y4" s="659"/>
      <c r="Z4" s="659"/>
    </row>
    <row r="5" spans="2:26" ht="12.75" customHeight="1">
      <c r="B5" s="788"/>
      <c r="C5" s="294" t="s">
        <v>87</v>
      </c>
      <c r="D5" s="796"/>
      <c r="E5" s="797"/>
      <c r="F5" s="798"/>
      <c r="G5" s="675">
        <v>70</v>
      </c>
      <c r="H5" s="307" t="s">
        <v>86</v>
      </c>
      <c r="I5" s="200"/>
      <c r="J5" s="325"/>
      <c r="K5" s="325"/>
      <c r="L5" s="325"/>
      <c r="M5" s="325"/>
      <c r="O5" s="658"/>
      <c r="P5" s="658"/>
      <c r="Q5" s="658"/>
      <c r="R5" s="658"/>
      <c r="S5" s="658"/>
      <c r="T5" s="658"/>
      <c r="U5" s="658"/>
      <c r="V5" s="658"/>
      <c r="W5" s="658"/>
      <c r="X5" s="658"/>
      <c r="Y5" s="659"/>
      <c r="Z5" s="659"/>
    </row>
    <row r="6" spans="2:26">
      <c r="B6" s="788"/>
      <c r="C6" s="294" t="s">
        <v>88</v>
      </c>
      <c r="D6" s="799"/>
      <c r="E6" s="800"/>
      <c r="F6" s="801"/>
      <c r="G6" s="676">
        <v>12</v>
      </c>
      <c r="H6" s="377" t="s">
        <v>6</v>
      </c>
      <c r="I6" s="200"/>
      <c r="J6" s="325"/>
      <c r="K6" s="325"/>
      <c r="L6" s="325"/>
      <c r="M6" s="325"/>
      <c r="O6" s="658">
        <f>IF(H6="head",G6,IF(H6="percent",ROUND(HerdSize*G6/100,0),0))</f>
        <v>12</v>
      </c>
      <c r="P6" s="658"/>
      <c r="Q6" s="658"/>
      <c r="R6" s="658"/>
      <c r="S6" s="658"/>
      <c r="T6" s="658"/>
      <c r="U6" s="658"/>
      <c r="V6" s="658"/>
      <c r="W6" s="658"/>
      <c r="X6" s="658"/>
      <c r="Y6" s="659"/>
      <c r="Z6" s="659"/>
    </row>
    <row r="7" spans="2:26">
      <c r="B7" s="788"/>
      <c r="C7" s="294" t="s">
        <v>148</v>
      </c>
      <c r="D7" s="404"/>
      <c r="E7" s="404"/>
      <c r="F7" s="405"/>
      <c r="G7" s="229">
        <v>82</v>
      </c>
      <c r="H7" s="307"/>
      <c r="I7" s="200"/>
      <c r="J7" s="325"/>
      <c r="K7" s="325"/>
      <c r="L7" s="325"/>
      <c r="M7" s="325"/>
      <c r="O7" s="660">
        <f>(G7-G13+G9)*G25*G27/100</f>
        <v>62320</v>
      </c>
      <c r="P7" s="658" t="s">
        <v>197</v>
      </c>
      <c r="Q7" s="658"/>
      <c r="R7" s="658"/>
      <c r="S7" s="658"/>
      <c r="T7" s="658"/>
      <c r="U7" s="658"/>
      <c r="V7" s="658"/>
      <c r="W7" s="658"/>
      <c r="X7" s="658"/>
      <c r="Y7" s="659"/>
      <c r="Z7" s="659"/>
    </row>
    <row r="8" spans="2:26">
      <c r="B8" s="788"/>
      <c r="C8" s="294" t="s">
        <v>191</v>
      </c>
      <c r="D8" s="404"/>
      <c r="E8" s="404"/>
      <c r="F8" s="381"/>
      <c r="G8" s="764">
        <v>93</v>
      </c>
      <c r="H8" s="307" t="s">
        <v>163</v>
      </c>
      <c r="I8" s="200"/>
      <c r="J8" s="325"/>
      <c r="K8" s="325"/>
      <c r="L8" s="325"/>
      <c r="M8" s="325"/>
      <c r="O8" s="658">
        <f>ROUND(HerdSize*G8/100,0)</f>
        <v>558</v>
      </c>
      <c r="P8" s="658" t="s">
        <v>193</v>
      </c>
      <c r="Q8" s="658">
        <f>ROUND(O8/2,0)</f>
        <v>279</v>
      </c>
      <c r="R8" s="658" t="s">
        <v>247</v>
      </c>
      <c r="S8" s="658"/>
      <c r="T8" s="658"/>
      <c r="U8" s="658"/>
      <c r="V8" s="658"/>
      <c r="W8" s="658"/>
      <c r="X8" s="658"/>
      <c r="Y8" s="659"/>
      <c r="Z8" s="659"/>
    </row>
    <row r="9" spans="2:26" ht="13.5" customHeight="1">
      <c r="B9" s="788"/>
      <c r="C9" s="294" t="s">
        <v>147</v>
      </c>
      <c r="D9" s="404"/>
      <c r="E9" s="404"/>
      <c r="F9" s="380"/>
      <c r="G9" s="679">
        <v>0</v>
      </c>
      <c r="H9" s="307" t="s">
        <v>6</v>
      </c>
      <c r="I9" s="200"/>
      <c r="J9" s="325"/>
      <c r="K9" s="325"/>
      <c r="L9" s="325"/>
      <c r="M9" s="325"/>
      <c r="O9" s="661">
        <f>Q8-G7+G13</f>
        <v>197</v>
      </c>
      <c r="P9" s="658" t="s">
        <v>194</v>
      </c>
      <c r="Q9" s="658"/>
      <c r="R9" s="658"/>
      <c r="S9" s="658"/>
      <c r="T9" s="658"/>
      <c r="U9" s="658"/>
      <c r="V9" s="658"/>
      <c r="W9" s="658"/>
      <c r="X9" s="658"/>
      <c r="Y9" s="659"/>
      <c r="Z9" s="659"/>
    </row>
    <row r="10" spans="2:26">
      <c r="B10" s="788"/>
      <c r="C10" s="294" t="s">
        <v>217</v>
      </c>
      <c r="D10" s="404"/>
      <c r="E10" s="404"/>
      <c r="F10" s="405"/>
      <c r="G10" s="679"/>
      <c r="H10" s="307" t="s">
        <v>0</v>
      </c>
      <c r="I10" s="200"/>
      <c r="J10" s="325"/>
      <c r="K10" s="325"/>
      <c r="L10" s="325"/>
      <c r="M10" s="325"/>
      <c r="O10" s="660">
        <f>G9*G10*G11/100</f>
        <v>0</v>
      </c>
      <c r="P10" s="658" t="s">
        <v>198</v>
      </c>
      <c r="Q10" s="658"/>
      <c r="R10" s="658"/>
      <c r="S10" s="658"/>
      <c r="T10" s="658"/>
      <c r="U10" s="658"/>
      <c r="V10" s="658"/>
      <c r="W10" s="658"/>
      <c r="X10" s="658"/>
      <c r="Y10" s="659"/>
      <c r="Z10" s="659"/>
    </row>
    <row r="11" spans="2:26">
      <c r="B11" s="788"/>
      <c r="C11" s="294" t="s">
        <v>218</v>
      </c>
      <c r="D11" s="404"/>
      <c r="E11" s="404"/>
      <c r="F11" s="405"/>
      <c r="G11" s="679"/>
      <c r="H11" s="307" t="s">
        <v>1</v>
      </c>
      <c r="I11" s="200"/>
      <c r="J11" s="325"/>
      <c r="K11" s="325"/>
      <c r="L11" s="325"/>
      <c r="M11" s="325"/>
      <c r="O11" s="658"/>
      <c r="P11" s="658"/>
      <c r="Q11" s="658"/>
      <c r="R11" s="658" t="s">
        <v>2</v>
      </c>
      <c r="S11" s="658"/>
      <c r="T11" s="658"/>
      <c r="U11" s="658"/>
      <c r="V11" s="658"/>
      <c r="W11" s="658"/>
      <c r="X11" s="658"/>
      <c r="Y11" s="659"/>
      <c r="Z11" s="659"/>
    </row>
    <row r="12" spans="2:26">
      <c r="B12" s="788"/>
      <c r="C12" s="294" t="s">
        <v>219</v>
      </c>
      <c r="D12" s="404"/>
      <c r="E12" s="404"/>
      <c r="F12" s="405"/>
      <c r="G12" s="679"/>
      <c r="H12" s="377" t="s">
        <v>2</v>
      </c>
      <c r="I12" s="200"/>
      <c r="J12" s="325"/>
      <c r="K12" s="325"/>
      <c r="L12" s="325"/>
      <c r="M12" s="325"/>
      <c r="O12" s="658"/>
      <c r="P12" s="658"/>
      <c r="Q12" s="658"/>
      <c r="R12" s="658" t="s">
        <v>188</v>
      </c>
      <c r="S12" s="658"/>
      <c r="T12" s="658"/>
      <c r="U12" s="658"/>
      <c r="V12" s="658"/>
      <c r="W12" s="658"/>
      <c r="X12" s="658"/>
      <c r="Y12" s="659"/>
      <c r="Z12" s="659"/>
    </row>
    <row r="13" spans="2:26" ht="14.25" customHeight="1">
      <c r="B13" s="788"/>
      <c r="C13" s="295" t="s">
        <v>155</v>
      </c>
      <c r="D13" s="340"/>
      <c r="E13" s="340"/>
      <c r="F13" s="231" t="str">
        <f>CONCATENATE("(&lt;=",G7,")")</f>
        <v>(&lt;=82)</v>
      </c>
      <c r="G13" s="680"/>
      <c r="H13" s="307" t="s">
        <v>6</v>
      </c>
      <c r="I13" s="200"/>
      <c r="J13" s="325"/>
      <c r="K13" s="325"/>
      <c r="L13" s="325"/>
      <c r="M13" s="325"/>
      <c r="O13" s="658">
        <f>G13*G14</f>
        <v>0</v>
      </c>
      <c r="P13" s="658" t="s">
        <v>199</v>
      </c>
      <c r="Q13" s="658"/>
      <c r="R13" s="658"/>
      <c r="S13" s="658"/>
      <c r="T13" s="658"/>
      <c r="U13" s="658"/>
      <c r="V13" s="658"/>
      <c r="W13" s="658"/>
      <c r="X13" s="658"/>
      <c r="Y13" s="659"/>
      <c r="Z13" s="659"/>
    </row>
    <row r="14" spans="2:26" ht="14.25" customHeight="1">
      <c r="B14" s="788"/>
      <c r="C14" s="295" t="s">
        <v>156</v>
      </c>
      <c r="D14" s="341"/>
      <c r="E14" s="341"/>
      <c r="F14" s="342"/>
      <c r="G14" s="680"/>
      <c r="H14" s="307" t="s">
        <v>2</v>
      </c>
      <c r="I14" s="200"/>
      <c r="J14" s="325"/>
      <c r="K14" s="325"/>
      <c r="L14" s="325"/>
      <c r="M14" s="325"/>
      <c r="O14" s="658"/>
      <c r="P14" s="658"/>
      <c r="Q14" s="658"/>
      <c r="R14" s="658"/>
      <c r="S14" s="658"/>
      <c r="T14" s="658"/>
      <c r="U14" s="658"/>
      <c r="V14" s="658"/>
      <c r="W14" s="658"/>
      <c r="X14" s="658"/>
      <c r="Y14" s="659"/>
      <c r="Z14" s="659"/>
    </row>
    <row r="15" spans="2:26">
      <c r="B15" s="788"/>
      <c r="C15" s="296" t="s">
        <v>226</v>
      </c>
      <c r="D15" s="200"/>
      <c r="E15" s="200"/>
      <c r="F15" s="132"/>
      <c r="G15" s="678">
        <v>1350</v>
      </c>
      <c r="H15" s="307" t="s">
        <v>0</v>
      </c>
      <c r="I15" s="200"/>
      <c r="J15" s="325"/>
      <c r="K15" s="325"/>
      <c r="L15" s="325"/>
      <c r="M15" s="325"/>
      <c r="O15" s="660">
        <f>G5*G15*G16/100</f>
        <v>60480</v>
      </c>
      <c r="P15" s="658" t="s">
        <v>196</v>
      </c>
      <c r="Q15" s="658"/>
      <c r="R15" s="658"/>
      <c r="S15" s="658"/>
      <c r="T15" s="658"/>
      <c r="U15" s="658"/>
      <c r="V15" s="658"/>
      <c r="W15" s="658"/>
      <c r="X15" s="658"/>
      <c r="Y15" s="659"/>
      <c r="Z15" s="659"/>
    </row>
    <row r="16" spans="2:26">
      <c r="B16" s="803"/>
      <c r="C16" s="297" t="s">
        <v>227</v>
      </c>
      <c r="D16" s="298"/>
      <c r="E16" s="298"/>
      <c r="F16" s="299"/>
      <c r="G16" s="678">
        <v>64</v>
      </c>
      <c r="H16" s="308" t="s">
        <v>1</v>
      </c>
      <c r="I16" s="5"/>
      <c r="J16" s="325"/>
      <c r="K16" s="325"/>
      <c r="L16" s="325"/>
      <c r="M16" s="325"/>
      <c r="O16" s="658"/>
      <c r="P16" s="658"/>
      <c r="Q16" s="658"/>
      <c r="R16" s="658"/>
      <c r="S16" s="658"/>
      <c r="T16" s="658"/>
      <c r="U16" s="658"/>
      <c r="V16" s="658"/>
      <c r="W16" s="658"/>
      <c r="X16" s="658"/>
      <c r="Y16" s="659"/>
      <c r="Z16" s="659"/>
    </row>
    <row r="17" spans="2:26" ht="12.75" customHeight="1">
      <c r="B17" s="787" t="s">
        <v>76</v>
      </c>
      <c r="C17" s="293" t="s">
        <v>77</v>
      </c>
      <c r="D17" s="300"/>
      <c r="E17" s="301"/>
      <c r="F17" s="302"/>
      <c r="G17" s="765">
        <v>24</v>
      </c>
      <c r="H17" s="309" t="s">
        <v>78</v>
      </c>
      <c r="I17" s="5" t="s">
        <v>267</v>
      </c>
      <c r="J17" s="325"/>
      <c r="K17" s="325"/>
      <c r="L17" s="325"/>
      <c r="M17" s="325"/>
      <c r="O17" s="658"/>
      <c r="P17" s="658"/>
      <c r="Q17" s="658"/>
      <c r="R17" s="658"/>
      <c r="S17" s="658"/>
      <c r="T17" s="658"/>
      <c r="U17" s="658"/>
      <c r="V17" s="658"/>
      <c r="W17" s="658"/>
      <c r="X17" s="658"/>
      <c r="Y17" s="659"/>
      <c r="Z17" s="659"/>
    </row>
    <row r="18" spans="2:26">
      <c r="B18" s="788"/>
      <c r="C18" s="296" t="s">
        <v>79</v>
      </c>
      <c r="D18" s="200"/>
      <c r="E18" s="200"/>
      <c r="F18" s="132"/>
      <c r="G18" s="765">
        <v>3000</v>
      </c>
      <c r="H18" s="307" t="s">
        <v>2</v>
      </c>
      <c r="I18" s="200"/>
      <c r="J18" s="325"/>
      <c r="K18" s="325"/>
      <c r="L18" s="325"/>
      <c r="M18" s="325"/>
      <c r="O18" s="660">
        <f>IF(G19=0,0,G17/G19*G18)</f>
        <v>18000</v>
      </c>
      <c r="P18" s="658" t="s">
        <v>173</v>
      </c>
      <c r="Q18" s="658"/>
      <c r="R18" s="658"/>
      <c r="S18" s="658"/>
      <c r="T18" s="658"/>
      <c r="U18" s="658"/>
      <c r="V18" s="658"/>
      <c r="W18" s="658"/>
      <c r="X18" s="658"/>
      <c r="Y18" s="659"/>
      <c r="Z18" s="659"/>
    </row>
    <row r="19" spans="2:26">
      <c r="B19" s="788"/>
      <c r="C19" s="294" t="s">
        <v>80</v>
      </c>
      <c r="D19" s="350"/>
      <c r="E19" s="200"/>
      <c r="F19" s="231" t="s">
        <v>214</v>
      </c>
      <c r="G19" s="765">
        <v>4</v>
      </c>
      <c r="H19" s="307" t="s">
        <v>3</v>
      </c>
      <c r="I19" s="200"/>
      <c r="J19" s="325"/>
      <c r="K19" s="325"/>
      <c r="L19" s="325"/>
      <c r="M19" s="325"/>
      <c r="O19" s="658"/>
      <c r="P19" s="658"/>
      <c r="Q19" s="658"/>
      <c r="R19" s="658"/>
      <c r="S19" s="658"/>
      <c r="T19" s="658"/>
      <c r="U19" s="658"/>
      <c r="V19" s="658"/>
      <c r="W19" s="658"/>
      <c r="X19" s="658"/>
      <c r="Y19" s="659"/>
      <c r="Z19" s="659"/>
    </row>
    <row r="20" spans="2:26">
      <c r="B20" s="788"/>
      <c r="C20" s="294" t="s">
        <v>81</v>
      </c>
      <c r="D20" s="350"/>
      <c r="E20" s="200"/>
      <c r="F20" s="132"/>
      <c r="G20" s="766">
        <v>0.01</v>
      </c>
      <c r="H20" s="307"/>
      <c r="I20" s="200"/>
      <c r="J20" s="325"/>
      <c r="K20" s="325"/>
      <c r="L20" s="325"/>
      <c r="M20" s="325"/>
      <c r="O20" s="658"/>
      <c r="P20" s="658"/>
      <c r="Q20" s="658"/>
      <c r="R20" s="658"/>
      <c r="S20" s="658"/>
      <c r="T20" s="658"/>
      <c r="U20" s="658"/>
      <c r="V20" s="658"/>
      <c r="W20" s="658"/>
      <c r="X20" s="658"/>
      <c r="Y20" s="659"/>
      <c r="Z20" s="659"/>
    </row>
    <row r="21" spans="2:26">
      <c r="B21" s="788"/>
      <c r="C21" s="294" t="s">
        <v>136</v>
      </c>
      <c r="D21" s="350"/>
      <c r="E21" s="200"/>
      <c r="F21" s="132"/>
      <c r="G21" s="765">
        <v>85</v>
      </c>
      <c r="H21" s="307" t="s">
        <v>1</v>
      </c>
      <c r="I21" s="200"/>
      <c r="J21" s="325"/>
      <c r="K21" s="325"/>
      <c r="L21" s="325"/>
      <c r="M21" s="325"/>
      <c r="O21" s="660">
        <f>IF(G19=0,0,G17/G19*(1-G20)*G21*G22/100)</f>
        <v>8583.2999999999993</v>
      </c>
      <c r="P21" s="658" t="s">
        <v>200</v>
      </c>
      <c r="Q21" s="658"/>
      <c r="R21" s="658"/>
      <c r="S21" s="658"/>
      <c r="T21" s="658"/>
      <c r="U21" s="658"/>
      <c r="V21" s="658"/>
      <c r="W21" s="658"/>
      <c r="X21" s="658"/>
      <c r="Y21" s="659"/>
      <c r="Z21" s="659"/>
    </row>
    <row r="22" spans="2:26">
      <c r="B22" s="803"/>
      <c r="C22" s="303" t="s">
        <v>137</v>
      </c>
      <c r="D22" s="304"/>
      <c r="E22" s="298"/>
      <c r="F22" s="299"/>
      <c r="G22" s="765">
        <v>1700</v>
      </c>
      <c r="H22" s="308" t="s">
        <v>0</v>
      </c>
      <c r="I22" s="200"/>
      <c r="J22" s="325"/>
      <c r="K22" s="325"/>
      <c r="L22" s="325"/>
      <c r="M22" s="325"/>
      <c r="O22" s="658"/>
      <c r="P22" s="658"/>
      <c r="Q22" s="658"/>
      <c r="R22" s="658"/>
      <c r="S22" s="658"/>
      <c r="T22" s="658"/>
      <c r="U22" s="658"/>
      <c r="V22" s="658"/>
      <c r="W22" s="658"/>
      <c r="X22" s="658"/>
      <c r="Y22" s="659"/>
      <c r="Z22" s="659"/>
    </row>
    <row r="23" spans="2:26" ht="12.75" customHeight="1">
      <c r="B23" s="787" t="s">
        <v>158</v>
      </c>
      <c r="C23" s="350" t="s">
        <v>95</v>
      </c>
      <c r="D23" s="350"/>
      <c r="E23" s="200"/>
      <c r="F23" s="231" t="str">
        <f>CONCATENATE("(&lt;=",Q8*2,")")</f>
        <v>(&lt;=558)</v>
      </c>
      <c r="G23" s="678">
        <v>558</v>
      </c>
      <c r="H23" s="9" t="s">
        <v>25</v>
      </c>
      <c r="I23" s="200"/>
      <c r="J23" s="325"/>
      <c r="K23" s="325"/>
      <c r="L23" s="325"/>
      <c r="M23" s="325"/>
      <c r="O23" s="660">
        <f>IF(G19=0,0,(G24*G26+G25*G27)/200*G23-G17/G19*G18+G17/G19*(1-G20)*G21*G22)</f>
        <v>1316025</v>
      </c>
      <c r="P23" s="658" t="s">
        <v>195</v>
      </c>
      <c r="Q23" s="658"/>
      <c r="R23" s="658"/>
      <c r="S23" s="658"/>
      <c r="T23" s="658"/>
      <c r="U23" s="658"/>
      <c r="V23" s="658"/>
      <c r="W23" s="658"/>
      <c r="X23" s="658"/>
      <c r="Y23" s="659"/>
      <c r="Z23" s="659"/>
    </row>
    <row r="24" spans="2:26">
      <c r="B24" s="804"/>
      <c r="C24" s="350" t="s">
        <v>130</v>
      </c>
      <c r="D24" s="350"/>
      <c r="E24" s="200"/>
      <c r="F24" s="132"/>
      <c r="G24" s="678">
        <v>525</v>
      </c>
      <c r="H24" s="9"/>
      <c r="I24" s="200"/>
      <c r="J24" s="325"/>
      <c r="K24" s="325"/>
      <c r="L24" s="325"/>
      <c r="M24" s="325"/>
      <c r="O24" s="661"/>
      <c r="P24" s="658"/>
      <c r="Q24" s="658"/>
      <c r="R24" s="658"/>
      <c r="S24" s="658"/>
      <c r="T24" s="658"/>
      <c r="U24" s="658"/>
      <c r="V24" s="658"/>
      <c r="W24" s="658"/>
      <c r="X24" s="658"/>
      <c r="Y24" s="659"/>
      <c r="Z24" s="659"/>
    </row>
    <row r="25" spans="2:26">
      <c r="B25" s="804"/>
      <c r="C25" s="350" t="s">
        <v>131</v>
      </c>
      <c r="D25" s="350"/>
      <c r="E25" s="200"/>
      <c r="F25" s="132"/>
      <c r="G25" s="678">
        <v>475</v>
      </c>
      <c r="H25" s="9" t="s">
        <v>0</v>
      </c>
      <c r="I25" s="5"/>
      <c r="J25" s="325"/>
      <c r="K25" s="325"/>
      <c r="L25" s="325"/>
      <c r="M25" s="325"/>
      <c r="O25" s="661"/>
      <c r="P25" s="658"/>
      <c r="Q25" s="658"/>
      <c r="R25" s="658"/>
      <c r="S25" s="658"/>
      <c r="T25" s="658"/>
      <c r="U25" s="658"/>
      <c r="V25" s="658"/>
      <c r="W25" s="658"/>
      <c r="X25" s="658"/>
      <c r="Y25" s="659"/>
      <c r="Z25" s="659"/>
    </row>
    <row r="26" spans="2:26">
      <c r="B26" s="804"/>
      <c r="C26" s="350" t="s">
        <v>128</v>
      </c>
      <c r="D26" s="350"/>
      <c r="E26" s="200"/>
      <c r="F26" s="231" t="s">
        <v>215</v>
      </c>
      <c r="G26" s="681">
        <v>180</v>
      </c>
      <c r="H26" s="9" t="s">
        <v>1</v>
      </c>
      <c r="I26" s="5"/>
      <c r="J26" s="325"/>
      <c r="K26" s="325"/>
      <c r="L26" s="325"/>
      <c r="M26" s="325"/>
      <c r="O26" s="658"/>
      <c r="P26" s="658"/>
      <c r="Q26" s="658"/>
      <c r="R26" s="658"/>
      <c r="S26" s="658"/>
      <c r="T26" s="658"/>
      <c r="U26" s="658"/>
      <c r="V26" s="658"/>
      <c r="W26" s="658"/>
      <c r="X26" s="658"/>
      <c r="Y26" s="659"/>
      <c r="Z26" s="659"/>
    </row>
    <row r="27" spans="2:26" ht="13.5" thickBot="1">
      <c r="B27" s="805"/>
      <c r="C27" s="352" t="s">
        <v>129</v>
      </c>
      <c r="D27" s="352"/>
      <c r="E27" s="202"/>
      <c r="F27" s="384" t="s">
        <v>215</v>
      </c>
      <c r="G27" s="682">
        <v>160</v>
      </c>
      <c r="H27" s="10" t="s">
        <v>1</v>
      </c>
      <c r="I27" s="5"/>
      <c r="J27" s="325"/>
      <c r="K27" s="325"/>
      <c r="L27" s="325"/>
      <c r="M27" s="325"/>
      <c r="O27" s="660">
        <f>O23+O21-O18+O15-O13-O7+O10</f>
        <v>1304768.3</v>
      </c>
      <c r="P27" s="658" t="s">
        <v>201</v>
      </c>
      <c r="Q27" s="658"/>
      <c r="R27" s="658"/>
      <c r="S27" s="658"/>
      <c r="T27" s="658"/>
      <c r="U27" s="658"/>
      <c r="V27" s="658"/>
      <c r="W27" s="658"/>
      <c r="X27" s="658"/>
      <c r="Y27" s="659"/>
      <c r="Z27" s="659"/>
    </row>
    <row r="28" spans="2:26" ht="13.5" thickBot="1">
      <c r="B28" s="5"/>
      <c r="C28" s="5"/>
      <c r="D28" s="5"/>
      <c r="E28" s="5"/>
      <c r="F28" s="5"/>
      <c r="G28" s="5"/>
      <c r="H28" s="5"/>
      <c r="I28" s="5"/>
      <c r="J28" s="325"/>
      <c r="K28" s="325"/>
      <c r="L28" s="325"/>
      <c r="M28" s="325"/>
      <c r="O28" s="658"/>
      <c r="P28" s="658"/>
      <c r="Q28" s="658"/>
      <c r="R28" s="658"/>
      <c r="S28" s="658"/>
      <c r="T28" s="658"/>
      <c r="U28" s="658"/>
      <c r="V28" s="658"/>
      <c r="W28" s="658"/>
      <c r="X28" s="658"/>
      <c r="Y28" s="659"/>
      <c r="Z28" s="659"/>
    </row>
    <row r="29" spans="2:26" ht="18.75" thickBot="1">
      <c r="B29" s="4" t="s">
        <v>270</v>
      </c>
      <c r="C29" s="4"/>
      <c r="D29" s="4"/>
      <c r="E29" s="4"/>
      <c r="F29" s="4"/>
      <c r="G29" s="4"/>
      <c r="H29" s="312"/>
      <c r="I29" s="200"/>
      <c r="J29" s="324"/>
      <c r="K29" s="325"/>
      <c r="L29" s="325"/>
      <c r="M29" s="325"/>
      <c r="O29" s="658"/>
      <c r="P29" s="658"/>
      <c r="Q29" s="658"/>
      <c r="R29" s="658"/>
      <c r="S29" s="658"/>
      <c r="T29" s="658"/>
      <c r="U29" s="658"/>
      <c r="V29" s="658"/>
      <c r="W29" s="658"/>
      <c r="X29" s="658"/>
      <c r="Y29" s="659"/>
      <c r="Z29" s="659"/>
    </row>
    <row r="30" spans="2:26">
      <c r="B30" s="344"/>
      <c r="C30" s="201" t="s">
        <v>127</v>
      </c>
      <c r="D30" s="201"/>
      <c r="E30" s="201"/>
      <c r="F30" s="201"/>
      <c r="G30" s="767">
        <v>75</v>
      </c>
      <c r="H30" s="182" t="s">
        <v>53</v>
      </c>
      <c r="I30" s="200"/>
      <c r="J30" s="324"/>
      <c r="K30" s="325"/>
      <c r="L30" s="325"/>
      <c r="M30" s="325"/>
      <c r="O30" s="662"/>
      <c r="P30" s="658"/>
      <c r="Q30" s="658"/>
      <c r="R30" s="658" t="s">
        <v>6</v>
      </c>
      <c r="S30" s="658"/>
      <c r="T30" s="658"/>
      <c r="U30" s="658"/>
      <c r="V30" s="658"/>
      <c r="W30" s="658"/>
      <c r="X30" s="658"/>
      <c r="Y30" s="659"/>
      <c r="Z30" s="659"/>
    </row>
    <row r="31" spans="2:26">
      <c r="B31" s="345"/>
      <c r="C31" s="297" t="s">
        <v>162</v>
      </c>
      <c r="D31" s="298"/>
      <c r="E31" s="298"/>
      <c r="F31" s="386" t="s">
        <v>216</v>
      </c>
      <c r="G31" s="768">
        <v>2</v>
      </c>
      <c r="H31" s="377" t="s">
        <v>163</v>
      </c>
      <c r="I31" s="200"/>
      <c r="J31" s="324"/>
      <c r="K31" s="325"/>
      <c r="L31" s="325"/>
      <c r="M31" s="325"/>
      <c r="O31" s="662"/>
      <c r="P31" s="658"/>
      <c r="Q31" s="658"/>
      <c r="R31" s="658" t="s">
        <v>163</v>
      </c>
      <c r="S31" s="658"/>
      <c r="T31" s="658"/>
      <c r="U31" s="658"/>
      <c r="V31" s="658"/>
      <c r="W31" s="658"/>
      <c r="X31" s="658"/>
      <c r="Y31" s="659"/>
      <c r="Z31" s="659"/>
    </row>
    <row r="32" spans="2:26" ht="12.75" customHeight="1">
      <c r="B32" s="790" t="s">
        <v>159</v>
      </c>
      <c r="C32" s="350" t="s">
        <v>160</v>
      </c>
      <c r="D32" s="5"/>
      <c r="E32" s="382"/>
      <c r="F32" s="406" t="str">
        <f>CONCATENATE("(&lt;=",Q8,")")</f>
        <v>(&lt;=279)</v>
      </c>
      <c r="G32" s="769">
        <v>279</v>
      </c>
      <c r="H32" s="9" t="s">
        <v>6</v>
      </c>
      <c r="I32" s="6"/>
      <c r="J32" s="326"/>
      <c r="K32" s="325"/>
      <c r="L32" s="325"/>
      <c r="M32" s="325"/>
      <c r="O32" s="658">
        <f>IF($H$31="head",ROUND($G$31/2,0),IF($H$31="percent",ROUND(G32*$G$31/100,0),""))</f>
        <v>6</v>
      </c>
      <c r="P32" s="658" t="s">
        <v>203</v>
      </c>
      <c r="Q32" s="658"/>
      <c r="R32" s="658"/>
      <c r="S32" s="658"/>
      <c r="T32" s="658"/>
      <c r="U32" s="658"/>
      <c r="V32" s="658"/>
      <c r="W32" s="658"/>
      <c r="X32" s="658"/>
      <c r="Y32" s="659"/>
      <c r="Z32" s="659"/>
    </row>
    <row r="33" spans="2:26">
      <c r="B33" s="791"/>
      <c r="C33" s="350" t="s">
        <v>161</v>
      </c>
      <c r="D33" s="200"/>
      <c r="E33" s="310"/>
      <c r="F33" s="311"/>
      <c r="G33" s="769">
        <v>675</v>
      </c>
      <c r="H33" s="9" t="s">
        <v>0</v>
      </c>
      <c r="I33" s="350"/>
      <c r="J33" s="326"/>
      <c r="K33" s="325"/>
      <c r="L33" s="325"/>
      <c r="M33" s="325"/>
      <c r="O33" s="662">
        <f>IF(H31="head",G32-G31,IF(H31="percent",ROUND(G32*(1-G31/100),0),""))</f>
        <v>273</v>
      </c>
      <c r="P33" s="662" t="s">
        <v>205</v>
      </c>
      <c r="Q33" s="658"/>
      <c r="R33" s="658"/>
      <c r="S33" s="658"/>
      <c r="T33" s="658"/>
      <c r="U33" s="658"/>
      <c r="V33" s="658"/>
      <c r="W33" s="658"/>
      <c r="X33" s="658"/>
      <c r="Y33" s="659"/>
      <c r="Z33" s="659"/>
    </row>
    <row r="34" spans="2:26">
      <c r="B34" s="792"/>
      <c r="C34" s="303" t="s">
        <v>164</v>
      </c>
      <c r="D34" s="298"/>
      <c r="E34" s="316"/>
      <c r="F34" s="385" t="s">
        <v>215</v>
      </c>
      <c r="G34" s="769">
        <v>165</v>
      </c>
      <c r="H34" s="315" t="s">
        <v>171</v>
      </c>
      <c r="I34" s="350"/>
      <c r="J34" s="326"/>
      <c r="K34" s="325"/>
      <c r="L34" s="325"/>
      <c r="M34" s="325"/>
      <c r="O34" s="658"/>
      <c r="P34" s="658"/>
      <c r="Q34" s="658"/>
      <c r="R34" s="658"/>
      <c r="S34" s="658"/>
      <c r="T34" s="658"/>
      <c r="U34" s="658"/>
      <c r="V34" s="658"/>
      <c r="W34" s="658"/>
      <c r="X34" s="658"/>
      <c r="Y34" s="659"/>
      <c r="Z34" s="659"/>
    </row>
    <row r="35" spans="2:26" ht="12.75" customHeight="1">
      <c r="B35" s="787" t="s">
        <v>165</v>
      </c>
      <c r="C35" s="350" t="s">
        <v>160</v>
      </c>
      <c r="D35" s="5"/>
      <c r="E35" s="382"/>
      <c r="F35" s="406" t="str">
        <f>CONCATENATE("(&lt;=",Q8-(G7+G9-G13),")")</f>
        <v>(&lt;=197)</v>
      </c>
      <c r="G35" s="769">
        <v>197</v>
      </c>
      <c r="H35" s="181" t="s">
        <v>6</v>
      </c>
      <c r="I35" s="6"/>
      <c r="J35" s="326"/>
      <c r="K35" s="325"/>
      <c r="L35" s="325"/>
      <c r="M35" s="325"/>
      <c r="O35" s="658">
        <f>IF($H$31="head",$G$31-O32,IF($H$31="percent",ROUND(G35*$G$31/100,0),""))</f>
        <v>4</v>
      </c>
      <c r="P35" s="658" t="s">
        <v>204</v>
      </c>
      <c r="Q35" s="658"/>
      <c r="R35" s="658"/>
      <c r="S35" s="658"/>
      <c r="T35" s="658"/>
      <c r="U35" s="658"/>
      <c r="V35" s="658"/>
      <c r="W35" s="658"/>
      <c r="X35" s="658"/>
      <c r="Y35" s="659"/>
      <c r="Z35" s="659"/>
    </row>
    <row r="36" spans="2:26">
      <c r="B36" s="788"/>
      <c r="C36" s="350" t="s">
        <v>161</v>
      </c>
      <c r="D36" s="200"/>
      <c r="E36" s="310"/>
      <c r="F36" s="311"/>
      <c r="G36" s="769">
        <v>610</v>
      </c>
      <c r="H36" s="9" t="s">
        <v>0</v>
      </c>
      <c r="I36" s="350"/>
      <c r="J36" s="326"/>
      <c r="K36" s="325"/>
      <c r="L36" s="325"/>
      <c r="M36" s="325"/>
      <c r="O36" s="661">
        <f>G35-O35</f>
        <v>193</v>
      </c>
      <c r="P36" s="662" t="s">
        <v>206</v>
      </c>
      <c r="Q36" s="658"/>
      <c r="R36" s="658"/>
      <c r="S36" s="658"/>
      <c r="T36" s="658"/>
      <c r="U36" s="658"/>
      <c r="V36" s="658"/>
      <c r="W36" s="658"/>
      <c r="X36" s="658"/>
      <c r="Y36" s="659"/>
      <c r="Z36" s="659"/>
    </row>
    <row r="37" spans="2:26" ht="13.5" thickBot="1">
      <c r="B37" s="789"/>
      <c r="C37" s="352" t="s">
        <v>164</v>
      </c>
      <c r="D37" s="202"/>
      <c r="E37" s="314"/>
      <c r="F37" s="384" t="s">
        <v>215</v>
      </c>
      <c r="G37" s="770">
        <v>158</v>
      </c>
      <c r="H37" s="10" t="s">
        <v>171</v>
      </c>
      <c r="I37" s="350"/>
      <c r="J37" s="326"/>
      <c r="K37" s="325"/>
      <c r="L37" s="325"/>
      <c r="M37" s="325"/>
      <c r="O37" s="660">
        <f>(G32-O32)*G33*G34/100-G32*G24*G26/100+(G35-O35)*G36*G37/100-G35*G25*G27/100</f>
        <v>76692.149999999994</v>
      </c>
      <c r="P37" s="658" t="s">
        <v>234</v>
      </c>
      <c r="Q37" s="658"/>
      <c r="R37" s="658"/>
      <c r="S37" s="658"/>
      <c r="T37" s="658"/>
      <c r="U37" s="658"/>
      <c r="V37" s="658"/>
      <c r="W37" s="658"/>
      <c r="X37" s="658"/>
      <c r="Y37" s="659"/>
      <c r="Z37" s="659"/>
    </row>
    <row r="38" spans="2:26" ht="13.5" thickBot="1">
      <c r="B38" s="5"/>
      <c r="C38" s="5"/>
      <c r="D38" s="5"/>
      <c r="E38" s="5"/>
      <c r="F38" s="5"/>
      <c r="G38" s="5"/>
      <c r="H38" s="5"/>
      <c r="I38" s="5"/>
      <c r="J38" s="324"/>
      <c r="K38" s="325"/>
      <c r="L38" s="325"/>
      <c r="M38" s="325"/>
      <c r="O38" s="658"/>
      <c r="P38" s="658"/>
      <c r="Q38" s="658"/>
      <c r="R38" s="658"/>
      <c r="S38" s="658"/>
      <c r="T38" s="658"/>
      <c r="U38" s="658"/>
      <c r="V38" s="658"/>
      <c r="W38" s="658"/>
      <c r="X38" s="658"/>
      <c r="Y38" s="659"/>
      <c r="Z38" s="659"/>
    </row>
    <row r="39" spans="2:26" ht="18.75" thickBot="1">
      <c r="B39" s="4" t="s">
        <v>175</v>
      </c>
      <c r="C39" s="4"/>
      <c r="D39" s="4"/>
      <c r="E39" s="4"/>
      <c r="F39" s="4"/>
      <c r="G39" s="4"/>
      <c r="H39" s="312"/>
      <c r="I39" s="5"/>
      <c r="J39" s="324"/>
      <c r="K39" s="325"/>
      <c r="L39" s="325"/>
      <c r="M39" s="325"/>
      <c r="O39" s="658"/>
      <c r="P39" s="658"/>
      <c r="Q39" s="658"/>
      <c r="R39" s="658"/>
      <c r="S39" s="658"/>
      <c r="T39" s="658"/>
      <c r="U39" s="658"/>
      <c r="V39" s="658"/>
      <c r="W39" s="658"/>
      <c r="X39" s="658"/>
      <c r="Y39" s="659"/>
      <c r="Z39" s="659"/>
    </row>
    <row r="40" spans="2:26">
      <c r="B40" s="344"/>
      <c r="C40" s="201" t="s">
        <v>127</v>
      </c>
      <c r="D40" s="201"/>
      <c r="E40" s="201"/>
      <c r="F40" s="201"/>
      <c r="G40" s="683"/>
      <c r="H40" s="182" t="s">
        <v>53</v>
      </c>
      <c r="I40" s="5"/>
      <c r="J40" s="324"/>
      <c r="K40" s="325"/>
      <c r="L40" s="325"/>
      <c r="M40" s="325"/>
      <c r="O40" s="658"/>
      <c r="P40" s="658"/>
      <c r="Q40" s="658"/>
      <c r="R40" s="658"/>
      <c r="S40" s="658"/>
      <c r="T40" s="658"/>
      <c r="U40" s="658"/>
      <c r="V40" s="658"/>
      <c r="W40" s="658"/>
      <c r="X40" s="658"/>
      <c r="Y40" s="659"/>
      <c r="Z40" s="659"/>
    </row>
    <row r="41" spans="2:26">
      <c r="B41" s="345"/>
      <c r="C41" s="297" t="s">
        <v>162</v>
      </c>
      <c r="D41" s="298"/>
      <c r="E41" s="298"/>
      <c r="F41" s="386" t="s">
        <v>216</v>
      </c>
      <c r="G41" s="684"/>
      <c r="H41" s="377" t="s">
        <v>163</v>
      </c>
      <c r="I41" s="5"/>
      <c r="J41" s="324"/>
      <c r="K41" s="325"/>
      <c r="L41" s="325"/>
      <c r="M41" s="325"/>
      <c r="O41" s="658"/>
      <c r="P41" s="658"/>
      <c r="Q41" s="658"/>
      <c r="R41" s="658"/>
      <c r="S41" s="658"/>
      <c r="T41" s="658"/>
      <c r="U41" s="658"/>
      <c r="V41" s="658"/>
      <c r="W41" s="658"/>
      <c r="X41" s="658"/>
      <c r="Y41" s="659"/>
      <c r="Z41" s="659"/>
    </row>
    <row r="42" spans="2:26" ht="12.75" customHeight="1">
      <c r="B42" s="790" t="s">
        <v>159</v>
      </c>
      <c r="C42" s="350" t="s">
        <v>166</v>
      </c>
      <c r="D42" s="383"/>
      <c r="E42" s="383"/>
      <c r="F42" s="407" t="str">
        <f>CONCATENATE("(&lt;=",O33,")")</f>
        <v>(&lt;=273)</v>
      </c>
      <c r="G42" s="685"/>
      <c r="H42" s="9" t="s">
        <v>6</v>
      </c>
      <c r="I42" s="5"/>
      <c r="J42" s="324"/>
      <c r="K42" s="325"/>
      <c r="L42" s="325"/>
      <c r="M42" s="325"/>
      <c r="O42" s="658">
        <f>IF(H41="head",ROUND(G41/2,0),IF(H41="percent",ROUND(G42*G41/100,0)))</f>
        <v>0</v>
      </c>
      <c r="P42" s="658" t="s">
        <v>207</v>
      </c>
      <c r="Q42" s="658"/>
      <c r="R42" s="658"/>
      <c r="S42" s="658"/>
      <c r="T42" s="658"/>
      <c r="U42" s="658"/>
      <c r="V42" s="658"/>
      <c r="W42" s="658"/>
      <c r="X42" s="658"/>
      <c r="Y42" s="659"/>
      <c r="Z42" s="659"/>
    </row>
    <row r="43" spans="2:26">
      <c r="B43" s="791"/>
      <c r="C43" s="350" t="s">
        <v>161</v>
      </c>
      <c r="D43" s="200"/>
      <c r="E43" s="310"/>
      <c r="F43" s="311"/>
      <c r="G43" s="685"/>
      <c r="H43" s="9" t="s">
        <v>0</v>
      </c>
      <c r="I43" s="5"/>
      <c r="J43" s="324"/>
      <c r="K43" s="325"/>
      <c r="L43" s="325"/>
      <c r="M43" s="325"/>
      <c r="O43" s="661">
        <f>G42-O42</f>
        <v>0</v>
      </c>
      <c r="P43" s="658" t="s">
        <v>202</v>
      </c>
      <c r="Q43" s="658"/>
      <c r="R43" s="658"/>
      <c r="S43" s="658"/>
      <c r="T43" s="658"/>
      <c r="U43" s="658"/>
      <c r="V43" s="658"/>
      <c r="W43" s="658"/>
      <c r="X43" s="658"/>
      <c r="Y43" s="659"/>
      <c r="Z43" s="659"/>
    </row>
    <row r="44" spans="2:26">
      <c r="B44" s="792"/>
      <c r="C44" s="303" t="s">
        <v>164</v>
      </c>
      <c r="D44" s="298"/>
      <c r="E44" s="316"/>
      <c r="F44" s="385" t="s">
        <v>215</v>
      </c>
      <c r="G44" s="685"/>
      <c r="H44" s="315" t="s">
        <v>171</v>
      </c>
      <c r="I44" s="5"/>
      <c r="J44" s="324"/>
      <c r="K44" s="325"/>
      <c r="L44" s="325"/>
      <c r="M44" s="325"/>
      <c r="O44" s="658"/>
      <c r="P44" s="658"/>
      <c r="Q44" s="658"/>
      <c r="R44" s="658"/>
      <c r="S44" s="658"/>
      <c r="T44" s="658"/>
      <c r="U44" s="658"/>
      <c r="V44" s="658"/>
      <c r="W44" s="658"/>
      <c r="X44" s="658"/>
      <c r="Y44" s="659"/>
      <c r="Z44" s="659"/>
    </row>
    <row r="45" spans="2:26" ht="12.75" customHeight="1">
      <c r="B45" s="787" t="s">
        <v>165</v>
      </c>
      <c r="C45" s="350" t="s">
        <v>166</v>
      </c>
      <c r="D45" s="806" t="str">
        <f>CONCATENATE("(&lt;=",O36,")")</f>
        <v>(&lt;=193)</v>
      </c>
      <c r="E45" s="806"/>
      <c r="F45" s="807"/>
      <c r="G45" s="685"/>
      <c r="H45" s="181" t="s">
        <v>6</v>
      </c>
      <c r="I45" s="5"/>
      <c r="J45" s="324"/>
      <c r="K45" s="325"/>
      <c r="L45" s="325"/>
      <c r="M45" s="325"/>
      <c r="O45" s="658">
        <f>IF($H$41="head",$G$41-O42,IF($H$41="percent",ROUND(G45*$G$41/100,0),""))</f>
        <v>0</v>
      </c>
      <c r="P45" s="658" t="s">
        <v>208</v>
      </c>
      <c r="Q45" s="658"/>
      <c r="R45" s="658"/>
      <c r="S45" s="658"/>
      <c r="T45" s="658"/>
      <c r="U45" s="658"/>
      <c r="V45" s="658"/>
      <c r="W45" s="658"/>
      <c r="X45" s="658"/>
      <c r="Y45" s="659"/>
      <c r="Z45" s="659"/>
    </row>
    <row r="46" spans="2:26">
      <c r="B46" s="788"/>
      <c r="C46" s="350" t="s">
        <v>161</v>
      </c>
      <c r="D46" s="200"/>
      <c r="E46" s="310"/>
      <c r="F46" s="311"/>
      <c r="G46" s="685"/>
      <c r="H46" s="9" t="s">
        <v>0</v>
      </c>
      <c r="I46" s="5"/>
      <c r="J46" s="324"/>
      <c r="K46" s="325"/>
      <c r="L46" s="325"/>
      <c r="M46" s="325"/>
      <c r="O46" s="661">
        <f>G45-O45</f>
        <v>0</v>
      </c>
      <c r="P46" s="658" t="s">
        <v>209</v>
      </c>
      <c r="Q46" s="658"/>
      <c r="R46" s="658"/>
      <c r="S46" s="658"/>
      <c r="T46" s="658"/>
      <c r="U46" s="658"/>
      <c r="V46" s="658"/>
      <c r="W46" s="658"/>
      <c r="X46" s="658"/>
      <c r="Y46" s="659"/>
      <c r="Z46" s="659"/>
    </row>
    <row r="47" spans="2:26" ht="13.5" thickBot="1">
      <c r="B47" s="789"/>
      <c r="C47" s="352" t="s">
        <v>164</v>
      </c>
      <c r="D47" s="202"/>
      <c r="E47" s="314"/>
      <c r="F47" s="384" t="s">
        <v>215</v>
      </c>
      <c r="G47" s="686"/>
      <c r="H47" s="343" t="s">
        <v>171</v>
      </c>
      <c r="I47" s="5"/>
      <c r="J47" s="324"/>
      <c r="K47" s="325"/>
      <c r="L47" s="325"/>
      <c r="M47" s="325"/>
      <c r="O47" s="660">
        <f>(G42-O42)*G43*G44/100-G42*G33*G34/100+(G45-O45)*G46*G47/100-G45*G36*G37/100</f>
        <v>0</v>
      </c>
      <c r="P47" s="658" t="s">
        <v>233</v>
      </c>
      <c r="Q47" s="658"/>
      <c r="R47" s="658"/>
      <c r="S47" s="658"/>
      <c r="T47" s="658"/>
      <c r="U47" s="658"/>
      <c r="V47" s="658"/>
      <c r="W47" s="658"/>
      <c r="X47" s="658"/>
      <c r="Y47" s="659"/>
      <c r="Z47" s="659"/>
    </row>
    <row r="48" spans="2:26" ht="13.5" thickBot="1">
      <c r="B48" s="5"/>
      <c r="C48" s="5"/>
      <c r="D48" s="5"/>
      <c r="E48" s="5"/>
      <c r="F48" s="5"/>
      <c r="G48" s="5"/>
      <c r="H48" s="5"/>
      <c r="I48" s="5"/>
      <c r="J48" s="324"/>
      <c r="K48" s="325"/>
      <c r="L48" s="325"/>
      <c r="M48" s="325"/>
      <c r="O48" s="658"/>
      <c r="P48" s="658"/>
      <c r="Q48" s="658"/>
      <c r="R48" s="658"/>
      <c r="S48" s="658"/>
      <c r="T48" s="658"/>
      <c r="U48" s="658"/>
      <c r="V48" s="658"/>
      <c r="W48" s="658"/>
      <c r="X48" s="658"/>
      <c r="Y48" s="659"/>
      <c r="Z48" s="659"/>
    </row>
    <row r="49" spans="2:26" ht="18.75" thickBot="1">
      <c r="B49" s="4" t="s">
        <v>190</v>
      </c>
      <c r="C49" s="4"/>
      <c r="D49" s="4"/>
      <c r="E49" s="4"/>
      <c r="F49" s="4"/>
      <c r="G49" s="4"/>
      <c r="H49" s="312"/>
      <c r="I49" s="5"/>
      <c r="J49" s="324"/>
      <c r="K49" s="325"/>
      <c r="L49" s="325"/>
      <c r="M49" s="325"/>
      <c r="O49" s="658"/>
      <c r="P49" s="658"/>
      <c r="Q49" s="658"/>
      <c r="R49" s="658"/>
      <c r="S49" s="658"/>
      <c r="T49" s="658"/>
      <c r="U49" s="658"/>
      <c r="V49" s="658"/>
      <c r="W49" s="658"/>
      <c r="X49" s="658"/>
      <c r="Y49" s="659"/>
      <c r="Z49" s="659"/>
    </row>
    <row r="50" spans="2:26">
      <c r="B50" s="344"/>
      <c r="C50" s="201" t="s">
        <v>127</v>
      </c>
      <c r="D50" s="201"/>
      <c r="E50" s="201"/>
      <c r="F50" s="201"/>
      <c r="G50" s="687"/>
      <c r="H50" s="182" t="s">
        <v>53</v>
      </c>
      <c r="I50" s="5"/>
      <c r="J50" s="324"/>
      <c r="K50" s="325"/>
      <c r="L50" s="325"/>
      <c r="M50" s="325"/>
      <c r="O50" s="658"/>
      <c r="P50" s="658"/>
      <c r="Q50" s="658"/>
      <c r="R50" s="658"/>
      <c r="S50" s="658"/>
      <c r="T50" s="658"/>
      <c r="U50" s="658"/>
      <c r="V50" s="658"/>
      <c r="W50" s="658"/>
      <c r="X50" s="658"/>
      <c r="Y50" s="659"/>
      <c r="Z50" s="659"/>
    </row>
    <row r="51" spans="2:26">
      <c r="B51" s="345"/>
      <c r="C51" s="297" t="s">
        <v>162</v>
      </c>
      <c r="D51" s="298"/>
      <c r="E51" s="298"/>
      <c r="F51" s="386" t="s">
        <v>216</v>
      </c>
      <c r="G51" s="688"/>
      <c r="H51" s="377" t="s">
        <v>163</v>
      </c>
      <c r="I51" s="5"/>
      <c r="J51" s="324"/>
      <c r="K51" s="325"/>
      <c r="L51" s="325"/>
      <c r="M51" s="325"/>
      <c r="O51" s="658"/>
      <c r="P51" s="658"/>
      <c r="Q51" s="658"/>
      <c r="R51" s="658"/>
      <c r="S51" s="658"/>
      <c r="T51" s="658"/>
      <c r="U51" s="658"/>
      <c r="V51" s="658"/>
      <c r="W51" s="658"/>
      <c r="X51" s="658"/>
      <c r="Y51" s="659"/>
      <c r="Z51" s="659"/>
    </row>
    <row r="52" spans="2:26" ht="12.75" customHeight="1">
      <c r="B52" s="790" t="s">
        <v>159</v>
      </c>
      <c r="C52" s="350" t="s">
        <v>167</v>
      </c>
      <c r="D52" s="383"/>
      <c r="E52" s="383"/>
      <c r="F52" s="407" t="str">
        <f>CONCATENATE("(&lt;=",O43,")")</f>
        <v>(&lt;=0)</v>
      </c>
      <c r="G52" s="689"/>
      <c r="H52" s="9" t="s">
        <v>6</v>
      </c>
      <c r="I52" s="5"/>
      <c r="J52" s="324"/>
      <c r="K52" s="325"/>
      <c r="L52" s="325"/>
      <c r="M52" s="325"/>
      <c r="O52" s="658">
        <f>IF(H51="head",ROUND(G51/2,0),IF(H51="percent",ROUND(G52*G51/100,0)))</f>
        <v>0</v>
      </c>
      <c r="P52" s="658" t="s">
        <v>210</v>
      </c>
      <c r="Q52" s="658"/>
      <c r="R52" s="658"/>
      <c r="S52" s="658"/>
      <c r="T52" s="658"/>
      <c r="U52" s="658"/>
      <c r="V52" s="658"/>
      <c r="W52" s="658"/>
      <c r="X52" s="658"/>
      <c r="Y52" s="659"/>
      <c r="Z52" s="659"/>
    </row>
    <row r="53" spans="2:26">
      <c r="B53" s="791"/>
      <c r="C53" s="350" t="s">
        <v>161</v>
      </c>
      <c r="D53" s="200"/>
      <c r="E53" s="310"/>
      <c r="F53" s="311"/>
      <c r="G53" s="689"/>
      <c r="H53" s="9" t="s">
        <v>0</v>
      </c>
      <c r="I53" s="5"/>
      <c r="J53" s="324"/>
      <c r="K53" s="325"/>
      <c r="L53" s="325"/>
      <c r="M53" s="325"/>
      <c r="O53" s="661">
        <f>G52-O52</f>
        <v>0</v>
      </c>
      <c r="P53" s="658" t="s">
        <v>213</v>
      </c>
      <c r="Q53" s="658"/>
      <c r="R53" s="658"/>
      <c r="S53" s="658"/>
      <c r="T53" s="658"/>
      <c r="U53" s="658"/>
      <c r="V53" s="658"/>
      <c r="W53" s="658"/>
      <c r="X53" s="658"/>
      <c r="Y53" s="659"/>
      <c r="Z53" s="659"/>
    </row>
    <row r="54" spans="2:26">
      <c r="B54" s="792"/>
      <c r="C54" s="303" t="s">
        <v>164</v>
      </c>
      <c r="D54" s="298"/>
      <c r="E54" s="316"/>
      <c r="F54" s="385" t="s">
        <v>215</v>
      </c>
      <c r="G54" s="689"/>
      <c r="H54" s="315" t="s">
        <v>171</v>
      </c>
      <c r="I54" s="5"/>
      <c r="J54" s="324"/>
      <c r="K54" s="325"/>
      <c r="L54" s="325"/>
      <c r="M54" s="325"/>
      <c r="O54" s="658"/>
      <c r="P54" s="658"/>
      <c r="Q54" s="658"/>
      <c r="R54" s="658"/>
      <c r="S54" s="658"/>
      <c r="T54" s="658"/>
      <c r="U54" s="658"/>
      <c r="V54" s="658"/>
      <c r="W54" s="658"/>
      <c r="X54" s="658"/>
      <c r="Y54" s="659"/>
      <c r="Z54" s="659"/>
    </row>
    <row r="55" spans="2:26" ht="12.75" customHeight="1">
      <c r="B55" s="787" t="s">
        <v>165</v>
      </c>
      <c r="C55" s="350" t="s">
        <v>167</v>
      </c>
      <c r="D55" s="383"/>
      <c r="E55" s="383"/>
      <c r="F55" s="407" t="str">
        <f>CONCATENATE("(&lt;=",O46,")")</f>
        <v>(&lt;=0)</v>
      </c>
      <c r="G55" s="689"/>
      <c r="H55" s="181" t="s">
        <v>6</v>
      </c>
      <c r="I55" s="5"/>
      <c r="J55" s="324"/>
      <c r="K55" s="325"/>
      <c r="L55" s="325"/>
      <c r="M55" s="325"/>
      <c r="O55" s="658">
        <f>IF($H$51="head",$G$51-O52,IF($H$51="percent",ROUND(G55*$G$51/100,0),""))</f>
        <v>0</v>
      </c>
      <c r="P55" s="658" t="s">
        <v>211</v>
      </c>
      <c r="Q55" s="658"/>
      <c r="R55" s="658"/>
      <c r="S55" s="658"/>
      <c r="T55" s="658"/>
      <c r="U55" s="658"/>
      <c r="V55" s="658"/>
      <c r="W55" s="658"/>
      <c r="X55" s="658"/>
      <c r="Y55" s="659"/>
      <c r="Z55" s="659"/>
    </row>
    <row r="56" spans="2:26">
      <c r="B56" s="788"/>
      <c r="C56" s="350" t="s">
        <v>161</v>
      </c>
      <c r="D56" s="200"/>
      <c r="E56" s="310"/>
      <c r="F56" s="311"/>
      <c r="G56" s="689"/>
      <c r="H56" s="9" t="s">
        <v>0</v>
      </c>
      <c r="I56" s="5"/>
      <c r="J56" s="324"/>
      <c r="K56" s="325"/>
      <c r="L56" s="325"/>
      <c r="M56" s="325"/>
      <c r="O56" s="661">
        <f>G55-O55</f>
        <v>0</v>
      </c>
      <c r="P56" s="658" t="s">
        <v>212</v>
      </c>
      <c r="Q56" s="658"/>
      <c r="R56" s="658"/>
      <c r="S56" s="658"/>
      <c r="T56" s="658"/>
      <c r="U56" s="658"/>
      <c r="V56" s="658"/>
      <c r="W56" s="658"/>
      <c r="X56" s="658"/>
      <c r="Y56" s="659"/>
      <c r="Z56" s="659"/>
    </row>
    <row r="57" spans="2:26" ht="13.5" thickBot="1">
      <c r="B57" s="789"/>
      <c r="C57" s="352" t="s">
        <v>164</v>
      </c>
      <c r="D57" s="202"/>
      <c r="E57" s="314"/>
      <c r="F57" s="384" t="s">
        <v>215</v>
      </c>
      <c r="G57" s="690"/>
      <c r="H57" s="343" t="s">
        <v>171</v>
      </c>
      <c r="I57" s="5"/>
      <c r="J57" s="324"/>
      <c r="K57" s="325"/>
      <c r="L57" s="325"/>
      <c r="M57" s="325"/>
      <c r="O57" s="660">
        <f>(G52-O52)*G53*G54/100-G52*G43*G44/100+(G55-O55)*G56*G57/100-G55*G46*G47/100</f>
        <v>0</v>
      </c>
      <c r="P57" s="658" t="s">
        <v>232</v>
      </c>
      <c r="Q57" s="658"/>
      <c r="R57" s="658"/>
      <c r="S57" s="658"/>
      <c r="T57" s="658"/>
      <c r="U57" s="658"/>
      <c r="V57" s="658"/>
      <c r="W57" s="658"/>
      <c r="X57" s="658"/>
      <c r="Y57" s="659"/>
      <c r="Z57" s="659"/>
    </row>
    <row r="58" spans="2:26" ht="13.5" thickBot="1">
      <c r="B58" s="5"/>
      <c r="C58" s="5"/>
      <c r="D58" s="5"/>
      <c r="E58" s="5"/>
      <c r="F58" s="5"/>
      <c r="G58" s="5"/>
      <c r="H58" s="5"/>
      <c r="I58" s="5"/>
      <c r="J58" s="324"/>
      <c r="K58" s="325"/>
      <c r="L58" s="325"/>
      <c r="M58" s="325"/>
      <c r="O58" s="658"/>
      <c r="P58" s="658"/>
      <c r="Q58" s="658"/>
      <c r="R58" s="658"/>
      <c r="S58" s="658"/>
      <c r="T58" s="658"/>
      <c r="U58" s="658"/>
      <c r="V58" s="658"/>
      <c r="W58" s="658"/>
      <c r="X58" s="658"/>
      <c r="Y58" s="659"/>
      <c r="Z58" s="659"/>
    </row>
    <row r="59" spans="2:26" ht="18.75" thickBot="1">
      <c r="B59" s="4" t="s">
        <v>237</v>
      </c>
      <c r="C59" s="4"/>
      <c r="D59" s="4"/>
      <c r="E59" s="4"/>
      <c r="F59" s="4"/>
      <c r="G59" s="4"/>
      <c r="H59" s="312"/>
      <c r="I59" s="5"/>
      <c r="J59" s="324"/>
      <c r="K59" s="325"/>
      <c r="L59" s="325"/>
      <c r="M59" s="325"/>
      <c r="O59" s="658"/>
      <c r="P59" s="658"/>
      <c r="Q59" s="658"/>
      <c r="R59" s="658"/>
      <c r="S59" s="658"/>
      <c r="T59" s="658"/>
      <c r="U59" s="658"/>
      <c r="V59" s="658"/>
      <c r="W59" s="658"/>
      <c r="X59" s="658"/>
      <c r="Y59" s="659"/>
      <c r="Z59" s="659"/>
    </row>
    <row r="60" spans="2:26">
      <c r="B60" s="344"/>
      <c r="C60" s="201" t="s">
        <v>127</v>
      </c>
      <c r="D60" s="201"/>
      <c r="E60" s="201"/>
      <c r="F60" s="201"/>
      <c r="G60" s="691"/>
      <c r="H60" s="182" t="s">
        <v>53</v>
      </c>
      <c r="I60" s="5"/>
      <c r="J60" s="324"/>
      <c r="K60" s="325"/>
      <c r="L60" s="325"/>
      <c r="M60" s="325"/>
      <c r="O60" s="658"/>
      <c r="P60" s="658"/>
      <c r="Q60" s="658"/>
      <c r="R60" s="658"/>
      <c r="S60" s="658"/>
      <c r="T60" s="658"/>
      <c r="U60" s="658"/>
      <c r="V60" s="658"/>
      <c r="W60" s="658"/>
      <c r="X60" s="658"/>
      <c r="Y60" s="659"/>
      <c r="Z60" s="659"/>
    </row>
    <row r="61" spans="2:26">
      <c r="B61" s="396"/>
      <c r="C61" s="298" t="s">
        <v>162</v>
      </c>
      <c r="D61" s="298"/>
      <c r="E61" s="298"/>
      <c r="F61" s="386" t="s">
        <v>216</v>
      </c>
      <c r="G61" s="692">
        <v>0</v>
      </c>
      <c r="H61" s="377" t="s">
        <v>163</v>
      </c>
      <c r="I61" s="5"/>
      <c r="J61" s="324"/>
      <c r="K61" s="325"/>
      <c r="L61" s="325"/>
      <c r="M61" s="325"/>
      <c r="O61" s="658"/>
      <c r="P61" s="658"/>
      <c r="Q61" s="658"/>
      <c r="R61" s="658"/>
      <c r="S61" s="658"/>
      <c r="T61" s="658"/>
      <c r="U61" s="658"/>
      <c r="V61" s="658"/>
      <c r="W61" s="658"/>
      <c r="X61" s="658"/>
      <c r="Y61" s="659"/>
      <c r="Z61" s="659"/>
    </row>
    <row r="62" spans="2:26" ht="12.75" customHeight="1">
      <c r="B62" s="396"/>
      <c r="C62" s="350" t="s">
        <v>167</v>
      </c>
      <c r="D62" s="383"/>
      <c r="E62" s="383"/>
      <c r="F62" s="407" t="str">
        <f>CONCATENATE("(&lt;=",G5,")")</f>
        <v>(&lt;=70)</v>
      </c>
      <c r="G62" s="693"/>
      <c r="H62" s="9" t="s">
        <v>6</v>
      </c>
      <c r="I62" s="5"/>
      <c r="J62" s="324"/>
      <c r="K62" s="325"/>
      <c r="L62" s="325"/>
      <c r="M62" s="325"/>
      <c r="O62" s="658">
        <f>IF(H61="head",G61,IF(H61="percent",ROUND(G62*G61/100,0)))</f>
        <v>0</v>
      </c>
      <c r="P62" s="658" t="s">
        <v>228</v>
      </c>
      <c r="Q62" s="658"/>
      <c r="R62" s="658"/>
      <c r="S62" s="658"/>
      <c r="T62" s="658"/>
      <c r="U62" s="658"/>
      <c r="V62" s="658"/>
      <c r="W62" s="658"/>
      <c r="X62" s="658"/>
      <c r="Y62" s="659"/>
      <c r="Z62" s="659"/>
    </row>
    <row r="63" spans="2:26">
      <c r="B63" s="396"/>
      <c r="C63" s="350" t="s">
        <v>161</v>
      </c>
      <c r="D63" s="200"/>
      <c r="E63" s="310"/>
      <c r="F63" s="311"/>
      <c r="G63" s="693"/>
      <c r="H63" s="9" t="s">
        <v>0</v>
      </c>
      <c r="I63" s="5"/>
      <c r="J63" s="324"/>
      <c r="K63" s="325"/>
      <c r="L63" s="325"/>
      <c r="M63" s="325"/>
      <c r="O63" s="661">
        <f>G62-O62</f>
        <v>0</v>
      </c>
      <c r="P63" s="658" t="s">
        <v>229</v>
      </c>
      <c r="Q63" s="658"/>
      <c r="R63" s="658"/>
      <c r="S63" s="658"/>
      <c r="T63" s="658"/>
      <c r="U63" s="658"/>
      <c r="V63" s="658"/>
      <c r="W63" s="658"/>
      <c r="X63" s="658"/>
      <c r="Y63" s="659"/>
      <c r="Z63" s="659"/>
    </row>
    <row r="64" spans="2:26" ht="13.5" thickBot="1">
      <c r="B64" s="397"/>
      <c r="C64" s="352" t="s">
        <v>164</v>
      </c>
      <c r="D64" s="202"/>
      <c r="E64" s="314"/>
      <c r="F64" s="384" t="s">
        <v>215</v>
      </c>
      <c r="G64" s="694"/>
      <c r="H64" s="10" t="s">
        <v>171</v>
      </c>
      <c r="I64" s="5"/>
      <c r="J64" s="324"/>
      <c r="K64" s="325"/>
      <c r="L64" s="325"/>
      <c r="M64" s="325"/>
      <c r="O64" s="660">
        <f>O63*G63*G64/100-G62*G15*G16/100</f>
        <v>0</v>
      </c>
      <c r="P64" s="658" t="s">
        <v>231</v>
      </c>
      <c r="Q64" s="658"/>
      <c r="R64" s="658"/>
      <c r="S64" s="658"/>
      <c r="T64" s="658"/>
      <c r="U64" s="658"/>
      <c r="V64" s="658"/>
      <c r="W64" s="658"/>
      <c r="X64" s="658"/>
      <c r="Y64" s="659"/>
      <c r="Z64" s="659"/>
    </row>
    <row r="65" spans="2:26" ht="13.5" thickBot="1">
      <c r="B65" s="5"/>
      <c r="C65" s="5"/>
      <c r="D65" s="5"/>
      <c r="E65" s="5"/>
      <c r="F65" s="5"/>
      <c r="G65" s="5"/>
      <c r="H65" s="5"/>
      <c r="I65" s="5"/>
      <c r="J65" s="324"/>
      <c r="K65" s="325"/>
      <c r="L65" s="325"/>
      <c r="M65" s="325"/>
      <c r="O65" s="663"/>
      <c r="P65" s="658"/>
      <c r="Q65" s="658"/>
      <c r="R65" s="658"/>
      <c r="S65" s="658"/>
      <c r="T65" s="658"/>
      <c r="U65" s="658"/>
      <c r="V65" s="658"/>
      <c r="W65" s="658"/>
      <c r="X65" s="658"/>
      <c r="Y65" s="659"/>
      <c r="Z65" s="659"/>
    </row>
    <row r="66" spans="2:26" ht="18" customHeight="1" thickBot="1">
      <c r="B66" s="4" t="s">
        <v>7</v>
      </c>
      <c r="C66" s="288"/>
      <c r="D66" s="178"/>
      <c r="E66" s="178"/>
      <c r="F66" s="178"/>
      <c r="G66" s="178"/>
      <c r="H66" s="230"/>
      <c r="I66" s="5"/>
      <c r="J66" s="327"/>
      <c r="K66" s="327"/>
      <c r="L66" s="327"/>
      <c r="M66" s="327"/>
      <c r="N66" s="379"/>
      <c r="O66" s="664"/>
      <c r="P66" s="663"/>
      <c r="Q66" s="658"/>
      <c r="R66" s="658"/>
      <c r="S66" s="658"/>
      <c r="T66" s="658"/>
      <c r="U66" s="658"/>
      <c r="V66" s="658"/>
      <c r="W66" s="658"/>
      <c r="X66" s="658"/>
      <c r="Y66" s="659"/>
      <c r="Z66" s="659"/>
    </row>
    <row r="67" spans="2:26" ht="40.5" customHeight="1" thickBot="1">
      <c r="B67" s="318" t="s">
        <v>146</v>
      </c>
      <c r="C67" s="290"/>
      <c r="D67" s="317" t="s">
        <v>8</v>
      </c>
      <c r="E67" s="11" t="s">
        <v>168</v>
      </c>
      <c r="F67" s="11" t="s">
        <v>59</v>
      </c>
      <c r="G67" s="11" t="s">
        <v>169</v>
      </c>
      <c r="H67" s="12" t="s">
        <v>28</v>
      </c>
      <c r="I67" s="101"/>
      <c r="J67" s="328"/>
      <c r="K67" s="328"/>
      <c r="L67" s="328"/>
      <c r="M67" s="328"/>
      <c r="N67" s="347"/>
      <c r="O67" s="665"/>
      <c r="P67" s="663"/>
      <c r="Q67" s="658"/>
      <c r="R67" s="658"/>
      <c r="S67" s="658"/>
      <c r="T67" s="658"/>
      <c r="U67" s="658"/>
      <c r="V67" s="658"/>
      <c r="W67" s="658"/>
      <c r="X67" s="658"/>
      <c r="Y67" s="659"/>
      <c r="Z67" s="659"/>
    </row>
    <row r="68" spans="2:26" ht="13.5" thickTop="1">
      <c r="B68" s="808"/>
      <c r="C68" s="809"/>
      <c r="D68" s="696"/>
      <c r="E68" s="701"/>
      <c r="F68" s="701"/>
      <c r="G68" s="758"/>
      <c r="H68" s="37" t="str">
        <f t="shared" ref="H68:H76" si="0">IF(G68=0,"",D68/G68)</f>
        <v/>
      </c>
      <c r="I68" s="5"/>
      <c r="J68" s="329"/>
      <c r="K68" s="330"/>
      <c r="L68" s="330"/>
      <c r="M68" s="330"/>
      <c r="N68" s="346"/>
      <c r="O68" s="666"/>
      <c r="P68" s="663"/>
      <c r="Q68" s="658"/>
      <c r="R68" s="658"/>
      <c r="S68" s="658"/>
      <c r="T68" s="658"/>
      <c r="U68" s="658"/>
      <c r="V68" s="658"/>
      <c r="W68" s="658"/>
      <c r="X68" s="658"/>
      <c r="Y68" s="659"/>
      <c r="Z68" s="659"/>
    </row>
    <row r="69" spans="2:26">
      <c r="B69" s="777" t="s">
        <v>264</v>
      </c>
      <c r="C69" s="778"/>
      <c r="D69" s="771">
        <v>300</v>
      </c>
      <c r="E69" s="702" t="s">
        <v>263</v>
      </c>
      <c r="F69" s="702" t="s">
        <v>255</v>
      </c>
      <c r="G69" s="758">
        <v>150</v>
      </c>
      <c r="H69" s="37">
        <f t="shared" si="0"/>
        <v>2</v>
      </c>
      <c r="I69" s="5"/>
      <c r="J69" s="329"/>
      <c r="K69" s="330"/>
      <c r="L69" s="330"/>
      <c r="M69" s="330"/>
      <c r="N69" s="346"/>
      <c r="O69" s="666"/>
      <c r="P69" s="663"/>
      <c r="Q69" s="658"/>
      <c r="R69" s="658"/>
      <c r="S69" s="658"/>
      <c r="T69" s="658"/>
      <c r="U69" s="658"/>
      <c r="V69" s="658"/>
      <c r="W69" s="658"/>
      <c r="X69" s="658"/>
      <c r="Y69" s="659"/>
      <c r="Z69" s="659"/>
    </row>
    <row r="70" spans="2:26">
      <c r="B70" s="777" t="s">
        <v>248</v>
      </c>
      <c r="C70" s="778"/>
      <c r="D70" s="771">
        <v>130</v>
      </c>
      <c r="E70" s="702" t="s">
        <v>249</v>
      </c>
      <c r="F70" s="702" t="s">
        <v>250</v>
      </c>
      <c r="G70" s="699">
        <v>2000</v>
      </c>
      <c r="H70" s="37">
        <f t="shared" si="0"/>
        <v>6.5000000000000002E-2</v>
      </c>
      <c r="I70" s="5"/>
      <c r="J70" s="329"/>
      <c r="K70" s="330"/>
      <c r="L70" s="330"/>
      <c r="M70" s="330"/>
      <c r="N70" s="346"/>
      <c r="O70" s="666"/>
      <c r="P70" s="663"/>
      <c r="Q70" s="658"/>
      <c r="R70" s="658"/>
      <c r="S70" s="658"/>
      <c r="T70" s="658"/>
      <c r="U70" s="658"/>
      <c r="V70" s="658"/>
      <c r="W70" s="658"/>
      <c r="X70" s="658"/>
      <c r="Y70" s="659"/>
      <c r="Z70" s="659"/>
    </row>
    <row r="71" spans="2:26">
      <c r="B71" s="777" t="s">
        <v>251</v>
      </c>
      <c r="C71" s="778"/>
      <c r="D71" s="772">
        <v>150</v>
      </c>
      <c r="E71" s="698" t="s">
        <v>249</v>
      </c>
      <c r="F71" s="698" t="s">
        <v>250</v>
      </c>
      <c r="G71" s="700">
        <v>2000</v>
      </c>
      <c r="H71" s="37">
        <f t="shared" si="0"/>
        <v>7.4999999999999997E-2</v>
      </c>
      <c r="I71" s="5"/>
      <c r="J71" s="329"/>
      <c r="K71" s="330"/>
      <c r="L71" s="330"/>
      <c r="M71" s="330"/>
      <c r="N71" s="346"/>
      <c r="O71" s="666"/>
      <c r="P71" s="663"/>
      <c r="Q71" s="658"/>
      <c r="R71" s="658"/>
      <c r="S71" s="658"/>
      <c r="T71" s="658"/>
      <c r="U71" s="658"/>
      <c r="V71" s="658"/>
      <c r="W71" s="658"/>
      <c r="X71" s="658"/>
      <c r="Y71" s="659"/>
      <c r="Z71" s="659"/>
    </row>
    <row r="72" spans="2:26">
      <c r="B72" s="777" t="s">
        <v>252</v>
      </c>
      <c r="C72" s="778"/>
      <c r="D72" s="771">
        <v>300</v>
      </c>
      <c r="E72" s="702" t="s">
        <v>249</v>
      </c>
      <c r="F72" s="702" t="s">
        <v>250</v>
      </c>
      <c r="G72" s="699">
        <v>2000</v>
      </c>
      <c r="H72" s="37">
        <f t="shared" si="0"/>
        <v>0.15</v>
      </c>
      <c r="I72" s="5"/>
      <c r="J72" s="329"/>
      <c r="K72" s="330"/>
      <c r="L72" s="330"/>
      <c r="M72" s="330"/>
      <c r="N72" s="346"/>
      <c r="O72" s="666"/>
      <c r="P72" s="663"/>
      <c r="Q72" s="658"/>
      <c r="R72" s="658"/>
      <c r="S72" s="658"/>
      <c r="T72" s="658"/>
      <c r="U72" s="658"/>
      <c r="V72" s="658"/>
      <c r="W72" s="658"/>
      <c r="X72" s="658"/>
      <c r="Y72" s="659"/>
      <c r="Z72" s="659"/>
    </row>
    <row r="73" spans="2:26">
      <c r="B73" s="777" t="s">
        <v>253</v>
      </c>
      <c r="C73" s="778"/>
      <c r="D73" s="771">
        <v>900</v>
      </c>
      <c r="E73" s="702" t="s">
        <v>249</v>
      </c>
      <c r="F73" s="702" t="s">
        <v>260</v>
      </c>
      <c r="G73" s="699">
        <v>32000</v>
      </c>
      <c r="H73" s="37">
        <f t="shared" si="0"/>
        <v>2.8125000000000001E-2</v>
      </c>
      <c r="I73" s="5"/>
      <c r="J73" s="329"/>
      <c r="K73" s="330"/>
      <c r="L73" s="330"/>
      <c r="M73" s="330"/>
      <c r="N73" s="346"/>
      <c r="O73" s="658"/>
      <c r="P73" s="666" t="s">
        <v>31</v>
      </c>
      <c r="Q73" s="658" t="s">
        <v>174</v>
      </c>
      <c r="R73" s="461" t="s">
        <v>178</v>
      </c>
      <c r="S73" s="461" t="s">
        <v>175</v>
      </c>
      <c r="T73" s="461" t="s">
        <v>190</v>
      </c>
      <c r="U73" s="461" t="s">
        <v>230</v>
      </c>
      <c r="V73" s="658"/>
      <c r="W73" s="658"/>
      <c r="X73" s="658"/>
      <c r="Y73" s="659"/>
      <c r="Z73" s="659"/>
    </row>
    <row r="74" spans="2:26">
      <c r="B74" s="761" t="s">
        <v>257</v>
      </c>
      <c r="C74" s="762"/>
      <c r="D74" s="771">
        <v>17.5</v>
      </c>
      <c r="E74" s="702" t="s">
        <v>266</v>
      </c>
      <c r="F74" s="702" t="s">
        <v>255</v>
      </c>
      <c r="G74" s="699">
        <v>30</v>
      </c>
      <c r="H74" s="37">
        <f t="shared" si="0"/>
        <v>0.58333333333333337</v>
      </c>
      <c r="I74" s="5"/>
      <c r="J74" s="329"/>
      <c r="K74" s="330"/>
      <c r="L74" s="330"/>
      <c r="M74" s="330"/>
      <c r="N74" s="346"/>
      <c r="O74" s="658"/>
      <c r="P74" s="666">
        <f>SUM(Q74:U74)</f>
        <v>1381460.45</v>
      </c>
      <c r="Q74" s="666">
        <f>O27</f>
        <v>1304768.3</v>
      </c>
      <c r="R74" s="666">
        <f>O37</f>
        <v>76692.149999999994</v>
      </c>
      <c r="S74" s="666">
        <f>O47</f>
        <v>0</v>
      </c>
      <c r="T74" s="666">
        <f>O57</f>
        <v>0</v>
      </c>
      <c r="U74" s="666">
        <f>O64</f>
        <v>0</v>
      </c>
      <c r="V74" s="658"/>
      <c r="W74" s="658"/>
      <c r="X74" s="658"/>
      <c r="Y74" s="659"/>
      <c r="Z74" s="659"/>
    </row>
    <row r="75" spans="2:26">
      <c r="B75" s="761" t="s">
        <v>265</v>
      </c>
      <c r="C75" s="762"/>
      <c r="D75" s="771">
        <v>5.4</v>
      </c>
      <c r="E75" s="702" t="s">
        <v>254</v>
      </c>
      <c r="F75" s="702" t="s">
        <v>250</v>
      </c>
      <c r="G75" s="699">
        <v>56</v>
      </c>
      <c r="H75" s="37">
        <f t="shared" si="0"/>
        <v>9.6428571428571433E-2</v>
      </c>
      <c r="I75" s="5"/>
      <c r="J75" s="329"/>
      <c r="K75" s="330"/>
      <c r="L75" s="330"/>
      <c r="M75" s="330"/>
      <c r="N75" s="346"/>
      <c r="O75" s="658"/>
      <c r="P75" s="667">
        <f>SUM(Q75:U75)</f>
        <v>1</v>
      </c>
      <c r="Q75" s="668">
        <f>IF(P74=0,0,Q74/$P$74)</f>
        <v>0.94448472991029175</v>
      </c>
      <c r="R75" s="668">
        <f>IF(Q74=0,0,R74/$P$74)</f>
        <v>5.5515270089708323E-2</v>
      </c>
      <c r="S75" s="668">
        <f>IF(R74=0,0,S74/$P$74)</f>
        <v>0</v>
      </c>
      <c r="T75" s="668">
        <f>IF(S74=0,0,T74/$P$74)</f>
        <v>0</v>
      </c>
      <c r="U75" s="668">
        <f>IF(T74=0,0,U74/$P$74)</f>
        <v>0</v>
      </c>
      <c r="V75" s="669"/>
      <c r="W75" s="658"/>
      <c r="X75" s="658"/>
      <c r="Y75" s="659"/>
      <c r="Z75" s="659"/>
    </row>
    <row r="76" spans="2:26">
      <c r="B76" s="761"/>
      <c r="C76" s="762"/>
      <c r="D76" s="697"/>
      <c r="E76" s="702"/>
      <c r="F76" s="702"/>
      <c r="G76" s="699"/>
      <c r="H76" s="37" t="str">
        <f t="shared" si="0"/>
        <v/>
      </c>
      <c r="I76" s="5"/>
      <c r="J76" s="329"/>
      <c r="K76" s="330"/>
      <c r="L76" s="330"/>
      <c r="M76" s="330"/>
      <c r="N76" s="346"/>
      <c r="O76" s="658"/>
      <c r="P76" s="666"/>
      <c r="Q76" s="663"/>
      <c r="R76" s="658"/>
      <c r="S76" s="658"/>
      <c r="T76" s="658"/>
      <c r="U76" s="658"/>
      <c r="V76" s="658"/>
      <c r="W76" s="658"/>
      <c r="X76" s="658"/>
      <c r="Y76" s="659"/>
      <c r="Z76" s="659"/>
    </row>
    <row r="77" spans="2:26" ht="13.5" thickBot="1">
      <c r="B77" s="779"/>
      <c r="C77" s="780"/>
      <c r="D77" s="703"/>
      <c r="E77" s="695"/>
      <c r="F77" s="695"/>
      <c r="G77" s="704"/>
      <c r="H77" s="319" t="str">
        <f t="shared" ref="H77" si="1">IF(G77=0,"",D77/G77)</f>
        <v/>
      </c>
      <c r="I77" s="5"/>
      <c r="J77" s="329"/>
      <c r="K77" s="330"/>
      <c r="L77" s="330"/>
      <c r="M77" s="330"/>
      <c r="N77" s="346"/>
      <c r="O77" s="658"/>
      <c r="P77" s="666"/>
      <c r="Q77" s="658"/>
      <c r="R77" s="658"/>
      <c r="S77" s="658"/>
      <c r="T77" s="658"/>
      <c r="U77" s="658"/>
      <c r="V77" s="658"/>
      <c r="W77" s="658"/>
      <c r="X77" s="658"/>
      <c r="Y77" s="659"/>
      <c r="Z77" s="659"/>
    </row>
    <row r="78" spans="2:26" ht="13.5" thickBot="1">
      <c r="B78" s="200"/>
      <c r="C78" s="200"/>
      <c r="D78" s="200"/>
      <c r="E78" s="200"/>
      <c r="F78" s="200"/>
      <c r="G78" s="200"/>
      <c r="H78" s="200"/>
      <c r="I78" s="5"/>
      <c r="J78" s="324"/>
      <c r="K78" s="325"/>
      <c r="L78" s="325"/>
      <c r="M78" s="325"/>
      <c r="O78" s="658"/>
      <c r="P78" s="658" t="s">
        <v>61</v>
      </c>
      <c r="Q78" s="668"/>
      <c r="R78" s="668"/>
      <c r="S78" s="668"/>
      <c r="T78" s="668"/>
      <c r="U78" s="670"/>
      <c r="V78" s="658"/>
      <c r="W78" s="658"/>
      <c r="X78" s="658"/>
      <c r="Y78" s="659"/>
      <c r="Z78" s="659"/>
    </row>
    <row r="79" spans="2:26" ht="18.75" thickBot="1">
      <c r="B79" s="4" t="s">
        <v>26</v>
      </c>
      <c r="C79" s="288"/>
      <c r="D79" s="7"/>
      <c r="E79" s="7"/>
      <c r="F79" s="782" t="s">
        <v>221</v>
      </c>
      <c r="G79" s="783"/>
      <c r="H79" s="783"/>
      <c r="I79" s="783"/>
      <c r="J79" s="783"/>
      <c r="K79" s="325"/>
      <c r="L79" s="325"/>
      <c r="M79" s="325"/>
      <c r="O79" s="658"/>
      <c r="P79" s="658" t="s">
        <v>60</v>
      </c>
      <c r="Q79" s="668"/>
      <c r="R79" s="668"/>
      <c r="S79" s="668"/>
      <c r="T79" s="668"/>
      <c r="U79" s="658"/>
      <c r="V79" s="658"/>
      <c r="W79" s="658"/>
      <c r="X79" s="658"/>
      <c r="Y79" s="659"/>
      <c r="Z79" s="659"/>
    </row>
    <row r="80" spans="2:26" ht="55.5" customHeight="1" thickBot="1">
      <c r="B80" s="318" t="s">
        <v>146</v>
      </c>
      <c r="C80" s="290"/>
      <c r="D80" s="11" t="s">
        <v>27</v>
      </c>
      <c r="E80" s="11" t="s">
        <v>220</v>
      </c>
      <c r="F80" s="11" t="s">
        <v>262</v>
      </c>
      <c r="G80" s="11" t="s">
        <v>274</v>
      </c>
      <c r="H80" s="11" t="s">
        <v>223</v>
      </c>
      <c r="I80" s="11" t="s">
        <v>224</v>
      </c>
      <c r="J80" s="12" t="s">
        <v>238</v>
      </c>
      <c r="K80" s="331"/>
      <c r="L80" s="331"/>
      <c r="M80" s="325"/>
      <c r="O80" s="658"/>
      <c r="P80" s="658"/>
      <c r="Q80" s="671" t="s">
        <v>174</v>
      </c>
      <c r="R80" s="672" t="s">
        <v>178</v>
      </c>
      <c r="S80" s="672" t="s">
        <v>175</v>
      </c>
      <c r="T80" s="672" t="s">
        <v>176</v>
      </c>
      <c r="U80" s="672" t="s">
        <v>230</v>
      </c>
      <c r="V80" s="658" t="s">
        <v>31</v>
      </c>
      <c r="W80" s="672"/>
      <c r="X80" s="658"/>
      <c r="Y80" s="659"/>
      <c r="Z80" s="659"/>
    </row>
    <row r="81" spans="2:26" ht="13.5" thickTop="1">
      <c r="B81" s="784" t="s">
        <v>10</v>
      </c>
      <c r="C81" s="785"/>
      <c r="D81" s="705">
        <v>20</v>
      </c>
      <c r="E81" s="228" t="s">
        <v>61</v>
      </c>
      <c r="F81" s="759"/>
      <c r="G81" s="321"/>
      <c r="H81" s="321"/>
      <c r="I81" s="321"/>
      <c r="J81" s="462"/>
      <c r="K81" s="403" t="str">
        <f>IF(SUM(F81:J81)&gt;1,"This expense has been overallocated.","")</f>
        <v/>
      </c>
      <c r="L81" s="324"/>
      <c r="M81" s="325"/>
      <c r="O81" s="658"/>
      <c r="P81" s="673">
        <f>SUM(F81:J81)</f>
        <v>0</v>
      </c>
      <c r="Q81" s="673">
        <f>IF($D81=0,0,IF(F81="",Q$75/(IF($F81="",$Q$75,0)+IF($G81="",$R$75,0)+IF($H81="",$S$75,0)+IF($I81="",$T$75,0)+IF($J81="",$U$75,0))*(1-$P81),F81))</f>
        <v>0.94448472991029175</v>
      </c>
      <c r="R81" s="673">
        <f>IF($D81=0,0,IF(G81="",R$75/(IF($F81="",$Q$75,0)+IF($G81="",$R$75,0)+IF($H81="",$S$75,0)+IF($I81="",$T$75,0)+IF($J81="",$U$75,0))*(1-$P81),G81))</f>
        <v>5.5515270089708323E-2</v>
      </c>
      <c r="S81" s="673">
        <f>IF($D81=0,0,IF(H81="",S$75/(IF($F81="",$Q$75,0)+IF($G81="",$R$75,0)+IF($H81="",$S$75,0)+IF($I81="",$T$75,0)+IF($J81="",$U$75,0))*(1-$P81),H81))</f>
        <v>0</v>
      </c>
      <c r="T81" s="673">
        <f>IF($D81=0,0,IF(I81="",T$75/(IF($F81="",$Q$75,0)+IF($G81="",$R$75,0)+IF($H81="",$S$75,0)+IF($I81="",$T$75,0)+IF($J81="",$U$75,0))*(1-$P81),I81))</f>
        <v>0</v>
      </c>
      <c r="U81" s="673">
        <f>IF($D81=0,0,IF(J81="",U$75/(IF($F81="",$Q$75,0)+IF($G81="",$R$75,0)+IF($H81="",$S$75,0)+IF($I81="",$T$75,0)+IF($J81="",$U$75,0))*(1-$P81),J81))</f>
        <v>0</v>
      </c>
      <c r="V81" s="674">
        <f>SUM(Q81:U81)</f>
        <v>1</v>
      </c>
      <c r="W81" s="669"/>
      <c r="X81" s="669"/>
      <c r="Y81" s="659"/>
      <c r="Z81" s="659"/>
    </row>
    <row r="82" spans="2:26">
      <c r="B82" s="775" t="s">
        <v>11</v>
      </c>
      <c r="C82" s="776"/>
      <c r="D82" s="706">
        <v>20</v>
      </c>
      <c r="E82" s="725" t="s">
        <v>61</v>
      </c>
      <c r="F82" s="760"/>
      <c r="G82" s="713"/>
      <c r="H82" s="713"/>
      <c r="I82" s="713"/>
      <c r="J82" s="463"/>
      <c r="K82" s="403" t="str">
        <f t="shared" ref="K82:K95" si="2">IF(SUM(F82:J82)&gt;1,"This expense has been overallocated.","")</f>
        <v/>
      </c>
      <c r="L82" s="324"/>
      <c r="M82" s="325"/>
      <c r="O82" s="658"/>
      <c r="P82" s="673">
        <f t="shared" ref="P82:P95" si="3">SUM(F82:J82)</f>
        <v>0</v>
      </c>
      <c r="Q82" s="673">
        <f t="shared" ref="Q82:Q95" si="4">IF($D82=0,0,IF(F82="",Q$75/(IF($F82="",$Q$75,0)+IF($G82="",$R$75,0)+IF($H82="",$S$75,0)+IF($I82="",$T$75,0)+IF($J82="",$U$75,0))*(1-$P82),F82))</f>
        <v>0.94448472991029175</v>
      </c>
      <c r="R82" s="673">
        <f t="shared" ref="R82:R95" si="5">IF($D82=0,0,IF(G82="",R$75/(IF($F82="",$Q$75,0)+IF($G82="",$R$75,0)+IF($H82="",$S$75,0)+IF($I82="",$T$75,0)+IF($J82="",$U$75,0))*(1-$P82),G82))</f>
        <v>5.5515270089708323E-2</v>
      </c>
      <c r="S82" s="673">
        <f t="shared" ref="S82:S95" si="6">IF($D82=0,0,IF(H82="",S$75/(IF($F82="",$Q$75,0)+IF($G82="",$R$75,0)+IF($H82="",$S$75,0)+IF($I82="",$T$75,0)+IF($J82="",$U$75,0))*(1-$P82),H82))</f>
        <v>0</v>
      </c>
      <c r="T82" s="673">
        <f t="shared" ref="T82:T95" si="7">IF($D82=0,0,IF(I82="",T$75/(IF($F82="",$Q$75,0)+IF($G82="",$R$75,0)+IF($H82="",$S$75,0)+IF($I82="",$T$75,0)+IF($J82="",$U$75,0))*(1-$P82),I82))</f>
        <v>0</v>
      </c>
      <c r="U82" s="673">
        <f t="shared" ref="U82:U95" si="8">IF($D82=0,0,IF(J82="",U$75/(IF($F82="",$Q$75,0)+IF($G82="",$R$75,0)+IF($H82="",$S$75,0)+IF($I82="",$T$75,0)+IF($J82="",$U$75,0))*(1-$P82),J82))</f>
        <v>0</v>
      </c>
      <c r="V82" s="674">
        <f t="shared" ref="V82:V95" si="9">SUM(Q82:U82)</f>
        <v>1</v>
      </c>
      <c r="W82" s="658"/>
      <c r="X82" s="786" t="s">
        <v>243</v>
      </c>
      <c r="Y82" s="786" t="s">
        <v>241</v>
      </c>
      <c r="Z82" s="786" t="s">
        <v>242</v>
      </c>
    </row>
    <row r="83" spans="2:26">
      <c r="B83" s="775" t="s">
        <v>12</v>
      </c>
      <c r="C83" s="776"/>
      <c r="D83" s="706">
        <v>20</v>
      </c>
      <c r="E83" s="725" t="s">
        <v>61</v>
      </c>
      <c r="F83" s="760"/>
      <c r="G83" s="713"/>
      <c r="H83" s="713"/>
      <c r="I83" s="713"/>
      <c r="J83" s="463"/>
      <c r="K83" s="403" t="str">
        <f t="shared" si="2"/>
        <v/>
      </c>
      <c r="L83" s="324"/>
      <c r="M83" s="325"/>
      <c r="O83" s="658"/>
      <c r="P83" s="673">
        <f t="shared" si="3"/>
        <v>0</v>
      </c>
      <c r="Q83" s="673">
        <f>IF($D83=0,0,IF(F83="",Q$75/(IF($F83="",$Q$75,0)+IF($G83="",$R$75,0)+IF($H83="",$S$75,0)+IF($I83="",$T$75,0)+IF($J83="",$U$75,0))*(1-$P83),F83))</f>
        <v>0.94448472991029175</v>
      </c>
      <c r="R83" s="673">
        <f t="shared" si="5"/>
        <v>5.5515270089708323E-2</v>
      </c>
      <c r="S83" s="673">
        <f t="shared" si="6"/>
        <v>0</v>
      </c>
      <c r="T83" s="673">
        <f t="shared" si="7"/>
        <v>0</v>
      </c>
      <c r="U83" s="673">
        <f t="shared" si="8"/>
        <v>0</v>
      </c>
      <c r="V83" s="674">
        <f t="shared" si="9"/>
        <v>1</v>
      </c>
      <c r="W83" s="658"/>
      <c r="X83" s="786"/>
      <c r="Y83" s="786"/>
      <c r="Z83" s="786"/>
    </row>
    <row r="84" spans="2:26">
      <c r="B84" s="775" t="s">
        <v>89</v>
      </c>
      <c r="C84" s="776"/>
      <c r="D84" s="706">
        <v>25</v>
      </c>
      <c r="E84" s="725" t="s">
        <v>61</v>
      </c>
      <c r="F84" s="773"/>
      <c r="G84" s="773"/>
      <c r="H84" s="773"/>
      <c r="I84" s="773"/>
      <c r="J84" s="774"/>
      <c r="K84" s="403"/>
      <c r="L84" s="324"/>
      <c r="M84" s="325"/>
      <c r="O84" s="658"/>
      <c r="P84" s="673">
        <f t="shared" si="3"/>
        <v>0</v>
      </c>
      <c r="Q84" s="673">
        <f>IF($D84=0,0,IF(F84="",Q$75/(IF($F84="",$Q$75,0)+IF($G84="",$R$75,0)+IF($H84="",$S$75,0)+IF($I84="",$T$75,0)+IF($J84="",$U$75,0))*(1-$P84),F84))</f>
        <v>0.94448472991029175</v>
      </c>
      <c r="R84" s="673">
        <f t="shared" si="5"/>
        <v>5.5515270089708323E-2</v>
      </c>
      <c r="S84" s="673">
        <f t="shared" si="6"/>
        <v>0</v>
      </c>
      <c r="T84" s="673">
        <f t="shared" si="7"/>
        <v>0</v>
      </c>
      <c r="U84" s="673">
        <f t="shared" si="8"/>
        <v>0</v>
      </c>
      <c r="V84" s="674">
        <f t="shared" si="9"/>
        <v>1</v>
      </c>
      <c r="W84" s="658"/>
      <c r="X84" s="658">
        <f>IF(E84="per animal",D84,D84/G5)</f>
        <v>25</v>
      </c>
      <c r="Y84" s="661">
        <f>G5-G62+O63-O62</f>
        <v>70</v>
      </c>
      <c r="Z84" s="658">
        <f>X84*Y84</f>
        <v>1750</v>
      </c>
    </row>
    <row r="85" spans="2:26">
      <c r="B85" s="775" t="s">
        <v>82</v>
      </c>
      <c r="C85" s="776"/>
      <c r="D85" s="706">
        <v>25</v>
      </c>
      <c r="E85" s="725" t="s">
        <v>61</v>
      </c>
      <c r="F85" s="773"/>
      <c r="G85" s="773"/>
      <c r="H85" s="773"/>
      <c r="I85" s="773"/>
      <c r="J85" s="774"/>
      <c r="K85" s="403"/>
      <c r="L85" s="324"/>
      <c r="M85" s="325"/>
      <c r="O85" s="658"/>
      <c r="P85" s="673">
        <f t="shared" si="3"/>
        <v>0</v>
      </c>
      <c r="Q85" s="673">
        <f t="shared" si="4"/>
        <v>0.94448472991029175</v>
      </c>
      <c r="R85" s="673">
        <f t="shared" si="5"/>
        <v>5.5515270089708323E-2</v>
      </c>
      <c r="S85" s="673">
        <f t="shared" si="6"/>
        <v>0</v>
      </c>
      <c r="T85" s="673">
        <f t="shared" si="7"/>
        <v>0</v>
      </c>
      <c r="U85" s="673">
        <f t="shared" si="8"/>
        <v>0</v>
      </c>
      <c r="V85" s="674">
        <f t="shared" si="9"/>
        <v>1</v>
      </c>
      <c r="W85" s="658"/>
      <c r="X85" s="658">
        <f>IF(E85="per animal",D85,D85/(G17/G19*(1-G20)))</f>
        <v>25</v>
      </c>
      <c r="Y85" s="658">
        <f>IF(G19=0,0,G17/G19*(1-G20))</f>
        <v>5.9399999999999995</v>
      </c>
      <c r="Z85" s="658">
        <f t="shared" ref="Z85:Z91" si="10">X85*Y85</f>
        <v>148.5</v>
      </c>
    </row>
    <row r="86" spans="2:26">
      <c r="B86" s="775" t="s">
        <v>189</v>
      </c>
      <c r="C86" s="776"/>
      <c r="D86" s="706">
        <v>25</v>
      </c>
      <c r="E86" s="725" t="s">
        <v>61</v>
      </c>
      <c r="F86" s="773"/>
      <c r="G86" s="773"/>
      <c r="H86" s="773"/>
      <c r="I86" s="773"/>
      <c r="J86" s="774"/>
      <c r="K86" s="403"/>
      <c r="L86" s="324"/>
      <c r="M86" s="325"/>
      <c r="O86" s="658"/>
      <c r="P86" s="673">
        <f t="shared" si="3"/>
        <v>0</v>
      </c>
      <c r="Q86" s="673">
        <f t="shared" si="4"/>
        <v>0.94448472991029175</v>
      </c>
      <c r="R86" s="673">
        <f t="shared" si="5"/>
        <v>5.5515270089708323E-2</v>
      </c>
      <c r="S86" s="673">
        <f t="shared" si="6"/>
        <v>0</v>
      </c>
      <c r="T86" s="673">
        <f t="shared" si="7"/>
        <v>0</v>
      </c>
      <c r="U86" s="673">
        <f t="shared" si="8"/>
        <v>0</v>
      </c>
      <c r="V86" s="674">
        <f t="shared" si="9"/>
        <v>1</v>
      </c>
      <c r="W86" s="658"/>
      <c r="X86" s="658">
        <f>IF(E86="per animal",D86,D86/G9)</f>
        <v>25</v>
      </c>
      <c r="Y86" s="661">
        <f>G9</f>
        <v>0</v>
      </c>
      <c r="Z86" s="658">
        <f t="shared" si="10"/>
        <v>0</v>
      </c>
    </row>
    <row r="87" spans="2:26">
      <c r="B87" s="775" t="s">
        <v>93</v>
      </c>
      <c r="C87" s="776"/>
      <c r="D87" s="706">
        <v>20</v>
      </c>
      <c r="E87" s="725" t="s">
        <v>61</v>
      </c>
      <c r="F87" s="773"/>
      <c r="G87" s="773"/>
      <c r="H87" s="773"/>
      <c r="I87" s="773"/>
      <c r="J87" s="774"/>
      <c r="K87" s="403"/>
      <c r="L87" s="324"/>
      <c r="M87" s="325"/>
      <c r="O87" s="658"/>
      <c r="P87" s="673">
        <f t="shared" si="3"/>
        <v>0</v>
      </c>
      <c r="Q87" s="673">
        <f t="shared" si="4"/>
        <v>0.94448472991029175</v>
      </c>
      <c r="R87" s="673">
        <f t="shared" si="5"/>
        <v>5.5515270089708323E-2</v>
      </c>
      <c r="S87" s="673">
        <f t="shared" si="6"/>
        <v>0</v>
      </c>
      <c r="T87" s="673">
        <f t="shared" si="7"/>
        <v>0</v>
      </c>
      <c r="U87" s="673">
        <f t="shared" si="8"/>
        <v>0</v>
      </c>
      <c r="V87" s="674">
        <f t="shared" si="9"/>
        <v>1</v>
      </c>
      <c r="W87" s="658"/>
      <c r="X87" s="658">
        <f>IF(E87="per animal",D87,D87/(G23))</f>
        <v>20</v>
      </c>
      <c r="Y87" s="661">
        <f>Q8+O9-G32-G35-G9</f>
        <v>0</v>
      </c>
      <c r="Z87" s="658">
        <f t="shared" si="10"/>
        <v>0</v>
      </c>
    </row>
    <row r="88" spans="2:26">
      <c r="B88" s="775" t="s">
        <v>280</v>
      </c>
      <c r="C88" s="776"/>
      <c r="D88" s="706">
        <v>25</v>
      </c>
      <c r="E88" s="725" t="s">
        <v>61</v>
      </c>
      <c r="F88" s="773"/>
      <c r="G88" s="773"/>
      <c r="H88" s="773"/>
      <c r="I88" s="773"/>
      <c r="J88" s="774"/>
      <c r="K88" s="403"/>
      <c r="L88" s="324"/>
      <c r="M88" s="325"/>
      <c r="O88" s="658"/>
      <c r="P88" s="673">
        <f t="shared" si="3"/>
        <v>0</v>
      </c>
      <c r="Q88" s="673">
        <f t="shared" si="4"/>
        <v>0.94448472991029175</v>
      </c>
      <c r="R88" s="673">
        <f t="shared" si="5"/>
        <v>5.5515270089708323E-2</v>
      </c>
      <c r="S88" s="673">
        <f t="shared" si="6"/>
        <v>0</v>
      </c>
      <c r="T88" s="673">
        <f t="shared" si="7"/>
        <v>0</v>
      </c>
      <c r="U88" s="673">
        <f t="shared" si="8"/>
        <v>0</v>
      </c>
      <c r="V88" s="674">
        <f t="shared" si="9"/>
        <v>1</v>
      </c>
      <c r="W88" s="658"/>
      <c r="X88" s="658">
        <f>IF(E88="per animal",D88,D88/(O36+O33))</f>
        <v>25</v>
      </c>
      <c r="Y88" s="661">
        <f>O33+O36-G42-G45</f>
        <v>466</v>
      </c>
      <c r="Z88" s="658">
        <f t="shared" si="10"/>
        <v>11650</v>
      </c>
    </row>
    <row r="89" spans="2:26">
      <c r="B89" s="775" t="s">
        <v>276</v>
      </c>
      <c r="C89" s="776"/>
      <c r="D89" s="706">
        <v>0</v>
      </c>
      <c r="E89" s="725" t="s">
        <v>61</v>
      </c>
      <c r="F89" s="773"/>
      <c r="G89" s="773"/>
      <c r="H89" s="773"/>
      <c r="I89" s="773"/>
      <c r="J89" s="774"/>
      <c r="K89" s="403"/>
      <c r="L89" s="324"/>
      <c r="M89" s="325"/>
      <c r="O89" s="658"/>
      <c r="P89" s="673">
        <f t="shared" si="3"/>
        <v>0</v>
      </c>
      <c r="Q89" s="673">
        <f t="shared" si="4"/>
        <v>0</v>
      </c>
      <c r="R89" s="673">
        <f t="shared" si="5"/>
        <v>0</v>
      </c>
      <c r="S89" s="673">
        <f t="shared" si="6"/>
        <v>0</v>
      </c>
      <c r="T89" s="673">
        <f t="shared" si="7"/>
        <v>0</v>
      </c>
      <c r="U89" s="673">
        <f t="shared" si="8"/>
        <v>0</v>
      </c>
      <c r="V89" s="674">
        <f t="shared" si="9"/>
        <v>0</v>
      </c>
      <c r="W89" s="658"/>
      <c r="X89" s="658">
        <f>IF(E89="per animal",D89,D89/(O46+O43))</f>
        <v>0</v>
      </c>
      <c r="Y89" s="661">
        <f>O43+O46-G52-G55</f>
        <v>0</v>
      </c>
      <c r="Z89" s="658">
        <f t="shared" si="10"/>
        <v>0</v>
      </c>
    </row>
    <row r="90" spans="2:26">
      <c r="B90" s="775" t="s">
        <v>170</v>
      </c>
      <c r="C90" s="776"/>
      <c r="D90" s="706">
        <v>0</v>
      </c>
      <c r="E90" s="725" t="s">
        <v>61</v>
      </c>
      <c r="F90" s="773"/>
      <c r="G90" s="773"/>
      <c r="H90" s="773"/>
      <c r="I90" s="773"/>
      <c r="J90" s="774"/>
      <c r="K90" s="403"/>
      <c r="L90" s="324"/>
      <c r="M90" s="325"/>
      <c r="O90" s="658"/>
      <c r="P90" s="673">
        <f t="shared" si="3"/>
        <v>0</v>
      </c>
      <c r="Q90" s="673">
        <f t="shared" si="4"/>
        <v>0</v>
      </c>
      <c r="R90" s="673">
        <f t="shared" si="5"/>
        <v>0</v>
      </c>
      <c r="S90" s="673">
        <f t="shared" si="6"/>
        <v>0</v>
      </c>
      <c r="T90" s="673">
        <f t="shared" si="7"/>
        <v>0</v>
      </c>
      <c r="U90" s="673">
        <f t="shared" si="8"/>
        <v>0</v>
      </c>
      <c r="V90" s="674">
        <f t="shared" si="9"/>
        <v>0</v>
      </c>
      <c r="W90" s="658"/>
      <c r="X90" s="658">
        <f>IF(E90="per animal",D90,D90/(O56+O53))</f>
        <v>0</v>
      </c>
      <c r="Y90" s="661">
        <f>O53+O56</f>
        <v>0</v>
      </c>
      <c r="Z90" s="658">
        <f t="shared" si="10"/>
        <v>0</v>
      </c>
    </row>
    <row r="91" spans="2:26">
      <c r="B91" s="777" t="s">
        <v>273</v>
      </c>
      <c r="C91" s="778"/>
      <c r="D91" s="706">
        <v>3280</v>
      </c>
      <c r="E91" s="725" t="s">
        <v>60</v>
      </c>
      <c r="F91" s="713">
        <v>1</v>
      </c>
      <c r="G91" s="713"/>
      <c r="H91" s="713"/>
      <c r="I91" s="713"/>
      <c r="J91" s="463"/>
      <c r="K91" s="403" t="str">
        <f t="shared" si="2"/>
        <v/>
      </c>
      <c r="L91" s="324"/>
      <c r="M91" s="325"/>
      <c r="O91" s="658"/>
      <c r="P91" s="673">
        <f t="shared" si="3"/>
        <v>1</v>
      </c>
      <c r="Q91" s="673">
        <f t="shared" si="4"/>
        <v>1</v>
      </c>
      <c r="R91" s="673">
        <f t="shared" si="5"/>
        <v>0</v>
      </c>
      <c r="S91" s="673">
        <f t="shared" si="6"/>
        <v>0</v>
      </c>
      <c r="T91" s="673">
        <f t="shared" si="7"/>
        <v>0</v>
      </c>
      <c r="U91" s="673">
        <f>IF($D91=0,0,IF(J91="",U$75/(IF($F91="",$Q$75,0)+IF($G91="",$R$75,0)+IF($H91="",$S$75,0)+IF($I91="",$T$75,0)+IF($J91="",$U$75,0))*(1-$P91),J91))</f>
        <v>0</v>
      </c>
      <c r="V91" s="674">
        <f t="shared" si="9"/>
        <v>1</v>
      </c>
      <c r="W91" s="658"/>
      <c r="X91" s="658"/>
      <c r="Y91" s="659"/>
      <c r="Z91" s="658">
        <f t="shared" si="10"/>
        <v>0</v>
      </c>
    </row>
    <row r="92" spans="2:26">
      <c r="B92" s="777"/>
      <c r="C92" s="778"/>
      <c r="D92" s="400"/>
      <c r="E92" s="725"/>
      <c r="F92" s="713"/>
      <c r="G92" s="713"/>
      <c r="H92" s="713"/>
      <c r="I92" s="713"/>
      <c r="J92" s="463"/>
      <c r="K92" s="403" t="str">
        <f t="shared" si="2"/>
        <v/>
      </c>
      <c r="L92" s="324"/>
      <c r="M92" s="325"/>
      <c r="O92" s="658"/>
      <c r="P92" s="673">
        <f t="shared" si="3"/>
        <v>0</v>
      </c>
      <c r="Q92" s="673">
        <f t="shared" si="4"/>
        <v>0</v>
      </c>
      <c r="R92" s="673">
        <f t="shared" si="5"/>
        <v>0</v>
      </c>
      <c r="S92" s="673">
        <f t="shared" si="6"/>
        <v>0</v>
      </c>
      <c r="T92" s="673">
        <f t="shared" si="7"/>
        <v>0</v>
      </c>
      <c r="U92" s="673">
        <f t="shared" si="8"/>
        <v>0</v>
      </c>
      <c r="V92" s="674">
        <f t="shared" si="9"/>
        <v>0</v>
      </c>
      <c r="W92" s="658"/>
      <c r="X92" s="658"/>
      <c r="Y92" s="659"/>
      <c r="Z92" s="659"/>
    </row>
    <row r="93" spans="2:26">
      <c r="B93" s="777"/>
      <c r="C93" s="778"/>
      <c r="D93" s="400"/>
      <c r="E93" s="725"/>
      <c r="F93" s="713"/>
      <c r="G93" s="713"/>
      <c r="H93" s="713"/>
      <c r="I93" s="713"/>
      <c r="J93" s="463"/>
      <c r="K93" s="403" t="str">
        <f t="shared" si="2"/>
        <v/>
      </c>
      <c r="L93" s="324"/>
      <c r="M93" s="325"/>
      <c r="O93" s="658"/>
      <c r="P93" s="673">
        <f t="shared" si="3"/>
        <v>0</v>
      </c>
      <c r="Q93" s="673">
        <f t="shared" si="4"/>
        <v>0</v>
      </c>
      <c r="R93" s="673">
        <f t="shared" si="5"/>
        <v>0</v>
      </c>
      <c r="S93" s="673">
        <f t="shared" si="6"/>
        <v>0</v>
      </c>
      <c r="T93" s="673">
        <f t="shared" si="7"/>
        <v>0</v>
      </c>
      <c r="U93" s="673">
        <f t="shared" si="8"/>
        <v>0</v>
      </c>
      <c r="V93" s="674">
        <f t="shared" si="9"/>
        <v>0</v>
      </c>
      <c r="W93" s="658"/>
      <c r="X93" s="658"/>
      <c r="Y93" s="659"/>
      <c r="Z93" s="659"/>
    </row>
    <row r="94" spans="2:26">
      <c r="B94" s="777"/>
      <c r="C94" s="778"/>
      <c r="D94" s="400"/>
      <c r="E94" s="725"/>
      <c r="F94" s="713"/>
      <c r="G94" s="713"/>
      <c r="H94" s="713"/>
      <c r="I94" s="713"/>
      <c r="J94" s="463"/>
      <c r="K94" s="403" t="str">
        <f t="shared" si="2"/>
        <v/>
      </c>
      <c r="L94" s="324"/>
      <c r="M94" s="325"/>
      <c r="O94" s="658"/>
      <c r="P94" s="673">
        <f t="shared" si="3"/>
        <v>0</v>
      </c>
      <c r="Q94" s="673">
        <f t="shared" si="4"/>
        <v>0</v>
      </c>
      <c r="R94" s="673">
        <f t="shared" si="5"/>
        <v>0</v>
      </c>
      <c r="S94" s="673">
        <f t="shared" si="6"/>
        <v>0</v>
      </c>
      <c r="T94" s="673">
        <f t="shared" si="7"/>
        <v>0</v>
      </c>
      <c r="U94" s="673">
        <f t="shared" si="8"/>
        <v>0</v>
      </c>
      <c r="V94" s="674">
        <f t="shared" si="9"/>
        <v>0</v>
      </c>
      <c r="W94" s="658"/>
      <c r="X94" s="658"/>
      <c r="Y94" s="659"/>
      <c r="Z94" s="659"/>
    </row>
    <row r="95" spans="2:26" ht="13.5" thickBot="1">
      <c r="B95" s="779"/>
      <c r="C95" s="780"/>
      <c r="D95" s="401"/>
      <c r="E95" s="464"/>
      <c r="F95" s="323"/>
      <c r="G95" s="323"/>
      <c r="H95" s="323"/>
      <c r="I95" s="323"/>
      <c r="J95" s="465"/>
      <c r="K95" s="403" t="str">
        <f t="shared" si="2"/>
        <v/>
      </c>
      <c r="L95" s="324"/>
      <c r="M95" s="325"/>
      <c r="O95" s="658"/>
      <c r="P95" s="673">
        <f t="shared" si="3"/>
        <v>0</v>
      </c>
      <c r="Q95" s="673">
        <f t="shared" si="4"/>
        <v>0</v>
      </c>
      <c r="R95" s="673">
        <f t="shared" si="5"/>
        <v>0</v>
      </c>
      <c r="S95" s="673">
        <f t="shared" si="6"/>
        <v>0</v>
      </c>
      <c r="T95" s="673">
        <f t="shared" si="7"/>
        <v>0</v>
      </c>
      <c r="U95" s="673">
        <f t="shared" si="8"/>
        <v>0</v>
      </c>
      <c r="V95" s="674">
        <f t="shared" si="9"/>
        <v>0</v>
      </c>
      <c r="W95" s="658"/>
      <c r="X95" s="658"/>
      <c r="Y95" s="659"/>
      <c r="Z95" s="659"/>
    </row>
    <row r="96" spans="2:26" ht="13.5" thickBot="1">
      <c r="B96" s="5"/>
      <c r="C96" s="5"/>
      <c r="D96" s="5"/>
      <c r="E96" s="5"/>
      <c r="F96" s="5"/>
      <c r="G96" s="5"/>
      <c r="H96" s="5"/>
      <c r="I96" s="5"/>
      <c r="J96" s="324"/>
      <c r="K96" s="325"/>
      <c r="L96" s="325"/>
      <c r="M96" s="325"/>
      <c r="O96" s="658"/>
      <c r="P96" s="663"/>
      <c r="Q96" s="663"/>
      <c r="R96" s="663"/>
      <c r="S96" s="658"/>
      <c r="T96" s="658"/>
      <c r="U96" s="658"/>
      <c r="V96" s="658"/>
      <c r="W96" s="658"/>
      <c r="X96" s="658"/>
      <c r="Y96" s="659"/>
      <c r="Z96" s="659"/>
    </row>
    <row r="97" spans="2:26" ht="24" customHeight="1" thickBot="1">
      <c r="B97" s="14" t="s">
        <v>13</v>
      </c>
      <c r="C97" s="291"/>
      <c r="D97" s="15"/>
      <c r="E97" s="15"/>
      <c r="F97" s="15"/>
      <c r="G97" s="16"/>
      <c r="H97" s="782" t="s">
        <v>221</v>
      </c>
      <c r="I97" s="783"/>
      <c r="J97" s="783"/>
      <c r="K97" s="783"/>
      <c r="L97" s="783"/>
      <c r="M97" s="325"/>
      <c r="O97" s="658"/>
      <c r="P97" s="658"/>
      <c r="Q97" s="658"/>
      <c r="R97" s="658"/>
      <c r="S97" s="658"/>
      <c r="T97" s="658"/>
      <c r="U97" s="658"/>
      <c r="V97" s="658"/>
      <c r="W97" s="658"/>
      <c r="X97" s="658"/>
      <c r="Y97" s="659"/>
      <c r="Z97" s="659"/>
    </row>
    <row r="98" spans="2:26" ht="51.75" thickBot="1">
      <c r="B98" s="318" t="s">
        <v>146</v>
      </c>
      <c r="C98" s="290"/>
      <c r="D98" s="11" t="s">
        <v>123</v>
      </c>
      <c r="E98" s="11" t="s">
        <v>124</v>
      </c>
      <c r="F98" s="11" t="s">
        <v>225</v>
      </c>
      <c r="G98" s="17" t="s">
        <v>14</v>
      </c>
      <c r="H98" s="11" t="s">
        <v>222</v>
      </c>
      <c r="I98" s="11" t="s">
        <v>239</v>
      </c>
      <c r="J98" s="11" t="s">
        <v>223</v>
      </c>
      <c r="K98" s="11" t="s">
        <v>224</v>
      </c>
      <c r="L98" s="12" t="s">
        <v>238</v>
      </c>
      <c r="M98" s="325"/>
      <c r="O98" s="658"/>
      <c r="P98" s="658"/>
      <c r="Q98" s="671" t="s">
        <v>174</v>
      </c>
      <c r="R98" s="672" t="s">
        <v>178</v>
      </c>
      <c r="S98" s="672" t="s">
        <v>175</v>
      </c>
      <c r="T98" s="672" t="s">
        <v>176</v>
      </c>
      <c r="U98" s="658" t="s">
        <v>230</v>
      </c>
      <c r="V98" s="671" t="s">
        <v>31</v>
      </c>
      <c r="W98" s="658"/>
      <c r="X98" s="658"/>
      <c r="Y98" s="659"/>
      <c r="Z98" s="659"/>
    </row>
    <row r="99" spans="2:26" ht="13.5" thickTop="1">
      <c r="B99" s="784" t="s">
        <v>261</v>
      </c>
      <c r="C99" s="785"/>
      <c r="D99" s="708">
        <v>100000</v>
      </c>
      <c r="E99" s="707">
        <v>50000</v>
      </c>
      <c r="F99" s="709">
        <v>20</v>
      </c>
      <c r="G99" s="710">
        <v>2000</v>
      </c>
      <c r="H99" s="13">
        <v>1</v>
      </c>
      <c r="I99" s="13"/>
      <c r="J99" s="13"/>
      <c r="K99" s="13"/>
      <c r="L99" s="320"/>
      <c r="M99" s="348" t="str">
        <f t="shared" ref="M99:M108" si="11">IF(SUM(H99:K99)&gt;1,"Totals over 100%",IF(COUNTBLANK(H99:K99)=0,IF(SUM(H99:K99)&lt;1,"Totals less than 100%",""),""))</f>
        <v/>
      </c>
      <c r="O99" s="658"/>
      <c r="P99" s="673">
        <f>SUM(H99:L99)</f>
        <v>1</v>
      </c>
      <c r="Q99" s="673">
        <f>IFERROR(IF(H99="",Q$75/(IF($H99="",$Q$75,0)+IF($I99="",$R$75,0)+IF($J99="",$S$75,0)+IF($K99="",$T$75,0)+IF($L99="",$U$75,0))*(1-$P99),H99),0)</f>
        <v>1</v>
      </c>
      <c r="R99" s="673">
        <f t="shared" ref="R99:V99" si="12">IFERROR(IF(I99="",R$75/(IF($H99="",$Q$75,0)+IF($I99="",$R$75,0)+IF($J99="",$S$75,0)+IF($K99="",$T$75,0)+IF($L99="",$U$75,0))*(1-$P99),I99),0)</f>
        <v>0</v>
      </c>
      <c r="S99" s="673">
        <f t="shared" si="12"/>
        <v>0</v>
      </c>
      <c r="T99" s="673">
        <f t="shared" si="12"/>
        <v>0</v>
      </c>
      <c r="U99" s="673">
        <f t="shared" si="12"/>
        <v>0</v>
      </c>
      <c r="V99" s="673">
        <f t="shared" si="12"/>
        <v>0</v>
      </c>
      <c r="W99" s="658"/>
      <c r="X99" s="658"/>
      <c r="Y99" s="659"/>
      <c r="Z99" s="659"/>
    </row>
    <row r="100" spans="2:26">
      <c r="B100" s="756" t="s">
        <v>268</v>
      </c>
      <c r="C100" s="757"/>
      <c r="D100" s="711">
        <v>150000</v>
      </c>
      <c r="E100" s="717">
        <v>60000</v>
      </c>
      <c r="F100" s="712">
        <v>10</v>
      </c>
      <c r="G100" s="717">
        <v>2000</v>
      </c>
      <c r="H100" s="713">
        <v>1</v>
      </c>
      <c r="I100" s="713"/>
      <c r="J100" s="713"/>
      <c r="K100" s="713"/>
      <c r="L100" s="463"/>
      <c r="M100" s="348" t="str">
        <f t="shared" si="11"/>
        <v/>
      </c>
      <c r="O100" s="658"/>
      <c r="P100" s="673">
        <f t="shared" ref="P100:P108" si="13">SUM(H100:L100)</f>
        <v>1</v>
      </c>
      <c r="Q100" s="673">
        <f t="shared" ref="Q100:Q108" si="14">IFERROR(IF(H100="",Q$75/(IF($H100="",$Q$75,0)+IF($I100="",$R$75,0)+IF($J100="",$S$75,0)+IF($K100="",$T$75,0)+IF($L100="",$U$75,0))*(1-$P100),H100),0)</f>
        <v>1</v>
      </c>
      <c r="R100" s="673">
        <f t="shared" ref="R100:R108" si="15">IFERROR(IF(I100="",R$75/(IF($H100="",$Q$75,0)+IF($I100="",$R$75,0)+IF($J100="",$S$75,0)+IF($K100="",$T$75,0)+IF($L100="",$U$75,0))*(1-$P100),I100),0)</f>
        <v>0</v>
      </c>
      <c r="S100" s="673">
        <f t="shared" ref="S100:S108" si="16">IFERROR(IF(J100="",S$75/(IF($H100="",$Q$75,0)+IF($I100="",$R$75,0)+IF($J100="",$S$75,0)+IF($K100="",$T$75,0)+IF($L100="",$U$75,0))*(1-$P100),J100),0)</f>
        <v>0</v>
      </c>
      <c r="T100" s="673">
        <f t="shared" ref="T100:T108" si="17">IFERROR(IF(K100="",T$75/(IF($H100="",$Q$75,0)+IF($I100="",$R$75,0)+IF($J100="",$S$75,0)+IF($K100="",$T$75,0)+IF($L100="",$U$75,0))*(1-$P100),K100),0)</f>
        <v>0</v>
      </c>
      <c r="U100" s="673">
        <f t="shared" ref="U100:U108" si="18">IFERROR(IF(L100="",U$75/(IF($H100="",$Q$75,0)+IF($I100="",$R$75,0)+IF($J100="",$S$75,0)+IF($K100="",$T$75,0)+IF($L100="",$U$75,0))*(1-$P100),L100),0)</f>
        <v>0</v>
      </c>
      <c r="V100" s="673">
        <f t="shared" ref="V100:V108" si="19">IFERROR(IF(M100="",V$75/(IF($H100="",$Q$75,0)+IF($I100="",$R$75,0)+IF($J100="",$S$75,0)+IF($K100="",$T$75,0)+IF($L100="",$U$75,0))*(1-$P100),M100),0)</f>
        <v>0</v>
      </c>
      <c r="W100" s="658"/>
      <c r="X100" s="658"/>
      <c r="Y100" s="659"/>
      <c r="Z100" s="659"/>
    </row>
    <row r="101" spans="2:26">
      <c r="B101" s="777" t="s">
        <v>258</v>
      </c>
      <c r="C101" s="778"/>
      <c r="D101" s="711">
        <v>35000</v>
      </c>
      <c r="E101" s="717">
        <v>15000</v>
      </c>
      <c r="F101" s="712">
        <v>7</v>
      </c>
      <c r="G101" s="717">
        <v>1200</v>
      </c>
      <c r="H101" s="713">
        <v>1</v>
      </c>
      <c r="I101" s="713"/>
      <c r="J101" s="713"/>
      <c r="K101" s="713"/>
      <c r="L101" s="463"/>
      <c r="M101" s="348" t="str">
        <f t="shared" si="11"/>
        <v/>
      </c>
      <c r="O101" s="658"/>
      <c r="P101" s="673">
        <f t="shared" si="13"/>
        <v>1</v>
      </c>
      <c r="Q101" s="673">
        <f t="shared" si="14"/>
        <v>1</v>
      </c>
      <c r="R101" s="673">
        <f t="shared" si="15"/>
        <v>0</v>
      </c>
      <c r="S101" s="673">
        <f t="shared" si="16"/>
        <v>0</v>
      </c>
      <c r="T101" s="673">
        <f t="shared" si="17"/>
        <v>0</v>
      </c>
      <c r="U101" s="673">
        <f t="shared" si="18"/>
        <v>0</v>
      </c>
      <c r="V101" s="673">
        <f t="shared" si="19"/>
        <v>0</v>
      </c>
      <c r="W101" s="658"/>
      <c r="X101" s="658"/>
      <c r="Y101" s="659"/>
      <c r="Z101" s="659"/>
    </row>
    <row r="102" spans="2:26">
      <c r="B102" s="777"/>
      <c r="C102" s="778"/>
      <c r="D102" s="197"/>
      <c r="E102" s="198"/>
      <c r="F102" s="206"/>
      <c r="G102" s="198"/>
      <c r="H102" s="322"/>
      <c r="I102" s="322"/>
      <c r="J102" s="322"/>
      <c r="K102" s="322"/>
      <c r="L102" s="463"/>
      <c r="M102" s="348" t="str">
        <f t="shared" si="11"/>
        <v/>
      </c>
      <c r="O102" s="658"/>
      <c r="P102" s="673">
        <f t="shared" si="13"/>
        <v>0</v>
      </c>
      <c r="Q102" s="673">
        <f t="shared" si="14"/>
        <v>0.94448472991029175</v>
      </c>
      <c r="R102" s="673">
        <f t="shared" si="15"/>
        <v>5.5515270089708323E-2</v>
      </c>
      <c r="S102" s="673">
        <f t="shared" si="16"/>
        <v>0</v>
      </c>
      <c r="T102" s="673">
        <f t="shared" si="17"/>
        <v>0</v>
      </c>
      <c r="U102" s="673">
        <f t="shared" si="18"/>
        <v>0</v>
      </c>
      <c r="V102" s="673">
        <f t="shared" si="19"/>
        <v>0</v>
      </c>
      <c r="W102" s="658"/>
      <c r="X102" s="658"/>
      <c r="Y102" s="659"/>
      <c r="Z102" s="659"/>
    </row>
    <row r="103" spans="2:26">
      <c r="B103" s="777"/>
      <c r="C103" s="778"/>
      <c r="D103" s="197"/>
      <c r="E103" s="198"/>
      <c r="F103" s="206"/>
      <c r="G103" s="198"/>
      <c r="H103" s="322"/>
      <c r="I103" s="322"/>
      <c r="J103" s="322"/>
      <c r="K103" s="322"/>
      <c r="L103" s="463"/>
      <c r="M103" s="348" t="str">
        <f t="shared" si="11"/>
        <v/>
      </c>
      <c r="O103" s="658"/>
      <c r="P103" s="673">
        <f t="shared" si="13"/>
        <v>0</v>
      </c>
      <c r="Q103" s="673">
        <f t="shared" si="14"/>
        <v>0.94448472991029175</v>
      </c>
      <c r="R103" s="673">
        <f t="shared" si="15"/>
        <v>5.5515270089708323E-2</v>
      </c>
      <c r="S103" s="673">
        <f t="shared" si="16"/>
        <v>0</v>
      </c>
      <c r="T103" s="673">
        <f t="shared" si="17"/>
        <v>0</v>
      </c>
      <c r="U103" s="673">
        <f t="shared" si="18"/>
        <v>0</v>
      </c>
      <c r="V103" s="673">
        <f t="shared" si="19"/>
        <v>0</v>
      </c>
      <c r="W103" s="658"/>
      <c r="X103" s="658"/>
      <c r="Y103" s="659"/>
      <c r="Z103" s="659"/>
    </row>
    <row r="104" spans="2:26">
      <c r="B104" s="777"/>
      <c r="C104" s="778"/>
      <c r="D104" s="198"/>
      <c r="E104" s="198"/>
      <c r="F104" s="206"/>
      <c r="G104" s="198"/>
      <c r="H104" s="322"/>
      <c r="I104" s="322"/>
      <c r="J104" s="322"/>
      <c r="K104" s="322"/>
      <c r="L104" s="463"/>
      <c r="M104" s="348" t="str">
        <f t="shared" si="11"/>
        <v/>
      </c>
      <c r="O104" s="658"/>
      <c r="P104" s="673">
        <f t="shared" si="13"/>
        <v>0</v>
      </c>
      <c r="Q104" s="673">
        <f t="shared" si="14"/>
        <v>0.94448472991029175</v>
      </c>
      <c r="R104" s="673">
        <f t="shared" si="15"/>
        <v>5.5515270089708323E-2</v>
      </c>
      <c r="S104" s="673">
        <f t="shared" si="16"/>
        <v>0</v>
      </c>
      <c r="T104" s="673">
        <f t="shared" si="17"/>
        <v>0</v>
      </c>
      <c r="U104" s="673">
        <f t="shared" si="18"/>
        <v>0</v>
      </c>
      <c r="V104" s="673">
        <f t="shared" si="19"/>
        <v>0</v>
      </c>
      <c r="W104" s="658"/>
      <c r="X104" s="658"/>
      <c r="Y104" s="659"/>
      <c r="Z104" s="659"/>
    </row>
    <row r="105" spans="2:26">
      <c r="B105" s="777"/>
      <c r="C105" s="778"/>
      <c r="D105" s="198"/>
      <c r="E105" s="198"/>
      <c r="F105" s="206"/>
      <c r="G105" s="2"/>
      <c r="H105" s="322"/>
      <c r="I105" s="322"/>
      <c r="J105" s="322"/>
      <c r="K105" s="322"/>
      <c r="L105" s="463"/>
      <c r="M105" s="348" t="str">
        <f t="shared" si="11"/>
        <v/>
      </c>
      <c r="O105" s="658"/>
      <c r="P105" s="673">
        <f t="shared" si="13"/>
        <v>0</v>
      </c>
      <c r="Q105" s="673">
        <f t="shared" si="14"/>
        <v>0.94448472991029175</v>
      </c>
      <c r="R105" s="673">
        <f t="shared" si="15"/>
        <v>5.5515270089708323E-2</v>
      </c>
      <c r="S105" s="673">
        <f t="shared" si="16"/>
        <v>0</v>
      </c>
      <c r="T105" s="673">
        <f t="shared" si="17"/>
        <v>0</v>
      </c>
      <c r="U105" s="673">
        <f t="shared" si="18"/>
        <v>0</v>
      </c>
      <c r="V105" s="673">
        <f t="shared" si="19"/>
        <v>0</v>
      </c>
      <c r="W105" s="658"/>
      <c r="X105" s="658"/>
      <c r="Y105" s="659"/>
      <c r="Z105" s="659"/>
    </row>
    <row r="106" spans="2:26">
      <c r="B106" s="777"/>
      <c r="C106" s="778"/>
      <c r="D106" s="198"/>
      <c r="E106" s="198"/>
      <c r="F106" s="206"/>
      <c r="G106" s="2"/>
      <c r="H106" s="322"/>
      <c r="I106" s="322"/>
      <c r="J106" s="322"/>
      <c r="K106" s="322"/>
      <c r="L106" s="463"/>
      <c r="M106" s="348" t="str">
        <f t="shared" si="11"/>
        <v/>
      </c>
      <c r="O106" s="658"/>
      <c r="P106" s="673">
        <f t="shared" si="13"/>
        <v>0</v>
      </c>
      <c r="Q106" s="673">
        <f t="shared" si="14"/>
        <v>0.94448472991029175</v>
      </c>
      <c r="R106" s="673">
        <f t="shared" si="15"/>
        <v>5.5515270089708323E-2</v>
      </c>
      <c r="S106" s="673">
        <f t="shared" si="16"/>
        <v>0</v>
      </c>
      <c r="T106" s="673">
        <f t="shared" si="17"/>
        <v>0</v>
      </c>
      <c r="U106" s="673">
        <f t="shared" si="18"/>
        <v>0</v>
      </c>
      <c r="V106" s="673">
        <f t="shared" si="19"/>
        <v>0</v>
      </c>
      <c r="W106" s="658"/>
      <c r="X106" s="658"/>
      <c r="Y106" s="659"/>
      <c r="Z106" s="659"/>
    </row>
    <row r="107" spans="2:26">
      <c r="B107" s="777"/>
      <c r="C107" s="778"/>
      <c r="D107" s="198"/>
      <c r="E107" s="198"/>
      <c r="F107" s="206"/>
      <c r="G107" s="2"/>
      <c r="H107" s="322"/>
      <c r="I107" s="322"/>
      <c r="J107" s="322"/>
      <c r="K107" s="322"/>
      <c r="L107" s="463"/>
      <c r="M107" s="348" t="str">
        <f t="shared" si="11"/>
        <v/>
      </c>
      <c r="O107" s="658"/>
      <c r="P107" s="673">
        <f t="shared" si="13"/>
        <v>0</v>
      </c>
      <c r="Q107" s="673">
        <f t="shared" si="14"/>
        <v>0.94448472991029175</v>
      </c>
      <c r="R107" s="673">
        <f t="shared" si="15"/>
        <v>5.5515270089708323E-2</v>
      </c>
      <c r="S107" s="673">
        <f t="shared" si="16"/>
        <v>0</v>
      </c>
      <c r="T107" s="673">
        <f t="shared" si="17"/>
        <v>0</v>
      </c>
      <c r="U107" s="673">
        <f t="shared" si="18"/>
        <v>0</v>
      </c>
      <c r="V107" s="673">
        <f t="shared" si="19"/>
        <v>0</v>
      </c>
      <c r="W107" s="658"/>
      <c r="X107" s="658"/>
      <c r="Y107" s="659"/>
      <c r="Z107" s="659"/>
    </row>
    <row r="108" spans="2:26" ht="13.5" thickBot="1">
      <c r="B108" s="779"/>
      <c r="C108" s="780"/>
      <c r="D108" s="199"/>
      <c r="E108" s="199"/>
      <c r="F108" s="1"/>
      <c r="G108" s="3"/>
      <c r="H108" s="323"/>
      <c r="I108" s="323"/>
      <c r="J108" s="323"/>
      <c r="K108" s="323"/>
      <c r="L108" s="465"/>
      <c r="M108" s="348" t="str">
        <f t="shared" si="11"/>
        <v/>
      </c>
      <c r="O108" s="658"/>
      <c r="P108" s="673">
        <f t="shared" si="13"/>
        <v>0</v>
      </c>
      <c r="Q108" s="673">
        <f t="shared" si="14"/>
        <v>0.94448472991029175</v>
      </c>
      <c r="R108" s="673">
        <f t="shared" si="15"/>
        <v>5.5515270089708323E-2</v>
      </c>
      <c r="S108" s="673">
        <f t="shared" si="16"/>
        <v>0</v>
      </c>
      <c r="T108" s="673">
        <f t="shared" si="17"/>
        <v>0</v>
      </c>
      <c r="U108" s="673">
        <f t="shared" si="18"/>
        <v>0</v>
      </c>
      <c r="V108" s="673">
        <f t="shared" si="19"/>
        <v>0</v>
      </c>
      <c r="W108" s="658"/>
      <c r="X108" s="658"/>
      <c r="Y108" s="659"/>
      <c r="Z108" s="659"/>
    </row>
    <row r="109" spans="2:26" ht="18.75" customHeight="1" thickBot="1">
      <c r="B109" s="5"/>
      <c r="C109" s="5"/>
      <c r="D109" s="5"/>
      <c r="E109" s="5"/>
      <c r="F109" s="5"/>
      <c r="G109" s="5"/>
      <c r="H109" s="200"/>
      <c r="I109" s="200"/>
      <c r="J109" s="324"/>
      <c r="K109" s="325"/>
      <c r="L109" s="325"/>
      <c r="M109" s="325"/>
      <c r="O109" s="658"/>
      <c r="P109" s="658"/>
      <c r="Q109" s="658"/>
      <c r="R109" s="658"/>
      <c r="S109" s="658"/>
      <c r="T109" s="658"/>
      <c r="U109" s="658"/>
      <c r="V109" s="658"/>
      <c r="W109" s="658"/>
      <c r="X109" s="658"/>
      <c r="Y109" s="659"/>
      <c r="Z109" s="659"/>
    </row>
    <row r="110" spans="2:26" ht="17.25" customHeight="1" thickBot="1">
      <c r="B110" s="18" t="s">
        <v>16</v>
      </c>
      <c r="C110" s="289"/>
      <c r="D110" s="19"/>
      <c r="E110" s="20"/>
      <c r="F110" s="353"/>
      <c r="G110" s="354"/>
      <c r="H110" s="354"/>
      <c r="I110" s="354"/>
      <c r="J110" s="354"/>
      <c r="K110" s="354"/>
      <c r="L110" s="354"/>
      <c r="M110" s="325"/>
      <c r="O110" s="658"/>
      <c r="P110" s="658"/>
      <c r="Q110" s="658"/>
      <c r="R110" s="658"/>
      <c r="S110" s="658"/>
      <c r="T110" s="658"/>
      <c r="U110" s="658"/>
      <c r="V110" s="658"/>
      <c r="W110" s="658"/>
      <c r="X110" s="658"/>
      <c r="Y110" s="659"/>
      <c r="Z110" s="659"/>
    </row>
    <row r="111" spans="2:26">
      <c r="B111" s="349" t="s">
        <v>17</v>
      </c>
      <c r="C111" s="350"/>
      <c r="D111" s="350"/>
      <c r="E111" s="714">
        <v>0.06</v>
      </c>
      <c r="F111" s="353"/>
      <c r="G111" s="354"/>
      <c r="H111" s="354"/>
      <c r="I111" s="354"/>
      <c r="J111" s="354"/>
      <c r="K111" s="354"/>
      <c r="L111" s="354"/>
      <c r="M111" s="325"/>
      <c r="O111" s="658"/>
      <c r="P111" s="658"/>
      <c r="Q111" s="658"/>
      <c r="R111" s="658"/>
      <c r="S111" s="658"/>
      <c r="T111" s="658"/>
      <c r="U111" s="658"/>
      <c r="V111" s="658"/>
      <c r="W111" s="658"/>
      <c r="X111" s="658"/>
      <c r="Y111" s="659"/>
      <c r="Z111" s="659"/>
    </row>
    <row r="112" spans="2:26" ht="13.5" thickBot="1">
      <c r="B112" s="351" t="s">
        <v>18</v>
      </c>
      <c r="C112" s="352"/>
      <c r="D112" s="352"/>
      <c r="E112" s="715">
        <v>0.03</v>
      </c>
      <c r="F112" s="353"/>
      <c r="G112" s="354"/>
      <c r="H112" s="354"/>
      <c r="I112" s="354"/>
      <c r="J112" s="354"/>
      <c r="K112" s="354"/>
      <c r="L112" s="354"/>
      <c r="M112" s="325"/>
      <c r="O112" s="658"/>
      <c r="P112" s="658"/>
      <c r="Q112" s="658"/>
      <c r="R112" s="658"/>
      <c r="S112" s="658"/>
      <c r="T112" s="658"/>
      <c r="U112" s="658"/>
      <c r="V112" s="658"/>
      <c r="W112" s="658"/>
      <c r="X112" s="658"/>
      <c r="Y112" s="659"/>
      <c r="Z112" s="659"/>
    </row>
    <row r="113" spans="2:26" ht="13.5" thickBot="1">
      <c r="B113" s="5"/>
      <c r="C113" s="5"/>
      <c r="D113" s="5"/>
      <c r="E113" s="5"/>
      <c r="F113" s="5"/>
      <c r="G113" s="5"/>
      <c r="H113" s="5"/>
      <c r="I113" s="5"/>
      <c r="J113" s="324"/>
      <c r="K113" s="325"/>
      <c r="L113" s="325"/>
      <c r="M113" s="325"/>
      <c r="O113" s="658"/>
      <c r="P113" s="658"/>
      <c r="Q113" s="658"/>
      <c r="R113" s="658"/>
      <c r="S113" s="658"/>
      <c r="T113" s="658"/>
      <c r="U113" s="658"/>
      <c r="V113" s="658"/>
      <c r="W113" s="658"/>
      <c r="X113" s="658"/>
      <c r="Y113" s="659"/>
      <c r="Z113" s="659"/>
    </row>
    <row r="114" spans="2:26" ht="21.75" customHeight="1" thickBot="1">
      <c r="B114" s="4" t="s">
        <v>52</v>
      </c>
      <c r="C114" s="288"/>
      <c r="D114" s="7"/>
      <c r="E114" s="7"/>
      <c r="F114" s="8"/>
      <c r="G114" s="782" t="s">
        <v>221</v>
      </c>
      <c r="H114" s="783"/>
      <c r="I114" s="783"/>
      <c r="J114" s="783"/>
      <c r="K114" s="783"/>
      <c r="L114" s="325"/>
      <c r="M114" s="325"/>
      <c r="O114" s="658"/>
      <c r="P114" s="658"/>
      <c r="Q114" s="658"/>
      <c r="R114" s="658"/>
      <c r="S114" s="658"/>
      <c r="T114" s="658"/>
      <c r="U114" s="658"/>
      <c r="V114" s="658"/>
      <c r="W114" s="658"/>
      <c r="X114" s="658"/>
      <c r="Y114" s="659"/>
      <c r="Z114" s="659"/>
    </row>
    <row r="115" spans="2:26" ht="61.5" customHeight="1" thickBot="1">
      <c r="B115" s="334" t="s">
        <v>52</v>
      </c>
      <c r="C115" s="335"/>
      <c r="D115" s="336"/>
      <c r="E115" s="339" t="s">
        <v>56</v>
      </c>
      <c r="F115" s="337"/>
      <c r="G115" s="11" t="s">
        <v>222</v>
      </c>
      <c r="H115" s="11" t="s">
        <v>239</v>
      </c>
      <c r="I115" s="11" t="s">
        <v>223</v>
      </c>
      <c r="J115" s="11" t="s">
        <v>224</v>
      </c>
      <c r="K115" s="12" t="s">
        <v>238</v>
      </c>
      <c r="L115" s="325"/>
      <c r="M115" s="325"/>
      <c r="O115" s="658"/>
      <c r="P115" s="658"/>
      <c r="Q115" s="671" t="s">
        <v>174</v>
      </c>
      <c r="R115" s="672" t="s">
        <v>178</v>
      </c>
      <c r="S115" s="672" t="s">
        <v>175</v>
      </c>
      <c r="T115" s="672" t="s">
        <v>176</v>
      </c>
      <c r="U115" s="658" t="s">
        <v>230</v>
      </c>
      <c r="V115" s="671" t="s">
        <v>31</v>
      </c>
      <c r="W115" s="658"/>
      <c r="X115" s="658"/>
      <c r="Y115" s="659"/>
      <c r="Z115" s="659"/>
    </row>
    <row r="116" spans="2:26" ht="13.5" thickTop="1">
      <c r="B116" s="349" t="s">
        <v>116</v>
      </c>
      <c r="C116" s="350"/>
      <c r="D116" s="350"/>
      <c r="E116" s="716"/>
      <c r="F116" s="333"/>
      <c r="G116" s="332"/>
      <c r="H116" s="322"/>
      <c r="I116" s="322"/>
      <c r="J116" s="322"/>
      <c r="K116" s="463"/>
      <c r="L116" s="348"/>
      <c r="M116" s="325"/>
      <c r="O116" s="658"/>
      <c r="P116" s="673">
        <f t="shared" ref="P116:P121" si="20">SUM(G116:J116)</f>
        <v>0</v>
      </c>
      <c r="Q116" s="673">
        <f>IFERROR(IF(G116="",Q$75/(IF($G116="",$Q$75,0)+IF($H116="",$R$75,0)+IF($I116="",$S$75,0)+IF($J116="",$T$75,0)+IF($K116="",$U$75,0))*(1-$P116),G116),0)</f>
        <v>0.94448472991029175</v>
      </c>
      <c r="R116" s="673">
        <f t="shared" ref="R116:V116" si="21">IFERROR(IF(H116="",R$75/(IF($G116="",$Q$75,0)+IF($H116="",$R$75,0)+IF($I116="",$S$75,0)+IF($J116="",$T$75,0)+IF($K116="",$U$75,0))*(1-$P116),H116),0)</f>
        <v>5.5515270089708323E-2</v>
      </c>
      <c r="S116" s="673">
        <f t="shared" si="21"/>
        <v>0</v>
      </c>
      <c r="T116" s="673">
        <f t="shared" si="21"/>
        <v>0</v>
      </c>
      <c r="U116" s="673">
        <f t="shared" si="21"/>
        <v>0</v>
      </c>
      <c r="V116" s="673">
        <f t="shared" si="21"/>
        <v>0</v>
      </c>
      <c r="W116" s="658"/>
      <c r="X116" s="658"/>
      <c r="Y116" s="659"/>
      <c r="Z116" s="659"/>
    </row>
    <row r="117" spans="2:26">
      <c r="B117" s="349" t="s">
        <v>271</v>
      </c>
      <c r="C117" s="350"/>
      <c r="D117" s="350"/>
      <c r="E117" s="717"/>
      <c r="F117" s="292" t="s">
        <v>20</v>
      </c>
      <c r="G117" s="332"/>
      <c r="H117" s="322"/>
      <c r="I117" s="322"/>
      <c r="J117" s="322"/>
      <c r="K117" s="463"/>
      <c r="L117" s="348"/>
      <c r="M117" s="325"/>
      <c r="O117" s="658"/>
      <c r="P117" s="673">
        <f t="shared" si="20"/>
        <v>0</v>
      </c>
      <c r="Q117" s="673">
        <f t="shared" ref="Q117:Q121" si="22">IFERROR(IF(G117="",Q$75/(IF($G117="",$Q$75,0)+IF($H117="",$R$75,0)+IF($I117="",$S$75,0)+IF($J117="",$T$75,0)+IF($K117="",$U$75,0))*(1-$P117),G117),0)</f>
        <v>0.94448472991029175</v>
      </c>
      <c r="R117" s="673">
        <f t="shared" ref="R117:R121" si="23">IFERROR(IF(H117="",R$75/(IF($G117="",$Q$75,0)+IF($H117="",$R$75,0)+IF($I117="",$S$75,0)+IF($J117="",$T$75,0)+IF($K117="",$U$75,0))*(1-$P117),H117),0)</f>
        <v>5.5515270089708323E-2</v>
      </c>
      <c r="S117" s="673">
        <f t="shared" ref="S117:S121" si="24">IFERROR(IF(I117="",S$75/(IF($G117="",$Q$75,0)+IF($H117="",$R$75,0)+IF($I117="",$S$75,0)+IF($J117="",$T$75,0)+IF($K117="",$U$75,0))*(1-$P117),I117),0)</f>
        <v>0</v>
      </c>
      <c r="T117" s="673">
        <f t="shared" ref="T117:T121" si="25">IFERROR(IF(J117="",T$75/(IF($G117="",$Q$75,0)+IF($H117="",$R$75,0)+IF($I117="",$S$75,0)+IF($J117="",$T$75,0)+IF($K117="",$U$75,0))*(1-$P117),J117),0)</f>
        <v>0</v>
      </c>
      <c r="U117" s="673">
        <f t="shared" ref="U117:U121" si="26">IFERROR(IF(K117="",U$75/(IF($G117="",$Q$75,0)+IF($H117="",$R$75,0)+IF($I117="",$S$75,0)+IF($J117="",$T$75,0)+IF($K117="",$U$75,0))*(1-$P117),K117),0)</f>
        <v>0</v>
      </c>
      <c r="V117" s="673">
        <f t="shared" ref="V117:V121" si="27">IFERROR(IF(L117="",V$75/(IF($G117="",$Q$75,0)+IF($H117="",$R$75,0)+IF($I117="",$S$75,0)+IF($J117="",$T$75,0)+IF($K117="",$U$75,0))*(1-$P117),L117),0)</f>
        <v>0</v>
      </c>
      <c r="W117" s="658"/>
      <c r="X117" s="658"/>
      <c r="Y117" s="659"/>
      <c r="Z117" s="659"/>
    </row>
    <row r="118" spans="2:26">
      <c r="B118" s="349" t="s">
        <v>21</v>
      </c>
      <c r="C118" s="350"/>
      <c r="D118" s="350"/>
      <c r="E118" s="717">
        <v>3000</v>
      </c>
      <c r="F118" s="292" t="s">
        <v>20</v>
      </c>
      <c r="G118" s="332"/>
      <c r="H118" s="322"/>
      <c r="I118" s="322"/>
      <c r="J118" s="322"/>
      <c r="K118" s="463"/>
      <c r="L118" s="348"/>
      <c r="M118" s="325"/>
      <c r="O118" s="658"/>
      <c r="P118" s="673">
        <f t="shared" si="20"/>
        <v>0</v>
      </c>
      <c r="Q118" s="673">
        <f t="shared" si="22"/>
        <v>0.94448472991029175</v>
      </c>
      <c r="R118" s="673">
        <f t="shared" si="23"/>
        <v>5.5515270089708323E-2</v>
      </c>
      <c r="S118" s="673">
        <f t="shared" si="24"/>
        <v>0</v>
      </c>
      <c r="T118" s="673">
        <f t="shared" si="25"/>
        <v>0</v>
      </c>
      <c r="U118" s="673">
        <f t="shared" si="26"/>
        <v>0</v>
      </c>
      <c r="V118" s="673">
        <f t="shared" si="27"/>
        <v>0</v>
      </c>
      <c r="W118" s="658"/>
      <c r="X118" s="658"/>
      <c r="Y118" s="659"/>
      <c r="Z118" s="659"/>
    </row>
    <row r="119" spans="2:26">
      <c r="B119" s="349" t="s">
        <v>22</v>
      </c>
      <c r="C119" s="350"/>
      <c r="D119" s="350"/>
      <c r="E119" s="717">
        <v>1500</v>
      </c>
      <c r="F119" s="292" t="s">
        <v>20</v>
      </c>
      <c r="G119" s="332"/>
      <c r="H119" s="322"/>
      <c r="I119" s="322"/>
      <c r="J119" s="322"/>
      <c r="K119" s="463"/>
      <c r="L119" s="348"/>
      <c r="M119" s="325"/>
      <c r="O119" s="658"/>
      <c r="P119" s="673">
        <f t="shared" si="20"/>
        <v>0</v>
      </c>
      <c r="Q119" s="673">
        <f t="shared" si="22"/>
        <v>0.94448472991029175</v>
      </c>
      <c r="R119" s="673">
        <f t="shared" si="23"/>
        <v>5.5515270089708323E-2</v>
      </c>
      <c r="S119" s="673">
        <f t="shared" si="24"/>
        <v>0</v>
      </c>
      <c r="T119" s="673">
        <f t="shared" si="25"/>
        <v>0</v>
      </c>
      <c r="U119" s="673">
        <f t="shared" si="26"/>
        <v>0</v>
      </c>
      <c r="V119" s="673">
        <f t="shared" si="27"/>
        <v>0</v>
      </c>
      <c r="W119" s="658"/>
      <c r="X119" s="658"/>
      <c r="Y119" s="659"/>
      <c r="Z119" s="659"/>
    </row>
    <row r="120" spans="2:26">
      <c r="B120" s="349" t="s">
        <v>23</v>
      </c>
      <c r="C120" s="350"/>
      <c r="D120" s="350"/>
      <c r="E120" s="717"/>
      <c r="F120" s="292" t="s">
        <v>20</v>
      </c>
      <c r="G120" s="332"/>
      <c r="H120" s="322"/>
      <c r="I120" s="322"/>
      <c r="J120" s="322"/>
      <c r="K120" s="463"/>
      <c r="L120" s="348"/>
      <c r="M120" s="325"/>
      <c r="O120" s="658"/>
      <c r="P120" s="673">
        <f t="shared" si="20"/>
        <v>0</v>
      </c>
      <c r="Q120" s="673">
        <f t="shared" si="22"/>
        <v>0.94448472991029175</v>
      </c>
      <c r="R120" s="673">
        <f t="shared" si="23"/>
        <v>5.5515270089708323E-2</v>
      </c>
      <c r="S120" s="673">
        <f t="shared" si="24"/>
        <v>0</v>
      </c>
      <c r="T120" s="673">
        <f t="shared" si="25"/>
        <v>0</v>
      </c>
      <c r="U120" s="673">
        <f t="shared" si="26"/>
        <v>0</v>
      </c>
      <c r="V120" s="673">
        <f t="shared" si="27"/>
        <v>0</v>
      </c>
      <c r="W120" s="658"/>
      <c r="X120" s="658"/>
      <c r="Y120" s="659"/>
      <c r="Z120" s="659"/>
    </row>
    <row r="121" spans="2:26" ht="12.75" customHeight="1" thickBot="1">
      <c r="B121" s="351" t="s">
        <v>24</v>
      </c>
      <c r="C121" s="352"/>
      <c r="D121" s="352"/>
      <c r="E121" s="199"/>
      <c r="F121" s="338" t="s">
        <v>20</v>
      </c>
      <c r="G121" s="466"/>
      <c r="H121" s="323"/>
      <c r="I121" s="323"/>
      <c r="J121" s="323"/>
      <c r="K121" s="465"/>
      <c r="L121" s="348"/>
      <c r="M121" s="325"/>
      <c r="O121" s="658"/>
      <c r="P121" s="673">
        <f t="shared" si="20"/>
        <v>0</v>
      </c>
      <c r="Q121" s="673">
        <f t="shared" si="22"/>
        <v>0.94448472991029175</v>
      </c>
      <c r="R121" s="673">
        <f t="shared" si="23"/>
        <v>5.5515270089708323E-2</v>
      </c>
      <c r="S121" s="673">
        <f t="shared" si="24"/>
        <v>0</v>
      </c>
      <c r="T121" s="673">
        <f t="shared" si="25"/>
        <v>0</v>
      </c>
      <c r="U121" s="673">
        <f t="shared" si="26"/>
        <v>0</v>
      </c>
      <c r="V121" s="673">
        <f t="shared" si="27"/>
        <v>0</v>
      </c>
      <c r="W121" s="658"/>
      <c r="X121" s="658"/>
      <c r="Y121" s="659"/>
      <c r="Z121" s="659"/>
    </row>
    <row r="122" spans="2:26" ht="43.5" customHeight="1">
      <c r="B122" s="781" t="s">
        <v>117</v>
      </c>
      <c r="C122" s="781"/>
      <c r="D122" s="781"/>
      <c r="E122" s="781"/>
      <c r="F122" s="781"/>
      <c r="G122" s="781"/>
      <c r="H122" s="781"/>
      <c r="I122" s="781"/>
      <c r="J122" s="781"/>
      <c r="K122" s="781"/>
      <c r="L122" s="781"/>
      <c r="M122" s="781"/>
      <c r="N122" s="398"/>
    </row>
    <row r="123" spans="2:26" ht="12.75" customHeight="1">
      <c r="B123" s="408"/>
      <c r="C123" s="408"/>
      <c r="D123" s="408"/>
      <c r="E123" s="408"/>
      <c r="F123" s="408"/>
      <c r="G123" s="408"/>
      <c r="H123" s="408"/>
      <c r="I123" s="408"/>
    </row>
    <row r="124" spans="2:26" ht="12.75" customHeight="1">
      <c r="B124" s="408"/>
      <c r="C124" s="408"/>
      <c r="D124" s="408"/>
      <c r="E124" s="408"/>
      <c r="F124" s="408"/>
      <c r="G124" s="408"/>
      <c r="H124" s="408"/>
      <c r="I124" s="408"/>
    </row>
    <row r="125" spans="2:26">
      <c r="B125" s="408"/>
      <c r="C125" s="408"/>
      <c r="D125" s="408"/>
      <c r="E125" s="408"/>
      <c r="F125" s="408"/>
      <c r="G125" s="408"/>
      <c r="H125" s="408"/>
      <c r="I125" s="408"/>
    </row>
    <row r="126" spans="2:26">
      <c r="B126" s="408"/>
      <c r="C126" s="408"/>
      <c r="D126" s="408"/>
      <c r="E126" s="408"/>
      <c r="F126" s="408"/>
      <c r="G126" s="408"/>
      <c r="H126" s="408"/>
      <c r="I126" s="408"/>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83 F9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fitToHeight="3" orientation="portrait" r:id="rId1"/>
  <rowBreaks count="1" manualBreakCount="1">
    <brk id="78"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election activeCell="A2" sqref="A2"/>
    </sheetView>
  </sheetViews>
  <sheetFormatPr defaultColWidth="9.140625"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39.75" thickBot="1">
      <c r="B1" s="63" t="s">
        <v>142</v>
      </c>
      <c r="C1" s="100" t="str">
        <f>CONCATENATE("(",Inputs!G17," Bulls)")</f>
        <v>(24 Bulls)</v>
      </c>
      <c r="D1" s="100"/>
      <c r="E1" s="100"/>
      <c r="F1" s="100"/>
      <c r="G1" s="100"/>
      <c r="H1" s="100"/>
      <c r="J1" s="415"/>
      <c r="K1" s="415"/>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c r="X1" s="415"/>
      <c r="Y1" s="415"/>
      <c r="Z1" s="415"/>
    </row>
    <row r="2" spans="1:43" ht="27" thickBot="1">
      <c r="B2" s="35" t="s">
        <v>29</v>
      </c>
      <c r="C2" s="108"/>
      <c r="D2" s="109"/>
      <c r="E2" s="109"/>
      <c r="F2" s="109"/>
      <c r="G2" s="109"/>
      <c r="H2" s="113" t="s">
        <v>74</v>
      </c>
      <c r="J2" s="415"/>
      <c r="K2" s="415"/>
      <c r="L2" s="417" t="str">
        <f t="shared" ref="L2:L7" si="0">B14</f>
        <v>Prairie Hay</v>
      </c>
      <c r="M2" s="417">
        <f>IF(M$1=$L2,$J14,0)</f>
        <v>0</v>
      </c>
      <c r="N2" s="417">
        <f t="shared" ref="N2:V2" si="1">IF(N$1=$L2,$J14,0)</f>
        <v>0</v>
      </c>
      <c r="O2" s="417">
        <f t="shared" si="1"/>
        <v>126000</v>
      </c>
      <c r="P2" s="417">
        <f t="shared" si="1"/>
        <v>0</v>
      </c>
      <c r="Q2" s="417">
        <f t="shared" si="1"/>
        <v>0</v>
      </c>
      <c r="R2" s="417">
        <f t="shared" si="1"/>
        <v>0</v>
      </c>
      <c r="S2" s="417">
        <f t="shared" si="1"/>
        <v>0</v>
      </c>
      <c r="T2" s="417">
        <f t="shared" si="1"/>
        <v>0</v>
      </c>
      <c r="U2" s="417">
        <f t="shared" si="1"/>
        <v>0</v>
      </c>
      <c r="V2" s="417">
        <f t="shared" si="1"/>
        <v>0</v>
      </c>
      <c r="W2" s="417">
        <f t="shared" ref="W2:W7" si="2">SUM(M2:V2)</f>
        <v>126000</v>
      </c>
      <c r="X2" s="415"/>
      <c r="Y2" s="415"/>
      <c r="Z2" s="415"/>
    </row>
    <row r="3" spans="1:43">
      <c r="B3" s="71"/>
      <c r="C3" s="36" t="s">
        <v>56</v>
      </c>
      <c r="D3" s="39"/>
      <c r="E3" s="180" t="s">
        <v>30</v>
      </c>
      <c r="F3" s="69" t="s">
        <v>5</v>
      </c>
      <c r="G3" s="49"/>
      <c r="H3" s="89" t="s">
        <v>31</v>
      </c>
      <c r="J3" s="415"/>
      <c r="K3" s="415"/>
      <c r="L3" s="417" t="str">
        <f t="shared" si="0"/>
        <v>Pasture</v>
      </c>
      <c r="M3" s="417">
        <f t="shared" ref="M3:V7" si="3">IF(M$1=$L3,$J15,0)</f>
        <v>0</v>
      </c>
      <c r="N3" s="417">
        <f t="shared" si="3"/>
        <v>3600</v>
      </c>
      <c r="O3" s="417">
        <f t="shared" si="3"/>
        <v>0</v>
      </c>
      <c r="P3" s="417">
        <f t="shared" si="3"/>
        <v>0</v>
      </c>
      <c r="Q3" s="417">
        <f t="shared" si="3"/>
        <v>0</v>
      </c>
      <c r="R3" s="417">
        <f t="shared" si="3"/>
        <v>0</v>
      </c>
      <c r="S3" s="417">
        <f t="shared" si="3"/>
        <v>0</v>
      </c>
      <c r="T3" s="417">
        <f t="shared" si="3"/>
        <v>0</v>
      </c>
      <c r="U3" s="417">
        <f t="shared" si="3"/>
        <v>0</v>
      </c>
      <c r="V3" s="417">
        <f t="shared" si="3"/>
        <v>0</v>
      </c>
      <c r="W3" s="417">
        <f t="shared" si="2"/>
        <v>3600</v>
      </c>
      <c r="X3" s="415"/>
      <c r="Y3" s="415"/>
      <c r="Z3" s="415"/>
    </row>
    <row r="4" spans="1:43">
      <c r="B4" s="27" t="s">
        <v>75</v>
      </c>
      <c r="C4" s="111">
        <f>IF(Inputs!G19=0,0,Inputs!G17/Inputs!G19)*(1-Inputs!G20)</f>
        <v>5.9399999999999995</v>
      </c>
      <c r="D4" s="49" t="s">
        <v>66</v>
      </c>
      <c r="E4" s="175">
        <f>Inputs!G22</f>
        <v>1700</v>
      </c>
      <c r="F4" s="175">
        <f>Inputs!G21</f>
        <v>85</v>
      </c>
      <c r="G4" s="49"/>
      <c r="H4" s="575">
        <f>C4*E4*F4/100</f>
        <v>8583.2999999999993</v>
      </c>
      <c r="J4" s="415"/>
      <c r="K4" s="415"/>
      <c r="L4" s="417" t="str">
        <f t="shared" si="0"/>
        <v>Salt and Mineral</v>
      </c>
      <c r="M4" s="417">
        <f t="shared" si="3"/>
        <v>0</v>
      </c>
      <c r="N4" s="417">
        <f t="shared" si="3"/>
        <v>0</v>
      </c>
      <c r="O4" s="417">
        <f t="shared" si="3"/>
        <v>0</v>
      </c>
      <c r="P4" s="417">
        <f t="shared" si="3"/>
        <v>0</v>
      </c>
      <c r="Q4" s="417">
        <f t="shared" si="3"/>
        <v>0</v>
      </c>
      <c r="R4" s="417">
        <f t="shared" si="3"/>
        <v>26280</v>
      </c>
      <c r="S4" s="417">
        <f t="shared" si="3"/>
        <v>0</v>
      </c>
      <c r="T4" s="417">
        <f t="shared" si="3"/>
        <v>0</v>
      </c>
      <c r="U4" s="417">
        <f t="shared" si="3"/>
        <v>0</v>
      </c>
      <c r="V4" s="417">
        <f t="shared" si="3"/>
        <v>0</v>
      </c>
      <c r="W4" s="417">
        <f t="shared" si="2"/>
        <v>26280</v>
      </c>
      <c r="X4" s="415"/>
      <c r="Y4" s="415"/>
      <c r="Z4" s="415"/>
    </row>
    <row r="5" spans="1:43" ht="13.5" thickBot="1">
      <c r="B5" s="48"/>
      <c r="C5" s="31"/>
      <c r="D5" s="49"/>
      <c r="E5" s="49"/>
      <c r="F5" s="68"/>
      <c r="G5" s="49"/>
      <c r="H5" s="575"/>
      <c r="J5" s="417"/>
      <c r="K5" s="415"/>
      <c r="L5" s="417" t="str">
        <f t="shared" si="0"/>
        <v>DDG Cubes</v>
      </c>
      <c r="M5" s="417">
        <f t="shared" si="3"/>
        <v>0</v>
      </c>
      <c r="N5" s="417">
        <f t="shared" si="3"/>
        <v>0</v>
      </c>
      <c r="O5" s="417">
        <f t="shared" si="3"/>
        <v>0</v>
      </c>
      <c r="P5" s="417">
        <f t="shared" si="3"/>
        <v>0</v>
      </c>
      <c r="Q5" s="417">
        <f t="shared" si="3"/>
        <v>14400</v>
      </c>
      <c r="R5" s="417">
        <f t="shared" si="3"/>
        <v>0</v>
      </c>
      <c r="S5" s="417">
        <f t="shared" si="3"/>
        <v>0</v>
      </c>
      <c r="T5" s="417">
        <f t="shared" si="3"/>
        <v>0</v>
      </c>
      <c r="U5" s="417">
        <f t="shared" si="3"/>
        <v>0</v>
      </c>
      <c r="V5" s="417">
        <f t="shared" si="3"/>
        <v>0</v>
      </c>
      <c r="W5" s="417">
        <f t="shared" si="2"/>
        <v>14400</v>
      </c>
      <c r="X5" s="415"/>
      <c r="Y5" s="415"/>
      <c r="Z5" s="415"/>
    </row>
    <row r="6" spans="1:43" ht="16.5" thickBot="1">
      <c r="B6" s="66"/>
      <c r="C6" s="42"/>
      <c r="D6" s="42"/>
      <c r="E6" s="38"/>
      <c r="F6" s="60"/>
      <c r="G6" s="21" t="s">
        <v>33</v>
      </c>
      <c r="H6" s="576">
        <f>SUM(H4:H5)</f>
        <v>8583.2999999999993</v>
      </c>
      <c r="J6" s="415"/>
      <c r="K6" s="415"/>
      <c r="L6" s="417" t="str">
        <f t="shared" si="0"/>
        <v>Dried Rolled Corn</v>
      </c>
      <c r="M6" s="417">
        <f t="shared" si="3"/>
        <v>0</v>
      </c>
      <c r="N6" s="417">
        <f t="shared" si="3"/>
        <v>0</v>
      </c>
      <c r="O6" s="417">
        <f t="shared" si="3"/>
        <v>0</v>
      </c>
      <c r="P6" s="417">
        <f t="shared" si="3"/>
        <v>0</v>
      </c>
      <c r="Q6" s="417">
        <f t="shared" si="3"/>
        <v>0</v>
      </c>
      <c r="R6" s="417">
        <f t="shared" si="3"/>
        <v>0</v>
      </c>
      <c r="S6" s="417">
        <f t="shared" si="3"/>
        <v>0</v>
      </c>
      <c r="T6" s="417">
        <f t="shared" si="3"/>
        <v>16800</v>
      </c>
      <c r="U6" s="417">
        <f t="shared" si="3"/>
        <v>0</v>
      </c>
      <c r="V6" s="417">
        <f t="shared" si="3"/>
        <v>0</v>
      </c>
      <c r="W6" s="417">
        <f t="shared" si="2"/>
        <v>16800</v>
      </c>
      <c r="X6" s="415"/>
      <c r="Y6" s="415"/>
      <c r="Z6" s="415"/>
    </row>
    <row r="7" spans="1:43" ht="13.5" thickBot="1">
      <c r="B7" s="64"/>
      <c r="C7" s="43"/>
      <c r="D7" s="43"/>
      <c r="E7" s="43"/>
      <c r="F7" s="43"/>
      <c r="G7" s="43"/>
      <c r="H7" s="489"/>
      <c r="J7" s="415"/>
      <c r="K7" s="415"/>
      <c r="L7" s="417">
        <f t="shared" si="0"/>
        <v>0</v>
      </c>
      <c r="M7" s="417">
        <f t="shared" si="3"/>
        <v>0</v>
      </c>
      <c r="N7" s="417">
        <f t="shared" si="3"/>
        <v>0</v>
      </c>
      <c r="O7" s="417">
        <f t="shared" si="3"/>
        <v>0</v>
      </c>
      <c r="P7" s="417">
        <f t="shared" si="3"/>
        <v>0</v>
      </c>
      <c r="Q7" s="417">
        <f t="shared" si="3"/>
        <v>0</v>
      </c>
      <c r="R7" s="417">
        <f t="shared" si="3"/>
        <v>0</v>
      </c>
      <c r="S7" s="417">
        <f t="shared" si="3"/>
        <v>0</v>
      </c>
      <c r="T7" s="417">
        <f t="shared" si="3"/>
        <v>0</v>
      </c>
      <c r="U7" s="417">
        <f t="shared" si="3"/>
        <v>0</v>
      </c>
      <c r="V7" s="417">
        <f t="shared" si="3"/>
        <v>0</v>
      </c>
      <c r="W7" s="417">
        <f t="shared" si="2"/>
        <v>0</v>
      </c>
      <c r="X7" s="415"/>
      <c r="Y7" s="415"/>
      <c r="Z7" s="415"/>
    </row>
    <row r="8" spans="1:43" ht="27" thickBot="1">
      <c r="B8" s="66" t="s">
        <v>34</v>
      </c>
      <c r="C8" s="108"/>
      <c r="D8" s="109"/>
      <c r="E8" s="109"/>
      <c r="F8" s="109"/>
      <c r="G8" s="109"/>
      <c r="H8" s="577" t="s">
        <v>74</v>
      </c>
      <c r="J8" s="415"/>
      <c r="K8" s="415"/>
      <c r="L8" s="417" t="s">
        <v>31</v>
      </c>
      <c r="M8" s="417">
        <f>SUM(M2:M7)</f>
        <v>0</v>
      </c>
      <c r="N8" s="417">
        <f t="shared" ref="N8:V8" si="4">SUM(N2:N7)</f>
        <v>3600</v>
      </c>
      <c r="O8" s="417">
        <f t="shared" si="4"/>
        <v>126000</v>
      </c>
      <c r="P8" s="417">
        <f t="shared" si="4"/>
        <v>0</v>
      </c>
      <c r="Q8" s="417">
        <f t="shared" si="4"/>
        <v>14400</v>
      </c>
      <c r="R8" s="417">
        <f t="shared" si="4"/>
        <v>26280</v>
      </c>
      <c r="S8" s="417">
        <f t="shared" si="4"/>
        <v>0</v>
      </c>
      <c r="T8" s="417">
        <f t="shared" si="4"/>
        <v>16800</v>
      </c>
      <c r="U8" s="417">
        <f t="shared" si="4"/>
        <v>0</v>
      </c>
      <c r="V8" s="417">
        <f t="shared" si="4"/>
        <v>0</v>
      </c>
      <c r="W8" s="417"/>
      <c r="X8" s="415"/>
      <c r="Y8" s="415"/>
      <c r="Z8" s="415"/>
    </row>
    <row r="9" spans="1:43">
      <c r="B9" s="78" t="s">
        <v>62</v>
      </c>
      <c r="C9" s="36" t="s">
        <v>44</v>
      </c>
      <c r="D9" s="69"/>
      <c r="E9" s="69" t="s">
        <v>5</v>
      </c>
      <c r="F9" s="45"/>
      <c r="G9" s="45"/>
      <c r="H9" s="578" t="s">
        <v>31</v>
      </c>
      <c r="J9" s="415" t="s">
        <v>61</v>
      </c>
      <c r="K9" s="415"/>
      <c r="L9" s="415"/>
      <c r="M9" s="415"/>
      <c r="N9" s="415"/>
      <c r="O9" s="415"/>
      <c r="P9" s="415"/>
      <c r="Q9" s="415"/>
      <c r="R9" s="415"/>
      <c r="S9" s="415"/>
      <c r="T9" s="415"/>
      <c r="U9" s="415"/>
      <c r="V9" s="415"/>
      <c r="W9" s="415"/>
      <c r="X9" s="415"/>
      <c r="Y9" s="415"/>
      <c r="Z9" s="415"/>
    </row>
    <row r="10" spans="1:43">
      <c r="B10" s="48" t="s">
        <v>76</v>
      </c>
      <c r="C10" s="30">
        <f>IF(Inputs!G19=0,0,Inputs!G17/Inputs!G19)</f>
        <v>6</v>
      </c>
      <c r="D10" s="112"/>
      <c r="E10" s="176">
        <f>Inputs!G18</f>
        <v>3000</v>
      </c>
      <c r="F10" s="49" t="s">
        <v>4</v>
      </c>
      <c r="G10" s="49"/>
      <c r="H10" s="579">
        <f>C10*E10</f>
        <v>18000</v>
      </c>
      <c r="J10" s="415" t="s">
        <v>64</v>
      </c>
      <c r="K10" s="415"/>
      <c r="L10" s="415"/>
      <c r="M10" s="415"/>
      <c r="N10" s="415"/>
      <c r="O10" s="415"/>
      <c r="P10" s="415"/>
      <c r="Q10" s="415"/>
      <c r="R10" s="415"/>
      <c r="S10" s="415"/>
      <c r="T10" s="415"/>
      <c r="U10" s="415"/>
      <c r="V10" s="415"/>
      <c r="W10" s="415"/>
      <c r="X10" s="415"/>
      <c r="Y10" s="415"/>
      <c r="Z10" s="415"/>
    </row>
    <row r="11" spans="1:43">
      <c r="B11" s="48"/>
      <c r="C11" s="32"/>
      <c r="D11" s="58"/>
      <c r="E11" s="58"/>
      <c r="F11" s="49"/>
      <c r="G11" s="208"/>
      <c r="H11" s="580"/>
      <c r="J11" s="415"/>
      <c r="K11" s="415"/>
      <c r="L11" s="415"/>
      <c r="M11" s="415"/>
      <c r="N11" s="415"/>
      <c r="O11" s="415"/>
      <c r="P11" s="415"/>
      <c r="Q11" s="415"/>
      <c r="R11" s="415"/>
      <c r="S11" s="415"/>
      <c r="T11" s="415"/>
      <c r="U11" s="415"/>
      <c r="V11" s="415"/>
      <c r="W11" s="415"/>
      <c r="X11" s="415"/>
      <c r="Y11" s="415"/>
      <c r="Z11" s="415"/>
    </row>
    <row r="12" spans="1:43" s="61" customFormat="1" ht="12.75" customHeight="1">
      <c r="A12" s="152"/>
      <c r="B12" s="48"/>
      <c r="C12" s="815" t="s">
        <v>153</v>
      </c>
      <c r="D12" s="107"/>
      <c r="E12" s="817" t="s">
        <v>154</v>
      </c>
      <c r="F12" s="49"/>
      <c r="G12" s="208"/>
      <c r="H12" s="580"/>
      <c r="I12" s="157"/>
      <c r="J12" s="417"/>
      <c r="K12" s="818"/>
      <c r="L12" s="818"/>
      <c r="M12" s="818"/>
      <c r="N12" s="415"/>
      <c r="O12" s="459"/>
      <c r="P12" s="459"/>
      <c r="Q12" s="415"/>
      <c r="R12" s="417"/>
      <c r="S12" s="459"/>
      <c r="T12" s="459"/>
      <c r="U12" s="459"/>
      <c r="V12" s="459"/>
      <c r="W12" s="459"/>
      <c r="X12" s="459"/>
      <c r="Y12" s="459"/>
      <c r="Z12" s="415"/>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6"/>
      <c r="D13" s="107"/>
      <c r="E13" s="817"/>
      <c r="F13" s="819" t="s">
        <v>5</v>
      </c>
      <c r="G13" s="819"/>
      <c r="H13" s="581" t="s">
        <v>31</v>
      </c>
      <c r="I13" s="157"/>
      <c r="J13" s="428"/>
      <c r="K13" s="458"/>
      <c r="L13" s="458"/>
      <c r="M13" s="458"/>
      <c r="N13" s="467"/>
      <c r="O13" s="459"/>
      <c r="P13" s="459"/>
      <c r="Q13" s="415"/>
      <c r="R13" s="415"/>
      <c r="S13" s="459"/>
      <c r="T13" s="459"/>
      <c r="U13" s="459"/>
      <c r="V13" s="459"/>
      <c r="W13" s="459"/>
      <c r="X13" s="459"/>
      <c r="Y13" s="459"/>
      <c r="Z13" s="415"/>
      <c r="AA13" s="222"/>
      <c r="AB13" s="222"/>
      <c r="AC13" s="277"/>
      <c r="AD13" s="277"/>
      <c r="AE13" s="277"/>
      <c r="AF13" s="277"/>
      <c r="AG13" s="277"/>
      <c r="AH13" s="277"/>
      <c r="AI13" s="277"/>
      <c r="AJ13" s="277"/>
      <c r="AK13" s="277"/>
      <c r="AL13" s="277"/>
      <c r="AM13" s="277"/>
      <c r="AN13" s="277"/>
      <c r="AO13" s="277"/>
      <c r="AP13" s="277"/>
      <c r="AQ13" s="277"/>
    </row>
    <row r="14" spans="1:43" ht="12.75" customHeight="1">
      <c r="B14" s="719" t="s">
        <v>248</v>
      </c>
      <c r="C14" s="718">
        <v>5250</v>
      </c>
      <c r="D14" s="86" t="str">
        <f t="shared" ref="D14:D19" si="5">IF(B14="","",CONCATENATE(VLOOKUP(B14,Feed,5,FALSE)))</f>
        <v>lbs</v>
      </c>
      <c r="E14" s="218" t="s">
        <v>61</v>
      </c>
      <c r="F14" s="813" t="str">
        <f t="shared" ref="F14:F19" si="6">IF(B14="","",CONCATENATE("@ ",TEXT(VLOOKUP($B14,Feed,7,FALSE),"0.00")," per ",VLOOKUP(B14,Feed,5,FALSE)))</f>
        <v>@ 0.07 per lbs</v>
      </c>
      <c r="G14" s="814"/>
      <c r="H14" s="575">
        <f>IF(B14=0,"",IF(E14="","",C14*VLOOKUP(B14,Feed,7,FALSE)*IF(E14="total",1,Inputs!$G$17)))</f>
        <v>8190</v>
      </c>
      <c r="J14" s="415">
        <f>C14*IF(E14="total",1,IF(E14="per animal",Inputs!$G$17,0))</f>
        <v>126000</v>
      </c>
      <c r="K14" s="468"/>
      <c r="L14" s="415"/>
      <c r="M14" s="417"/>
      <c r="N14" s="417"/>
      <c r="O14" s="417"/>
      <c r="P14" s="460"/>
      <c r="Q14" s="415"/>
      <c r="R14" s="417"/>
      <c r="S14" s="415"/>
      <c r="T14" s="415"/>
      <c r="U14" s="415"/>
      <c r="V14" s="415"/>
      <c r="W14" s="415"/>
      <c r="X14" s="415"/>
      <c r="Y14" s="415"/>
      <c r="Z14" s="415"/>
    </row>
    <row r="15" spans="1:43" ht="14.25" customHeight="1">
      <c r="B15" s="719" t="s">
        <v>264</v>
      </c>
      <c r="C15" s="718">
        <v>150</v>
      </c>
      <c r="D15" s="278" t="str">
        <f t="shared" si="5"/>
        <v>day</v>
      </c>
      <c r="E15" s="218" t="s">
        <v>61</v>
      </c>
      <c r="F15" s="813" t="str">
        <f t="shared" si="6"/>
        <v>@ 2.00 per day</v>
      </c>
      <c r="G15" s="814"/>
      <c r="H15" s="575">
        <f>IF(B15=0,"",IF(E15="","",C15*VLOOKUP(B15,Feed,7,FALSE)*IF(E15="total",1,Inputs!$G$17)))</f>
        <v>7200</v>
      </c>
      <c r="J15" s="415">
        <f>C15*IF(E15="total",1,IF(E15="per animal",Inputs!$G$17,0))</f>
        <v>3600</v>
      </c>
      <c r="K15" s="468"/>
      <c r="L15" s="415"/>
      <c r="M15" s="417"/>
      <c r="N15" s="417"/>
      <c r="O15" s="417"/>
      <c r="P15" s="460"/>
      <c r="Q15" s="415"/>
      <c r="R15" s="417"/>
      <c r="S15" s="415"/>
      <c r="T15" s="415"/>
      <c r="U15" s="415"/>
      <c r="V15" s="415"/>
      <c r="W15" s="415"/>
      <c r="X15" s="415"/>
      <c r="Y15" s="415"/>
      <c r="Z15" s="415"/>
    </row>
    <row r="16" spans="1:43">
      <c r="B16" s="719" t="s">
        <v>253</v>
      </c>
      <c r="C16" s="718">
        <v>1095</v>
      </c>
      <c r="D16" s="278" t="str">
        <f t="shared" si="5"/>
        <v>ounce</v>
      </c>
      <c r="E16" s="218" t="s">
        <v>61</v>
      </c>
      <c r="F16" s="813" t="str">
        <f t="shared" si="6"/>
        <v>@ 0.03 per ounce</v>
      </c>
      <c r="G16" s="814"/>
      <c r="H16" s="575">
        <f>IF(B16=0,"",IF(E16="","",C16*VLOOKUP(B16,Feed,7,FALSE)*IF(E16="total",1,Inputs!$G$17)))</f>
        <v>739.125</v>
      </c>
      <c r="J16" s="415">
        <f>C16*IF(E16="total",1,IF(E16="per animal",Inputs!$G$17,0))</f>
        <v>26280</v>
      </c>
      <c r="K16" s="468"/>
      <c r="L16" s="415"/>
      <c r="M16" s="429"/>
      <c r="N16" s="417"/>
      <c r="O16" s="429"/>
      <c r="P16" s="460"/>
      <c r="Q16" s="415"/>
      <c r="R16" s="417"/>
      <c r="S16" s="415"/>
      <c r="T16" s="415"/>
      <c r="U16" s="415"/>
      <c r="V16" s="415"/>
      <c r="W16" s="415"/>
      <c r="X16" s="415"/>
      <c r="Y16" s="415"/>
      <c r="Z16" s="415"/>
    </row>
    <row r="17" spans="2:26">
      <c r="B17" s="719" t="s">
        <v>252</v>
      </c>
      <c r="C17" s="718">
        <v>600</v>
      </c>
      <c r="D17" s="278" t="str">
        <f t="shared" si="5"/>
        <v>lbs</v>
      </c>
      <c r="E17" s="218" t="s">
        <v>61</v>
      </c>
      <c r="F17" s="813" t="str">
        <f t="shared" si="6"/>
        <v>@ 0.15 per lbs</v>
      </c>
      <c r="G17" s="814"/>
      <c r="H17" s="575">
        <f>IF(B17=0,"",IF(E17="","",C17*VLOOKUP(B17,Feed,7,FALSE)*IF(E17="total",1,Inputs!$G$17)))</f>
        <v>2160</v>
      </c>
      <c r="J17" s="415">
        <f>C17*IF(E17="total",1,IF(E17="per animal",Inputs!$G$17,0))</f>
        <v>14400</v>
      </c>
      <c r="K17" s="468"/>
      <c r="L17" s="415"/>
      <c r="M17" s="417"/>
      <c r="N17" s="417"/>
      <c r="O17" s="417"/>
      <c r="P17" s="460"/>
      <c r="Q17" s="415"/>
      <c r="R17" s="417"/>
      <c r="S17" s="415"/>
      <c r="T17" s="415"/>
      <c r="U17" s="415"/>
      <c r="V17" s="415"/>
      <c r="W17" s="415"/>
      <c r="X17" s="415"/>
      <c r="Y17" s="415"/>
      <c r="Z17" s="415"/>
    </row>
    <row r="18" spans="2:26">
      <c r="B18" s="204" t="s">
        <v>265</v>
      </c>
      <c r="C18" s="203">
        <v>700</v>
      </c>
      <c r="D18" s="278" t="str">
        <f t="shared" si="5"/>
        <v>lbs</v>
      </c>
      <c r="E18" s="218" t="s">
        <v>61</v>
      </c>
      <c r="F18" s="813" t="str">
        <f t="shared" si="6"/>
        <v>@ 0.10 per lbs</v>
      </c>
      <c r="G18" s="814"/>
      <c r="H18" s="575">
        <f>IF(B18=0,"",IF(E18="","",C18*VLOOKUP(B18,Feed,7,FALSE)*IF(E18="total",1,Inputs!$G$17)))</f>
        <v>1620</v>
      </c>
      <c r="J18" s="415">
        <f>C18*IF(E18="total",1,IF(E18="per animal",Inputs!$G$17,0))</f>
        <v>16800</v>
      </c>
      <c r="K18" s="468"/>
      <c r="L18" s="415"/>
      <c r="M18" s="417"/>
      <c r="N18" s="417"/>
      <c r="O18" s="417"/>
      <c r="P18" s="460"/>
      <c r="Q18" s="415"/>
      <c r="R18" s="417"/>
      <c r="S18" s="415"/>
      <c r="T18" s="415"/>
      <c r="U18" s="415"/>
      <c r="V18" s="415"/>
      <c r="W18" s="415"/>
      <c r="X18" s="415"/>
      <c r="Y18" s="415"/>
      <c r="Z18" s="415"/>
    </row>
    <row r="19" spans="2:26" ht="13.5" thickBot="1">
      <c r="B19" s="204"/>
      <c r="C19" s="203"/>
      <c r="D19" s="278" t="str">
        <f t="shared" si="5"/>
        <v/>
      </c>
      <c r="E19" s="218"/>
      <c r="F19" s="813" t="str">
        <f t="shared" si="6"/>
        <v/>
      </c>
      <c r="G19" s="814"/>
      <c r="H19" s="582" t="str">
        <f>IF(B19=0,"",IF(E19="","",C19*VLOOKUP(B19,Feed,7,FALSE)*IF(E19="total",1,Inputs!$G$17)))</f>
        <v/>
      </c>
      <c r="J19" s="415">
        <f>C19*IF(E19="total",1,IF(E19="per animal",Inputs!$G$17,0))</f>
        <v>0</v>
      </c>
      <c r="K19" s="468"/>
      <c r="L19" s="415"/>
      <c r="M19" s="417"/>
      <c r="N19" s="417"/>
      <c r="O19" s="417"/>
      <c r="P19" s="460"/>
      <c r="Q19" s="415"/>
      <c r="R19" s="417"/>
      <c r="S19" s="415"/>
      <c r="T19" s="415"/>
      <c r="U19" s="415"/>
      <c r="V19" s="415"/>
      <c r="W19" s="415"/>
      <c r="X19" s="415"/>
      <c r="Y19" s="415"/>
      <c r="Z19" s="415"/>
    </row>
    <row r="20" spans="2:26" ht="13.5" thickTop="1">
      <c r="B20" s="48"/>
      <c r="C20" s="75"/>
      <c r="D20" s="49"/>
      <c r="E20" s="49"/>
      <c r="F20" s="68"/>
      <c r="G20" s="241" t="s">
        <v>36</v>
      </c>
      <c r="H20" s="583">
        <f>SUM(H14:H19)</f>
        <v>19909.125</v>
      </c>
      <c r="J20" s="415"/>
      <c r="K20" s="415"/>
      <c r="L20" s="415"/>
      <c r="M20" s="415"/>
      <c r="N20" s="417"/>
      <c r="O20" s="415"/>
      <c r="P20" s="415"/>
      <c r="Q20" s="415"/>
      <c r="R20" s="417"/>
      <c r="S20" s="415"/>
      <c r="T20" s="415"/>
      <c r="U20" s="415"/>
      <c r="V20" s="415"/>
      <c r="W20" s="415"/>
      <c r="X20" s="415"/>
      <c r="Y20" s="415"/>
      <c r="Z20" s="415"/>
    </row>
    <row r="21" spans="2:26">
      <c r="B21" s="48"/>
      <c r="C21" s="31"/>
      <c r="D21" s="49"/>
      <c r="E21" s="55"/>
      <c r="F21" s="49"/>
      <c r="G21" s="251"/>
      <c r="H21" s="580"/>
      <c r="J21" s="415"/>
      <c r="K21" s="415"/>
      <c r="L21" s="415"/>
      <c r="M21" s="415"/>
      <c r="N21" s="417"/>
      <c r="O21" s="415"/>
      <c r="P21" s="415"/>
      <c r="Q21" s="415"/>
      <c r="R21" s="417"/>
      <c r="S21" s="415"/>
      <c r="T21" s="415"/>
      <c r="U21" s="415"/>
      <c r="V21" s="415"/>
      <c r="W21" s="415"/>
      <c r="X21" s="415"/>
      <c r="Y21" s="417"/>
      <c r="Z21" s="415"/>
    </row>
    <row r="22" spans="2:26" ht="14.25" customHeight="1">
      <c r="B22" s="79" t="s">
        <v>65</v>
      </c>
      <c r="C22" s="31"/>
      <c r="D22" s="49"/>
      <c r="E22" s="83" t="s">
        <v>48</v>
      </c>
      <c r="F22" s="49"/>
      <c r="G22" s="39"/>
      <c r="H22" s="584" t="s">
        <v>31</v>
      </c>
      <c r="J22" s="415"/>
      <c r="K22" s="415"/>
      <c r="L22" s="415"/>
      <c r="M22" s="415"/>
      <c r="N22" s="417"/>
      <c r="O22" s="415"/>
      <c r="P22" s="415"/>
      <c r="Q22" s="415"/>
      <c r="R22" s="417"/>
      <c r="S22" s="415"/>
      <c r="T22" s="415"/>
      <c r="U22" s="415"/>
      <c r="V22" s="415"/>
      <c r="W22" s="415"/>
      <c r="X22" s="415"/>
      <c r="Y22" s="417"/>
      <c r="Z22" s="415"/>
    </row>
    <row r="23" spans="2:26">
      <c r="B23" s="240" t="s">
        <v>82</v>
      </c>
      <c r="C23" s="31"/>
      <c r="D23" s="174">
        <f>Inputs!X85</f>
        <v>25</v>
      </c>
      <c r="E23" s="80" t="str">
        <f>Inputs!E85</f>
        <v>per animal</v>
      </c>
      <c r="F23" s="49"/>
      <c r="G23" s="49"/>
      <c r="H23" s="575">
        <f>Inputs!Z85</f>
        <v>148.5</v>
      </c>
      <c r="J23" s="415"/>
      <c r="K23" s="415"/>
      <c r="L23" s="415"/>
      <c r="M23" s="415"/>
      <c r="N23" s="417"/>
      <c r="O23" s="415"/>
      <c r="P23" s="415"/>
      <c r="Q23" s="415"/>
      <c r="R23" s="415"/>
      <c r="S23" s="415"/>
      <c r="T23" s="415"/>
      <c r="U23" s="415"/>
      <c r="V23" s="415"/>
      <c r="W23" s="415"/>
      <c r="X23" s="415"/>
      <c r="Y23" s="417"/>
      <c r="Z23" s="415"/>
    </row>
    <row r="24" spans="2:26" ht="27.75" customHeight="1" thickBot="1">
      <c r="B24" s="170" t="s">
        <v>37</v>
      </c>
      <c r="C24" s="810" t="s">
        <v>119</v>
      </c>
      <c r="D24" s="811"/>
      <c r="E24" s="811"/>
      <c r="F24" s="811"/>
      <c r="G24" s="812"/>
      <c r="H24" s="585">
        <f>((H20*Inputs!$E$111/2))</f>
        <v>597.27374999999995</v>
      </c>
      <c r="J24" s="415"/>
      <c r="K24" s="415"/>
      <c r="L24" s="415"/>
      <c r="M24" s="415"/>
      <c r="N24" s="417"/>
      <c r="O24" s="415"/>
      <c r="P24" s="415"/>
      <c r="Q24" s="415"/>
      <c r="R24" s="415"/>
      <c r="S24" s="415"/>
      <c r="T24" s="415"/>
      <c r="U24" s="415"/>
      <c r="V24" s="415"/>
      <c r="W24" s="415"/>
      <c r="X24" s="415"/>
      <c r="Y24" s="415"/>
      <c r="Z24" s="415"/>
    </row>
    <row r="25" spans="2:26" ht="14.25" thickTop="1" thickBot="1">
      <c r="B25" s="51"/>
      <c r="C25" s="34"/>
      <c r="D25" s="52"/>
      <c r="E25" s="52"/>
      <c r="F25" s="87"/>
      <c r="G25" s="258" t="s">
        <v>145</v>
      </c>
      <c r="H25" s="586">
        <f>SUM(H23:H24)</f>
        <v>745.77374999999995</v>
      </c>
      <c r="J25" s="415"/>
      <c r="K25" s="415"/>
      <c r="L25" s="415"/>
      <c r="M25" s="415"/>
      <c r="N25" s="415"/>
      <c r="O25" s="415"/>
      <c r="P25" s="415"/>
      <c r="Q25" s="415"/>
      <c r="R25" s="415"/>
      <c r="S25" s="415"/>
      <c r="T25" s="415"/>
      <c r="U25" s="415"/>
      <c r="V25" s="415"/>
      <c r="W25" s="415"/>
      <c r="X25" s="415"/>
      <c r="Y25" s="415"/>
      <c r="Z25" s="415"/>
    </row>
    <row r="26" spans="2:26" ht="16.5" thickBot="1">
      <c r="B26" s="66"/>
      <c r="C26" s="38"/>
      <c r="D26" s="38"/>
      <c r="E26" s="38"/>
      <c r="F26" s="38"/>
      <c r="G26" s="247" t="s">
        <v>38</v>
      </c>
      <c r="H26" s="576">
        <f>SUM(H10:H10)+H20+H25</f>
        <v>38654.89875</v>
      </c>
      <c r="J26" s="415"/>
      <c r="K26" s="415"/>
      <c r="L26" s="415"/>
      <c r="M26" s="415"/>
      <c r="N26" s="415"/>
      <c r="O26" s="415"/>
      <c r="P26" s="415"/>
      <c r="Q26" s="415"/>
      <c r="R26" s="415"/>
      <c r="S26" s="415"/>
      <c r="T26" s="415"/>
      <c r="U26" s="415"/>
      <c r="V26" s="415"/>
      <c r="W26" s="415"/>
      <c r="X26" s="415"/>
      <c r="Y26" s="415"/>
      <c r="Z26" s="415"/>
    </row>
    <row r="27" spans="2:26" ht="13.5" thickBot="1">
      <c r="B27" s="49"/>
      <c r="C27" s="49"/>
      <c r="D27" s="49"/>
      <c r="E27" s="49"/>
      <c r="F27" s="58"/>
      <c r="G27" s="58"/>
      <c r="H27" s="587"/>
      <c r="J27" s="415"/>
      <c r="K27" s="415"/>
      <c r="L27" s="415"/>
      <c r="M27" s="415"/>
      <c r="N27" s="415"/>
      <c r="O27" s="415"/>
      <c r="P27" s="415"/>
      <c r="Q27" s="415"/>
      <c r="R27" s="415"/>
      <c r="S27" s="415"/>
      <c r="T27" s="415"/>
      <c r="U27" s="415"/>
      <c r="V27" s="415"/>
      <c r="W27" s="415"/>
      <c r="X27" s="415"/>
      <c r="Y27" s="415"/>
      <c r="Z27" s="415"/>
    </row>
    <row r="28" spans="2:26" ht="16.5" thickBot="1">
      <c r="B28" s="66"/>
      <c r="C28" s="67"/>
      <c r="D28" s="67"/>
      <c r="E28" s="67"/>
      <c r="F28" s="67"/>
      <c r="G28" s="21" t="s">
        <v>67</v>
      </c>
      <c r="H28" s="576">
        <f>H26-H6</f>
        <v>30071.598750000001</v>
      </c>
      <c r="J28" s="415"/>
      <c r="K28" s="415"/>
      <c r="L28" s="415"/>
      <c r="M28" s="415"/>
      <c r="N28" s="415"/>
      <c r="O28" s="415"/>
      <c r="P28" s="415"/>
      <c r="Q28" s="415"/>
      <c r="R28" s="415"/>
      <c r="S28" s="415"/>
      <c r="T28" s="415"/>
      <c r="U28" s="415"/>
      <c r="V28" s="415"/>
      <c r="W28" s="415"/>
      <c r="X28" s="415"/>
      <c r="Y28" s="415"/>
      <c r="Z28" s="415"/>
    </row>
  </sheetData>
  <sheetProtection sheet="1" objects="1" scenarios="1"/>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AO225"/>
  <sheetViews>
    <sheetView zoomScaleNormal="100" workbookViewId="0">
      <selection activeCell="A2" sqref="A2"/>
    </sheetView>
  </sheetViews>
  <sheetFormatPr defaultColWidth="9.140625"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39.75" thickBot="1">
      <c r="B1" s="63" t="s">
        <v>143</v>
      </c>
      <c r="C1" s="40"/>
      <c r="D1" s="191">
        <f>Inputs!G5+Inputs!O6-Inputs!G13+Inputs!G9</f>
        <v>82</v>
      </c>
      <c r="E1" s="100" t="s">
        <v>138</v>
      </c>
      <c r="F1" s="100"/>
      <c r="G1" s="100"/>
      <c r="H1" s="100"/>
      <c r="J1" s="222" t="s">
        <v>61</v>
      </c>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c r="Z1" s="221"/>
    </row>
    <row r="2" spans="1:41" ht="27" thickBot="1">
      <c r="B2" s="66" t="s">
        <v>126</v>
      </c>
      <c r="C2" s="108"/>
      <c r="D2" s="109"/>
      <c r="E2" s="109"/>
      <c r="F2" s="109"/>
      <c r="G2" s="109"/>
      <c r="H2" s="113" t="s">
        <v>74</v>
      </c>
      <c r="J2" s="222" t="s">
        <v>64</v>
      </c>
      <c r="L2" s="417" t="str">
        <f t="shared" ref="L2:L7" si="0">B5</f>
        <v>Pasture</v>
      </c>
      <c r="M2" s="417">
        <f>IF(M$1=$L2,$J5,0)</f>
        <v>0</v>
      </c>
      <c r="N2" s="417">
        <f t="shared" ref="N2:V2" si="1">IF(N$1=$L2,$J5,0)</f>
        <v>12300</v>
      </c>
      <c r="O2" s="417">
        <f t="shared" si="1"/>
        <v>0</v>
      </c>
      <c r="P2" s="417">
        <f t="shared" si="1"/>
        <v>0</v>
      </c>
      <c r="Q2" s="417">
        <f t="shared" si="1"/>
        <v>0</v>
      </c>
      <c r="R2" s="417">
        <f t="shared" si="1"/>
        <v>0</v>
      </c>
      <c r="S2" s="417">
        <f t="shared" si="1"/>
        <v>0</v>
      </c>
      <c r="T2" s="417">
        <f t="shared" si="1"/>
        <v>0</v>
      </c>
      <c r="U2" s="417">
        <f t="shared" si="1"/>
        <v>0</v>
      </c>
      <c r="V2" s="417">
        <f t="shared" si="1"/>
        <v>0</v>
      </c>
      <c r="W2" s="417">
        <f t="shared" ref="W2:W7" si="2">SUM(M2:V2)</f>
        <v>12300</v>
      </c>
      <c r="Z2" s="221"/>
    </row>
    <row r="3" spans="1:41" s="61" customFormat="1" ht="12.75" customHeight="1">
      <c r="A3" s="152"/>
      <c r="B3" s="48"/>
      <c r="C3" s="815" t="s">
        <v>153</v>
      </c>
      <c r="D3" s="107"/>
      <c r="E3" s="817" t="s">
        <v>154</v>
      </c>
      <c r="F3" s="49"/>
      <c r="G3" s="49"/>
      <c r="H3" s="114"/>
      <c r="I3" s="157"/>
      <c r="J3" s="222"/>
      <c r="K3" s="162"/>
      <c r="L3" s="417" t="str">
        <f t="shared" si="0"/>
        <v>Alfalfa</v>
      </c>
      <c r="M3" s="417">
        <f t="shared" ref="M3:V7" si="3">IF(M$1=$L3,$J6,0)</f>
        <v>0</v>
      </c>
      <c r="N3" s="417">
        <f t="shared" si="3"/>
        <v>0</v>
      </c>
      <c r="O3" s="417">
        <f t="shared" si="3"/>
        <v>0</v>
      </c>
      <c r="P3" s="417">
        <f t="shared" si="3"/>
        <v>123000</v>
      </c>
      <c r="Q3" s="417">
        <f t="shared" si="3"/>
        <v>0</v>
      </c>
      <c r="R3" s="417">
        <f t="shared" si="3"/>
        <v>0</v>
      </c>
      <c r="S3" s="417">
        <f t="shared" si="3"/>
        <v>0</v>
      </c>
      <c r="T3" s="417">
        <f t="shared" si="3"/>
        <v>0</v>
      </c>
      <c r="U3" s="417">
        <f t="shared" si="3"/>
        <v>0</v>
      </c>
      <c r="V3" s="417">
        <f t="shared" si="3"/>
        <v>0</v>
      </c>
      <c r="W3" s="417">
        <f t="shared" si="2"/>
        <v>123000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6"/>
      <c r="D4" s="107"/>
      <c r="E4" s="817"/>
      <c r="F4" s="819" t="s">
        <v>5</v>
      </c>
      <c r="G4" s="819"/>
      <c r="H4" s="115"/>
      <c r="I4" s="157"/>
      <c r="J4" s="159"/>
      <c r="K4" s="409"/>
      <c r="L4" s="417" t="str">
        <f t="shared" si="0"/>
        <v>Prairie Hay</v>
      </c>
      <c r="M4" s="417">
        <f t="shared" si="3"/>
        <v>0</v>
      </c>
      <c r="N4" s="417">
        <f t="shared" si="3"/>
        <v>0</v>
      </c>
      <c r="O4" s="417">
        <f t="shared" si="3"/>
        <v>123000</v>
      </c>
      <c r="P4" s="417">
        <f t="shared" si="3"/>
        <v>0</v>
      </c>
      <c r="Q4" s="417">
        <f t="shared" si="3"/>
        <v>0</v>
      </c>
      <c r="R4" s="417">
        <f t="shared" si="3"/>
        <v>0</v>
      </c>
      <c r="S4" s="417">
        <f t="shared" si="3"/>
        <v>0</v>
      </c>
      <c r="T4" s="417">
        <f t="shared" si="3"/>
        <v>0</v>
      </c>
      <c r="U4" s="417">
        <f t="shared" si="3"/>
        <v>0</v>
      </c>
      <c r="V4" s="417">
        <f t="shared" si="3"/>
        <v>0</v>
      </c>
      <c r="W4" s="417">
        <f t="shared" si="2"/>
        <v>123000</v>
      </c>
      <c r="X4" s="161"/>
      <c r="Y4" s="161"/>
      <c r="Z4" s="221"/>
      <c r="AA4" s="277"/>
      <c r="AB4" s="277"/>
      <c r="AC4" s="277"/>
      <c r="AD4" s="277"/>
      <c r="AE4" s="277"/>
      <c r="AF4" s="277"/>
      <c r="AG4" s="277"/>
      <c r="AH4" s="277"/>
      <c r="AI4" s="277"/>
      <c r="AJ4" s="277"/>
      <c r="AK4" s="277"/>
      <c r="AL4" s="277"/>
      <c r="AM4" s="277"/>
      <c r="AN4" s="277"/>
      <c r="AO4" s="277"/>
    </row>
    <row r="5" spans="1:41" ht="12.75" customHeight="1">
      <c r="B5" s="721" t="s">
        <v>264</v>
      </c>
      <c r="C5" s="720">
        <v>150</v>
      </c>
      <c r="D5" s="86" t="str">
        <f t="shared" ref="D5:D10" si="4">IF(B5="","",CONCATENATE(VLOOKUP(B5,Feed,5,FALSE)))</f>
        <v>day</v>
      </c>
      <c r="E5" s="722" t="s">
        <v>61</v>
      </c>
      <c r="F5" s="813" t="str">
        <f t="shared" ref="F5:F10" si="5">IF(B5="","",CONCATENATE("@ ",TEXT(VLOOKUP($B5,Feed,7,FALSE),"0.00")," per ",VLOOKUP(B5,Feed,5,FALSE)))</f>
        <v>@ 2.00 per day</v>
      </c>
      <c r="G5" s="814"/>
      <c r="H5" s="114">
        <f t="shared" ref="H5:H10" si="6">IF($D$1="NA",0,IF(B5=0,"",IF(E5="","",C5*VLOOKUP(B5,Feed,7,FALSE)*IF(E5="total",1,$D$1))))</f>
        <v>24600</v>
      </c>
      <c r="J5" s="222">
        <f t="shared" ref="J5:J10" si="7">C5*IF(E5="total",1,IF(E5="per animal",$D$1,0))</f>
        <v>12300</v>
      </c>
      <c r="K5" s="163"/>
      <c r="L5" s="417">
        <f t="shared" si="0"/>
        <v>0</v>
      </c>
      <c r="M5" s="417">
        <f t="shared" si="3"/>
        <v>0</v>
      </c>
      <c r="N5" s="417">
        <f t="shared" si="3"/>
        <v>0</v>
      </c>
      <c r="O5" s="417">
        <f t="shared" si="3"/>
        <v>0</v>
      </c>
      <c r="P5" s="417">
        <f t="shared" si="3"/>
        <v>0</v>
      </c>
      <c r="Q5" s="417">
        <f t="shared" si="3"/>
        <v>0</v>
      </c>
      <c r="R5" s="417">
        <f t="shared" si="3"/>
        <v>0</v>
      </c>
      <c r="S5" s="417">
        <f t="shared" si="3"/>
        <v>0</v>
      </c>
      <c r="T5" s="417">
        <f t="shared" si="3"/>
        <v>0</v>
      </c>
      <c r="U5" s="417">
        <f t="shared" si="3"/>
        <v>0</v>
      </c>
      <c r="V5" s="417">
        <f t="shared" si="3"/>
        <v>0</v>
      </c>
      <c r="W5" s="417">
        <f t="shared" si="2"/>
        <v>0</v>
      </c>
      <c r="X5" s="222">
        <v>2</v>
      </c>
      <c r="Z5" s="221"/>
    </row>
    <row r="6" spans="1:41" ht="14.25" customHeight="1">
      <c r="B6" s="721" t="s">
        <v>251</v>
      </c>
      <c r="C6" s="720">
        <v>1500</v>
      </c>
      <c r="D6" s="278" t="str">
        <f t="shared" si="4"/>
        <v>lbs</v>
      </c>
      <c r="E6" s="722" t="s">
        <v>61</v>
      </c>
      <c r="F6" s="813" t="str">
        <f t="shared" si="5"/>
        <v>@ 0.08 per lbs</v>
      </c>
      <c r="G6" s="814"/>
      <c r="H6" s="114">
        <f t="shared" si="6"/>
        <v>9225</v>
      </c>
      <c r="J6" s="222">
        <f t="shared" si="7"/>
        <v>123000</v>
      </c>
      <c r="K6" s="163"/>
      <c r="L6" s="417" t="str">
        <f t="shared" si="0"/>
        <v>salt and mineral</v>
      </c>
      <c r="M6" s="417">
        <f t="shared" si="3"/>
        <v>0</v>
      </c>
      <c r="N6" s="417">
        <f t="shared" si="3"/>
        <v>0</v>
      </c>
      <c r="O6" s="417">
        <f t="shared" si="3"/>
        <v>0</v>
      </c>
      <c r="P6" s="417">
        <f t="shared" si="3"/>
        <v>0</v>
      </c>
      <c r="Q6" s="417">
        <f t="shared" si="3"/>
        <v>0</v>
      </c>
      <c r="R6" s="417">
        <f t="shared" si="3"/>
        <v>89790</v>
      </c>
      <c r="S6" s="417">
        <f t="shared" si="3"/>
        <v>0</v>
      </c>
      <c r="T6" s="417">
        <f t="shared" si="3"/>
        <v>0</v>
      </c>
      <c r="U6" s="417">
        <f t="shared" si="3"/>
        <v>0</v>
      </c>
      <c r="V6" s="417">
        <f t="shared" si="3"/>
        <v>0</v>
      </c>
      <c r="W6" s="417">
        <f t="shared" si="2"/>
        <v>89790</v>
      </c>
      <c r="X6" s="222">
        <v>3</v>
      </c>
      <c r="Z6" s="221"/>
    </row>
    <row r="7" spans="1:41">
      <c r="B7" s="721" t="s">
        <v>248</v>
      </c>
      <c r="C7" s="720">
        <v>1500</v>
      </c>
      <c r="D7" s="278" t="str">
        <f t="shared" si="4"/>
        <v>lbs</v>
      </c>
      <c r="E7" s="722" t="s">
        <v>61</v>
      </c>
      <c r="F7" s="813" t="str">
        <f t="shared" si="5"/>
        <v>@ 0.07 per lbs</v>
      </c>
      <c r="G7" s="814"/>
      <c r="H7" s="114">
        <f t="shared" si="6"/>
        <v>7995</v>
      </c>
      <c r="J7" s="222">
        <f t="shared" si="7"/>
        <v>123000</v>
      </c>
      <c r="K7" s="163"/>
      <c r="L7" s="417" t="str">
        <f t="shared" si="0"/>
        <v>DDG Cubes</v>
      </c>
      <c r="M7" s="417">
        <f t="shared" si="3"/>
        <v>0</v>
      </c>
      <c r="N7" s="417">
        <f t="shared" si="3"/>
        <v>0</v>
      </c>
      <c r="O7" s="417">
        <f t="shared" si="3"/>
        <v>0</v>
      </c>
      <c r="P7" s="417">
        <f t="shared" si="3"/>
        <v>0</v>
      </c>
      <c r="Q7" s="417">
        <f t="shared" si="3"/>
        <v>49200</v>
      </c>
      <c r="R7" s="417">
        <f t="shared" si="3"/>
        <v>0</v>
      </c>
      <c r="S7" s="417">
        <f t="shared" si="3"/>
        <v>0</v>
      </c>
      <c r="T7" s="417">
        <f t="shared" si="3"/>
        <v>0</v>
      </c>
      <c r="U7" s="417">
        <f t="shared" si="3"/>
        <v>0</v>
      </c>
      <c r="V7" s="417">
        <f t="shared" si="3"/>
        <v>0</v>
      </c>
      <c r="W7" s="417">
        <f t="shared" si="2"/>
        <v>49200</v>
      </c>
      <c r="X7" s="222">
        <v>4</v>
      </c>
      <c r="Z7" s="221"/>
    </row>
    <row r="8" spans="1:41">
      <c r="B8" s="721"/>
      <c r="C8" s="720"/>
      <c r="D8" s="278" t="str">
        <f t="shared" si="4"/>
        <v/>
      </c>
      <c r="E8" s="722"/>
      <c r="F8" s="813" t="str">
        <f t="shared" si="5"/>
        <v/>
      </c>
      <c r="G8" s="814"/>
      <c r="H8" s="114" t="str">
        <f t="shared" si="6"/>
        <v/>
      </c>
      <c r="J8" s="222">
        <f t="shared" si="7"/>
        <v>0</v>
      </c>
      <c r="K8" s="163"/>
      <c r="L8" s="417" t="s">
        <v>31</v>
      </c>
      <c r="M8" s="417">
        <f>SUM(M2:M7)</f>
        <v>0</v>
      </c>
      <c r="N8" s="417">
        <f t="shared" ref="N8:V8" si="8">SUM(N2:N7)</f>
        <v>12300</v>
      </c>
      <c r="O8" s="417">
        <f t="shared" si="8"/>
        <v>123000</v>
      </c>
      <c r="P8" s="417">
        <f t="shared" si="8"/>
        <v>123000</v>
      </c>
      <c r="Q8" s="417">
        <f t="shared" si="8"/>
        <v>49200</v>
      </c>
      <c r="R8" s="417">
        <f t="shared" si="8"/>
        <v>89790</v>
      </c>
      <c r="S8" s="417">
        <f t="shared" si="8"/>
        <v>0</v>
      </c>
      <c r="T8" s="417">
        <f t="shared" si="8"/>
        <v>0</v>
      </c>
      <c r="U8" s="417">
        <f t="shared" si="8"/>
        <v>0</v>
      </c>
      <c r="V8" s="417">
        <f t="shared" si="8"/>
        <v>0</v>
      </c>
      <c r="W8" s="417"/>
      <c r="X8" s="222">
        <v>5</v>
      </c>
      <c r="Z8" s="221"/>
    </row>
    <row r="9" spans="1:41">
      <c r="B9" s="721" t="s">
        <v>256</v>
      </c>
      <c r="C9" s="720">
        <v>1095</v>
      </c>
      <c r="D9" s="278" t="str">
        <f t="shared" si="4"/>
        <v>ounce</v>
      </c>
      <c r="E9" s="722" t="s">
        <v>61</v>
      </c>
      <c r="F9" s="813" t="str">
        <f t="shared" si="5"/>
        <v>@ 0.03 per ounce</v>
      </c>
      <c r="G9" s="814"/>
      <c r="H9" s="114">
        <f t="shared" si="6"/>
        <v>2525.34375</v>
      </c>
      <c r="J9" s="222">
        <f t="shared" si="7"/>
        <v>89790</v>
      </c>
      <c r="K9" s="163"/>
      <c r="L9" s="163"/>
      <c r="M9" s="163"/>
      <c r="N9" s="163"/>
      <c r="O9" s="163"/>
      <c r="P9" s="163"/>
      <c r="Q9" s="163"/>
      <c r="R9" s="163"/>
      <c r="S9" s="163"/>
      <c r="X9" s="222">
        <v>6</v>
      </c>
      <c r="Z9" s="221"/>
    </row>
    <row r="10" spans="1:41" ht="13.5" thickBot="1">
      <c r="B10" s="204" t="s">
        <v>252</v>
      </c>
      <c r="C10" s="203">
        <v>600</v>
      </c>
      <c r="D10" s="278" t="str">
        <f t="shared" si="4"/>
        <v>lbs</v>
      </c>
      <c r="E10" s="218" t="s">
        <v>61</v>
      </c>
      <c r="F10" s="813" t="str">
        <f t="shared" si="5"/>
        <v>@ 0.15 per lbs</v>
      </c>
      <c r="G10" s="814"/>
      <c r="H10" s="114">
        <f t="shared" si="6"/>
        <v>7380</v>
      </c>
      <c r="J10" s="222">
        <f t="shared" si="7"/>
        <v>49200</v>
      </c>
      <c r="K10" s="163"/>
      <c r="L10" s="163"/>
      <c r="M10" s="163"/>
      <c r="N10" s="163"/>
      <c r="O10" s="163"/>
      <c r="P10" s="163"/>
      <c r="Q10" s="163"/>
      <c r="R10" s="163"/>
      <c r="S10" s="163"/>
      <c r="X10" s="222">
        <v>7</v>
      </c>
      <c r="Z10" s="221"/>
    </row>
    <row r="11" spans="1:41" ht="16.5" thickBot="1">
      <c r="B11" s="66"/>
      <c r="C11" s="38"/>
      <c r="D11" s="38"/>
      <c r="E11" s="38"/>
      <c r="F11" s="38"/>
      <c r="G11" s="21" t="s">
        <v>246</v>
      </c>
      <c r="H11" s="588">
        <f>SUM(H5:H10)</f>
        <v>51725.34375</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sheetProtection sheet="1" objects="1" scenarios="1"/>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election activeCell="A2" sqref="A2"/>
    </sheetView>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141</v>
      </c>
      <c r="C1"/>
      <c r="D1" s="134" t="str">
        <f>CONCATENATE("(",Inputs!G3," Cows)")</f>
        <v>(600 Cows)</v>
      </c>
      <c r="E1" s="100"/>
      <c r="F1" s="100"/>
      <c r="G1" s="100"/>
      <c r="H1" s="100"/>
      <c r="I1" s="23"/>
      <c r="J1" s="90"/>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row>
    <row r="2" spans="1:44" ht="16.5" customHeight="1" thickBot="1">
      <c r="B2" s="66" t="s">
        <v>97</v>
      </c>
      <c r="C2" s="108"/>
      <c r="D2" s="109"/>
      <c r="E2" s="109"/>
      <c r="F2" s="109"/>
      <c r="G2" s="109"/>
      <c r="H2" s="128" t="s">
        <v>74</v>
      </c>
      <c r="I2" s="129" t="s">
        <v>91</v>
      </c>
      <c r="J2" s="113" t="s">
        <v>149</v>
      </c>
      <c r="L2" s="417" t="str">
        <f t="shared" ref="L2:L7" si="0">B18</f>
        <v>Pasture</v>
      </c>
      <c r="M2" s="417">
        <f>IF(M$1=$L2,$L18,0)</f>
        <v>0</v>
      </c>
      <c r="N2" s="417">
        <f t="shared" ref="N2:V2" si="1">IF(N$1=$L2,$L18,0)</f>
        <v>90000</v>
      </c>
      <c r="O2" s="417">
        <f t="shared" si="1"/>
        <v>0</v>
      </c>
      <c r="P2" s="417">
        <f t="shared" si="1"/>
        <v>0</v>
      </c>
      <c r="Q2" s="417">
        <f t="shared" si="1"/>
        <v>0</v>
      </c>
      <c r="R2" s="417">
        <f t="shared" si="1"/>
        <v>0</v>
      </c>
      <c r="S2" s="417">
        <f t="shared" si="1"/>
        <v>0</v>
      </c>
      <c r="T2" s="417">
        <f t="shared" si="1"/>
        <v>0</v>
      </c>
      <c r="U2" s="417">
        <f t="shared" si="1"/>
        <v>0</v>
      </c>
      <c r="V2" s="417">
        <f t="shared" si="1"/>
        <v>0</v>
      </c>
      <c r="W2" s="417">
        <f t="shared" ref="W2:W7" si="2">SUM(M2:V2)</f>
        <v>90000</v>
      </c>
    </row>
    <row r="3" spans="1:44">
      <c r="B3" s="48"/>
      <c r="C3" s="76" t="s">
        <v>44</v>
      </c>
      <c r="D3" s="39"/>
      <c r="E3" s="168" t="s">
        <v>30</v>
      </c>
      <c r="F3" s="39" t="s">
        <v>5</v>
      </c>
      <c r="G3" s="43"/>
      <c r="H3" s="145" t="s">
        <v>31</v>
      </c>
      <c r="I3" s="184"/>
      <c r="J3" s="183"/>
      <c r="L3" s="417" t="str">
        <f t="shared" si="0"/>
        <v>Salt and Mineral</v>
      </c>
      <c r="M3" s="417">
        <f t="shared" ref="M3:V7" si="3">IF(M$1=$L3,$L19,0)</f>
        <v>0</v>
      </c>
      <c r="N3" s="417">
        <f t="shared" si="3"/>
        <v>0</v>
      </c>
      <c r="O3" s="417">
        <f t="shared" si="3"/>
        <v>0</v>
      </c>
      <c r="P3" s="417">
        <f t="shared" si="3"/>
        <v>0</v>
      </c>
      <c r="Q3" s="417">
        <f t="shared" si="3"/>
        <v>0</v>
      </c>
      <c r="R3" s="417">
        <f t="shared" si="3"/>
        <v>657000</v>
      </c>
      <c r="S3" s="417">
        <f t="shared" si="3"/>
        <v>0</v>
      </c>
      <c r="T3" s="417">
        <f t="shared" si="3"/>
        <v>0</v>
      </c>
      <c r="U3" s="417">
        <f t="shared" si="3"/>
        <v>0</v>
      </c>
      <c r="V3" s="417">
        <f t="shared" si="3"/>
        <v>0</v>
      </c>
      <c r="W3" s="417">
        <f t="shared" si="2"/>
        <v>657000</v>
      </c>
    </row>
    <row r="4" spans="1:44">
      <c r="B4" s="48" t="s">
        <v>132</v>
      </c>
      <c r="C4" s="77">
        <f>ROUND(Inputs!$G$23/2,0)</f>
        <v>279</v>
      </c>
      <c r="D4" s="43"/>
      <c r="E4" s="179">
        <f>Inputs!G24</f>
        <v>525</v>
      </c>
      <c r="F4" s="50">
        <f>Inputs!G26</f>
        <v>180</v>
      </c>
      <c r="G4" s="49" t="s">
        <v>32</v>
      </c>
      <c r="H4" s="444">
        <f>C4*E4*F4/100</f>
        <v>263655</v>
      </c>
      <c r="I4" s="185"/>
      <c r="J4" s="186"/>
      <c r="L4" s="417" t="str">
        <f t="shared" si="0"/>
        <v>Prairie Hay</v>
      </c>
      <c r="M4" s="417">
        <f t="shared" si="3"/>
        <v>0</v>
      </c>
      <c r="N4" s="417">
        <f t="shared" si="3"/>
        <v>0</v>
      </c>
      <c r="O4" s="417">
        <f t="shared" si="3"/>
        <v>1200000</v>
      </c>
      <c r="P4" s="417">
        <f t="shared" si="3"/>
        <v>0</v>
      </c>
      <c r="Q4" s="417">
        <f t="shared" si="3"/>
        <v>0</v>
      </c>
      <c r="R4" s="417">
        <f t="shared" si="3"/>
        <v>0</v>
      </c>
      <c r="S4" s="417">
        <f t="shared" si="3"/>
        <v>0</v>
      </c>
      <c r="T4" s="417">
        <f t="shared" si="3"/>
        <v>0</v>
      </c>
      <c r="U4" s="417">
        <f t="shared" si="3"/>
        <v>0</v>
      </c>
      <c r="V4" s="417">
        <f t="shared" si="3"/>
        <v>0</v>
      </c>
      <c r="W4" s="417">
        <f t="shared" si="2"/>
        <v>1200000</v>
      </c>
    </row>
    <row r="5" spans="1:44">
      <c r="B5" s="48" t="s">
        <v>133</v>
      </c>
      <c r="C5" s="77">
        <f>ROUND(Inputs!$G$23/2-Inputs!G5-Inputs!O6-Inputs!G9+Inputs!G13,0)</f>
        <v>197</v>
      </c>
      <c r="D5" s="43"/>
      <c r="E5" s="169">
        <f>Inputs!G25</f>
        <v>475</v>
      </c>
      <c r="F5" s="50">
        <f>Inputs!G27</f>
        <v>160</v>
      </c>
      <c r="G5" s="49" t="s">
        <v>32</v>
      </c>
      <c r="H5" s="444">
        <f>C5*E5*F5/100</f>
        <v>149720</v>
      </c>
      <c r="I5" s="185"/>
      <c r="J5" s="186"/>
      <c r="L5" s="417" t="str">
        <f t="shared" si="0"/>
        <v>Corn Stalks</v>
      </c>
      <c r="M5" s="417">
        <f t="shared" si="3"/>
        <v>0</v>
      </c>
      <c r="N5" s="417">
        <f t="shared" si="3"/>
        <v>0</v>
      </c>
      <c r="O5" s="417">
        <f t="shared" si="3"/>
        <v>0</v>
      </c>
      <c r="P5" s="417">
        <f t="shared" si="3"/>
        <v>0</v>
      </c>
      <c r="Q5" s="417">
        <f t="shared" si="3"/>
        <v>0</v>
      </c>
      <c r="R5" s="417">
        <f t="shared" si="3"/>
        <v>0</v>
      </c>
      <c r="S5" s="417">
        <f t="shared" si="3"/>
        <v>72000</v>
      </c>
      <c r="T5" s="417">
        <f t="shared" si="3"/>
        <v>0</v>
      </c>
      <c r="U5" s="417">
        <f t="shared" si="3"/>
        <v>0</v>
      </c>
      <c r="V5" s="417">
        <f t="shared" si="3"/>
        <v>0</v>
      </c>
      <c r="W5" s="417">
        <f t="shared" si="2"/>
        <v>72000</v>
      </c>
    </row>
    <row r="6" spans="1:44">
      <c r="B6" s="27" t="s">
        <v>85</v>
      </c>
      <c r="C6" s="77">
        <f>Inputs!G5</f>
        <v>70</v>
      </c>
      <c r="D6" s="43"/>
      <c r="E6" s="56">
        <f>Inputs!G15</f>
        <v>1350</v>
      </c>
      <c r="F6" s="50">
        <f>Inputs!G16</f>
        <v>64</v>
      </c>
      <c r="G6" s="49" t="s">
        <v>32</v>
      </c>
      <c r="H6" s="444">
        <f>C6*F6*E6/100</f>
        <v>60480</v>
      </c>
      <c r="I6" s="185"/>
      <c r="J6" s="186"/>
      <c r="L6" s="417" t="str">
        <f t="shared" si="0"/>
        <v>DDG Cubes</v>
      </c>
      <c r="M6" s="417">
        <f t="shared" si="3"/>
        <v>0</v>
      </c>
      <c r="N6" s="417">
        <f t="shared" si="3"/>
        <v>0</v>
      </c>
      <c r="O6" s="417">
        <f t="shared" si="3"/>
        <v>0</v>
      </c>
      <c r="P6" s="417">
        <f t="shared" si="3"/>
        <v>0</v>
      </c>
      <c r="Q6" s="417">
        <f t="shared" si="3"/>
        <v>600000</v>
      </c>
      <c r="R6" s="417">
        <f t="shared" si="3"/>
        <v>0</v>
      </c>
      <c r="S6" s="417">
        <f t="shared" si="3"/>
        <v>0</v>
      </c>
      <c r="T6" s="417">
        <f t="shared" si="3"/>
        <v>0</v>
      </c>
      <c r="U6" s="417">
        <f t="shared" si="3"/>
        <v>0</v>
      </c>
      <c r="V6" s="417">
        <f t="shared" si="3"/>
        <v>0</v>
      </c>
      <c r="W6" s="417">
        <f t="shared" si="2"/>
        <v>600000</v>
      </c>
    </row>
    <row r="7" spans="1:44" s="190" customFormat="1">
      <c r="A7" s="152"/>
      <c r="B7" s="250" t="s">
        <v>192</v>
      </c>
      <c r="C7" s="77">
        <f>Inputs!G9</f>
        <v>0</v>
      </c>
      <c r="D7" s="43"/>
      <c r="E7" s="56">
        <f>Inputs!G10</f>
        <v>0</v>
      </c>
      <c r="F7" s="50">
        <f>Inputs!G11</f>
        <v>0</v>
      </c>
      <c r="G7" s="49" t="s">
        <v>32</v>
      </c>
      <c r="H7" s="444">
        <f>C7*F7*E7/100</f>
        <v>0</v>
      </c>
      <c r="I7" s="185"/>
      <c r="J7" s="186"/>
      <c r="K7" s="222"/>
      <c r="L7" s="417">
        <f t="shared" si="0"/>
        <v>0</v>
      </c>
      <c r="M7" s="417">
        <f t="shared" si="3"/>
        <v>0</v>
      </c>
      <c r="N7" s="417">
        <f t="shared" si="3"/>
        <v>0</v>
      </c>
      <c r="O7" s="417">
        <f t="shared" si="3"/>
        <v>0</v>
      </c>
      <c r="P7" s="417">
        <f t="shared" si="3"/>
        <v>0</v>
      </c>
      <c r="Q7" s="417">
        <f t="shared" si="3"/>
        <v>0</v>
      </c>
      <c r="R7" s="417">
        <f t="shared" si="3"/>
        <v>0</v>
      </c>
      <c r="S7" s="417">
        <f t="shared" si="3"/>
        <v>0</v>
      </c>
      <c r="T7" s="417">
        <f t="shared" si="3"/>
        <v>0</v>
      </c>
      <c r="U7" s="417">
        <f t="shared" si="3"/>
        <v>0</v>
      </c>
      <c r="V7" s="417">
        <f t="shared" si="3"/>
        <v>0</v>
      </c>
      <c r="W7" s="417">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4"/>
      <c r="I8" s="187"/>
      <c r="J8" s="188"/>
      <c r="L8" s="417" t="s">
        <v>31</v>
      </c>
      <c r="M8" s="417">
        <f>SUM(M2:M7)</f>
        <v>0</v>
      </c>
      <c r="N8" s="417">
        <f t="shared" ref="N8:V8" si="4">SUM(N2:N7)</f>
        <v>90000</v>
      </c>
      <c r="O8" s="417">
        <f t="shared" si="4"/>
        <v>1200000</v>
      </c>
      <c r="P8" s="417">
        <f t="shared" si="4"/>
        <v>0</v>
      </c>
      <c r="Q8" s="417">
        <f t="shared" si="4"/>
        <v>600000</v>
      </c>
      <c r="R8" s="417">
        <f t="shared" si="4"/>
        <v>657000</v>
      </c>
      <c r="S8" s="417">
        <f t="shared" si="4"/>
        <v>72000</v>
      </c>
      <c r="T8" s="417">
        <f t="shared" si="4"/>
        <v>0</v>
      </c>
      <c r="U8" s="417">
        <f t="shared" si="4"/>
        <v>0</v>
      </c>
      <c r="V8" s="417">
        <f t="shared" si="4"/>
        <v>0</v>
      </c>
      <c r="W8" s="417"/>
    </row>
    <row r="9" spans="1:44" ht="16.5" thickBot="1">
      <c r="B9" s="66"/>
      <c r="C9" s="42"/>
      <c r="D9" s="42"/>
      <c r="E9" s="38"/>
      <c r="F9" s="60"/>
      <c r="G9" s="21" t="s">
        <v>33</v>
      </c>
      <c r="H9" s="521">
        <f>SUM(H4:H8)</f>
        <v>473855</v>
      </c>
      <c r="I9" s="85">
        <f>IF(HerdSize=0,0,H9/HerdSize)</f>
        <v>789.75833333333333</v>
      </c>
      <c r="J9" s="103">
        <f>IF((C4+C5)=0,0,H9/(C4+C5))</f>
        <v>995.49369747899163</v>
      </c>
      <c r="L9" s="415"/>
      <c r="M9" s="415"/>
      <c r="N9" s="415"/>
      <c r="O9" s="415"/>
      <c r="P9" s="415"/>
      <c r="Q9" s="415"/>
      <c r="R9" s="415"/>
      <c r="S9" s="415"/>
      <c r="T9" s="415"/>
      <c r="U9" s="415"/>
      <c r="V9" s="415"/>
      <c r="W9" s="415"/>
    </row>
    <row r="10" spans="1:44" ht="13.5" thickBot="1">
      <c r="B10" s="64"/>
      <c r="C10" s="22"/>
      <c r="D10" s="43"/>
      <c r="E10" s="22"/>
      <c r="F10" s="22"/>
      <c r="G10" s="22"/>
      <c r="H10" s="445"/>
      <c r="I10" s="22"/>
      <c r="J10" s="22"/>
      <c r="L10" s="415"/>
      <c r="M10" s="415"/>
      <c r="N10" s="415"/>
      <c r="O10" s="415"/>
      <c r="P10" s="415"/>
      <c r="Q10" s="415"/>
      <c r="R10" s="415"/>
      <c r="S10" s="415"/>
      <c r="T10" s="415"/>
      <c r="U10" s="415"/>
      <c r="V10" s="415"/>
      <c r="W10" s="415"/>
    </row>
    <row r="11" spans="1:44" ht="14.25" customHeight="1" thickBot="1">
      <c r="B11" s="66" t="s">
        <v>96</v>
      </c>
      <c r="C11" s="108"/>
      <c r="D11" s="109"/>
      <c r="E11" s="109"/>
      <c r="F11" s="109"/>
      <c r="G11" s="109"/>
      <c r="H11" s="522" t="s">
        <v>74</v>
      </c>
      <c r="I11" s="129" t="s">
        <v>91</v>
      </c>
      <c r="J11" s="113" t="s">
        <v>149</v>
      </c>
      <c r="L11" s="419"/>
      <c r="M11" s="419"/>
      <c r="N11" s="419"/>
      <c r="O11" s="419"/>
      <c r="P11" s="419"/>
      <c r="Q11" s="419"/>
      <c r="R11" s="419"/>
      <c r="S11" s="419"/>
      <c r="T11" s="419"/>
      <c r="U11" s="419"/>
      <c r="V11" s="415"/>
      <c r="W11" s="415"/>
    </row>
    <row r="12" spans="1:44">
      <c r="B12" s="78" t="s">
        <v>62</v>
      </c>
      <c r="C12" s="234" t="s">
        <v>44</v>
      </c>
      <c r="D12" s="235"/>
      <c r="E12" s="235" t="s">
        <v>5</v>
      </c>
      <c r="F12" s="45"/>
      <c r="G12" s="45"/>
      <c r="H12" s="523" t="s">
        <v>31</v>
      </c>
      <c r="I12" s="72" t="s">
        <v>31</v>
      </c>
      <c r="J12" s="70" t="s">
        <v>31</v>
      </c>
      <c r="L12" s="419"/>
      <c r="M12" s="419"/>
      <c r="N12" s="419"/>
      <c r="O12" s="419"/>
      <c r="P12" s="419"/>
      <c r="Q12" s="419"/>
      <c r="R12" s="419"/>
      <c r="S12" s="419"/>
      <c r="T12" s="419"/>
      <c r="U12" s="419"/>
      <c r="V12" s="415"/>
      <c r="W12" s="415"/>
    </row>
    <row r="13" spans="1:44">
      <c r="B13" s="211" t="s">
        <v>76</v>
      </c>
      <c r="C13" s="74"/>
      <c r="D13" s="112"/>
      <c r="E13" s="208"/>
      <c r="F13" s="208"/>
      <c r="G13" s="131" t="s">
        <v>83</v>
      </c>
      <c r="H13" s="444">
        <f>Bulls!H28</f>
        <v>30071.598750000001</v>
      </c>
      <c r="I13" s="431">
        <f>IF(HerdSize=0,0,H13/(HerdSize))</f>
        <v>50.119331250000002</v>
      </c>
      <c r="J13" s="555">
        <f>IF((C4+C5)=0,0,H13/(C4+C5))</f>
        <v>63.175627626050421</v>
      </c>
      <c r="L13" s="419"/>
      <c r="M13" s="419"/>
      <c r="N13" s="419"/>
      <c r="O13" s="419"/>
      <c r="P13" s="419"/>
      <c r="Q13" s="419"/>
      <c r="R13" s="419"/>
      <c r="S13" s="419"/>
      <c r="T13" s="419"/>
      <c r="U13" s="419"/>
      <c r="V13" s="415"/>
      <c r="W13" s="415"/>
    </row>
    <row r="14" spans="1:44" ht="13.5" thickBot="1">
      <c r="B14" s="211" t="s">
        <v>139</v>
      </c>
      <c r="C14" s="192">
        <f>Inputs!G13</f>
        <v>0</v>
      </c>
      <c r="D14" s="209"/>
      <c r="E14" s="193">
        <f>Inputs!G14</f>
        <v>0</v>
      </c>
      <c r="F14" s="208" t="s">
        <v>35</v>
      </c>
      <c r="G14" s="208"/>
      <c r="H14" s="449">
        <f>IF(E14="N/A",0,C14*E14)</f>
        <v>0</v>
      </c>
      <c r="I14" s="537">
        <f>IF(E14="N/A",0,IF(HerdSize=0,0,H14/(HerdSize)))</f>
        <v>0</v>
      </c>
      <c r="J14" s="556">
        <f>IF((C4+C5)=0,0,H14/(C4+C5))</f>
        <v>0</v>
      </c>
      <c r="L14" s="420"/>
      <c r="M14" s="419"/>
      <c r="N14" s="419"/>
      <c r="O14" s="419"/>
      <c r="P14" s="419"/>
      <c r="Q14" s="419"/>
      <c r="R14" s="419"/>
      <c r="S14" s="419"/>
      <c r="T14" s="419"/>
      <c r="U14" s="419"/>
      <c r="V14" s="415"/>
      <c r="W14" s="415"/>
    </row>
    <row r="15" spans="1:44" s="40" customFormat="1" ht="13.5" thickTop="1">
      <c r="A15" s="152"/>
      <c r="B15" s="211"/>
      <c r="C15" s="32"/>
      <c r="D15" s="209"/>
      <c r="E15" s="209"/>
      <c r="F15" s="208"/>
      <c r="G15" s="209" t="s">
        <v>69</v>
      </c>
      <c r="H15" s="524">
        <f>SUM(H13:H14)</f>
        <v>30071.598750000001</v>
      </c>
      <c r="I15" s="538">
        <f>SUM(I13:I14)</f>
        <v>50.119331250000002</v>
      </c>
      <c r="J15" s="440">
        <f>SUM(J13:J14)</f>
        <v>63.175627626050421</v>
      </c>
      <c r="K15" s="222"/>
      <c r="L15" s="415" t="s">
        <v>61</v>
      </c>
      <c r="M15" s="419"/>
      <c r="N15" s="419"/>
      <c r="O15" s="419"/>
      <c r="P15" s="419"/>
      <c r="Q15" s="419"/>
      <c r="R15" s="419"/>
      <c r="S15" s="419"/>
      <c r="T15" s="419"/>
      <c r="U15" s="419"/>
      <c r="V15" s="415"/>
      <c r="W15" s="415"/>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5" t="s">
        <v>153</v>
      </c>
      <c r="D16" s="232"/>
      <c r="E16" s="817" t="s">
        <v>154</v>
      </c>
      <c r="F16" s="208"/>
      <c r="G16" s="208"/>
      <c r="H16" s="366"/>
      <c r="I16" s="539"/>
      <c r="J16" s="557"/>
      <c r="K16" s="222"/>
      <c r="L16" s="415" t="s">
        <v>64</v>
      </c>
      <c r="M16" s="421"/>
      <c r="N16" s="419"/>
      <c r="O16" s="419"/>
      <c r="P16" s="419"/>
      <c r="Q16" s="422"/>
      <c r="R16" s="422"/>
      <c r="S16" s="422"/>
      <c r="T16" s="422"/>
      <c r="U16" s="422"/>
      <c r="V16" s="459"/>
      <c r="W16" s="415"/>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6"/>
      <c r="D17" s="232"/>
      <c r="E17" s="817"/>
      <c r="F17" s="819" t="s">
        <v>5</v>
      </c>
      <c r="G17" s="832"/>
      <c r="H17" s="525" t="s">
        <v>31</v>
      </c>
      <c r="I17" s="540" t="s">
        <v>31</v>
      </c>
      <c r="J17" s="558" t="s">
        <v>31</v>
      </c>
      <c r="K17" s="222"/>
      <c r="L17" s="423"/>
      <c r="M17" s="424"/>
      <c r="N17" s="419"/>
      <c r="O17" s="419"/>
      <c r="P17" s="421"/>
      <c r="Q17" s="422"/>
      <c r="R17" s="422"/>
      <c r="S17" s="422"/>
      <c r="T17" s="422"/>
      <c r="U17" s="422"/>
      <c r="V17" s="459"/>
      <c r="W17" s="415"/>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24" t="s">
        <v>264</v>
      </c>
      <c r="C18" s="723">
        <v>150</v>
      </c>
      <c r="D18" s="86" t="str">
        <f t="shared" ref="D18:D23" si="5">IF(B18="","",CONCATENATE(VLOOKUP(B18,Feed,5,FALSE)))</f>
        <v>day</v>
      </c>
      <c r="E18" s="725" t="s">
        <v>61</v>
      </c>
      <c r="F18" s="833" t="str">
        <f t="shared" ref="F18:F23" si="6">IF(B18="","",CONCATENATE("@ ",TEXT(VLOOKUP($B18,Feed,7,FALSE),"0.00")," per ",VLOOKUP(B18,Feed,5,FALSE)))</f>
        <v>@ 2.00 per day</v>
      </c>
      <c r="G18" s="834"/>
      <c r="H18" s="444">
        <f t="shared" ref="H18:H23" si="7">IF(B18=0,0,IF(E18="",0,C18*VLOOKUP(B18,Feed,7,FALSE)*IF(E18="total",1,HerdSize)))</f>
        <v>180000</v>
      </c>
      <c r="I18" s="431">
        <f>IF(HerdSize=0,0,IF('Breeding Herd'!H18=0,0,'Breeding Herd'!H18/HerdSize))</f>
        <v>300</v>
      </c>
      <c r="J18" s="555">
        <f>IF((C4+C5)=0,0,IF(H18=0,0,H18/(C4+C5)))</f>
        <v>378.15126050420167</v>
      </c>
      <c r="L18" s="415">
        <f t="shared" ref="L18:L23" si="8">C18*IF(E18="total",1,IF(E18="per animal",HerdSize,0))</f>
        <v>90000</v>
      </c>
      <c r="M18" s="425"/>
      <c r="N18" s="419"/>
      <c r="O18" s="419"/>
      <c r="P18" s="426"/>
      <c r="Q18" s="426"/>
      <c r="R18" s="427"/>
      <c r="S18" s="427"/>
      <c r="T18" s="427"/>
      <c r="U18" s="427"/>
      <c r="V18" s="460"/>
      <c r="W18" s="415"/>
      <c r="X18" s="223"/>
      <c r="AD18" s="157">
        <v>2</v>
      </c>
    </row>
    <row r="19" spans="1:44" ht="14.25" customHeight="1">
      <c r="B19" s="724" t="s">
        <v>253</v>
      </c>
      <c r="C19" s="723">
        <v>1095</v>
      </c>
      <c r="D19" s="278" t="str">
        <f t="shared" si="5"/>
        <v>ounce</v>
      </c>
      <c r="E19" s="725" t="s">
        <v>61</v>
      </c>
      <c r="F19" s="833" t="str">
        <f t="shared" si="6"/>
        <v>@ 0.03 per ounce</v>
      </c>
      <c r="G19" s="834"/>
      <c r="H19" s="444">
        <f t="shared" si="7"/>
        <v>18478.125</v>
      </c>
      <c r="I19" s="431">
        <f>IF(HerdSize=0,0,IF('Breeding Herd'!H19=0,0,'Breeding Herd'!H19/HerdSize))</f>
        <v>30.796875</v>
      </c>
      <c r="J19" s="555">
        <f>IF((C4+C5)=0,0,IF(H19=0,0,H19/(C4+C5)))</f>
        <v>38.819590336134453</v>
      </c>
      <c r="L19" s="415">
        <f t="shared" si="8"/>
        <v>657000</v>
      </c>
      <c r="M19" s="425"/>
      <c r="N19" s="419"/>
      <c r="O19" s="419"/>
      <c r="P19" s="426"/>
      <c r="Q19" s="426"/>
      <c r="R19" s="427"/>
      <c r="S19" s="427"/>
      <c r="T19" s="427"/>
      <c r="U19" s="427"/>
      <c r="V19" s="460"/>
      <c r="W19" s="415"/>
      <c r="X19" s="223"/>
      <c r="AD19" s="157">
        <v>3</v>
      </c>
    </row>
    <row r="20" spans="1:44">
      <c r="B20" s="724" t="s">
        <v>248</v>
      </c>
      <c r="C20" s="723">
        <v>2000</v>
      </c>
      <c r="D20" s="278" t="str">
        <f t="shared" si="5"/>
        <v>lbs</v>
      </c>
      <c r="E20" s="725" t="s">
        <v>61</v>
      </c>
      <c r="F20" s="833" t="str">
        <f t="shared" si="6"/>
        <v>@ 0.07 per lbs</v>
      </c>
      <c r="G20" s="834"/>
      <c r="H20" s="444">
        <f t="shared" si="7"/>
        <v>78000</v>
      </c>
      <c r="I20" s="431">
        <f>IF(HerdSize=0,0,IF('Breeding Herd'!H20=0,0,'Breeding Herd'!H20/HerdSize))</f>
        <v>130</v>
      </c>
      <c r="J20" s="555">
        <f>IF((C4+C5)=0,0,IF(H20=0,0,H20/(C4+C5)))</f>
        <v>163.8655462184874</v>
      </c>
      <c r="L20" s="222">
        <f t="shared" si="8"/>
        <v>1200000</v>
      </c>
      <c r="M20" s="412"/>
      <c r="N20" s="411"/>
      <c r="O20" s="411"/>
      <c r="P20" s="413"/>
      <c r="Q20" s="413"/>
      <c r="R20" s="414"/>
      <c r="S20" s="414"/>
      <c r="T20" s="414"/>
      <c r="U20" s="414"/>
      <c r="V20" s="164"/>
      <c r="X20" s="223"/>
      <c r="AD20" s="157">
        <v>4</v>
      </c>
    </row>
    <row r="21" spans="1:44">
      <c r="B21" s="724" t="s">
        <v>257</v>
      </c>
      <c r="C21" s="723">
        <v>120</v>
      </c>
      <c r="D21" s="278" t="str">
        <f t="shared" si="5"/>
        <v>day</v>
      </c>
      <c r="E21" s="726" t="s">
        <v>61</v>
      </c>
      <c r="F21" s="833" t="str">
        <f t="shared" si="6"/>
        <v>@ 0.58 per day</v>
      </c>
      <c r="G21" s="834"/>
      <c r="H21" s="444">
        <f t="shared" si="7"/>
        <v>42000</v>
      </c>
      <c r="I21" s="431">
        <f>IF(HerdSize=0,0,IF('Breeding Herd'!H21=0,0,'Breeding Herd'!H21/HerdSize))</f>
        <v>70</v>
      </c>
      <c r="J21" s="555">
        <f>IF((C4+C5)=0,0,IF(H21=0,0,H21/(C4+C5)))</f>
        <v>88.235294117647058</v>
      </c>
      <c r="L21" s="222">
        <f t="shared" si="8"/>
        <v>72000</v>
      </c>
      <c r="M21" s="412"/>
      <c r="N21" s="411"/>
      <c r="O21" s="413"/>
      <c r="P21" s="413"/>
      <c r="Q21" s="413"/>
      <c r="R21" s="414"/>
      <c r="S21" s="414"/>
      <c r="T21" s="414"/>
      <c r="U21" s="414"/>
      <c r="V21" s="164"/>
      <c r="X21" s="223"/>
      <c r="AD21" s="157">
        <v>5</v>
      </c>
    </row>
    <row r="22" spans="1:44">
      <c r="B22" s="226" t="s">
        <v>252</v>
      </c>
      <c r="C22" s="203">
        <v>1000</v>
      </c>
      <c r="D22" s="278" t="str">
        <f t="shared" si="5"/>
        <v>lbs</v>
      </c>
      <c r="E22" s="227" t="s">
        <v>61</v>
      </c>
      <c r="F22" s="833" t="str">
        <f t="shared" si="6"/>
        <v>@ 0.15 per lbs</v>
      </c>
      <c r="G22" s="834"/>
      <c r="H22" s="444">
        <f t="shared" si="7"/>
        <v>90000</v>
      </c>
      <c r="I22" s="431">
        <f>IF(HerdSize=0,0,IF('Breeding Herd'!H22=0,0,'Breeding Herd'!H22/HerdSize))</f>
        <v>150</v>
      </c>
      <c r="J22" s="555">
        <f>IF((C4+C5)=0,0,IF(H22=0,0,H22/(C4+C5)))</f>
        <v>189.07563025210084</v>
      </c>
      <c r="L22" s="222">
        <f t="shared" si="8"/>
        <v>600000</v>
      </c>
      <c r="M22" s="412"/>
      <c r="N22" s="411"/>
      <c r="O22" s="413"/>
      <c r="P22" s="413"/>
      <c r="Q22" s="413"/>
      <c r="R22" s="414"/>
      <c r="S22" s="414"/>
      <c r="T22" s="414"/>
      <c r="U22" s="414"/>
      <c r="V22" s="164"/>
      <c r="X22" s="223"/>
      <c r="AD22" s="157">
        <v>6</v>
      </c>
    </row>
    <row r="23" spans="1:44">
      <c r="B23" s="226"/>
      <c r="C23" s="203"/>
      <c r="D23" s="278" t="str">
        <f t="shared" si="5"/>
        <v/>
      </c>
      <c r="E23" s="228"/>
      <c r="F23" s="833" t="str">
        <f t="shared" si="6"/>
        <v/>
      </c>
      <c r="G23" s="834"/>
      <c r="H23" s="444">
        <f t="shared" si="7"/>
        <v>0</v>
      </c>
      <c r="I23" s="431">
        <f>IF(HerdSize=0,0,IF('Breeding Herd'!H23=0,0,'Breeding Herd'!H23/HerdSize))</f>
        <v>0</v>
      </c>
      <c r="J23" s="555">
        <f>IF((C4+C5)=0,0,IF(H23=0,0,H23/(C4+C5)))</f>
        <v>0</v>
      </c>
      <c r="L23" s="222">
        <f t="shared" si="8"/>
        <v>0</v>
      </c>
      <c r="M23" s="412"/>
      <c r="N23" s="411"/>
      <c r="O23" s="413"/>
      <c r="P23" s="413"/>
      <c r="Q23" s="413"/>
      <c r="R23" s="414"/>
      <c r="S23" s="414"/>
      <c r="T23" s="414"/>
      <c r="U23" s="414"/>
      <c r="V23" s="164"/>
      <c r="X23" s="223"/>
      <c r="AD23" s="157">
        <v>7</v>
      </c>
    </row>
    <row r="24" spans="1:44" s="40" customFormat="1" ht="13.5" thickBot="1">
      <c r="A24" s="152"/>
      <c r="B24" s="211" t="s">
        <v>92</v>
      </c>
      <c r="C24" s="835" t="s">
        <v>70</v>
      </c>
      <c r="D24" s="836"/>
      <c r="E24" s="836"/>
      <c r="F24" s="836"/>
      <c r="G24" s="837"/>
      <c r="H24" s="456">
        <f>Replacements!H11</f>
        <v>51725.34375</v>
      </c>
      <c r="I24" s="537">
        <f>IF(HerdSize=0,"",IF('Breeding Herd'!H24=0,0,'Breeding Herd'!H24/HerdSize))</f>
        <v>86.208906249999998</v>
      </c>
      <c r="J24" s="556">
        <f>IF(HerdSize=0,0,IF(H24=0,0,H24/((C4+C5))))</f>
        <v>108.66668855042016</v>
      </c>
      <c r="K24" s="222"/>
      <c r="L24" s="222"/>
      <c r="M24" s="412"/>
      <c r="N24" s="411"/>
      <c r="O24" s="413"/>
      <c r="P24" s="413"/>
      <c r="Q24" s="413"/>
      <c r="R24" s="414"/>
      <c r="S24" s="414"/>
      <c r="T24" s="414"/>
      <c r="U24" s="414"/>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4">
        <f>SUM(H18:H24)</f>
        <v>460203.46875</v>
      </c>
      <c r="I25" s="538">
        <f>SUM(I18:I24)</f>
        <v>767.00578125000004</v>
      </c>
      <c r="J25" s="440">
        <f>SUM(J18:J24)</f>
        <v>966.81400997899163</v>
      </c>
      <c r="M25" s="411"/>
      <c r="N25" s="411"/>
      <c r="O25" s="411"/>
      <c r="P25" s="411"/>
      <c r="Q25" s="411"/>
      <c r="R25" s="411"/>
      <c r="S25" s="411"/>
      <c r="T25" s="411"/>
      <c r="U25" s="411"/>
      <c r="X25" s="223"/>
    </row>
    <row r="26" spans="1:44" ht="12.75" customHeight="1">
      <c r="B26" s="211"/>
      <c r="C26" s="210"/>
      <c r="D26" s="208"/>
      <c r="E26" s="208"/>
      <c r="F26" s="208"/>
      <c r="G26" s="208"/>
      <c r="H26" s="366"/>
      <c r="I26" s="539"/>
      <c r="J26" s="559"/>
      <c r="M26" s="411"/>
      <c r="N26" s="411"/>
      <c r="O26" s="411"/>
      <c r="P26" s="411"/>
      <c r="Q26" s="411"/>
      <c r="R26" s="411"/>
      <c r="S26" s="411"/>
      <c r="T26" s="411"/>
      <c r="U26" s="411"/>
      <c r="X26" s="223"/>
      <c r="AE26" s="158"/>
    </row>
    <row r="27" spans="1:44">
      <c r="B27" s="79" t="s">
        <v>47</v>
      </c>
      <c r="C27" s="95" t="s">
        <v>56</v>
      </c>
      <c r="D27" s="825" t="s">
        <v>125</v>
      </c>
      <c r="E27" s="825"/>
      <c r="F27" s="83" t="s">
        <v>48</v>
      </c>
      <c r="G27" s="236"/>
      <c r="H27" s="526" t="s">
        <v>31</v>
      </c>
      <c r="I27" s="540" t="s">
        <v>31</v>
      </c>
      <c r="J27" s="558" t="s">
        <v>31</v>
      </c>
      <c r="M27" s="411"/>
      <c r="N27" s="411"/>
      <c r="O27" s="411"/>
      <c r="P27" s="411"/>
      <c r="Q27" s="411"/>
      <c r="R27" s="411"/>
      <c r="S27" s="411"/>
      <c r="T27" s="411"/>
      <c r="U27" s="411"/>
      <c r="X27" s="223"/>
      <c r="AE27" s="158"/>
    </row>
    <row r="28" spans="1:44">
      <c r="B28" s="211" t="str">
        <f>Inputs!B81</f>
        <v>Labor</v>
      </c>
      <c r="C28" s="214">
        <f>Inputs!D81</f>
        <v>20</v>
      </c>
      <c r="D28" s="828" t="str">
        <f>Inputs!E81</f>
        <v>per animal</v>
      </c>
      <c r="E28" s="828"/>
      <c r="F28" s="124">
        <f>Inputs!Q81</f>
        <v>0.94448472991029175</v>
      </c>
      <c r="G28" s="68"/>
      <c r="H28" s="444">
        <f>IF(F28=0,0,F28*C28*IF(D28="per animal",HerdSize,1))</f>
        <v>11333.816758923502</v>
      </c>
      <c r="I28" s="431">
        <f>IF(HerdSize=0,0,IF('Breeding Herd'!H28="","",'Breeding Herd'!H28/HerdSize))</f>
        <v>18.889694598205836</v>
      </c>
      <c r="J28" s="555">
        <f>IF((C4+C5)=0,"",IF(H28="","",H28/((C4+C5))))</f>
        <v>23.810539409503154</v>
      </c>
      <c r="M28" s="411"/>
      <c r="N28" s="411"/>
      <c r="O28" s="411"/>
      <c r="P28" s="411"/>
      <c r="Q28" s="411"/>
      <c r="R28" s="411"/>
      <c r="S28" s="411"/>
      <c r="T28" s="411"/>
      <c r="U28" s="411"/>
      <c r="AE28" s="158"/>
    </row>
    <row r="29" spans="1:44">
      <c r="B29" s="211" t="str">
        <f>Inputs!B82</f>
        <v>Fuel</v>
      </c>
      <c r="C29" s="214">
        <f>Inputs!D82</f>
        <v>20</v>
      </c>
      <c r="D29" s="828" t="str">
        <f>Inputs!E82</f>
        <v>per animal</v>
      </c>
      <c r="E29" s="828"/>
      <c r="F29" s="124">
        <f>Inputs!Q82</f>
        <v>0.94448472991029175</v>
      </c>
      <c r="G29" s="208"/>
      <c r="H29" s="444">
        <f>IF(F29=0,0,F29*C29*IF(D29="per animal",HerdSize,1))</f>
        <v>11333.816758923502</v>
      </c>
      <c r="I29" s="431">
        <f>IF(HerdSize=0,0,IF('Breeding Herd'!H29="","",'Breeding Herd'!H29/HerdSize))</f>
        <v>18.889694598205836</v>
      </c>
      <c r="J29" s="555">
        <f>IF((C4+C5)=0,"",IF(H29="","",H29/((C4+C5))))</f>
        <v>23.810539409503154</v>
      </c>
      <c r="M29" s="411"/>
      <c r="N29" s="411"/>
      <c r="O29" s="411"/>
      <c r="P29" s="411"/>
      <c r="Q29" s="411"/>
      <c r="R29" s="411"/>
      <c r="S29" s="411"/>
      <c r="T29" s="411"/>
      <c r="U29" s="411"/>
      <c r="AE29" s="158"/>
    </row>
    <row r="30" spans="1:44">
      <c r="B30" s="211" t="str">
        <f>Inputs!B83</f>
        <v>Veterinary and Medical</v>
      </c>
      <c r="C30" s="214">
        <f>Inputs!D83</f>
        <v>20</v>
      </c>
      <c r="D30" s="828" t="str">
        <f>Inputs!E83</f>
        <v>per animal</v>
      </c>
      <c r="E30" s="828"/>
      <c r="F30" s="124">
        <f>Inputs!Q83</f>
        <v>0.94448472991029175</v>
      </c>
      <c r="G30" s="208"/>
      <c r="H30" s="444">
        <f>IF(F30=0,0,F30*C30*IF(D30="per animal",HerdSize,1))</f>
        <v>11333.816758923502</v>
      </c>
      <c r="I30" s="431">
        <f>IF(HerdSize=0,0,IF('Breeding Herd'!H30="","",'Breeding Herd'!H30/HerdSize))</f>
        <v>18.889694598205836</v>
      </c>
      <c r="J30" s="555">
        <f>IF((C4+C5)=0,"",IF(H30="","",H30/((C4+C5))))</f>
        <v>23.810539409503154</v>
      </c>
      <c r="M30" s="411"/>
      <c r="N30" s="411"/>
      <c r="O30" s="411"/>
      <c r="P30" s="411"/>
      <c r="Q30" s="411"/>
      <c r="R30" s="411"/>
      <c r="S30" s="411"/>
      <c r="T30" s="411"/>
      <c r="U30" s="411"/>
      <c r="AE30" s="158"/>
    </row>
    <row r="31" spans="1:44">
      <c r="B31" s="250" t="str">
        <f>Inputs!B84</f>
        <v>Cull Cow Marketing</v>
      </c>
      <c r="C31" s="214">
        <f>Inputs!X84</f>
        <v>25</v>
      </c>
      <c r="D31" s="828" t="s">
        <v>61</v>
      </c>
      <c r="E31" s="828"/>
      <c r="F31" s="124"/>
      <c r="G31" s="208"/>
      <c r="H31" s="444">
        <f>C31*(Inputs!G5-Inputs!G62)</f>
        <v>1750</v>
      </c>
      <c r="I31" s="431">
        <f>IF(HerdSize=0,0,IF('Breeding Herd'!H31="","",'Breeding Herd'!H31/HerdSize))</f>
        <v>2.9166666666666665</v>
      </c>
      <c r="J31" s="555">
        <f>IF((C4+C5)=0,"",IF(H31="","",H31/((C4+C5))))</f>
        <v>3.6764705882352939</v>
      </c>
      <c r="M31" s="411"/>
      <c r="N31" s="411"/>
      <c r="O31" s="411"/>
      <c r="P31" s="411"/>
      <c r="Q31" s="411"/>
      <c r="R31" s="411"/>
      <c r="S31" s="411"/>
      <c r="T31" s="411"/>
      <c r="U31" s="411"/>
      <c r="AE31" s="158"/>
    </row>
    <row r="32" spans="1:44" s="239" customFormat="1">
      <c r="A32" s="277"/>
      <c r="B32" s="250" t="str">
        <f>Inputs!B86</f>
        <v>Cull Replacement Marketing</v>
      </c>
      <c r="C32" s="214">
        <f>Inputs!X86</f>
        <v>25</v>
      </c>
      <c r="D32" s="828" t="s">
        <v>61</v>
      </c>
      <c r="E32" s="828"/>
      <c r="F32" s="124"/>
      <c r="G32" s="251"/>
      <c r="H32" s="444">
        <f>Inputs!Z86</f>
        <v>0</v>
      </c>
      <c r="I32" s="431">
        <f>IF(HerdSize=0,0,IF('Breeding Herd'!H32="","",'Breeding Herd'!H32/HerdSize))</f>
        <v>0</v>
      </c>
      <c r="J32" s="555">
        <f>IF((C5+C6)=0,"",IF(H32="","",H32/((C5+C6))))</f>
        <v>0</v>
      </c>
      <c r="K32" s="222"/>
      <c r="L32" s="222"/>
      <c r="M32" s="411"/>
      <c r="N32" s="411"/>
      <c r="O32" s="411"/>
      <c r="P32" s="411"/>
      <c r="Q32" s="411"/>
      <c r="R32" s="411"/>
      <c r="S32" s="411"/>
      <c r="T32" s="411"/>
      <c r="U32" s="411"/>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20</v>
      </c>
      <c r="D33" s="828" t="s">
        <v>61</v>
      </c>
      <c r="E33" s="828"/>
      <c r="F33" s="124"/>
      <c r="G33" s="208"/>
      <c r="H33" s="444">
        <f>(C4+C5)*C33</f>
        <v>9520</v>
      </c>
      <c r="I33" s="431">
        <f>IF(HerdSize=0,0,IF('Breeding Herd'!H33="","",'Breeding Herd'!H33/HerdSize))</f>
        <v>15.866666666666667</v>
      </c>
      <c r="J33" s="555">
        <f>IF((C4+C5)=0,"",IF(H33="","",H33/((C4+C5))))</f>
        <v>20</v>
      </c>
      <c r="K33" s="222"/>
      <c r="L33" s="222"/>
      <c r="M33" s="411"/>
      <c r="N33" s="411"/>
      <c r="O33" s="411"/>
      <c r="P33" s="411"/>
      <c r="Q33" s="411"/>
      <c r="R33" s="411"/>
      <c r="S33" s="411"/>
      <c r="T33" s="411"/>
      <c r="U33" s="411"/>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c r="B34" s="250" t="str">
        <f>Inputs!B91</f>
        <v>AI Expense $40 per new heifers</v>
      </c>
      <c r="C34" s="214">
        <f>Inputs!D91</f>
        <v>3280</v>
      </c>
      <c r="D34" s="824" t="str">
        <f>Inputs!E91</f>
        <v>all animals</v>
      </c>
      <c r="E34" s="824"/>
      <c r="F34" s="124">
        <f>IF(C34=0,0,Inputs!Q91)</f>
        <v>1</v>
      </c>
      <c r="G34" s="208"/>
      <c r="H34" s="444">
        <f>IF(C34=0,0,IF(F34=0,0,F34*C34*IF(D34="per animal",HerdSize,1)))</f>
        <v>3280</v>
      </c>
      <c r="I34" s="431">
        <f>IF(HerdSize=0,0,IF('Breeding Herd'!H34="","",'Breeding Herd'!H34/HerdSize))</f>
        <v>5.4666666666666668</v>
      </c>
      <c r="J34" s="555">
        <f>IF((C4+C5)=0,"",IF(H34="","",H34/((C4+C5))))</f>
        <v>6.8907563025210088</v>
      </c>
      <c r="M34" s="411"/>
      <c r="N34" s="411"/>
      <c r="O34" s="411"/>
      <c r="P34" s="411"/>
      <c r="Q34" s="411"/>
      <c r="R34" s="411"/>
      <c r="S34" s="411"/>
      <c r="T34" s="411"/>
      <c r="U34" s="411"/>
      <c r="AE34" s="158"/>
    </row>
    <row r="35" spans="1:44">
      <c r="B35" s="250">
        <f>Inputs!B92</f>
        <v>0</v>
      </c>
      <c r="C35" s="214">
        <f>Inputs!D92</f>
        <v>0</v>
      </c>
      <c r="D35" s="824">
        <f>Inputs!E92</f>
        <v>0</v>
      </c>
      <c r="E35" s="824"/>
      <c r="F35" s="124">
        <f>IF(C35=0,0,Inputs!Q92)</f>
        <v>0</v>
      </c>
      <c r="G35" s="208"/>
      <c r="H35" s="444">
        <f>IF(B35=0,0,IF(F35=0,0,F35*C35*IF(D35="per animal",HerdSize,1)))</f>
        <v>0</v>
      </c>
      <c r="I35" s="431">
        <f>IF(HerdSize=0,0,IF('Breeding Herd'!H35="","",'Breeding Herd'!H35/HerdSize))</f>
        <v>0</v>
      </c>
      <c r="J35" s="555">
        <f>IF((C4+C5)=0,"",IF(H35="","",H35/((C4+C5))))</f>
        <v>0</v>
      </c>
      <c r="L35" s="223"/>
      <c r="M35" s="411"/>
      <c r="N35" s="411"/>
      <c r="O35" s="411"/>
      <c r="P35" s="411"/>
      <c r="Q35" s="411"/>
      <c r="R35" s="411"/>
      <c r="S35" s="411"/>
      <c r="T35" s="411"/>
      <c r="U35" s="411"/>
      <c r="AE35" s="158"/>
    </row>
    <row r="36" spans="1:44" hidden="1">
      <c r="B36" s="250">
        <f>Inputs!B93</f>
        <v>0</v>
      </c>
      <c r="C36" s="214">
        <f>Inputs!D93</f>
        <v>0</v>
      </c>
      <c r="D36" s="824">
        <f>Inputs!E93</f>
        <v>0</v>
      </c>
      <c r="E36" s="824"/>
      <c r="F36" s="124">
        <f>IF(C36=0,0,Inputs!Q93)</f>
        <v>0</v>
      </c>
      <c r="G36" s="208"/>
      <c r="H36" s="444">
        <f>IF(B36=0,0,IF(F36=0,0,F36*C36*IF(D36="per animal",HerdSize,1)))</f>
        <v>0</v>
      </c>
      <c r="I36" s="431">
        <f>IF(HerdSize=0,0,IF('Breeding Herd'!H36="","",'Breeding Herd'!H36/HerdSize))</f>
        <v>0</v>
      </c>
      <c r="J36" s="555">
        <f>IF((C4+C5)=0,"",IF(H36="","",H36/((C4+C5))))</f>
        <v>0</v>
      </c>
      <c r="L36" s="223"/>
      <c r="M36" s="411"/>
      <c r="N36" s="411"/>
      <c r="O36" s="411"/>
      <c r="P36" s="411"/>
      <c r="Q36" s="411"/>
      <c r="R36" s="411"/>
      <c r="S36" s="411"/>
      <c r="T36" s="411"/>
      <c r="U36" s="411"/>
      <c r="AE36" s="158"/>
    </row>
    <row r="37" spans="1:44" hidden="1">
      <c r="B37" s="250">
        <f>Inputs!B94</f>
        <v>0</v>
      </c>
      <c r="C37" s="214">
        <f>Inputs!D94</f>
        <v>0</v>
      </c>
      <c r="D37" s="824">
        <f>Inputs!E94</f>
        <v>0</v>
      </c>
      <c r="E37" s="824"/>
      <c r="F37" s="124">
        <f>IF(C37=0,0,Inputs!Q94)</f>
        <v>0</v>
      </c>
      <c r="G37" s="208"/>
      <c r="H37" s="444">
        <f>IF(B37=0,0,IF(F37=0,0,F37*C37*IF(D37="per animal",HerdSize,1)))</f>
        <v>0</v>
      </c>
      <c r="I37" s="431">
        <f>IF(HerdSize=0,0,IF('Breeding Herd'!H37="","",'Breeding Herd'!H37/HerdSize))</f>
        <v>0</v>
      </c>
      <c r="J37" s="555">
        <f>IF((C4+C5)=0,"",IF(H37="","",H37/((C4+C5))))</f>
        <v>0</v>
      </c>
      <c r="M37" s="411"/>
      <c r="N37" s="411"/>
      <c r="O37" s="411"/>
      <c r="P37" s="411"/>
      <c r="Q37" s="411"/>
      <c r="R37" s="411"/>
      <c r="S37" s="411"/>
      <c r="T37" s="411"/>
      <c r="U37" s="411"/>
    </row>
    <row r="38" spans="1:44" hidden="1">
      <c r="B38" s="250">
        <f>Inputs!B95</f>
        <v>0</v>
      </c>
      <c r="C38" s="214">
        <f>Inputs!D95</f>
        <v>0</v>
      </c>
      <c r="D38" s="824">
        <f>Inputs!E95</f>
        <v>0</v>
      </c>
      <c r="E38" s="824"/>
      <c r="F38" s="124">
        <f>IF(C38=0,0,Inputs!Q95)</f>
        <v>0</v>
      </c>
      <c r="G38" s="208"/>
      <c r="H38" s="444">
        <f>IF(B38=0,0,IF(F38=0,0,F38*C38*IF(D38="per animal",HerdSize,1)))</f>
        <v>0</v>
      </c>
      <c r="I38" s="431">
        <f>IF(HerdSize=0,0,IF('Breeding Herd'!H38="","",'Breeding Herd'!H38/HerdSize))</f>
        <v>0</v>
      </c>
      <c r="J38" s="555">
        <f>IF((C4+C5)=0,"",IF(H38="","",H38/((C4+C5))))</f>
        <v>0</v>
      </c>
      <c r="M38" s="411"/>
      <c r="N38" s="411"/>
      <c r="O38" s="411"/>
      <c r="P38" s="411"/>
      <c r="Q38" s="411"/>
      <c r="R38" s="411"/>
      <c r="S38" s="411"/>
      <c r="T38" s="411"/>
      <c r="U38" s="411"/>
    </row>
    <row r="39" spans="1:44" ht="41.25" customHeight="1" thickBot="1">
      <c r="B39" s="170" t="s">
        <v>37</v>
      </c>
      <c r="C39" s="829" t="s">
        <v>118</v>
      </c>
      <c r="D39" s="830"/>
      <c r="E39" s="830"/>
      <c r="F39" s="830"/>
      <c r="G39" s="831"/>
      <c r="H39" s="456">
        <f>(H25+SUM(H28:H30)+H54+H58+SUM(H34:H38))/2*Inputs!E111</f>
        <v>15165.55119649504</v>
      </c>
      <c r="I39" s="537">
        <f>IF(HerdSize=0,"",IF('Breeding Herd'!H39="","",'Breeding Herd'!H39/HerdSize))</f>
        <v>25.275918660825067</v>
      </c>
      <c r="J39" s="556">
        <f>IF(HerdSize=0,"",IF(H39="","",H39/(Inputs!$G$23-IF(Inputs!$G$13="Yes",0,Inputs!$G$5+Inputs!$G$6))))</f>
        <v>31.860401673308907</v>
      </c>
      <c r="M39" s="411"/>
      <c r="N39" s="411"/>
      <c r="O39" s="411"/>
      <c r="P39" s="411"/>
      <c r="Q39" s="411"/>
      <c r="R39" s="411"/>
      <c r="S39" s="411"/>
      <c r="T39" s="411"/>
      <c r="U39" s="411"/>
    </row>
    <row r="40" spans="1:44" ht="14.25" thickTop="1" thickBot="1">
      <c r="B40" s="51"/>
      <c r="C40" s="194"/>
      <c r="D40" s="195"/>
      <c r="E40" s="195"/>
      <c r="F40" s="195"/>
      <c r="G40" s="59" t="s">
        <v>145</v>
      </c>
      <c r="H40" s="527">
        <f>SUM(H28:H39)</f>
        <v>63717.001473265547</v>
      </c>
      <c r="I40" s="541">
        <f>SUM(I28:I39)</f>
        <v>106.19500245544258</v>
      </c>
      <c r="J40" s="560">
        <f>SUM(J28:J39)</f>
        <v>133.85924679257468</v>
      </c>
      <c r="M40" s="411"/>
      <c r="N40" s="411"/>
      <c r="O40" s="411"/>
      <c r="P40" s="411"/>
      <c r="Q40" s="411"/>
      <c r="R40" s="411"/>
      <c r="S40" s="411"/>
      <c r="T40" s="411"/>
      <c r="U40" s="411"/>
    </row>
    <row r="41" spans="1:44" ht="16.5" thickBot="1">
      <c r="B41" s="135"/>
      <c r="C41" s="238"/>
      <c r="D41" s="238"/>
      <c r="E41" s="238"/>
      <c r="F41" s="238"/>
      <c r="G41" s="137" t="s">
        <v>104</v>
      </c>
      <c r="H41" s="521">
        <f>H15+H25+H40</f>
        <v>553992.06897326559</v>
      </c>
      <c r="I41" s="542">
        <f>I15+I25+I40</f>
        <v>923.32011495544259</v>
      </c>
      <c r="J41" s="561">
        <f>J15+J25+J40</f>
        <v>1163.8488843976168</v>
      </c>
      <c r="M41" s="411"/>
      <c r="N41" s="411"/>
      <c r="O41" s="411"/>
      <c r="P41" s="411"/>
      <c r="Q41" s="411"/>
      <c r="R41" s="411"/>
      <c r="S41" s="411"/>
      <c r="T41" s="411"/>
      <c r="U41" s="411"/>
    </row>
    <row r="42" spans="1:44" ht="13.5" thickBot="1">
      <c r="B42" s="62"/>
      <c r="C42" s="24"/>
      <c r="D42" s="49"/>
      <c r="E42" s="24"/>
      <c r="F42" s="25"/>
      <c r="G42" s="25"/>
      <c r="H42" s="524"/>
      <c r="I42" s="543"/>
      <c r="J42" s="562"/>
      <c r="M42" s="411"/>
      <c r="N42" s="411"/>
      <c r="O42" s="411"/>
      <c r="P42" s="411"/>
      <c r="Q42" s="411"/>
      <c r="R42" s="411"/>
      <c r="S42" s="411"/>
      <c r="T42" s="411"/>
      <c r="U42" s="411"/>
    </row>
    <row r="43" spans="1:44" ht="16.5" customHeight="1" thickBot="1">
      <c r="B43" s="66" t="s">
        <v>109</v>
      </c>
      <c r="C43" s="108"/>
      <c r="D43" s="109"/>
      <c r="E43" s="109"/>
      <c r="F43" s="109"/>
      <c r="G43" s="109"/>
      <c r="H43" s="528" t="s">
        <v>74</v>
      </c>
      <c r="I43" s="544" t="s">
        <v>91</v>
      </c>
      <c r="J43" s="563" t="s">
        <v>149</v>
      </c>
      <c r="M43" s="411"/>
      <c r="N43" s="411"/>
      <c r="O43" s="411"/>
      <c r="P43" s="411"/>
      <c r="Q43" s="411"/>
      <c r="R43" s="411"/>
      <c r="S43" s="411"/>
      <c r="T43" s="411"/>
      <c r="U43" s="411"/>
    </row>
    <row r="44" spans="1:44">
      <c r="B44" s="46" t="s">
        <v>39</v>
      </c>
      <c r="C44" s="826" t="s">
        <v>15</v>
      </c>
      <c r="D44" s="827"/>
      <c r="E44" s="88"/>
      <c r="F44" s="177" t="s">
        <v>48</v>
      </c>
      <c r="G44" s="43"/>
      <c r="H44" s="529" t="s">
        <v>31</v>
      </c>
      <c r="I44" s="545" t="s">
        <v>31</v>
      </c>
      <c r="J44" s="564" t="s">
        <v>31</v>
      </c>
      <c r="M44" s="411"/>
      <c r="N44" s="411"/>
      <c r="O44" s="411"/>
      <c r="P44" s="411"/>
      <c r="Q44" s="411"/>
      <c r="R44" s="411"/>
      <c r="S44" s="411"/>
      <c r="T44" s="411"/>
      <c r="U44" s="411"/>
    </row>
    <row r="45" spans="1:44">
      <c r="B45" s="284" t="str">
        <f>Inputs!B99</f>
        <v>Barn /fencing</v>
      </c>
      <c r="C45" s="43"/>
      <c r="D45" s="365">
        <f>Inputs!G99</f>
        <v>2000</v>
      </c>
      <c r="E45" s="56"/>
      <c r="F45" s="124">
        <f>Inputs!Q99</f>
        <v>1</v>
      </c>
      <c r="G45" s="56"/>
      <c r="H45" s="444">
        <f>IF(B45="","",D45*F45)</f>
        <v>2000</v>
      </c>
      <c r="I45" s="546">
        <f>IF(HerdSize=0,"",IF('Breeding Herd'!H45="","",'Breeding Herd'!H45/HerdSize))</f>
        <v>3.3333333333333335</v>
      </c>
      <c r="J45" s="565">
        <f>IF(HerdSize=0,"",IF(H45="","",H45/((C4+C5))))</f>
        <v>4.2016806722689077</v>
      </c>
      <c r="L45" s="223"/>
      <c r="M45" s="411"/>
      <c r="N45" s="411"/>
      <c r="O45" s="411"/>
      <c r="P45" s="411"/>
      <c r="Q45" s="411"/>
      <c r="R45" s="411"/>
      <c r="S45" s="411"/>
      <c r="T45" s="411"/>
      <c r="U45" s="411"/>
    </row>
    <row r="46" spans="1:44">
      <c r="B46" s="284" t="str">
        <f>Inputs!B100</f>
        <v>Machinery (Livestock)</v>
      </c>
      <c r="C46" s="43"/>
      <c r="D46" s="365">
        <f>Inputs!G100</f>
        <v>2000</v>
      </c>
      <c r="E46" s="56"/>
      <c r="F46" s="124">
        <f>IF(D46=0,0,Inputs!Q100)</f>
        <v>1</v>
      </c>
      <c r="G46" s="56"/>
      <c r="H46" s="444">
        <f>IF(B46="","",D46*F46)</f>
        <v>2000</v>
      </c>
      <c r="I46" s="546">
        <f>IF(HerdSize=0,"",IF('Breeding Herd'!H46="","",'Breeding Herd'!H46/HerdSize))</f>
        <v>3.3333333333333335</v>
      </c>
      <c r="J46" s="565">
        <f>IF(HerdSize=0,"",IF(H46="","",H46/((C4+C5))))</f>
        <v>4.2016806722689077</v>
      </c>
      <c r="L46" s="223"/>
      <c r="M46" s="411"/>
      <c r="N46" s="411"/>
      <c r="O46" s="411"/>
      <c r="P46" s="411"/>
      <c r="Q46" s="411"/>
      <c r="R46" s="411"/>
      <c r="S46" s="411"/>
      <c r="T46" s="411"/>
      <c r="U46" s="411"/>
    </row>
    <row r="47" spans="1:44">
      <c r="B47" s="284" t="str">
        <f>Inputs!B101</f>
        <v>Vehicles</v>
      </c>
      <c r="C47" s="43"/>
      <c r="D47" s="365">
        <f>Inputs!G101</f>
        <v>1200</v>
      </c>
      <c r="E47" s="56"/>
      <c r="F47" s="124">
        <f>IF(D47=0,0,Inputs!Q101)</f>
        <v>1</v>
      </c>
      <c r="G47" s="56"/>
      <c r="H47" s="444">
        <f>IF(B47="","",D47*F47)</f>
        <v>1200</v>
      </c>
      <c r="I47" s="546">
        <f>IF(HerdSize=0,"",IF('Breeding Herd'!H47="","",'Breeding Herd'!H47/HerdSize))</f>
        <v>2</v>
      </c>
      <c r="J47" s="565">
        <f>IF(HerdSize=0,"",IF(H47="","",H47/((C4+C5))))</f>
        <v>2.5210084033613445</v>
      </c>
    </row>
    <row r="48" spans="1:44">
      <c r="B48" s="284">
        <f>Inputs!B102</f>
        <v>0</v>
      </c>
      <c r="C48" s="43"/>
      <c r="D48" s="365">
        <f>Inputs!G102</f>
        <v>0</v>
      </c>
      <c r="E48" s="56"/>
      <c r="F48" s="124">
        <f>IF(D48=0,0,Inputs!Q102)</f>
        <v>0</v>
      </c>
      <c r="G48" s="56"/>
      <c r="H48" s="444">
        <f>IF(B48="","",D48*F48)</f>
        <v>0</v>
      </c>
      <c r="I48" s="546">
        <f>IF(HerdSize=0,"",IF('Breeding Herd'!H48="","",'Breeding Herd'!H48/HerdSize))</f>
        <v>0</v>
      </c>
      <c r="J48" s="565">
        <f>IF(HerdSize=0,"",IF(H48="","",H48/((C4+C5))))</f>
        <v>0</v>
      </c>
    </row>
    <row r="49" spans="1:44">
      <c r="B49" s="284">
        <f>Inputs!B103</f>
        <v>0</v>
      </c>
      <c r="C49" s="43"/>
      <c r="D49" s="365">
        <f>Inputs!G103</f>
        <v>0</v>
      </c>
      <c r="E49" s="56"/>
      <c r="F49" s="124">
        <f>IF(D49=0,0,Inputs!Q103)</f>
        <v>0</v>
      </c>
      <c r="G49" s="56"/>
      <c r="H49" s="444">
        <f>IF(B49="","",D49*F49)</f>
        <v>0</v>
      </c>
      <c r="I49" s="546">
        <f>IF(HerdSize=0,"",IF('Breeding Herd'!H49="","",'Breeding Herd'!H49/HerdSize))</f>
        <v>0</v>
      </c>
      <c r="J49" s="565">
        <f>IF(HerdSize=0,"",IF(H49="","",H49/((C4+C5))))</f>
        <v>0</v>
      </c>
    </row>
    <row r="50" spans="1:44" s="239" customFormat="1" hidden="1">
      <c r="A50" s="277"/>
      <c r="B50" s="284"/>
      <c r="C50" s="355"/>
      <c r="D50" s="365">
        <f>Inputs!G104</f>
        <v>0</v>
      </c>
      <c r="E50" s="256"/>
      <c r="F50" s="124">
        <f>IF(D50=0,0,Inputs!Q104)</f>
        <v>0</v>
      </c>
      <c r="G50" s="256"/>
      <c r="H50" s="444"/>
      <c r="I50" s="546"/>
      <c r="J50" s="565"/>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4"/>
      <c r="I51" s="546"/>
      <c r="J51" s="565"/>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4">
        <f>IF(B52="","",D52*F52)</f>
        <v>0</v>
      </c>
      <c r="I52" s="546">
        <f>IF(HerdSize=0,"",IF('Breeding Herd'!H52="","",'Breeding Herd'!H52/HerdSize))</f>
        <v>0</v>
      </c>
      <c r="J52" s="565">
        <f>IF(HerdSize=0,"",IF(H52="","",H52/((C4+C5))))</f>
        <v>0</v>
      </c>
    </row>
    <row r="53" spans="1:44" ht="13.5" hidden="1" thickBot="1">
      <c r="B53" s="284">
        <f>Inputs!B105</f>
        <v>0</v>
      </c>
      <c r="C53" s="43"/>
      <c r="D53" s="365">
        <f>Inputs!G107</f>
        <v>0</v>
      </c>
      <c r="E53" s="56"/>
      <c r="F53" s="124">
        <f>IF(D53=0,0,Inputs!Q107)</f>
        <v>0</v>
      </c>
      <c r="G53" s="56"/>
      <c r="H53" s="449">
        <f>IF(B53="","",D53*F53)</f>
        <v>0</v>
      </c>
      <c r="I53" s="547">
        <f>IF(HerdSize=0,"",IF('Breeding Herd'!H53="","",'Breeding Herd'!H53/HerdSize))</f>
        <v>0</v>
      </c>
      <c r="J53" s="566">
        <f>IF(HerdSize=0,"",IF(H53="","",H53/((C4+C5))))</f>
        <v>0</v>
      </c>
    </row>
    <row r="54" spans="1:44">
      <c r="B54" s="48"/>
      <c r="C54" s="33"/>
      <c r="D54" s="57"/>
      <c r="E54" s="57"/>
      <c r="F54" s="213"/>
      <c r="G54" s="29" t="s">
        <v>99</v>
      </c>
      <c r="H54" s="524">
        <f>SUM(H45:H53)</f>
        <v>5200</v>
      </c>
      <c r="I54" s="538">
        <f>SUM(I45:I53)</f>
        <v>8.6666666666666679</v>
      </c>
      <c r="J54" s="440">
        <f>SUM(J45:J53)</f>
        <v>10.92436974789916</v>
      </c>
    </row>
    <row r="55" spans="1:44">
      <c r="B55" s="48"/>
      <c r="C55" s="31"/>
      <c r="D55" s="49"/>
      <c r="E55" s="49"/>
      <c r="F55" s="58"/>
      <c r="G55" s="58"/>
      <c r="H55" s="524"/>
      <c r="I55" s="543"/>
      <c r="J55" s="567"/>
    </row>
    <row r="56" spans="1:44">
      <c r="B56" s="79" t="s">
        <v>54</v>
      </c>
      <c r="C56" s="822" t="s">
        <v>56</v>
      </c>
      <c r="D56" s="823"/>
      <c r="E56" s="49"/>
      <c r="F56" s="83" t="s">
        <v>48</v>
      </c>
      <c r="G56" s="49"/>
      <c r="H56" s="530" t="s">
        <v>31</v>
      </c>
      <c r="I56" s="548" t="s">
        <v>31</v>
      </c>
      <c r="J56" s="558" t="s">
        <v>31</v>
      </c>
    </row>
    <row r="57" spans="1:44">
      <c r="A57" s="165"/>
      <c r="B57" s="48" t="str">
        <f>Inputs!B117</f>
        <v>Real Estate Tax*</v>
      </c>
      <c r="C57" s="820">
        <f>VLOOKUP(B57,Overhead,4,FALSE)</f>
        <v>0</v>
      </c>
      <c r="D57" s="821"/>
      <c r="E57" s="49"/>
      <c r="F57" s="125">
        <f>IF(C57=0,0,Inputs!Q117)</f>
        <v>0</v>
      </c>
      <c r="G57" s="49"/>
      <c r="H57" s="444">
        <f>C57*F57</f>
        <v>0</v>
      </c>
      <c r="I57" s="546">
        <f>IF(HerdSize=0,"",IF(H57="","",H57/(HerdSize)))</f>
        <v>0</v>
      </c>
      <c r="J57" s="565">
        <f>IF((C4+C5)=0,0,IF(B57="","",IF(H57=0,0,H57/(C4+C5))))</f>
        <v>0</v>
      </c>
    </row>
    <row r="58" spans="1:44">
      <c r="B58" s="48" t="str">
        <f>Inputs!B118</f>
        <v>Annual Insurance Premium</v>
      </c>
      <c r="C58" s="820">
        <f>VLOOKUP(B58,Overhead,4,FALSE)</f>
        <v>3000</v>
      </c>
      <c r="D58" s="821"/>
      <c r="E58" s="49"/>
      <c r="F58" s="279">
        <f>IF(C58=0,0,Inputs!Q118)</f>
        <v>0.94448472991029175</v>
      </c>
      <c r="G58" s="49"/>
      <c r="H58" s="444">
        <f>C58*F58</f>
        <v>2833.4541897308754</v>
      </c>
      <c r="I58" s="546">
        <f>IF(HerdSize=0,"",IF(H58="","",H58/(HerdSize)))</f>
        <v>4.7224236495514589</v>
      </c>
      <c r="J58" s="565">
        <f>IF((C4+C5)=0,0,IF(B58="","",IF(H58=0,0,H58/(C4+C5))))</f>
        <v>5.9526348523757884</v>
      </c>
    </row>
    <row r="59" spans="1:44">
      <c r="B59" s="48" t="str">
        <f>Inputs!B119</f>
        <v>Professional Fees</v>
      </c>
      <c r="C59" s="820">
        <f>VLOOKUP(B59,Overhead,4,FALSE)</f>
        <v>1500</v>
      </c>
      <c r="D59" s="821"/>
      <c r="E59" s="49"/>
      <c r="F59" s="279">
        <f>IF(C59=0,0,Inputs!Q119)</f>
        <v>0.94448472991029175</v>
      </c>
      <c r="G59" s="49"/>
      <c r="H59" s="444">
        <f>C59*F59</f>
        <v>1416.7270948654377</v>
      </c>
      <c r="I59" s="546">
        <f>IF(HerdSize=0,"",IF(H59="","",H59/(HerdSize)))</f>
        <v>2.3612118247757294</v>
      </c>
      <c r="J59" s="565">
        <f>IF((C4+C5)=0,0,IF(B59="","",IF(H59=0,0,H59/(C4+C5))))</f>
        <v>2.9763174261878942</v>
      </c>
    </row>
    <row r="60" spans="1:44">
      <c r="B60" s="48" t="str">
        <f>Inputs!B120</f>
        <v>Annual Management Charge</v>
      </c>
      <c r="C60" s="820">
        <f>VLOOKUP(B60,Overhead,4,FALSE)</f>
        <v>0</v>
      </c>
      <c r="D60" s="821"/>
      <c r="E60" s="49"/>
      <c r="F60" s="279">
        <f>IF(C60=0,0,Inputs!Q120)</f>
        <v>0</v>
      </c>
      <c r="G60" s="49"/>
      <c r="H60" s="444">
        <f>C60*F60</f>
        <v>0</v>
      </c>
      <c r="I60" s="546">
        <f>IF(HerdSize=0,"",IF(H60="","",H60/(HerdSize)))</f>
        <v>0</v>
      </c>
      <c r="J60" s="565">
        <f>IF((C4+C5)=0,0,IF(B60="","",IF(H60=0,0,H60/(C4+C5))))</f>
        <v>0</v>
      </c>
    </row>
    <row r="61" spans="1:44" ht="13.5" thickBot="1">
      <c r="B61" s="48" t="str">
        <f>Inputs!B121</f>
        <v>Other</v>
      </c>
      <c r="C61" s="820">
        <f>VLOOKUP(B61,Overhead,4,FALSE)</f>
        <v>0</v>
      </c>
      <c r="D61" s="821"/>
      <c r="E61" s="49"/>
      <c r="F61" s="279">
        <f>IF(C61=0,0,Inputs!Q121)</f>
        <v>0</v>
      </c>
      <c r="G61" s="49"/>
      <c r="H61" s="449">
        <f>C61*F61</f>
        <v>0</v>
      </c>
      <c r="I61" s="547">
        <f>IF(HerdSize=0,"",IF(H61="","",H61/(HerdSize)))</f>
        <v>0</v>
      </c>
      <c r="J61" s="566">
        <f>IF((C4+C5)=0,0,IF(B61="","",IF(H61=0,0,H61/(C4+C5))))</f>
        <v>0</v>
      </c>
    </row>
    <row r="62" spans="1:44" ht="14.25" thickTop="1" thickBot="1">
      <c r="B62" s="65"/>
      <c r="C62" s="34"/>
      <c r="D62" s="52"/>
      <c r="E62" s="52"/>
      <c r="F62" s="43"/>
      <c r="G62" s="59" t="s">
        <v>51</v>
      </c>
      <c r="H62" s="524">
        <f>SUM(H57:H61)</f>
        <v>4250.1812845963132</v>
      </c>
      <c r="I62" s="543">
        <f>SUM(I57:I61)</f>
        <v>7.0836354743271883</v>
      </c>
      <c r="J62" s="440">
        <f>SUM(J57:J61)</f>
        <v>8.928952278563683</v>
      </c>
    </row>
    <row r="63" spans="1:44" ht="16.5" thickBot="1">
      <c r="B63" s="66"/>
      <c r="C63" s="67"/>
      <c r="D63" s="67"/>
      <c r="E63" s="67"/>
      <c r="F63" s="67"/>
      <c r="G63" s="21" t="s">
        <v>103</v>
      </c>
      <c r="H63" s="521">
        <f>H54+H62</f>
        <v>9450.1812845963141</v>
      </c>
      <c r="I63" s="542">
        <f>I54+I62</f>
        <v>15.750302140993856</v>
      </c>
      <c r="J63" s="561">
        <f>J54+J62</f>
        <v>19.853322026462841</v>
      </c>
    </row>
    <row r="64" spans="1:44" s="40" customFormat="1" ht="13.5" thickBot="1">
      <c r="A64" s="152"/>
      <c r="B64" s="49"/>
      <c r="C64" s="26"/>
      <c r="D64" s="26"/>
      <c r="E64" s="26"/>
      <c r="F64" s="26"/>
      <c r="G64" s="146"/>
      <c r="H64" s="531"/>
      <c r="I64" s="549"/>
      <c r="J64" s="568"/>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1">
        <f>H41+H63</f>
        <v>563442.25025786192</v>
      </c>
      <c r="I65" s="542">
        <f>I41+I63</f>
        <v>939.07041709643647</v>
      </c>
      <c r="J65" s="561">
        <f>J41+J63</f>
        <v>1183.7022064240796</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1"/>
      <c r="I66" s="549"/>
      <c r="J66" s="568"/>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1">
        <f>H9-H65</f>
        <v>-89587.250257861917</v>
      </c>
      <c r="I67" s="470">
        <f>I9-I65</f>
        <v>-149.31208376310315</v>
      </c>
      <c r="J67" s="561">
        <f>J9-J65</f>
        <v>-188.20850894508794</v>
      </c>
    </row>
    <row r="68" spans="1:44" s="130" customFormat="1" ht="13.5" thickBot="1">
      <c r="A68" s="156"/>
      <c r="B68" s="378" t="s">
        <v>9</v>
      </c>
      <c r="C68" s="378"/>
      <c r="D68" s="378"/>
      <c r="E68" s="378"/>
      <c r="F68" s="378"/>
      <c r="G68" s="378"/>
      <c r="H68" s="532"/>
      <c r="I68" s="550"/>
      <c r="J68" s="569"/>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28" t="s">
        <v>74</v>
      </c>
      <c r="I69" s="544" t="s">
        <v>91</v>
      </c>
      <c r="J69" s="563"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152</v>
      </c>
      <c r="F70" s="367" t="s">
        <v>48</v>
      </c>
      <c r="G70" s="249"/>
      <c r="H70" s="529" t="s">
        <v>31</v>
      </c>
      <c r="I70" s="545" t="s">
        <v>31</v>
      </c>
      <c r="J70" s="564"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Barn /fencing</v>
      </c>
      <c r="C71" s="243"/>
      <c r="D71" s="366">
        <f>IF(Inputs!F99=0,0,(Inputs!D99-Inputs!E99)/Inputs!F99)</f>
        <v>2500</v>
      </c>
      <c r="E71" s="366">
        <f>Inputs!D99*Inputs!$E$112</f>
        <v>3000</v>
      </c>
      <c r="F71" s="264">
        <f>Inputs!Q99</f>
        <v>1</v>
      </c>
      <c r="G71" s="256"/>
      <c r="H71" s="444">
        <f t="shared" ref="H71:H80" si="9">IF(B71="","",(D71+E71)*F71)</f>
        <v>5500</v>
      </c>
      <c r="I71" s="546">
        <f>IF(HerdSize=0,"",IF('Breeding Herd'!H71="","",'Breeding Herd'!H71/HerdSize))</f>
        <v>9.1666666666666661</v>
      </c>
      <c r="J71" s="565">
        <f>IF(HerdSize=0,"",IF(H71="","",H71/($C$4+$C$5)))</f>
        <v>11.554621848739496</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 (Livestock)</v>
      </c>
      <c r="C72" s="243"/>
      <c r="D72" s="366">
        <f>IF(Inputs!F100=0,0,(Inputs!D100-Inputs!E100)/Inputs!F100)</f>
        <v>9000</v>
      </c>
      <c r="E72" s="366">
        <f>Inputs!D100*Inputs!$E$112</f>
        <v>4500</v>
      </c>
      <c r="F72" s="264">
        <f>IF(B72=0,0,Inputs!Q100)</f>
        <v>1</v>
      </c>
      <c r="G72" s="256"/>
      <c r="H72" s="444">
        <f t="shared" si="9"/>
        <v>13500</v>
      </c>
      <c r="I72" s="546">
        <f>IF(HerdSize=0,"",IF('Breeding Herd'!H72="","",'Breeding Herd'!H72/HerdSize))</f>
        <v>22.5</v>
      </c>
      <c r="J72" s="565">
        <f>IF(HerdSize=0,"",IF(H72="","",H72/($C$4+$C$5)))</f>
        <v>28.361344537815125</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2857.1428571428573</v>
      </c>
      <c r="E73" s="366">
        <f>Inputs!D101*Inputs!$E$112</f>
        <v>1050</v>
      </c>
      <c r="F73" s="264">
        <f>IF(B73=0,0,Inputs!Q101)</f>
        <v>1</v>
      </c>
      <c r="G73" s="256"/>
      <c r="H73" s="444">
        <f t="shared" si="9"/>
        <v>3907.1428571428573</v>
      </c>
      <c r="I73" s="546">
        <f>IF(HerdSize=0,"",IF('Breeding Herd'!H73="","",'Breeding Herd'!H73/HerdSize))</f>
        <v>6.5119047619047619</v>
      </c>
      <c r="J73" s="565">
        <f>IF(HerdSize=0,"",IF(H73="","",H73/($C$4+$C$5)))</f>
        <v>8.2082833133253299</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4">
        <f t="shared" si="9"/>
        <v>0</v>
      </c>
      <c r="I74" s="546">
        <f>IF(HerdSize=0,"",IF('Breeding Herd'!H74="","",'Breeding Herd'!H74/HerdSize))</f>
        <v>0</v>
      </c>
      <c r="J74" s="565">
        <f>IF(HerdSize=0,"",IF(H74="","",H74/($C$4+$C$5)))</f>
        <v>0</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4">
        <f t="shared" si="9"/>
        <v>0</v>
      </c>
      <c r="I75" s="546">
        <f>IF(HerdSize=0,"",IF('Breeding Herd'!H75="","",'Breeding Herd'!H75/HerdSize))</f>
        <v>0</v>
      </c>
      <c r="J75" s="565">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4">
        <f t="shared" si="9"/>
        <v>0</v>
      </c>
      <c r="I76" s="546">
        <f>IF(HerdSize=0,"",IF('Breeding Herd'!H76="","",'Breeding Herd'!H76/HerdSize))</f>
        <v>0</v>
      </c>
      <c r="J76" s="565">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4">
        <f t="shared" si="9"/>
        <v>0</v>
      </c>
      <c r="I77" s="546">
        <f>IF(HerdSize=0,"",IF('Breeding Herd'!H77="","",'Breeding Herd'!H77/HerdSize))</f>
        <v>0</v>
      </c>
      <c r="J77" s="565">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4">
        <f t="shared" si="9"/>
        <v>0</v>
      </c>
      <c r="I78" s="546">
        <f>IF(HerdSize=0,"",IF('Breeding Herd'!H78="","",'Breeding Herd'!H78/HerdSize))</f>
        <v>0</v>
      </c>
      <c r="J78" s="565">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4">
        <f t="shared" si="9"/>
        <v>0</v>
      </c>
      <c r="I79" s="546">
        <f>IF(HerdSize=0,"",IF('Breeding Herd'!H79="","",'Breeding Herd'!H79/HerdSize))</f>
        <v>0</v>
      </c>
      <c r="J79" s="565">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4">
        <f t="shared" si="9"/>
        <v>0</v>
      </c>
      <c r="I80" s="546">
        <f>IF(HerdSize=0,"",IF('Breeding Herd'!H80="","",'Breeding Herd'!H80/HerdSize))</f>
        <v>0</v>
      </c>
      <c r="J80" s="565">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4"/>
      <c r="I81" s="546"/>
      <c r="J81" s="565"/>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4"/>
      <c r="I82" s="546"/>
      <c r="J82" s="565"/>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0.94448472991029175</v>
      </c>
      <c r="G83" s="251"/>
      <c r="H83" s="444">
        <f>D83*F83</f>
        <v>0</v>
      </c>
      <c r="I83" s="546" t="str">
        <f>IF(HerdSize=0,"",IF('Breeding Herd'!H83=0,"",'Breeding Herd'!H83/HerdSize))</f>
        <v/>
      </c>
      <c r="J83" s="565"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28669.8</v>
      </c>
      <c r="E84" s="254"/>
      <c r="F84" s="287">
        <v>1</v>
      </c>
      <c r="G84" s="254"/>
      <c r="H84" s="444">
        <f>D84*F84</f>
        <v>28669.8</v>
      </c>
      <c r="I84" s="551">
        <f>IF(HerdSize=0,"",IF('Breeding Herd'!D84=0,"",'Breeding Herd'!D84/HerdSize))</f>
        <v>47.783000000000001</v>
      </c>
      <c r="J84" s="570">
        <f>IF((C4+C5)=0,"",IF(D84=0,"",D84/((C4+C5))))</f>
        <v>60.230672268907561</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3">
        <f>SUM(H71:H84)</f>
        <v>51576.942857142858</v>
      </c>
      <c r="I85" s="552">
        <f>SUM(I71:I84)</f>
        <v>85.961571428571432</v>
      </c>
      <c r="J85" s="571">
        <f>SUM(J71:J84)</f>
        <v>108.35492196878752</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2"/>
      <c r="I86" s="550"/>
      <c r="J86" s="569"/>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4" t="s">
        <v>74</v>
      </c>
      <c r="I87" s="553" t="s">
        <v>91</v>
      </c>
      <c r="J87" s="572"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5">
        <f>H65+H85</f>
        <v>615019.1931150048</v>
      </c>
      <c r="I88" s="554">
        <f>I65+I85</f>
        <v>1025.0319885250078</v>
      </c>
      <c r="J88" s="573">
        <f>J65+J85</f>
        <v>1292.0571283928671</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39"/>
      <c r="J89" s="574"/>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245</v>
      </c>
      <c r="H90" s="536">
        <f>H9-H88</f>
        <v>-141164.1931150048</v>
      </c>
      <c r="I90" s="470">
        <f>I9-I88</f>
        <v>-235.27365519167449</v>
      </c>
      <c r="J90" s="470">
        <f>J9-J88</f>
        <v>-296.56343091387544</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75" fitToHeight="2"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election activeCell="A2" sqref="A2"/>
    </sheetView>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39.75" thickBot="1">
      <c r="B1" s="44" t="s">
        <v>272</v>
      </c>
      <c r="C1" s="215"/>
      <c r="D1" s="215"/>
      <c r="E1" s="196">
        <f>Inputs!G30</f>
        <v>75</v>
      </c>
      <c r="F1" s="224" t="s">
        <v>144</v>
      </c>
      <c r="G1" s="215"/>
      <c r="H1" s="215"/>
      <c r="I1" s="44"/>
      <c r="K1" s="415"/>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c r="X1" s="415"/>
    </row>
    <row r="2" spans="1:37" ht="26.25" thickBot="1">
      <c r="B2" s="41" t="s">
        <v>97</v>
      </c>
      <c r="C2" s="108"/>
      <c r="D2" s="109"/>
      <c r="E2" s="109"/>
      <c r="F2" s="41"/>
      <c r="G2" s="119"/>
      <c r="H2" s="108" t="s">
        <v>74</v>
      </c>
      <c r="I2" s="122" t="s">
        <v>94</v>
      </c>
      <c r="K2" s="417"/>
      <c r="L2" s="417" t="str">
        <f t="shared" ref="L2:L7" si="0">B16</f>
        <v>Prairie Hay</v>
      </c>
      <c r="M2" s="417">
        <f>IF(M$1=$L2,$K16,0)</f>
        <v>0</v>
      </c>
      <c r="N2" s="417">
        <f t="shared" ref="N2:V2" si="1">IF(N$1=$L2,$K16,0)</f>
        <v>0</v>
      </c>
      <c r="O2" s="417">
        <f t="shared" si="1"/>
        <v>423900</v>
      </c>
      <c r="P2" s="417">
        <f t="shared" si="1"/>
        <v>0</v>
      </c>
      <c r="Q2" s="417">
        <f t="shared" si="1"/>
        <v>0</v>
      </c>
      <c r="R2" s="417">
        <f t="shared" si="1"/>
        <v>0</v>
      </c>
      <c r="S2" s="417">
        <f t="shared" si="1"/>
        <v>0</v>
      </c>
      <c r="T2" s="417">
        <f t="shared" si="1"/>
        <v>0</v>
      </c>
      <c r="U2" s="417">
        <f t="shared" si="1"/>
        <v>0</v>
      </c>
      <c r="V2" s="417">
        <f t="shared" si="1"/>
        <v>0</v>
      </c>
      <c r="W2" s="417">
        <f t="shared" ref="W2:W7" si="2">SUM(M2:V2)</f>
        <v>423900</v>
      </c>
      <c r="X2" s="415"/>
    </row>
    <row r="3" spans="1:37">
      <c r="B3" s="54"/>
      <c r="C3" s="76" t="s">
        <v>44</v>
      </c>
      <c r="D3" s="39" t="s">
        <v>30</v>
      </c>
      <c r="E3" s="39" t="s">
        <v>5</v>
      </c>
      <c r="F3" s="120"/>
      <c r="G3" s="121"/>
      <c r="H3" s="82" t="s">
        <v>31</v>
      </c>
      <c r="I3" s="91" t="s">
        <v>31</v>
      </c>
      <c r="K3" s="415"/>
      <c r="L3" s="417" t="str">
        <f t="shared" si="0"/>
        <v>DDG Cubes</v>
      </c>
      <c r="M3" s="417">
        <f t="shared" ref="M3:V7" si="3">IF(M$1=$L3,$K17,0)</f>
        <v>0</v>
      </c>
      <c r="N3" s="417">
        <f t="shared" si="3"/>
        <v>0</v>
      </c>
      <c r="O3" s="417">
        <f t="shared" si="3"/>
        <v>0</v>
      </c>
      <c r="P3" s="417">
        <f t="shared" si="3"/>
        <v>0</v>
      </c>
      <c r="Q3" s="417">
        <f t="shared" si="3"/>
        <v>117750</v>
      </c>
      <c r="R3" s="417">
        <f t="shared" si="3"/>
        <v>0</v>
      </c>
      <c r="S3" s="417">
        <f t="shared" si="3"/>
        <v>0</v>
      </c>
      <c r="T3" s="417">
        <f t="shared" si="3"/>
        <v>0</v>
      </c>
      <c r="U3" s="417">
        <f t="shared" si="3"/>
        <v>0</v>
      </c>
      <c r="V3" s="417">
        <f t="shared" si="3"/>
        <v>0</v>
      </c>
      <c r="W3" s="417">
        <f t="shared" si="2"/>
        <v>117750</v>
      </c>
      <c r="X3" s="415"/>
    </row>
    <row r="4" spans="1:37" s="239" customFormat="1">
      <c r="A4" s="277"/>
      <c r="B4" s="27" t="s">
        <v>159</v>
      </c>
      <c r="C4" s="192">
        <f>Inputs!O33</f>
        <v>273</v>
      </c>
      <c r="D4" s="369">
        <f>Inputs!G33</f>
        <v>675</v>
      </c>
      <c r="E4" s="369">
        <f>Inputs!G34</f>
        <v>165</v>
      </c>
      <c r="F4" s="251" t="s">
        <v>1</v>
      </c>
      <c r="G4" s="368"/>
      <c r="H4" s="434">
        <f>C4*D4*E4/100</f>
        <v>304053.75</v>
      </c>
      <c r="I4" s="469">
        <f>D4*E4/100</f>
        <v>1113.75</v>
      </c>
      <c r="J4" s="222"/>
      <c r="K4" s="415"/>
      <c r="L4" s="417" t="str">
        <f t="shared" si="0"/>
        <v>Salt and Mineral</v>
      </c>
      <c r="M4" s="417">
        <f t="shared" si="3"/>
        <v>0</v>
      </c>
      <c r="N4" s="417">
        <f t="shared" si="3"/>
        <v>0</v>
      </c>
      <c r="O4" s="417">
        <f t="shared" si="3"/>
        <v>0</v>
      </c>
      <c r="P4" s="417">
        <f t="shared" si="3"/>
        <v>0</v>
      </c>
      <c r="Q4" s="417">
        <f t="shared" si="3"/>
        <v>0</v>
      </c>
      <c r="R4" s="417">
        <f t="shared" si="3"/>
        <v>117750</v>
      </c>
      <c r="S4" s="417">
        <f t="shared" si="3"/>
        <v>0</v>
      </c>
      <c r="T4" s="417">
        <f t="shared" si="3"/>
        <v>0</v>
      </c>
      <c r="U4" s="417">
        <f t="shared" si="3"/>
        <v>0</v>
      </c>
      <c r="V4" s="417">
        <f t="shared" si="3"/>
        <v>0</v>
      </c>
      <c r="W4" s="417">
        <f t="shared" si="2"/>
        <v>117750</v>
      </c>
      <c r="X4" s="415"/>
      <c r="Y4" s="277"/>
      <c r="Z4" s="277"/>
      <c r="AA4" s="277"/>
      <c r="AB4" s="277"/>
      <c r="AC4" s="277"/>
      <c r="AD4" s="277"/>
      <c r="AE4" s="277"/>
      <c r="AF4" s="277"/>
      <c r="AG4" s="277"/>
      <c r="AH4" s="277"/>
      <c r="AI4" s="277"/>
      <c r="AJ4" s="277"/>
      <c r="AK4" s="277"/>
    </row>
    <row r="5" spans="1:37">
      <c r="B5" s="250" t="s">
        <v>165</v>
      </c>
      <c r="C5" s="370">
        <f>Inputs!G35-Inputs!O35</f>
        <v>193</v>
      </c>
      <c r="D5" s="189">
        <f>Inputs!G36</f>
        <v>610</v>
      </c>
      <c r="E5" s="189">
        <f>Inputs!G37</f>
        <v>158</v>
      </c>
      <c r="F5" s="49" t="s">
        <v>1</v>
      </c>
      <c r="G5" s="81"/>
      <c r="H5" s="434">
        <f>C5*D5*E5/100</f>
        <v>186013.4</v>
      </c>
      <c r="I5" s="469">
        <f>D5*E5/100</f>
        <v>963.8</v>
      </c>
      <c r="K5" s="415"/>
      <c r="L5" s="417" t="str">
        <f t="shared" si="0"/>
        <v>Dried Rolled Corn</v>
      </c>
      <c r="M5" s="417">
        <f t="shared" si="3"/>
        <v>0</v>
      </c>
      <c r="N5" s="417">
        <f t="shared" si="3"/>
        <v>0</v>
      </c>
      <c r="O5" s="417">
        <f t="shared" si="3"/>
        <v>0</v>
      </c>
      <c r="P5" s="417">
        <f t="shared" si="3"/>
        <v>0</v>
      </c>
      <c r="Q5" s="417">
        <f t="shared" si="3"/>
        <v>0</v>
      </c>
      <c r="R5" s="417">
        <f t="shared" si="3"/>
        <v>0</v>
      </c>
      <c r="S5" s="417">
        <f t="shared" si="3"/>
        <v>0</v>
      </c>
      <c r="T5" s="417">
        <f t="shared" si="3"/>
        <v>117750</v>
      </c>
      <c r="U5" s="417">
        <f t="shared" si="3"/>
        <v>0</v>
      </c>
      <c r="V5" s="417">
        <f t="shared" si="3"/>
        <v>0</v>
      </c>
      <c r="W5" s="417">
        <f t="shared" si="2"/>
        <v>117750</v>
      </c>
      <c r="X5" s="415"/>
    </row>
    <row r="6" spans="1:37" s="40" customFormat="1" ht="13.5" thickBot="1">
      <c r="A6" s="152"/>
      <c r="B6" s="48"/>
      <c r="C6" s="31"/>
      <c r="D6" s="49"/>
      <c r="E6" s="49"/>
      <c r="F6" s="49"/>
      <c r="G6" s="81"/>
      <c r="H6" s="434"/>
      <c r="I6" s="469"/>
      <c r="J6" s="157"/>
      <c r="K6" s="415"/>
      <c r="L6" s="417">
        <f t="shared" si="0"/>
        <v>0</v>
      </c>
      <c r="M6" s="417">
        <f t="shared" si="3"/>
        <v>0</v>
      </c>
      <c r="N6" s="417">
        <f t="shared" si="3"/>
        <v>0</v>
      </c>
      <c r="O6" s="417">
        <f t="shared" si="3"/>
        <v>0</v>
      </c>
      <c r="P6" s="417">
        <f t="shared" si="3"/>
        <v>0</v>
      </c>
      <c r="Q6" s="417">
        <f t="shared" si="3"/>
        <v>0</v>
      </c>
      <c r="R6" s="417">
        <f t="shared" si="3"/>
        <v>0</v>
      </c>
      <c r="S6" s="417">
        <f t="shared" si="3"/>
        <v>0</v>
      </c>
      <c r="T6" s="417">
        <f t="shared" si="3"/>
        <v>0</v>
      </c>
      <c r="U6" s="417">
        <f t="shared" si="3"/>
        <v>0</v>
      </c>
      <c r="V6" s="417">
        <f t="shared" si="3"/>
        <v>0</v>
      </c>
      <c r="W6" s="417">
        <f t="shared" si="2"/>
        <v>0</v>
      </c>
      <c r="X6" s="415"/>
      <c r="Y6" s="277"/>
      <c r="Z6" s="277"/>
      <c r="AA6" s="277"/>
      <c r="AB6" s="277"/>
      <c r="AC6" s="277"/>
      <c r="AD6" s="277"/>
      <c r="AE6" s="277"/>
      <c r="AF6" s="277"/>
      <c r="AG6" s="277"/>
      <c r="AH6" s="277"/>
      <c r="AI6" s="277"/>
      <c r="AJ6" s="277"/>
      <c r="AK6" s="277"/>
    </row>
    <row r="7" spans="1:37" ht="13.5" thickBot="1">
      <c r="B7" s="123"/>
      <c r="C7" s="96"/>
      <c r="D7" s="42"/>
      <c r="E7" s="42"/>
      <c r="F7" s="42"/>
      <c r="G7" s="97" t="s">
        <v>110</v>
      </c>
      <c r="H7" s="473">
        <f>SUM(H4:H6)</f>
        <v>490067.15</v>
      </c>
      <c r="I7" s="471">
        <f>IF(H7=0,0,H7/($C$5+$C$4))</f>
        <v>1051.6462446351932</v>
      </c>
      <c r="K7" s="415"/>
      <c r="L7" s="417">
        <f t="shared" si="0"/>
        <v>0</v>
      </c>
      <c r="M7" s="417">
        <f t="shared" si="3"/>
        <v>0</v>
      </c>
      <c r="N7" s="417">
        <f t="shared" si="3"/>
        <v>0</v>
      </c>
      <c r="O7" s="417">
        <f t="shared" si="3"/>
        <v>0</v>
      </c>
      <c r="P7" s="417">
        <f t="shared" si="3"/>
        <v>0</v>
      </c>
      <c r="Q7" s="417">
        <f t="shared" si="3"/>
        <v>0</v>
      </c>
      <c r="R7" s="417">
        <f t="shared" si="3"/>
        <v>0</v>
      </c>
      <c r="S7" s="417">
        <f t="shared" si="3"/>
        <v>0</v>
      </c>
      <c r="T7" s="417">
        <f t="shared" si="3"/>
        <v>0</v>
      </c>
      <c r="U7" s="417">
        <f t="shared" si="3"/>
        <v>0</v>
      </c>
      <c r="V7" s="417">
        <f t="shared" si="3"/>
        <v>0</v>
      </c>
      <c r="W7" s="417">
        <f t="shared" si="2"/>
        <v>0</v>
      </c>
      <c r="X7" s="415"/>
    </row>
    <row r="8" spans="1:37" ht="13.5" thickBot="1">
      <c r="B8" s="53"/>
      <c r="C8" s="53"/>
      <c r="D8" s="43"/>
      <c r="E8" s="43"/>
      <c r="F8" s="43"/>
      <c r="G8" s="43"/>
      <c r="H8" s="474"/>
      <c r="I8" s="609" t="str">
        <f>IF(H8=0,"",H8/$C$5)</f>
        <v/>
      </c>
      <c r="K8" s="415"/>
      <c r="L8" s="417" t="s">
        <v>31</v>
      </c>
      <c r="M8" s="417">
        <f>SUM(M2:M7)</f>
        <v>0</v>
      </c>
      <c r="N8" s="417">
        <f t="shared" ref="N8:V8" si="4">SUM(N2:N7)</f>
        <v>0</v>
      </c>
      <c r="O8" s="417">
        <f t="shared" si="4"/>
        <v>423900</v>
      </c>
      <c r="P8" s="417">
        <f t="shared" si="4"/>
        <v>0</v>
      </c>
      <c r="Q8" s="417">
        <f t="shared" si="4"/>
        <v>117750</v>
      </c>
      <c r="R8" s="417">
        <f t="shared" si="4"/>
        <v>117750</v>
      </c>
      <c r="S8" s="417">
        <f t="shared" si="4"/>
        <v>0</v>
      </c>
      <c r="T8" s="417">
        <f t="shared" si="4"/>
        <v>117750</v>
      </c>
      <c r="U8" s="417">
        <f t="shared" si="4"/>
        <v>0</v>
      </c>
      <c r="V8" s="417">
        <f t="shared" si="4"/>
        <v>0</v>
      </c>
      <c r="W8" s="417"/>
      <c r="X8" s="415"/>
    </row>
    <row r="9" spans="1:37" ht="26.25" thickBot="1">
      <c r="B9" s="41" t="s">
        <v>96</v>
      </c>
      <c r="C9" s="108"/>
      <c r="D9" s="109"/>
      <c r="E9" s="109"/>
      <c r="F9" s="109"/>
      <c r="G9" s="109"/>
      <c r="H9" s="475" t="s">
        <v>74</v>
      </c>
      <c r="I9" s="610" t="s">
        <v>94</v>
      </c>
      <c r="K9" s="415"/>
      <c r="L9" s="415"/>
      <c r="M9" s="415"/>
      <c r="N9" s="415"/>
      <c r="O9" s="415"/>
      <c r="P9" s="415"/>
      <c r="Q9" s="415"/>
      <c r="R9" s="415"/>
      <c r="S9" s="415"/>
      <c r="T9" s="415"/>
      <c r="U9" s="415"/>
      <c r="V9" s="415"/>
      <c r="W9" s="415"/>
      <c r="X9" s="415"/>
    </row>
    <row r="10" spans="1:37" s="40" customFormat="1">
      <c r="A10" s="152"/>
      <c r="B10" s="262"/>
      <c r="C10" s="245" t="s">
        <v>44</v>
      </c>
      <c r="D10" s="261" t="s">
        <v>30</v>
      </c>
      <c r="E10" s="261" t="s">
        <v>5</v>
      </c>
      <c r="F10" s="269"/>
      <c r="G10" s="285"/>
      <c r="H10" s="476" t="s">
        <v>31</v>
      </c>
      <c r="I10" s="611"/>
      <c r="J10" s="157"/>
      <c r="K10" s="415" t="s">
        <v>61</v>
      </c>
      <c r="L10" s="415"/>
      <c r="M10" s="415"/>
      <c r="N10" s="415"/>
      <c r="O10" s="415"/>
      <c r="P10" s="415"/>
      <c r="Q10" s="415"/>
      <c r="R10" s="415"/>
      <c r="S10" s="415"/>
      <c r="T10" s="415"/>
      <c r="U10" s="415"/>
      <c r="V10" s="415"/>
      <c r="W10" s="415"/>
      <c r="X10" s="415"/>
      <c r="Y10" s="277"/>
      <c r="Z10" s="277"/>
      <c r="AA10" s="277"/>
      <c r="AB10" s="277"/>
      <c r="AC10" s="277"/>
      <c r="AD10" s="277"/>
      <c r="AE10" s="277"/>
      <c r="AF10" s="277"/>
      <c r="AG10" s="277"/>
      <c r="AH10" s="277"/>
      <c r="AI10" s="277"/>
      <c r="AJ10" s="277"/>
      <c r="AK10" s="277"/>
    </row>
    <row r="11" spans="1:37" ht="12.75" customHeight="1">
      <c r="B11" s="255" t="s">
        <v>134</v>
      </c>
      <c r="C11" s="117">
        <f>Inputs!G32</f>
        <v>279</v>
      </c>
      <c r="D11" s="189">
        <f>Inputs!G24</f>
        <v>525</v>
      </c>
      <c r="E11" s="252">
        <f>Inputs!G26</f>
        <v>180</v>
      </c>
      <c r="F11" s="251" t="s">
        <v>1</v>
      </c>
      <c r="G11" s="265"/>
      <c r="H11" s="477">
        <f>IF(C11=0,0,C11*D11*E11/100)</f>
        <v>263655</v>
      </c>
      <c r="I11" s="612"/>
      <c r="K11" s="415" t="s">
        <v>64</v>
      </c>
      <c r="L11" s="415"/>
      <c r="M11" s="415"/>
      <c r="N11" s="415"/>
      <c r="O11" s="415"/>
      <c r="P11" s="415"/>
      <c r="Q11" s="415"/>
      <c r="R11" s="415"/>
      <c r="S11" s="415"/>
      <c r="T11" s="415"/>
      <c r="U11" s="415"/>
      <c r="V11" s="415"/>
      <c r="W11" s="415"/>
      <c r="X11" s="415"/>
    </row>
    <row r="12" spans="1:37" s="40" customFormat="1" ht="12.75" customHeight="1" thickBot="1">
      <c r="A12" s="152"/>
      <c r="B12" s="255" t="s">
        <v>135</v>
      </c>
      <c r="C12" s="117">
        <f>Inputs!G35</f>
        <v>197</v>
      </c>
      <c r="D12" s="251">
        <f>Inputs!G25</f>
        <v>475</v>
      </c>
      <c r="E12" s="252">
        <f>Inputs!G27</f>
        <v>160</v>
      </c>
      <c r="F12" s="251" t="s">
        <v>1</v>
      </c>
      <c r="G12" s="265"/>
      <c r="H12" s="478">
        <f>IF(C12=0,0,C12*D12*E12/100)</f>
        <v>149720</v>
      </c>
      <c r="I12" s="613"/>
      <c r="J12" s="157"/>
      <c r="K12" s="417"/>
      <c r="L12" s="415"/>
      <c r="M12" s="415"/>
      <c r="N12" s="415"/>
      <c r="O12" s="415"/>
      <c r="P12" s="415"/>
      <c r="Q12" s="415"/>
      <c r="R12" s="415"/>
      <c r="S12" s="415"/>
      <c r="T12" s="415"/>
      <c r="U12" s="415"/>
      <c r="V12" s="415"/>
      <c r="W12" s="415"/>
      <c r="X12" s="415"/>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413375</v>
      </c>
      <c r="I13" s="559">
        <f>IF(H13=0,0,H13/($C$5+$C$4))</f>
        <v>887.07081545064375</v>
      </c>
      <c r="J13" s="157"/>
      <c r="K13" s="417"/>
      <c r="L13" s="818"/>
      <c r="M13" s="417"/>
      <c r="N13" s="415"/>
      <c r="O13" s="415"/>
      <c r="P13" s="415"/>
      <c r="Q13" s="415"/>
      <c r="R13" s="415"/>
      <c r="S13" s="415"/>
      <c r="T13" s="415"/>
      <c r="U13" s="415" t="str">
        <f>IF(Inputs!B68="","",Inputs!B68)</f>
        <v/>
      </c>
      <c r="V13" s="415"/>
      <c r="W13" s="415"/>
      <c r="X13" s="415"/>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59"/>
      <c r="J14" s="222"/>
      <c r="K14" s="417"/>
      <c r="L14" s="818"/>
      <c r="M14" s="417"/>
      <c r="N14" s="415"/>
      <c r="O14" s="415"/>
      <c r="P14" s="415"/>
      <c r="Q14" s="415"/>
      <c r="R14" s="415"/>
      <c r="S14" s="415"/>
      <c r="T14" s="415"/>
      <c r="U14" s="415" t="str">
        <f>IF(Inputs!B69="","",Inputs!B69)</f>
        <v>Pasture</v>
      </c>
      <c r="V14" s="415"/>
      <c r="W14" s="415"/>
      <c r="X14" s="415"/>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79" t="s">
        <v>31</v>
      </c>
      <c r="I15" s="614" t="s">
        <v>31</v>
      </c>
      <c r="K15" s="428"/>
      <c r="L15" s="818"/>
      <c r="M15" s="417"/>
      <c r="N15" s="415"/>
      <c r="O15" s="415"/>
      <c r="P15" s="415"/>
      <c r="Q15" s="415"/>
      <c r="R15" s="415"/>
      <c r="S15" s="415"/>
      <c r="T15" s="415"/>
      <c r="U15" s="415" t="str">
        <f>IF(Inputs!B70="","",Inputs!B70)</f>
        <v>Prairie Hay</v>
      </c>
      <c r="V15" s="415"/>
      <c r="W15" s="415"/>
      <c r="X15" s="415"/>
      <c r="Y15" s="221"/>
      <c r="Z15" s="221"/>
      <c r="AA15" s="221"/>
    </row>
    <row r="16" spans="1:37">
      <c r="B16" s="728" t="s">
        <v>248</v>
      </c>
      <c r="C16" s="729">
        <v>900</v>
      </c>
      <c r="D16" s="278" t="str">
        <f t="shared" ref="D16:D21" si="5">IF(B16="","",CONCATENATE(VLOOKUP(B16,Feed,5,FALSE)))</f>
        <v>lbs</v>
      </c>
      <c r="E16" s="731" t="s">
        <v>61</v>
      </c>
      <c r="F16" s="257">
        <f t="shared" ref="F16:F21" si="6">IF(B16="","",VLOOKUP(B16,Feed,7,FALSE))</f>
        <v>6.5000000000000002E-2</v>
      </c>
      <c r="G16" s="273" t="str">
        <f t="shared" ref="G16:G21" si="7">IF(B16="","",CONCATENATE("$ ",VLOOKUP(B16,Feed,5,FALSE)))</f>
        <v>$ lbs</v>
      </c>
      <c r="H16" s="432">
        <f t="shared" ref="H16:H21" si="8">IF(B16="","",C16*F16*IF(E16="per animal",($C$4+$C$5+$C$11+$C$12)/2,1))</f>
        <v>27553.5</v>
      </c>
      <c r="I16" s="751">
        <f t="shared" ref="I16:I21" si="9">IF(B16="","",IF(($C$4+$C$5)=0,"",H16/($C$4+$C$5)))</f>
        <v>59.127682403433475</v>
      </c>
      <c r="K16" s="415">
        <f t="shared" ref="K16:K21" si="10">C16*IF(E16="total",1,IF(E16="per animal",($C$4+$C$5+$C$11+$C$12)/2,0))</f>
        <v>423900</v>
      </c>
      <c r="L16" s="417"/>
      <c r="M16" s="429"/>
      <c r="N16" s="415"/>
      <c r="O16" s="430"/>
      <c r="P16" s="415"/>
      <c r="Q16" s="415"/>
      <c r="R16" s="415"/>
      <c r="S16" s="415"/>
      <c r="T16" s="415"/>
      <c r="U16" s="415" t="str">
        <f>IF(Inputs!B71="","",Inputs!B71)</f>
        <v>Alfalfa</v>
      </c>
      <c r="V16" s="415"/>
      <c r="W16" s="415"/>
      <c r="X16" s="415"/>
      <c r="Y16" s="221"/>
      <c r="Z16" s="221"/>
      <c r="AA16" s="221"/>
    </row>
    <row r="17" spans="1:37">
      <c r="B17" s="727" t="s">
        <v>252</v>
      </c>
      <c r="C17" s="730">
        <v>250</v>
      </c>
      <c r="D17" s="278" t="str">
        <f t="shared" si="5"/>
        <v>lbs</v>
      </c>
      <c r="E17" s="732" t="s">
        <v>61</v>
      </c>
      <c r="F17" s="257">
        <f t="shared" si="6"/>
        <v>0.15</v>
      </c>
      <c r="G17" s="273" t="str">
        <f t="shared" si="7"/>
        <v>$ lbs</v>
      </c>
      <c r="H17" s="432">
        <f t="shared" si="8"/>
        <v>17662.5</v>
      </c>
      <c r="I17" s="751">
        <f t="shared" si="9"/>
        <v>37.902360515021456</v>
      </c>
      <c r="K17" s="415">
        <f t="shared" si="10"/>
        <v>117750</v>
      </c>
      <c r="L17" s="417"/>
      <c r="M17" s="417"/>
      <c r="N17" s="415"/>
      <c r="O17" s="415"/>
      <c r="P17" s="415"/>
      <c r="Q17" s="415"/>
      <c r="R17" s="415"/>
      <c r="S17" s="415"/>
      <c r="T17" s="415"/>
      <c r="U17" s="415" t="str">
        <f>IF(Inputs!B72="","",Inputs!B72)</f>
        <v>DDG Cubes</v>
      </c>
      <c r="V17" s="415"/>
      <c r="W17" s="415"/>
      <c r="X17" s="415"/>
      <c r="Y17" s="221"/>
      <c r="Z17" s="221"/>
      <c r="AA17" s="221"/>
    </row>
    <row r="18" spans="1:37">
      <c r="B18" s="727" t="s">
        <v>253</v>
      </c>
      <c r="C18" s="729">
        <v>250</v>
      </c>
      <c r="D18" s="278" t="str">
        <f t="shared" si="5"/>
        <v>ounce</v>
      </c>
      <c r="E18" s="731" t="s">
        <v>61</v>
      </c>
      <c r="F18" s="257">
        <f t="shared" si="6"/>
        <v>2.8125000000000001E-2</v>
      </c>
      <c r="G18" s="273" t="str">
        <f t="shared" si="7"/>
        <v>$ ounce</v>
      </c>
      <c r="H18" s="432">
        <f t="shared" si="8"/>
        <v>3311.71875</v>
      </c>
      <c r="I18" s="751">
        <f t="shared" si="9"/>
        <v>7.106692596566524</v>
      </c>
      <c r="K18" s="415">
        <f t="shared" si="10"/>
        <v>117750</v>
      </c>
      <c r="L18" s="417"/>
      <c r="M18" s="417"/>
      <c r="N18" s="415"/>
      <c r="O18" s="415"/>
      <c r="P18" s="415"/>
      <c r="Q18" s="415"/>
      <c r="R18" s="415"/>
      <c r="S18" s="415"/>
      <c r="T18" s="415"/>
      <c r="U18" s="415" t="str">
        <f>IF(Inputs!B73="","",Inputs!B73)</f>
        <v>Salt and Mineral</v>
      </c>
      <c r="V18" s="415"/>
      <c r="W18" s="415"/>
      <c r="X18" s="415"/>
      <c r="Y18" s="221"/>
      <c r="Z18" s="221"/>
      <c r="AA18" s="221"/>
    </row>
    <row r="19" spans="1:37">
      <c r="B19" s="727" t="s">
        <v>265</v>
      </c>
      <c r="C19" s="729">
        <v>250</v>
      </c>
      <c r="D19" s="278" t="str">
        <f t="shared" si="5"/>
        <v>lbs</v>
      </c>
      <c r="E19" s="731" t="s">
        <v>61</v>
      </c>
      <c r="F19" s="257">
        <f t="shared" si="6"/>
        <v>9.6428571428571433E-2</v>
      </c>
      <c r="G19" s="273" t="str">
        <f t="shared" si="7"/>
        <v>$ lbs</v>
      </c>
      <c r="H19" s="432">
        <f t="shared" si="8"/>
        <v>11354.464285714286</v>
      </c>
      <c r="I19" s="751">
        <f t="shared" si="9"/>
        <v>24.365803188228082</v>
      </c>
      <c r="K19" s="415">
        <f t="shared" si="10"/>
        <v>117750</v>
      </c>
      <c r="L19" s="417"/>
      <c r="M19" s="417"/>
      <c r="N19" s="415"/>
      <c r="O19" s="415"/>
      <c r="P19" s="415"/>
      <c r="Q19" s="415"/>
      <c r="R19" s="415"/>
      <c r="S19" s="415"/>
      <c r="T19" s="415"/>
      <c r="U19" s="415" t="str">
        <f>IF(Inputs!B74="","",Inputs!B74)</f>
        <v>Corn Stalks</v>
      </c>
      <c r="V19" s="415"/>
      <c r="W19" s="415"/>
      <c r="X19" s="415"/>
      <c r="Y19" s="221"/>
      <c r="Z19" s="221"/>
      <c r="AA19" s="221"/>
    </row>
    <row r="20" spans="1:37">
      <c r="B20" s="204"/>
      <c r="C20" s="205"/>
      <c r="D20" s="278" t="str">
        <f t="shared" si="5"/>
        <v/>
      </c>
      <c r="E20" s="218"/>
      <c r="F20" s="257" t="str">
        <f t="shared" si="6"/>
        <v/>
      </c>
      <c r="G20" s="273" t="str">
        <f t="shared" si="7"/>
        <v/>
      </c>
      <c r="H20" s="432" t="str">
        <f t="shared" si="8"/>
        <v/>
      </c>
      <c r="I20" s="751" t="str">
        <f t="shared" si="9"/>
        <v/>
      </c>
      <c r="K20" s="415">
        <f t="shared" si="10"/>
        <v>0</v>
      </c>
      <c r="L20" s="417"/>
      <c r="M20" s="417"/>
      <c r="N20" s="415"/>
      <c r="O20" s="415"/>
      <c r="P20" s="415"/>
      <c r="Q20" s="415"/>
      <c r="R20" s="415"/>
      <c r="S20" s="415"/>
      <c r="T20" s="415"/>
      <c r="U20" s="415" t="str">
        <f>IF(Inputs!B75="","",Inputs!B75)</f>
        <v>Dried Rolled Corn</v>
      </c>
      <c r="V20" s="415"/>
      <c r="W20" s="415"/>
      <c r="X20" s="415"/>
      <c r="Y20" s="221"/>
      <c r="Z20" s="221"/>
      <c r="AA20" s="221"/>
    </row>
    <row r="21" spans="1:37" ht="13.5" thickBot="1">
      <c r="B21" s="204"/>
      <c r="C21" s="205"/>
      <c r="D21" s="278" t="str">
        <f t="shared" si="5"/>
        <v/>
      </c>
      <c r="E21" s="218"/>
      <c r="F21" s="257" t="str">
        <f t="shared" si="6"/>
        <v/>
      </c>
      <c r="G21" s="273" t="str">
        <f t="shared" si="7"/>
        <v/>
      </c>
      <c r="H21" s="433" t="str">
        <f t="shared" si="8"/>
        <v/>
      </c>
      <c r="I21" s="752" t="str">
        <f t="shared" si="9"/>
        <v/>
      </c>
      <c r="K21" s="415">
        <f t="shared" si="10"/>
        <v>0</v>
      </c>
      <c r="L21" s="417"/>
      <c r="M21" s="417"/>
      <c r="N21" s="415"/>
      <c r="O21" s="415"/>
      <c r="P21" s="415"/>
      <c r="Q21" s="415"/>
      <c r="R21" s="415"/>
      <c r="S21" s="415"/>
      <c r="T21" s="415"/>
      <c r="U21" s="415" t="str">
        <f>IF(Inputs!B76="","",Inputs!B76)</f>
        <v/>
      </c>
      <c r="V21" s="415"/>
      <c r="W21" s="415"/>
      <c r="X21" s="415"/>
      <c r="Y21" s="221"/>
      <c r="Z21" s="221"/>
      <c r="AA21" s="221"/>
    </row>
    <row r="22" spans="1:37" ht="13.5" thickTop="1">
      <c r="B22" s="250"/>
      <c r="C22" s="75"/>
      <c r="D22" s="251"/>
      <c r="E22" s="258"/>
      <c r="F22" s="260"/>
      <c r="G22" s="258" t="s">
        <v>36</v>
      </c>
      <c r="H22" s="480">
        <f>SUM(H16:H21)</f>
        <v>59882.18303571429</v>
      </c>
      <c r="I22" s="615">
        <f>SUM(I16:I21)</f>
        <v>128.50253870324954</v>
      </c>
      <c r="K22" s="415"/>
      <c r="L22" s="415"/>
      <c r="M22" s="415"/>
      <c r="N22" s="415"/>
      <c r="O22" s="415"/>
      <c r="P22" s="415"/>
      <c r="Q22" s="415"/>
      <c r="R22" s="415"/>
      <c r="S22" s="415"/>
      <c r="T22" s="415"/>
      <c r="U22" s="415" t="str">
        <f>IF(Inputs!B77="","",Inputs!B77)</f>
        <v/>
      </c>
      <c r="V22" s="415"/>
      <c r="W22" s="415"/>
      <c r="X22" s="415"/>
      <c r="Y22" s="221"/>
      <c r="Z22" s="221"/>
      <c r="AA22" s="221"/>
    </row>
    <row r="23" spans="1:37">
      <c r="A23" s="156"/>
      <c r="B23" s="250"/>
      <c r="C23" s="243"/>
      <c r="D23" s="251"/>
      <c r="E23" s="251"/>
      <c r="F23" s="251"/>
      <c r="G23" s="251"/>
      <c r="H23" s="434"/>
      <c r="I23" s="469" t="str">
        <f>IF(H23=0,"",H23/$C$5)</f>
        <v/>
      </c>
      <c r="K23" s="415"/>
      <c r="L23" s="415"/>
      <c r="M23" s="415"/>
      <c r="N23" s="415"/>
      <c r="O23" s="415"/>
      <c r="P23" s="415"/>
      <c r="Q23" s="415"/>
      <c r="R23" s="415"/>
      <c r="S23" s="415"/>
      <c r="T23" s="415"/>
      <c r="U23" s="415"/>
      <c r="V23" s="415"/>
      <c r="W23" s="415"/>
      <c r="X23" s="415"/>
      <c r="Y23" s="221"/>
      <c r="Z23" s="221"/>
      <c r="AA23" s="221"/>
    </row>
    <row r="24" spans="1:37">
      <c r="B24" s="263" t="s">
        <v>45</v>
      </c>
      <c r="C24" s="274"/>
      <c r="D24" s="283" t="s">
        <v>56</v>
      </c>
      <c r="E24" s="358" t="s">
        <v>177</v>
      </c>
      <c r="F24" s="246" t="s">
        <v>48</v>
      </c>
      <c r="G24" s="266"/>
      <c r="H24" s="481" t="s">
        <v>31</v>
      </c>
      <c r="I24" s="616" t="s">
        <v>31</v>
      </c>
      <c r="J24" s="158"/>
      <c r="K24" s="415"/>
      <c r="L24" s="415"/>
      <c r="M24" s="415"/>
      <c r="N24" s="415"/>
      <c r="O24" s="415"/>
      <c r="P24" s="415"/>
      <c r="Q24" s="415"/>
      <c r="R24" s="415"/>
      <c r="S24" s="415"/>
      <c r="T24" s="415"/>
      <c r="U24" s="415"/>
      <c r="V24" s="415"/>
      <c r="W24" s="415"/>
      <c r="X24" s="415"/>
      <c r="Y24" s="221"/>
      <c r="Z24" s="221"/>
      <c r="AA24" s="221"/>
    </row>
    <row r="25" spans="1:37">
      <c r="B25" s="250" t="str">
        <f>Inputs!B81</f>
        <v>Labor</v>
      </c>
      <c r="C25" s="242"/>
      <c r="D25" s="256">
        <f>Inputs!D81</f>
        <v>20</v>
      </c>
      <c r="E25" s="233" t="str">
        <f>Inputs!E81</f>
        <v>per animal</v>
      </c>
      <c r="F25" s="124">
        <f>Inputs!R81</f>
        <v>5.5515270089708323E-2</v>
      </c>
      <c r="G25" s="265"/>
      <c r="H25" s="434">
        <f>D25*IF(E25="per animal",$C$11+$C$12,1)*F25</f>
        <v>528.5053712540232</v>
      </c>
      <c r="I25" s="751">
        <f>IF(B25="","",IF(($C$4+$C$5)=0,"",H25/($C$4+$C$5)))</f>
        <v>1.1341316979700069</v>
      </c>
      <c r="K25" s="415"/>
      <c r="L25" s="415"/>
      <c r="M25" s="415"/>
      <c r="N25" s="415"/>
      <c r="O25" s="415"/>
      <c r="P25" s="415"/>
      <c r="Q25" s="415"/>
      <c r="R25" s="415"/>
      <c r="S25" s="415"/>
      <c r="T25" s="415"/>
      <c r="U25" s="415"/>
      <c r="V25" s="415"/>
      <c r="W25" s="415"/>
      <c r="X25" s="415"/>
      <c r="Y25" s="221"/>
      <c r="Z25" s="221"/>
      <c r="AA25" s="221"/>
    </row>
    <row r="26" spans="1:37">
      <c r="B26" s="250" t="str">
        <f>Inputs!B82</f>
        <v>Fuel</v>
      </c>
      <c r="C26" s="242"/>
      <c r="D26" s="256">
        <f>Inputs!D82</f>
        <v>20</v>
      </c>
      <c r="E26" s="359" t="str">
        <f>Inputs!E82</f>
        <v>per animal</v>
      </c>
      <c r="F26" s="124">
        <f>Inputs!R82</f>
        <v>5.5515270089708323E-2</v>
      </c>
      <c r="G26" s="265"/>
      <c r="H26" s="434">
        <f t="shared" ref="H26:H33" si="11">D26*IF(E26="per animal",$C$11+$C$12,1)*F26</f>
        <v>528.5053712540232</v>
      </c>
      <c r="I26" s="751">
        <f t="shared" ref="I26:I33" si="12">IF(B26="","",IF(($C$4+$C$5)=0,"",H26/($C$4+$C$5)))</f>
        <v>1.1341316979700069</v>
      </c>
      <c r="K26" s="415"/>
      <c r="L26" s="415"/>
      <c r="M26" s="415"/>
      <c r="N26" s="415"/>
      <c r="O26" s="415"/>
      <c r="P26" s="415"/>
      <c r="Q26" s="415"/>
      <c r="R26" s="415"/>
      <c r="S26" s="415"/>
      <c r="T26" s="415"/>
      <c r="U26" s="415"/>
      <c r="V26" s="415"/>
      <c r="W26" s="415"/>
      <c r="X26" s="415"/>
      <c r="Y26" s="221"/>
      <c r="Z26" s="221"/>
      <c r="AA26" s="221"/>
    </row>
    <row r="27" spans="1:37">
      <c r="B27" s="250" t="str">
        <f>Inputs!B83</f>
        <v>Veterinary and Medical</v>
      </c>
      <c r="C27" s="242"/>
      <c r="D27" s="256">
        <f>Inputs!D83</f>
        <v>20</v>
      </c>
      <c r="E27" s="359" t="str">
        <f>Inputs!E83</f>
        <v>per animal</v>
      </c>
      <c r="F27" s="124">
        <f>Inputs!R83</f>
        <v>5.5515270089708323E-2</v>
      </c>
      <c r="G27" s="265"/>
      <c r="H27" s="434">
        <f t="shared" si="11"/>
        <v>528.5053712540232</v>
      </c>
      <c r="I27" s="751">
        <f t="shared" si="12"/>
        <v>1.1341316979700069</v>
      </c>
      <c r="K27" s="415"/>
      <c r="L27" s="415"/>
      <c r="M27" s="415"/>
      <c r="N27" s="415"/>
      <c r="O27" s="415"/>
      <c r="P27" s="415"/>
      <c r="Q27" s="415"/>
      <c r="R27" s="415"/>
      <c r="S27" s="415"/>
      <c r="T27" s="415"/>
      <c r="U27" s="415"/>
      <c r="V27" s="415"/>
      <c r="W27" s="415"/>
      <c r="X27" s="415"/>
      <c r="Y27" s="221"/>
      <c r="Z27" s="221"/>
      <c r="AA27" s="221"/>
    </row>
    <row r="28" spans="1:37">
      <c r="B28" s="250" t="s">
        <v>277</v>
      </c>
      <c r="C28" s="275"/>
      <c r="D28" s="256">
        <f>Inputs!X88</f>
        <v>25</v>
      </c>
      <c r="E28" s="233" t="str">
        <f>Inputs!E88</f>
        <v>per animal</v>
      </c>
      <c r="F28" s="124"/>
      <c r="G28" s="265"/>
      <c r="H28" s="434">
        <f>(C4+C5)*D28-(C11+C12)*Inputs!X87</f>
        <v>2130</v>
      </c>
      <c r="I28" s="751">
        <f t="shared" si="12"/>
        <v>4.570815450643777</v>
      </c>
      <c r="K28" s="415"/>
      <c r="L28" s="415"/>
      <c r="M28" s="415"/>
      <c r="N28" s="415"/>
      <c r="O28" s="415"/>
      <c r="P28" s="415"/>
      <c r="Q28" s="415"/>
      <c r="R28" s="415"/>
      <c r="S28" s="415"/>
      <c r="T28" s="415"/>
      <c r="U28" s="415"/>
      <c r="V28" s="415"/>
      <c r="W28" s="415"/>
      <c r="X28" s="415"/>
      <c r="Y28" s="221"/>
      <c r="Z28" s="221"/>
      <c r="AA28" s="221"/>
    </row>
    <row r="29" spans="1:37" hidden="1">
      <c r="B29" s="284" t="str">
        <f>Inputs!B91</f>
        <v>AI Expense $40 per new heifers</v>
      </c>
      <c r="C29" s="252"/>
      <c r="D29" s="256">
        <f>Inputs!D91</f>
        <v>3280</v>
      </c>
      <c r="E29" s="233" t="str">
        <f>Inputs!E91</f>
        <v>all animals</v>
      </c>
      <c r="F29" s="124">
        <f>Inputs!R91</f>
        <v>0</v>
      </c>
      <c r="G29" s="265"/>
      <c r="H29" s="434">
        <f t="shared" si="11"/>
        <v>0</v>
      </c>
      <c r="I29" s="751">
        <f t="shared" si="12"/>
        <v>0</v>
      </c>
      <c r="K29" s="415"/>
      <c r="L29" s="415"/>
      <c r="M29" s="415"/>
      <c r="N29" s="415"/>
      <c r="O29" s="415"/>
      <c r="P29" s="415"/>
      <c r="Q29" s="415"/>
      <c r="R29" s="415"/>
      <c r="S29" s="415"/>
      <c r="T29" s="415"/>
      <c r="U29" s="415"/>
      <c r="V29" s="415"/>
      <c r="W29" s="415"/>
      <c r="X29" s="415"/>
      <c r="Y29" s="221"/>
      <c r="Z29" s="221"/>
      <c r="AA29" s="221"/>
    </row>
    <row r="30" spans="1:37" hidden="1">
      <c r="B30" s="284">
        <f>Inputs!B92</f>
        <v>0</v>
      </c>
      <c r="C30" s="252" t="s">
        <v>9</v>
      </c>
      <c r="D30" s="256">
        <f>Inputs!D92</f>
        <v>0</v>
      </c>
      <c r="E30" s="359">
        <f>Inputs!E92</f>
        <v>0</v>
      </c>
      <c r="F30" s="124">
        <f>Inputs!R92</f>
        <v>0</v>
      </c>
      <c r="G30" s="265"/>
      <c r="H30" s="434">
        <f t="shared" si="11"/>
        <v>0</v>
      </c>
      <c r="I30" s="751">
        <f t="shared" si="12"/>
        <v>0</v>
      </c>
      <c r="K30" s="415"/>
      <c r="L30" s="415"/>
      <c r="M30" s="415"/>
      <c r="N30" s="415"/>
      <c r="O30" s="415"/>
      <c r="P30" s="415"/>
      <c r="Q30" s="415"/>
      <c r="R30" s="415"/>
      <c r="S30" s="415"/>
      <c r="T30" s="415"/>
      <c r="U30" s="415"/>
      <c r="V30" s="415"/>
      <c r="W30" s="415"/>
      <c r="X30" s="415"/>
      <c r="Y30" s="221"/>
      <c r="Z30" s="221"/>
      <c r="AA30" s="221"/>
    </row>
    <row r="31" spans="1:37" hidden="1">
      <c r="B31" s="284">
        <f>Inputs!B93</f>
        <v>0</v>
      </c>
      <c r="C31" s="252" t="s">
        <v>9</v>
      </c>
      <c r="D31" s="256">
        <f>Inputs!D93</f>
        <v>0</v>
      </c>
      <c r="E31" s="359">
        <f>Inputs!E93</f>
        <v>0</v>
      </c>
      <c r="F31" s="124">
        <f>Inputs!R93</f>
        <v>0</v>
      </c>
      <c r="G31" s="265"/>
      <c r="H31" s="434">
        <f t="shared" si="11"/>
        <v>0</v>
      </c>
      <c r="I31" s="751">
        <f t="shared" si="12"/>
        <v>0</v>
      </c>
      <c r="K31" s="415"/>
      <c r="L31" s="415"/>
      <c r="M31" s="415"/>
      <c r="N31" s="415"/>
      <c r="O31" s="415"/>
      <c r="P31" s="415"/>
      <c r="Q31" s="415"/>
      <c r="R31" s="415"/>
      <c r="S31" s="415"/>
      <c r="T31" s="415"/>
      <c r="U31" s="415"/>
      <c r="V31" s="415"/>
      <c r="W31" s="415"/>
      <c r="X31" s="415"/>
      <c r="Y31" s="221"/>
      <c r="Z31" s="221"/>
      <c r="AA31" s="221"/>
    </row>
    <row r="32" spans="1:37" s="190" customFormat="1" hidden="1">
      <c r="A32" s="220"/>
      <c r="B32" s="284">
        <f>Inputs!B94</f>
        <v>0</v>
      </c>
      <c r="C32" s="252"/>
      <c r="D32" s="256">
        <f>Inputs!D94</f>
        <v>0</v>
      </c>
      <c r="E32" s="359">
        <f>Inputs!E94</f>
        <v>0</v>
      </c>
      <c r="F32" s="124">
        <f>Inputs!R94</f>
        <v>0</v>
      </c>
      <c r="G32" s="265"/>
      <c r="H32" s="434">
        <f t="shared" si="11"/>
        <v>0</v>
      </c>
      <c r="I32" s="751">
        <f t="shared" si="12"/>
        <v>0</v>
      </c>
      <c r="J32" s="222"/>
      <c r="K32" s="415"/>
      <c r="L32" s="415"/>
      <c r="M32" s="415"/>
      <c r="N32" s="415"/>
      <c r="O32" s="415"/>
      <c r="P32" s="415"/>
      <c r="Q32" s="415"/>
      <c r="R32" s="415"/>
      <c r="S32" s="415"/>
      <c r="T32" s="415"/>
      <c r="U32" s="415"/>
      <c r="V32" s="415"/>
      <c r="W32" s="415"/>
      <c r="X32" s="415"/>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4">
        <f t="shared" si="11"/>
        <v>0</v>
      </c>
      <c r="I33" s="751">
        <f t="shared" si="12"/>
        <v>0</v>
      </c>
      <c r="K33" s="415"/>
      <c r="L33" s="415"/>
      <c r="M33" s="415"/>
      <c r="N33" s="415"/>
      <c r="O33" s="415"/>
      <c r="P33" s="415"/>
      <c r="Q33" s="415"/>
      <c r="R33" s="415"/>
      <c r="S33" s="415"/>
      <c r="T33" s="415"/>
      <c r="U33" s="415"/>
      <c r="V33" s="415"/>
      <c r="W33" s="415"/>
      <c r="X33" s="415"/>
      <c r="Y33" s="221"/>
      <c r="Z33" s="221"/>
      <c r="AA33" s="221"/>
    </row>
    <row r="34" spans="1:37" ht="27" customHeight="1" thickBot="1">
      <c r="B34" s="172" t="s">
        <v>37</v>
      </c>
      <c r="C34" s="829" t="s">
        <v>118</v>
      </c>
      <c r="D34" s="830"/>
      <c r="E34" s="830"/>
      <c r="F34" s="830"/>
      <c r="G34" s="831"/>
      <c r="H34" s="435">
        <f>(SUM(H22,H25:H27,H29:H33,H40:H48)/2+H13)*Inputs!E111*Inputs!G30/365</f>
        <v>5475.314583798141</v>
      </c>
      <c r="I34" s="755">
        <f>IF(B34="","",IF(($C$4+$C$5)=0,"",H34/($C$4+$C$5)))</f>
        <v>11.749602111154809</v>
      </c>
      <c r="K34" s="415"/>
      <c r="L34" s="415"/>
      <c r="M34" s="415"/>
      <c r="N34" s="415"/>
      <c r="O34" s="415"/>
      <c r="P34" s="415"/>
      <c r="Q34" s="415"/>
      <c r="R34" s="415"/>
      <c r="S34" s="415"/>
      <c r="T34" s="415"/>
      <c r="U34" s="415"/>
      <c r="V34" s="415"/>
      <c r="W34" s="415"/>
      <c r="X34" s="415"/>
      <c r="Y34" s="221"/>
      <c r="Z34" s="221"/>
      <c r="AA34" s="221"/>
    </row>
    <row r="35" spans="1:37" ht="14.25" thickTop="1" thickBot="1">
      <c r="B35" s="253"/>
      <c r="C35" s="244"/>
      <c r="D35" s="259"/>
      <c r="E35" s="259"/>
      <c r="F35" s="282"/>
      <c r="G35" s="259" t="s">
        <v>145</v>
      </c>
      <c r="H35" s="482">
        <f>SUM(H25:H34)</f>
        <v>9190.83069756021</v>
      </c>
      <c r="I35" s="560">
        <f>SUM(I25:I34)</f>
        <v>19.722812655708609</v>
      </c>
      <c r="K35" s="415"/>
      <c r="L35" s="415"/>
      <c r="M35" s="415"/>
      <c r="N35" s="415"/>
      <c r="O35" s="415"/>
      <c r="P35" s="415"/>
      <c r="Q35" s="415"/>
      <c r="R35" s="415"/>
      <c r="S35" s="415"/>
      <c r="T35" s="415"/>
      <c r="U35" s="415"/>
      <c r="V35" s="415"/>
      <c r="W35" s="415"/>
      <c r="X35" s="415"/>
      <c r="Y35" s="221"/>
      <c r="Z35" s="221"/>
      <c r="AA35" s="221"/>
    </row>
    <row r="36" spans="1:37" ht="13.5" thickBot="1">
      <c r="B36" s="123"/>
      <c r="C36" s="96"/>
      <c r="D36" s="42"/>
      <c r="E36" s="42"/>
      <c r="F36" s="42"/>
      <c r="G36" s="21" t="s">
        <v>104</v>
      </c>
      <c r="H36" s="483">
        <f>H13+H22+H35</f>
        <v>482448.01373327454</v>
      </c>
      <c r="I36" s="617">
        <f>I13+I22+I35</f>
        <v>1035.296166809602</v>
      </c>
      <c r="Y36" s="221"/>
      <c r="Z36" s="221"/>
      <c r="AA36" s="221"/>
    </row>
    <row r="37" spans="1:37" ht="13.5" thickBot="1">
      <c r="B37" s="49"/>
      <c r="C37" s="49"/>
      <c r="D37" s="49"/>
      <c r="E37" s="49"/>
      <c r="F37" s="58"/>
      <c r="G37" s="58"/>
      <c r="H37" s="484"/>
      <c r="I37" s="618" t="str">
        <f>IF(H37=0,"",H37/$C$5)</f>
        <v/>
      </c>
      <c r="Y37" s="221"/>
      <c r="Z37" s="221"/>
      <c r="AA37" s="221"/>
    </row>
    <row r="38" spans="1:37" ht="26.25" thickBot="1">
      <c r="B38" s="41" t="s">
        <v>109</v>
      </c>
      <c r="C38" s="108"/>
      <c r="D38" s="109"/>
      <c r="E38" s="109"/>
      <c r="F38" s="109"/>
      <c r="G38" s="109"/>
      <c r="H38" s="475" t="s">
        <v>74</v>
      </c>
      <c r="I38" s="610" t="s">
        <v>94</v>
      </c>
      <c r="Y38" s="221"/>
      <c r="Z38" s="221"/>
      <c r="AA38" s="221"/>
    </row>
    <row r="39" spans="1:37">
      <c r="B39" s="79" t="s">
        <v>39</v>
      </c>
      <c r="C39" s="31"/>
      <c r="D39" s="39" t="s">
        <v>15</v>
      </c>
      <c r="E39" s="39"/>
      <c r="F39" s="39" t="s">
        <v>48</v>
      </c>
      <c r="G39" s="82"/>
      <c r="H39" s="485" t="s">
        <v>31</v>
      </c>
      <c r="I39" s="619" t="s">
        <v>31</v>
      </c>
      <c r="Y39" s="221"/>
      <c r="Z39" s="221"/>
      <c r="AA39" s="221"/>
    </row>
    <row r="40" spans="1:37">
      <c r="B40" s="48" t="str">
        <f>Inputs!B100</f>
        <v>Machinery (Livestock)</v>
      </c>
      <c r="C40" s="31"/>
      <c r="D40" s="366">
        <f>Inputs!G100</f>
        <v>2000</v>
      </c>
      <c r="E40" s="56"/>
      <c r="F40" s="80">
        <f>IF(D40=0,0,Inputs!R100)</f>
        <v>0</v>
      </c>
      <c r="G40" s="93"/>
      <c r="H40" s="434">
        <f>IF(B40="","",D40*F40)</f>
        <v>0</v>
      </c>
      <c r="I40" s="751">
        <f>IF(B40="","",IF(($C$4+$C$5)=0,"",H40/($C$4+$C$5)))</f>
        <v>0</v>
      </c>
      <c r="Y40" s="221"/>
      <c r="Z40" s="221"/>
      <c r="AA40" s="221"/>
    </row>
    <row r="41" spans="1:37" ht="15" customHeight="1">
      <c r="B41" s="250" t="str">
        <f>Inputs!B101</f>
        <v>Vehicles</v>
      </c>
      <c r="C41" s="31"/>
      <c r="D41" s="366">
        <f>Inputs!G101</f>
        <v>1200</v>
      </c>
      <c r="E41" s="56"/>
      <c r="F41" s="264">
        <f>IF(D41=0,0,Inputs!R101)</f>
        <v>0</v>
      </c>
      <c r="G41" s="93"/>
      <c r="H41" s="434">
        <f t="shared" ref="H41:H48" si="13">IF(B41="","",D41*F41)</f>
        <v>0</v>
      </c>
      <c r="I41" s="751">
        <f t="shared" ref="I41:I48" si="14">IF(B41="","",IF(($C$4+$C$5)=0,"",H41/($C$4+$C$5)))</f>
        <v>0</v>
      </c>
      <c r="Y41" s="221"/>
      <c r="Z41" s="221"/>
      <c r="AA41" s="221"/>
    </row>
    <row r="42" spans="1:37">
      <c r="B42" s="284">
        <f>Inputs!B102</f>
        <v>0</v>
      </c>
      <c r="C42" s="49"/>
      <c r="D42" s="366">
        <f>Inputs!G102</f>
        <v>0</v>
      </c>
      <c r="E42" s="56"/>
      <c r="F42" s="264">
        <f>IF(D42=0,0,Inputs!R102)</f>
        <v>0</v>
      </c>
      <c r="G42" s="93"/>
      <c r="H42" s="434">
        <f t="shared" si="13"/>
        <v>0</v>
      </c>
      <c r="I42" s="751">
        <f t="shared" si="14"/>
        <v>0</v>
      </c>
      <c r="Y42" s="221"/>
      <c r="Z42" s="221"/>
      <c r="AA42" s="221"/>
    </row>
    <row r="43" spans="1:37">
      <c r="B43" s="284">
        <f>Inputs!B103</f>
        <v>0</v>
      </c>
      <c r="C43" s="49"/>
      <c r="D43" s="366">
        <f>Inputs!G103</f>
        <v>0</v>
      </c>
      <c r="E43" s="56"/>
      <c r="F43" s="264">
        <f>IF(D43=0,0,Inputs!R103)</f>
        <v>0</v>
      </c>
      <c r="G43" s="93"/>
      <c r="H43" s="434">
        <f t="shared" si="13"/>
        <v>0</v>
      </c>
      <c r="I43" s="751">
        <f t="shared" si="14"/>
        <v>0</v>
      </c>
      <c r="Y43" s="221"/>
      <c r="Z43" s="221"/>
      <c r="AA43" s="221"/>
    </row>
    <row r="44" spans="1:37" s="239" customFormat="1" hidden="1">
      <c r="A44" s="277"/>
      <c r="B44" s="284">
        <f>Inputs!B104</f>
        <v>0</v>
      </c>
      <c r="C44" s="251"/>
      <c r="D44" s="366">
        <f>Inputs!G104</f>
        <v>0</v>
      </c>
      <c r="E44" s="256"/>
      <c r="F44" s="264">
        <f>IF(D44=0,0,Inputs!R104)</f>
        <v>0</v>
      </c>
      <c r="G44" s="272"/>
      <c r="H44" s="434">
        <f t="shared" si="13"/>
        <v>0</v>
      </c>
      <c r="I44" s="751">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4">
        <f t="shared" si="13"/>
        <v>0</v>
      </c>
      <c r="I45" s="751">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4">
        <f t="shared" si="13"/>
        <v>0</v>
      </c>
      <c r="I46" s="751">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4">
        <f t="shared" si="13"/>
        <v>0</v>
      </c>
      <c r="I47" s="751">
        <f t="shared" si="14"/>
        <v>0</v>
      </c>
      <c r="Y47" s="221"/>
      <c r="Z47" s="221"/>
      <c r="AA47" s="221"/>
    </row>
    <row r="48" spans="1:37" ht="13.5" thickBot="1">
      <c r="B48" s="284">
        <f>Inputs!B108</f>
        <v>0</v>
      </c>
      <c r="C48" s="49"/>
      <c r="D48" s="366">
        <f>Inputs!G108</f>
        <v>0</v>
      </c>
      <c r="E48" s="212"/>
      <c r="F48" s="264">
        <f>IF(D48=0,0,Inputs!R108)</f>
        <v>0</v>
      </c>
      <c r="G48" s="93"/>
      <c r="H48" s="435">
        <f t="shared" si="13"/>
        <v>0</v>
      </c>
      <c r="I48" s="752">
        <f t="shared" si="14"/>
        <v>0</v>
      </c>
      <c r="Y48" s="221"/>
      <c r="Z48" s="221"/>
      <c r="AA48" s="221"/>
    </row>
    <row r="49" spans="1:37" ht="13.5" thickTop="1">
      <c r="B49" s="48"/>
      <c r="C49" s="31"/>
      <c r="D49"/>
      <c r="E49" s="92"/>
      <c r="F49" s="92"/>
      <c r="G49" s="126" t="s">
        <v>112</v>
      </c>
      <c r="H49" s="486">
        <f>SUM(H40:H48)</f>
        <v>0</v>
      </c>
      <c r="I49" s="753">
        <f>SUM(I40:I48)</f>
        <v>0</v>
      </c>
      <c r="Y49" s="221"/>
      <c r="Z49" s="221"/>
      <c r="AA49" s="221"/>
    </row>
    <row r="50" spans="1:37">
      <c r="B50" s="48"/>
      <c r="C50" s="31"/>
      <c r="D50" s="49"/>
      <c r="E50" s="49"/>
      <c r="F50" s="49"/>
      <c r="G50" s="49"/>
      <c r="H50" s="434"/>
      <c r="I50" s="469" t="str">
        <f>IF(H50=0,"",H50/$C$5)</f>
        <v/>
      </c>
      <c r="Y50" s="221"/>
      <c r="Z50" s="221"/>
      <c r="AA50" s="221"/>
    </row>
    <row r="51" spans="1:37">
      <c r="B51" s="79" t="s">
        <v>54</v>
      </c>
      <c r="C51" s="31"/>
      <c r="D51" s="39" t="s">
        <v>56</v>
      </c>
      <c r="E51" s="49"/>
      <c r="F51" s="39" t="s">
        <v>48</v>
      </c>
      <c r="G51" s="81"/>
      <c r="H51" s="481" t="s">
        <v>31</v>
      </c>
      <c r="I51" s="614" t="s">
        <v>31</v>
      </c>
      <c r="Y51" s="221"/>
      <c r="Z51" s="221"/>
      <c r="AA51" s="221"/>
    </row>
    <row r="52" spans="1:37">
      <c r="B52" s="48" t="str">
        <f>Inputs!B117</f>
        <v>Real Estate Tax*</v>
      </c>
      <c r="C52" s="31"/>
      <c r="D52" s="445">
        <f>Inputs!E117</f>
        <v>0</v>
      </c>
      <c r="E52" s="49"/>
      <c r="F52" s="125">
        <f>IF(D52=0,0,Inputs!R117)</f>
        <v>0</v>
      </c>
      <c r="G52" s="81"/>
      <c r="H52" s="434">
        <f>F52*Inputs!E117</f>
        <v>0</v>
      </c>
      <c r="I52" s="751">
        <f>IF(B52="","",IF(($C$4+$C$5)=0,"",H52/($C$4+$C$5)))</f>
        <v>0</v>
      </c>
      <c r="Y52" s="221"/>
      <c r="Z52" s="221"/>
      <c r="AA52" s="221"/>
    </row>
    <row r="53" spans="1:37">
      <c r="B53" s="48" t="str">
        <f>Inputs!B118</f>
        <v>Annual Insurance Premium</v>
      </c>
      <c r="C53" s="31"/>
      <c r="D53" s="445">
        <f>Inputs!E118</f>
        <v>3000</v>
      </c>
      <c r="E53" s="49"/>
      <c r="F53" s="279">
        <f>IF(D53=0,0,Inputs!R118)</f>
        <v>5.5515270089708323E-2</v>
      </c>
      <c r="G53" s="81"/>
      <c r="H53" s="434">
        <f>F53*Inputs!E118</f>
        <v>166.54581026912496</v>
      </c>
      <c r="I53" s="751">
        <f>IF(B53="","",IF(($C$4+$C$5)=0,"",H53/($C$4+$C$5)))</f>
        <v>0.35739444263760722</v>
      </c>
      <c r="Y53" s="221"/>
      <c r="Z53" s="221"/>
      <c r="AA53" s="221"/>
    </row>
    <row r="54" spans="1:37">
      <c r="B54" s="48" t="str">
        <f>Inputs!B119</f>
        <v>Professional Fees</v>
      </c>
      <c r="C54" s="31"/>
      <c r="D54" s="445">
        <f>Inputs!E119</f>
        <v>1500</v>
      </c>
      <c r="E54" s="49"/>
      <c r="F54" s="279">
        <f>IF(D54=0,0,Inputs!R119)</f>
        <v>5.5515270089708323E-2</v>
      </c>
      <c r="G54" s="81"/>
      <c r="H54" s="434">
        <f>F54*Inputs!E119</f>
        <v>83.272905134562478</v>
      </c>
      <c r="I54" s="751">
        <f>IF(B54="","",IF(($C$4+$C$5)=0,"",H54/($C$4+$C$5)))</f>
        <v>0.17869722131880361</v>
      </c>
      <c r="Y54" s="221"/>
      <c r="Z54" s="221"/>
      <c r="AA54" s="221"/>
    </row>
    <row r="55" spans="1:37">
      <c r="B55" s="48" t="str">
        <f>Inputs!B120</f>
        <v>Annual Management Charge</v>
      </c>
      <c r="C55" s="31"/>
      <c r="D55" s="445">
        <f>Inputs!E120</f>
        <v>0</v>
      </c>
      <c r="E55" s="49"/>
      <c r="F55" s="279">
        <f>IF(D55=0,0,Inputs!R120)</f>
        <v>0</v>
      </c>
      <c r="G55" s="81"/>
      <c r="H55" s="434">
        <f>F55*Inputs!E120</f>
        <v>0</v>
      </c>
      <c r="I55" s="751">
        <f>IF(B55="","",IF(($C$4+$C$5)=0,"",H55/($C$4+$C$5)))</f>
        <v>0</v>
      </c>
      <c r="Y55" s="221"/>
      <c r="Z55" s="221"/>
      <c r="AA55" s="221"/>
    </row>
    <row r="56" spans="1:37" ht="13.5" thickBot="1">
      <c r="B56" s="48" t="str">
        <f>Inputs!B121</f>
        <v>Other</v>
      </c>
      <c r="C56" s="31"/>
      <c r="D56" s="445">
        <f>Inputs!E121</f>
        <v>0</v>
      </c>
      <c r="E56" s="49"/>
      <c r="F56" s="279">
        <f>IF(D56=0,0,Inputs!R121)</f>
        <v>0</v>
      </c>
      <c r="G56" s="81"/>
      <c r="H56" s="487">
        <f>F56*Inputs!E121</f>
        <v>0</v>
      </c>
      <c r="I56" s="752">
        <f>IF(B56="","",IF(($C$4+$C$5)=0,"",H56/($C$4+$C$5)))</f>
        <v>0</v>
      </c>
      <c r="Y56" s="221"/>
      <c r="Z56" s="221"/>
      <c r="AA56" s="221"/>
    </row>
    <row r="57" spans="1:37" ht="14.25" thickTop="1" thickBot="1">
      <c r="B57" s="51"/>
      <c r="C57" s="34"/>
      <c r="D57" s="52"/>
      <c r="E57" s="52"/>
      <c r="F57"/>
      <c r="G57" s="59" t="s">
        <v>43</v>
      </c>
      <c r="H57" s="488">
        <f>SUM(H52:H56)</f>
        <v>249.81871540368743</v>
      </c>
      <c r="I57" s="754">
        <f>SUM(I52:I56)</f>
        <v>0.53609166395641084</v>
      </c>
      <c r="K57" s="223"/>
      <c r="Y57" s="221"/>
      <c r="Z57" s="221"/>
      <c r="AA57" s="221"/>
    </row>
    <row r="58" spans="1:37" ht="13.5" thickBot="1">
      <c r="B58" s="99">
        <v>217480.06701030929</v>
      </c>
      <c r="C58" s="96"/>
      <c r="D58" s="42"/>
      <c r="E58" s="42"/>
      <c r="F58" s="42"/>
      <c r="G58" s="21" t="s">
        <v>103</v>
      </c>
      <c r="H58" s="483">
        <f>H49+H57</f>
        <v>249.81871540368743</v>
      </c>
      <c r="I58" s="620">
        <f>I49+I57</f>
        <v>0.53609166395641084</v>
      </c>
      <c r="J58" s="160"/>
      <c r="Y58" s="221"/>
      <c r="Z58" s="221"/>
      <c r="AA58" s="221"/>
    </row>
    <row r="59" spans="1:37" ht="13.5" thickBot="1">
      <c r="B59" s="43"/>
      <c r="C59" s="43"/>
      <c r="D59" s="43"/>
      <c r="E59" s="43"/>
      <c r="F59" s="43"/>
      <c r="G59" s="43"/>
      <c r="H59" s="489"/>
      <c r="I59" s="609" t="str">
        <f>IF(H59=0,"",H59/$C$5)</f>
        <v/>
      </c>
      <c r="Y59" s="221"/>
      <c r="Z59" s="221"/>
      <c r="AA59" s="221"/>
    </row>
    <row r="60" spans="1:37" ht="13.5" thickBot="1">
      <c r="B60" s="98"/>
      <c r="C60" s="96"/>
      <c r="D60" s="67"/>
      <c r="E60" s="67"/>
      <c r="F60" s="67"/>
      <c r="G60" s="21" t="s">
        <v>111</v>
      </c>
      <c r="H60" s="483">
        <f>H36+H58</f>
        <v>482697.83244867821</v>
      </c>
      <c r="I60" s="620">
        <f>I36+I58</f>
        <v>1035.8322584735583</v>
      </c>
      <c r="Y60" s="221"/>
      <c r="Z60" s="221"/>
      <c r="AA60" s="221"/>
    </row>
    <row r="61" spans="1:37" ht="13.5" thickBot="1">
      <c r="B61" s="104"/>
      <c r="C61" s="104"/>
      <c r="D61" s="104"/>
      <c r="E61" s="104"/>
      <c r="F61" s="104"/>
      <c r="G61" s="104"/>
      <c r="H61" s="490"/>
      <c r="I61" s="621"/>
      <c r="Y61" s="221"/>
      <c r="Z61" s="221"/>
      <c r="AA61" s="221"/>
    </row>
    <row r="62" spans="1:37" ht="13.5" thickBot="1">
      <c r="B62" s="98"/>
      <c r="C62" s="96"/>
      <c r="D62" s="67"/>
      <c r="E62" s="67"/>
      <c r="F62" s="67"/>
      <c r="G62" s="21" t="s">
        <v>105</v>
      </c>
      <c r="H62" s="483">
        <f>H7-H60</f>
        <v>7369.3175513218157</v>
      </c>
      <c r="I62" s="620">
        <f>I7-I60</f>
        <v>15.81398616163483</v>
      </c>
      <c r="Y62" s="221"/>
      <c r="Z62" s="221"/>
      <c r="AA62" s="221"/>
    </row>
    <row r="63" spans="1:37" s="130" customFormat="1" ht="13.5" thickBot="1">
      <c r="A63" s="152"/>
      <c r="B63" s="251"/>
      <c r="C63" s="251"/>
      <c r="D63" s="251"/>
      <c r="E63" s="251"/>
      <c r="F63" s="43"/>
      <c r="G63" s="43"/>
      <c r="H63" s="474"/>
      <c r="I63" s="609"/>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1" t="s">
        <v>74</v>
      </c>
      <c r="I64" s="623"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1" t="s">
        <v>31</v>
      </c>
      <c r="I65" s="614"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 (Livestock)</v>
      </c>
      <c r="C66" s="31"/>
      <c r="D66" s="366">
        <f>IF(Inputs!F100=0,0,(Inputs!D100-Inputs!E100)/Inputs!F100)</f>
        <v>9000</v>
      </c>
      <c r="E66" s="365">
        <f>Inputs!D100*Inputs!$E$112</f>
        <v>4500</v>
      </c>
      <c r="F66" s="80">
        <f>IF(SUM(D66:E66)=0,0,Inputs!R100)</f>
        <v>0</v>
      </c>
      <c r="G66" s="56"/>
      <c r="H66" s="432">
        <f>(D66+E66)*F66</f>
        <v>0</v>
      </c>
      <c r="I66" s="751">
        <f t="shared" ref="I66:I75" si="15">IF(B66="","",IF(($C$4+$C$5)=0,"",H66/($C$4+$C$5)))</f>
        <v>0</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2857.1428571428573</v>
      </c>
      <c r="E67" s="365">
        <f>Inputs!D101*Inputs!$E$112</f>
        <v>1050</v>
      </c>
      <c r="F67" s="264">
        <f>IF(SUM(D67:E67)=0,0,Inputs!R101)</f>
        <v>0</v>
      </c>
      <c r="G67" s="56"/>
      <c r="H67" s="432">
        <f t="shared" ref="H67:H73" si="16">(D67+E67)*F67</f>
        <v>0</v>
      </c>
      <c r="I67" s="751">
        <f t="shared" si="15"/>
        <v>0</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2">
        <f t="shared" si="16"/>
        <v>0</v>
      </c>
      <c r="I68" s="751">
        <f t="shared" si="15"/>
        <v>0</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2">
        <f t="shared" si="16"/>
        <v>0</v>
      </c>
      <c r="I69" s="751">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2"/>
      <c r="I70" s="751">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2"/>
      <c r="I71" s="751">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2">
        <f t="shared" si="16"/>
        <v>0</v>
      </c>
      <c r="I72" s="751">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2">
        <f t="shared" si="16"/>
        <v>0</v>
      </c>
      <c r="I73" s="751">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2"/>
      <c r="I74" s="751">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2">
        <f>E75*F75</f>
        <v>0</v>
      </c>
      <c r="I75" s="751">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2">
        <f>SUM(H66:H75)</f>
        <v>0</v>
      </c>
      <c r="I76" s="624">
        <f>SUM(I66:I75)</f>
        <v>0</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4"/>
      <c r="I77" s="609"/>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3" t="s">
        <v>74</v>
      </c>
      <c r="I78" s="625"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2">
        <f>H60+H76</f>
        <v>482697.83244867821</v>
      </c>
      <c r="I79" s="626">
        <f>I60+I76</f>
        <v>1035.8322584735583</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4"/>
      <c r="I80" s="627"/>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3">
        <f>H7-H79</f>
        <v>7369.3175513218157</v>
      </c>
      <c r="I81" s="628">
        <f>I7-I79</f>
        <v>15.81398616163483</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election activeCell="B28" sqref="B28"/>
    </sheetView>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39.75" thickBot="1">
      <c r="B1" s="44" t="s">
        <v>179</v>
      </c>
      <c r="C1" s="215"/>
      <c r="D1" s="215"/>
      <c r="E1" s="196">
        <f>Inputs!G40</f>
        <v>0</v>
      </c>
      <c r="F1" s="224" t="s">
        <v>144</v>
      </c>
      <c r="G1" s="215"/>
      <c r="H1" s="215"/>
      <c r="I1" s="44"/>
      <c r="K1" s="415"/>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row>
    <row r="2" spans="1:27" ht="26.25" thickBot="1">
      <c r="B2" s="41" t="s">
        <v>97</v>
      </c>
      <c r="C2" s="108"/>
      <c r="D2" s="109"/>
      <c r="E2" s="109"/>
      <c r="F2" s="41"/>
      <c r="G2" s="119"/>
      <c r="H2" s="108" t="s">
        <v>74</v>
      </c>
      <c r="I2" s="122" t="s">
        <v>94</v>
      </c>
      <c r="K2" s="417"/>
      <c r="L2" s="417">
        <f t="shared" ref="L2:L7" si="0">B16</f>
        <v>0</v>
      </c>
      <c r="M2" s="417">
        <f>IF(M$1=$L2,$K16,0)</f>
        <v>0</v>
      </c>
      <c r="N2" s="417">
        <f t="shared" ref="N2:V2" si="1">IF(N$1=$L2,$K16,0)</f>
        <v>0</v>
      </c>
      <c r="O2" s="417">
        <f t="shared" si="1"/>
        <v>0</v>
      </c>
      <c r="P2" s="417">
        <f t="shared" si="1"/>
        <v>0</v>
      </c>
      <c r="Q2" s="417">
        <f t="shared" si="1"/>
        <v>0</v>
      </c>
      <c r="R2" s="417">
        <f t="shared" si="1"/>
        <v>0</v>
      </c>
      <c r="S2" s="417">
        <f t="shared" si="1"/>
        <v>0</v>
      </c>
      <c r="T2" s="417">
        <f t="shared" si="1"/>
        <v>0</v>
      </c>
      <c r="U2" s="417">
        <f t="shared" si="1"/>
        <v>0</v>
      </c>
      <c r="V2" s="417">
        <f t="shared" si="1"/>
        <v>0</v>
      </c>
      <c r="W2" s="417">
        <f t="shared" ref="W2:W7" si="2">SUM(M2:V2)</f>
        <v>0</v>
      </c>
    </row>
    <row r="3" spans="1:27">
      <c r="B3" s="255"/>
      <c r="C3" s="363" t="s">
        <v>44</v>
      </c>
      <c r="D3" s="364" t="s">
        <v>30</v>
      </c>
      <c r="E3" s="364" t="s">
        <v>5</v>
      </c>
      <c r="F3" s="120"/>
      <c r="G3" s="121"/>
      <c r="H3" s="266" t="s">
        <v>31</v>
      </c>
      <c r="I3" s="91" t="s">
        <v>31</v>
      </c>
      <c r="K3" s="415"/>
      <c r="L3" s="417">
        <f t="shared" si="0"/>
        <v>0</v>
      </c>
      <c r="M3" s="417">
        <f t="shared" ref="M3:V7" si="3">IF(M$1=$L3,$K17,0)</f>
        <v>0</v>
      </c>
      <c r="N3" s="417">
        <f t="shared" si="3"/>
        <v>0</v>
      </c>
      <c r="O3" s="417">
        <f t="shared" si="3"/>
        <v>0</v>
      </c>
      <c r="P3" s="417">
        <f t="shared" si="3"/>
        <v>0</v>
      </c>
      <c r="Q3" s="417">
        <f t="shared" si="3"/>
        <v>0</v>
      </c>
      <c r="R3" s="417">
        <f t="shared" si="3"/>
        <v>0</v>
      </c>
      <c r="S3" s="417">
        <f t="shared" si="3"/>
        <v>0</v>
      </c>
      <c r="T3" s="417">
        <f t="shared" si="3"/>
        <v>0</v>
      </c>
      <c r="U3" s="417">
        <f t="shared" si="3"/>
        <v>0</v>
      </c>
      <c r="V3" s="417">
        <f t="shared" si="3"/>
        <v>0</v>
      </c>
      <c r="W3" s="417">
        <f t="shared" si="2"/>
        <v>0</v>
      </c>
    </row>
    <row r="4" spans="1:27">
      <c r="B4" s="27" t="s">
        <v>159</v>
      </c>
      <c r="C4" s="192">
        <f>Inputs!G42-Inputs!O42</f>
        <v>0</v>
      </c>
      <c r="D4" s="369">
        <f>Inputs!G43</f>
        <v>0</v>
      </c>
      <c r="E4" s="369">
        <f>Inputs!G44</f>
        <v>0</v>
      </c>
      <c r="F4" s="251" t="s">
        <v>1</v>
      </c>
      <c r="G4" s="368"/>
      <c r="H4" s="434">
        <f>C4*D4*E4/100</f>
        <v>0</v>
      </c>
      <c r="I4" s="495">
        <f>D4*E4/100</f>
        <v>0</v>
      </c>
      <c r="K4" s="415"/>
      <c r="L4" s="417">
        <f t="shared" si="0"/>
        <v>0</v>
      </c>
      <c r="M4" s="417">
        <f t="shared" si="3"/>
        <v>0</v>
      </c>
      <c r="N4" s="417">
        <f t="shared" si="3"/>
        <v>0</v>
      </c>
      <c r="O4" s="417">
        <f t="shared" si="3"/>
        <v>0</v>
      </c>
      <c r="P4" s="417">
        <f t="shared" si="3"/>
        <v>0</v>
      </c>
      <c r="Q4" s="417">
        <f t="shared" si="3"/>
        <v>0</v>
      </c>
      <c r="R4" s="417">
        <f t="shared" si="3"/>
        <v>0</v>
      </c>
      <c r="S4" s="417">
        <f t="shared" si="3"/>
        <v>0</v>
      </c>
      <c r="T4" s="417">
        <f t="shared" si="3"/>
        <v>0</v>
      </c>
      <c r="U4" s="417">
        <f t="shared" si="3"/>
        <v>0</v>
      </c>
      <c r="V4" s="417">
        <f t="shared" si="3"/>
        <v>0</v>
      </c>
      <c r="W4" s="417">
        <f t="shared" si="2"/>
        <v>0</v>
      </c>
    </row>
    <row r="5" spans="1:27">
      <c r="B5" s="250" t="s">
        <v>165</v>
      </c>
      <c r="C5" s="370">
        <f>Inputs!G45-Inputs!O45</f>
        <v>0</v>
      </c>
      <c r="D5" s="189">
        <f>Inputs!G46</f>
        <v>0</v>
      </c>
      <c r="E5" s="189">
        <f>Inputs!G47</f>
        <v>0</v>
      </c>
      <c r="F5" s="251" t="s">
        <v>1</v>
      </c>
      <c r="G5" s="265"/>
      <c r="H5" s="434">
        <f>C5*D5*E5/100</f>
        <v>0</v>
      </c>
      <c r="I5" s="495">
        <f>D5*E5/100</f>
        <v>0</v>
      </c>
      <c r="K5" s="415"/>
      <c r="L5" s="417">
        <f t="shared" si="0"/>
        <v>0</v>
      </c>
      <c r="M5" s="417">
        <f t="shared" si="3"/>
        <v>0</v>
      </c>
      <c r="N5" s="417">
        <f t="shared" si="3"/>
        <v>0</v>
      </c>
      <c r="O5" s="417">
        <f t="shared" si="3"/>
        <v>0</v>
      </c>
      <c r="P5" s="417">
        <f t="shared" si="3"/>
        <v>0</v>
      </c>
      <c r="Q5" s="417">
        <f t="shared" si="3"/>
        <v>0</v>
      </c>
      <c r="R5" s="417">
        <f t="shared" si="3"/>
        <v>0</v>
      </c>
      <c r="S5" s="417">
        <f t="shared" si="3"/>
        <v>0</v>
      </c>
      <c r="T5" s="417">
        <f t="shared" si="3"/>
        <v>0</v>
      </c>
      <c r="U5" s="417">
        <f t="shared" si="3"/>
        <v>0</v>
      </c>
      <c r="V5" s="417">
        <f t="shared" si="3"/>
        <v>0</v>
      </c>
      <c r="W5" s="417">
        <f t="shared" si="2"/>
        <v>0</v>
      </c>
    </row>
    <row r="6" spans="1:27" ht="13.5" thickBot="1">
      <c r="B6" s="250"/>
      <c r="C6" s="243"/>
      <c r="D6" s="251"/>
      <c r="E6" s="251"/>
      <c r="F6" s="251"/>
      <c r="G6" s="265"/>
      <c r="H6" s="434"/>
      <c r="I6" s="495"/>
      <c r="K6" s="415"/>
      <c r="L6" s="417">
        <f t="shared" si="0"/>
        <v>0</v>
      </c>
      <c r="M6" s="417">
        <f t="shared" si="3"/>
        <v>0</v>
      </c>
      <c r="N6" s="417">
        <f t="shared" si="3"/>
        <v>0</v>
      </c>
      <c r="O6" s="417">
        <f t="shared" si="3"/>
        <v>0</v>
      </c>
      <c r="P6" s="417">
        <f t="shared" si="3"/>
        <v>0</v>
      </c>
      <c r="Q6" s="417">
        <f t="shared" si="3"/>
        <v>0</v>
      </c>
      <c r="R6" s="417">
        <f t="shared" si="3"/>
        <v>0</v>
      </c>
      <c r="S6" s="417">
        <f t="shared" si="3"/>
        <v>0</v>
      </c>
      <c r="T6" s="417">
        <f t="shared" si="3"/>
        <v>0</v>
      </c>
      <c r="U6" s="417">
        <f t="shared" si="3"/>
        <v>0</v>
      </c>
      <c r="V6" s="417">
        <f t="shared" si="3"/>
        <v>0</v>
      </c>
      <c r="W6" s="417">
        <f t="shared" si="2"/>
        <v>0</v>
      </c>
    </row>
    <row r="7" spans="1:27" ht="13.5" thickBot="1">
      <c r="B7" s="123"/>
      <c r="C7" s="96"/>
      <c r="D7" s="42"/>
      <c r="E7" s="42"/>
      <c r="F7" s="42"/>
      <c r="G7" s="97" t="s">
        <v>110</v>
      </c>
      <c r="H7" s="473">
        <f>SUM(H4:H6)</f>
        <v>0</v>
      </c>
      <c r="I7" s="496">
        <f>IF(H7=0,0,H7/($C$5+$C$4))</f>
        <v>0</v>
      </c>
      <c r="K7" s="415"/>
      <c r="L7" s="417">
        <f t="shared" si="0"/>
        <v>0</v>
      </c>
      <c r="M7" s="417">
        <f t="shared" si="3"/>
        <v>0</v>
      </c>
      <c r="N7" s="417">
        <f t="shared" si="3"/>
        <v>0</v>
      </c>
      <c r="O7" s="417">
        <f t="shared" si="3"/>
        <v>0</v>
      </c>
      <c r="P7" s="417">
        <f t="shared" si="3"/>
        <v>0</v>
      </c>
      <c r="Q7" s="417">
        <f t="shared" si="3"/>
        <v>0</v>
      </c>
      <c r="R7" s="417">
        <f t="shared" si="3"/>
        <v>0</v>
      </c>
      <c r="S7" s="417">
        <f t="shared" si="3"/>
        <v>0</v>
      </c>
      <c r="T7" s="417">
        <f t="shared" si="3"/>
        <v>0</v>
      </c>
      <c r="U7" s="417">
        <f t="shared" si="3"/>
        <v>0</v>
      </c>
      <c r="V7" s="417">
        <f t="shared" si="3"/>
        <v>0</v>
      </c>
      <c r="W7" s="417">
        <f t="shared" si="2"/>
        <v>0</v>
      </c>
    </row>
    <row r="8" spans="1:27" ht="13.5" thickBot="1">
      <c r="B8" s="53"/>
      <c r="C8" s="53"/>
      <c r="D8" s="43"/>
      <c r="E8" s="43"/>
      <c r="F8" s="43"/>
      <c r="G8" s="43"/>
      <c r="H8" s="474"/>
      <c r="I8" s="497" t="str">
        <f>IF(H8=0,"",H8/$C$5)</f>
        <v/>
      </c>
      <c r="K8" s="415"/>
      <c r="L8" s="417" t="s">
        <v>31</v>
      </c>
      <c r="M8" s="417">
        <f>SUM(M2:M7)</f>
        <v>0</v>
      </c>
      <c r="N8" s="417">
        <f t="shared" ref="N8:V8" si="4">SUM(N2:N7)</f>
        <v>0</v>
      </c>
      <c r="O8" s="417">
        <f t="shared" si="4"/>
        <v>0</v>
      </c>
      <c r="P8" s="417">
        <f t="shared" si="4"/>
        <v>0</v>
      </c>
      <c r="Q8" s="417">
        <f t="shared" si="4"/>
        <v>0</v>
      </c>
      <c r="R8" s="417">
        <f t="shared" si="4"/>
        <v>0</v>
      </c>
      <c r="S8" s="417">
        <f t="shared" si="4"/>
        <v>0</v>
      </c>
      <c r="T8" s="417">
        <f t="shared" si="4"/>
        <v>0</v>
      </c>
      <c r="U8" s="417">
        <f t="shared" si="4"/>
        <v>0</v>
      </c>
      <c r="V8" s="417">
        <f t="shared" si="4"/>
        <v>0</v>
      </c>
      <c r="W8" s="417"/>
    </row>
    <row r="9" spans="1:27" ht="26.25" thickBot="1">
      <c r="B9" s="41" t="s">
        <v>96</v>
      </c>
      <c r="C9" s="108"/>
      <c r="D9" s="109"/>
      <c r="E9" s="109"/>
      <c r="F9" s="109"/>
      <c r="G9" s="109"/>
      <c r="H9" s="475" t="s">
        <v>74</v>
      </c>
      <c r="I9" s="498" t="s">
        <v>94</v>
      </c>
      <c r="K9" s="415"/>
      <c r="L9" s="415"/>
      <c r="M9" s="415"/>
      <c r="N9" s="415"/>
      <c r="O9" s="415"/>
      <c r="P9" s="415"/>
      <c r="Q9" s="415"/>
      <c r="R9" s="415"/>
      <c r="S9" s="415"/>
      <c r="T9" s="415"/>
      <c r="U9" s="415"/>
      <c r="V9" s="415"/>
      <c r="W9" s="415"/>
    </row>
    <row r="10" spans="1:27">
      <c r="B10" s="262"/>
      <c r="C10" s="361" t="s">
        <v>44</v>
      </c>
      <c r="D10" s="362" t="s">
        <v>30</v>
      </c>
      <c r="E10" s="362" t="s">
        <v>5</v>
      </c>
      <c r="F10" s="269"/>
      <c r="G10" s="285"/>
      <c r="H10" s="476" t="s">
        <v>31</v>
      </c>
      <c r="I10" s="499"/>
      <c r="K10" s="415" t="s">
        <v>61</v>
      </c>
      <c r="L10" s="415"/>
      <c r="M10" s="415"/>
      <c r="N10" s="415"/>
      <c r="O10" s="415"/>
      <c r="P10" s="415"/>
      <c r="Q10" s="415"/>
      <c r="R10" s="415"/>
      <c r="S10" s="415"/>
      <c r="T10" s="415"/>
      <c r="U10" s="415"/>
      <c r="V10" s="415"/>
      <c r="W10" s="415"/>
    </row>
    <row r="11" spans="1:27" ht="12.75" customHeight="1">
      <c r="B11" s="255" t="s">
        <v>134</v>
      </c>
      <c r="C11" s="117">
        <f>Inputs!G42</f>
        <v>0</v>
      </c>
      <c r="D11" s="189">
        <f>Inputs!G33</f>
        <v>675</v>
      </c>
      <c r="E11" s="252">
        <f>Inputs!G34</f>
        <v>165</v>
      </c>
      <c r="F11" s="251" t="s">
        <v>1</v>
      </c>
      <c r="G11" s="265"/>
      <c r="H11" s="477">
        <f>IF(C11=0,0,C11*D11*E11/100)</f>
        <v>0</v>
      </c>
      <c r="I11" s="500"/>
      <c r="K11" s="415" t="s">
        <v>64</v>
      </c>
      <c r="L11" s="415"/>
      <c r="M11" s="415"/>
      <c r="N11" s="415"/>
      <c r="O11" s="415"/>
      <c r="P11" s="415"/>
      <c r="Q11" s="415"/>
      <c r="R11" s="415"/>
      <c r="S11" s="415"/>
      <c r="T11" s="415"/>
      <c r="U11" s="415"/>
      <c r="V11" s="415"/>
      <c r="W11" s="415"/>
    </row>
    <row r="12" spans="1:27" ht="12.75" customHeight="1" thickBot="1">
      <c r="B12" s="255" t="s">
        <v>135</v>
      </c>
      <c r="C12" s="117">
        <f>Inputs!G45</f>
        <v>0</v>
      </c>
      <c r="D12" s="189">
        <f>Inputs!G36</f>
        <v>610</v>
      </c>
      <c r="E12" s="252">
        <f>Inputs!G37</f>
        <v>158</v>
      </c>
      <c r="F12" s="251" t="s">
        <v>1</v>
      </c>
      <c r="G12" s="265"/>
      <c r="H12" s="478">
        <f>IF(C12=0,0,C12*D12*E12/100)</f>
        <v>0</v>
      </c>
      <c r="I12" s="501"/>
      <c r="K12" s="417"/>
      <c r="L12" s="415"/>
      <c r="M12" s="415"/>
      <c r="N12" s="415"/>
      <c r="O12" s="415"/>
      <c r="P12" s="415"/>
      <c r="Q12" s="415"/>
      <c r="R12" s="415"/>
      <c r="S12" s="415"/>
      <c r="T12" s="415"/>
      <c r="U12" s="415"/>
      <c r="V12" s="415"/>
      <c r="W12" s="415"/>
    </row>
    <row r="13" spans="1:27" ht="13.5" customHeight="1" thickTop="1">
      <c r="B13" s="250"/>
      <c r="C13" s="239"/>
      <c r="D13" s="251"/>
      <c r="E13" s="43"/>
      <c r="F13" s="251"/>
      <c r="G13" s="258" t="s">
        <v>150</v>
      </c>
      <c r="H13" s="189">
        <f>SUM(H11:H12)</f>
        <v>0</v>
      </c>
      <c r="I13" s="502">
        <f>IF(H13=0,0,H13/($C$5+$C$4))</f>
        <v>0</v>
      </c>
      <c r="K13" s="417"/>
      <c r="L13" s="818"/>
      <c r="M13" s="417"/>
      <c r="N13" s="415"/>
      <c r="O13" s="415"/>
      <c r="P13" s="415"/>
      <c r="Q13" s="415"/>
      <c r="R13" s="415"/>
      <c r="S13" s="415"/>
      <c r="T13" s="415"/>
      <c r="U13" s="415" t="str">
        <f>IF(Inputs!B68="","",Inputs!B68)</f>
        <v/>
      </c>
      <c r="V13" s="415"/>
      <c r="W13" s="415"/>
      <c r="Y13" s="221"/>
      <c r="Z13" s="221"/>
      <c r="AA13" s="221"/>
    </row>
    <row r="14" spans="1:27">
      <c r="B14" s="250"/>
      <c r="C14" s="371"/>
      <c r="D14" s="251"/>
      <c r="E14" s="239"/>
      <c r="F14" s="251"/>
      <c r="G14" s="251"/>
      <c r="H14" s="189"/>
      <c r="I14" s="502"/>
      <c r="K14" s="417"/>
      <c r="L14" s="818"/>
      <c r="M14" s="417"/>
      <c r="N14" s="415"/>
      <c r="O14" s="415"/>
      <c r="P14" s="415"/>
      <c r="Q14" s="415"/>
      <c r="R14" s="415"/>
      <c r="S14" s="415"/>
      <c r="T14" s="415"/>
      <c r="U14" s="415" t="str">
        <f>IF(Inputs!B69="","",Inputs!B69)</f>
        <v>Pasture</v>
      </c>
      <c r="V14" s="415"/>
      <c r="W14" s="415"/>
      <c r="Y14" s="221"/>
      <c r="Z14" s="221"/>
      <c r="AA14" s="221"/>
    </row>
    <row r="15" spans="1:27" ht="39" customHeight="1">
      <c r="A15" s="155"/>
      <c r="B15" s="255" t="s">
        <v>7</v>
      </c>
      <c r="C15" s="356" t="s">
        <v>68</v>
      </c>
      <c r="D15" s="251"/>
      <c r="E15" s="357" t="s">
        <v>63</v>
      </c>
      <c r="F15" s="270" t="s">
        <v>5</v>
      </c>
      <c r="G15" s="116"/>
      <c r="H15" s="479" t="s">
        <v>31</v>
      </c>
      <c r="I15" s="503" t="s">
        <v>31</v>
      </c>
      <c r="K15" s="428"/>
      <c r="L15" s="818"/>
      <c r="M15" s="417"/>
      <c r="N15" s="415"/>
      <c r="O15" s="415"/>
      <c r="P15" s="415"/>
      <c r="Q15" s="415"/>
      <c r="R15" s="415"/>
      <c r="S15" s="415"/>
      <c r="T15" s="415"/>
      <c r="U15" s="415" t="str">
        <f>IF(Inputs!B70="","",Inputs!B70)</f>
        <v>Prairie Hay</v>
      </c>
      <c r="V15" s="415"/>
      <c r="W15" s="415"/>
      <c r="Y15" s="221"/>
      <c r="Z15" s="221"/>
      <c r="AA15" s="221"/>
    </row>
    <row r="16" spans="1:27">
      <c r="B16" s="734"/>
      <c r="C16" s="735"/>
      <c r="D16" s="278" t="str">
        <f t="shared" ref="D16:D21" si="5">IF(B16="","",CONCATENATE(VLOOKUP(B16,Feed,5,FALSE)))</f>
        <v/>
      </c>
      <c r="E16" s="737" t="s">
        <v>61</v>
      </c>
      <c r="F16" s="257" t="str">
        <f t="shared" ref="F16:F21" si="6">IF(B16="","",VLOOKUP(B16,Feed,7,FALSE))</f>
        <v/>
      </c>
      <c r="G16" s="273" t="str">
        <f t="shared" ref="G16:G21" si="7">IF(B16="","",CONCATENATE("$ ",VLOOKUP(B16,Feed,5,FALSE)))</f>
        <v/>
      </c>
      <c r="H16" s="432" t="str">
        <f t="shared" ref="H16:H21" si="8">IF(B16="","",C16*F16*IF(E16="per animal",($C$4+$C$5+$C$11+$C$12)/2,1))</f>
        <v/>
      </c>
      <c r="I16" s="436" t="str">
        <f t="shared" ref="I16:I21" si="9">IF(B16="","",IF(($C$4+$C$5)=0,"",H16/($C$4+$C$5)))</f>
        <v/>
      </c>
      <c r="K16" s="415">
        <f t="shared" ref="K16:K21" si="10">C16*IF(E16="total",1,IF(E16="per animal",($C$4+$C$5+$C$11+$C$12)/2,0))</f>
        <v>0</v>
      </c>
      <c r="L16" s="417"/>
      <c r="M16" s="429"/>
      <c r="N16" s="415"/>
      <c r="O16" s="430"/>
      <c r="P16" s="415"/>
      <c r="Q16" s="415"/>
      <c r="R16" s="415"/>
      <c r="S16" s="415"/>
      <c r="T16" s="415"/>
      <c r="U16" s="415" t="str">
        <f>IF(Inputs!B71="","",Inputs!B71)</f>
        <v>Alfalfa</v>
      </c>
      <c r="V16" s="415"/>
      <c r="W16" s="415"/>
      <c r="Y16" s="221"/>
      <c r="Z16" s="221"/>
      <c r="AA16" s="221"/>
    </row>
    <row r="17" spans="1:27">
      <c r="B17" s="733"/>
      <c r="C17" s="736"/>
      <c r="D17" s="278" t="str">
        <f t="shared" si="5"/>
        <v/>
      </c>
      <c r="E17" s="738" t="s">
        <v>61</v>
      </c>
      <c r="F17" s="257" t="str">
        <f t="shared" si="6"/>
        <v/>
      </c>
      <c r="G17" s="273" t="str">
        <f t="shared" si="7"/>
        <v/>
      </c>
      <c r="H17" s="432" t="str">
        <f t="shared" si="8"/>
        <v/>
      </c>
      <c r="I17" s="436" t="str">
        <f t="shared" si="9"/>
        <v/>
      </c>
      <c r="K17" s="415">
        <f t="shared" si="10"/>
        <v>0</v>
      </c>
      <c r="L17" s="417"/>
      <c r="M17" s="417"/>
      <c r="N17" s="415"/>
      <c r="O17" s="415"/>
      <c r="P17" s="415"/>
      <c r="Q17" s="415"/>
      <c r="R17" s="415"/>
      <c r="S17" s="415"/>
      <c r="T17" s="415"/>
      <c r="U17" s="415" t="str">
        <f>IF(Inputs!B72="","",Inputs!B72)</f>
        <v>DDG Cubes</v>
      </c>
      <c r="V17" s="415"/>
      <c r="W17" s="415"/>
      <c r="Y17" s="221"/>
      <c r="Z17" s="221"/>
      <c r="AA17" s="221"/>
    </row>
    <row r="18" spans="1:27">
      <c r="B18" s="204"/>
      <c r="C18" s="205"/>
      <c r="D18" s="278" t="str">
        <f t="shared" si="5"/>
        <v/>
      </c>
      <c r="E18" s="218"/>
      <c r="F18" s="257" t="str">
        <f t="shared" si="6"/>
        <v/>
      </c>
      <c r="G18" s="273" t="str">
        <f t="shared" si="7"/>
        <v/>
      </c>
      <c r="H18" s="432" t="str">
        <f t="shared" si="8"/>
        <v/>
      </c>
      <c r="I18" s="436" t="str">
        <f t="shared" si="9"/>
        <v/>
      </c>
      <c r="K18" s="415">
        <f t="shared" si="10"/>
        <v>0</v>
      </c>
      <c r="L18" s="417"/>
      <c r="M18" s="417"/>
      <c r="N18" s="415"/>
      <c r="O18" s="415"/>
      <c r="P18" s="415"/>
      <c r="Q18" s="415"/>
      <c r="R18" s="415"/>
      <c r="S18" s="415"/>
      <c r="T18" s="415"/>
      <c r="U18" s="415" t="str">
        <f>IF(Inputs!B73="","",Inputs!B73)</f>
        <v>Salt and Mineral</v>
      </c>
      <c r="V18" s="415"/>
      <c r="W18" s="415"/>
      <c r="Y18" s="221"/>
      <c r="Z18" s="221"/>
      <c r="AA18" s="221"/>
    </row>
    <row r="19" spans="1:27">
      <c r="B19" s="204"/>
      <c r="C19" s="205"/>
      <c r="D19" s="278" t="str">
        <f t="shared" si="5"/>
        <v/>
      </c>
      <c r="E19" s="218"/>
      <c r="F19" s="257" t="str">
        <f t="shared" si="6"/>
        <v/>
      </c>
      <c r="G19" s="273" t="str">
        <f t="shared" si="7"/>
        <v/>
      </c>
      <c r="H19" s="432" t="str">
        <f t="shared" si="8"/>
        <v/>
      </c>
      <c r="I19" s="436" t="str">
        <f t="shared" si="9"/>
        <v/>
      </c>
      <c r="K19" s="415">
        <f t="shared" si="10"/>
        <v>0</v>
      </c>
      <c r="L19" s="417"/>
      <c r="M19" s="417"/>
      <c r="N19" s="415"/>
      <c r="O19" s="415"/>
      <c r="P19" s="415"/>
      <c r="Q19" s="415"/>
      <c r="R19" s="415"/>
      <c r="S19" s="415"/>
      <c r="T19" s="415"/>
      <c r="U19" s="415" t="str">
        <f>IF(Inputs!B74="","",Inputs!B74)</f>
        <v>Corn Stalks</v>
      </c>
      <c r="V19" s="415"/>
      <c r="W19" s="415"/>
      <c r="Y19" s="221"/>
      <c r="Z19" s="221"/>
      <c r="AA19" s="221"/>
    </row>
    <row r="20" spans="1:27">
      <c r="B20" s="204"/>
      <c r="C20" s="205"/>
      <c r="D20" s="278" t="str">
        <f t="shared" si="5"/>
        <v/>
      </c>
      <c r="E20" s="218"/>
      <c r="F20" s="257" t="str">
        <f t="shared" si="6"/>
        <v/>
      </c>
      <c r="G20" s="273" t="str">
        <f t="shared" si="7"/>
        <v/>
      </c>
      <c r="H20" s="432" t="str">
        <f t="shared" si="8"/>
        <v/>
      </c>
      <c r="I20" s="436" t="str">
        <f t="shared" si="9"/>
        <v/>
      </c>
      <c r="K20" s="415">
        <f t="shared" si="10"/>
        <v>0</v>
      </c>
      <c r="L20" s="417"/>
      <c r="M20" s="417"/>
      <c r="N20" s="415"/>
      <c r="O20" s="415"/>
      <c r="P20" s="415"/>
      <c r="Q20" s="415"/>
      <c r="R20" s="415"/>
      <c r="S20" s="415"/>
      <c r="T20" s="415"/>
      <c r="U20" s="415" t="str">
        <f>IF(Inputs!B75="","",Inputs!B75)</f>
        <v>Dried Rolled Corn</v>
      </c>
      <c r="V20" s="415"/>
      <c r="W20" s="415"/>
      <c r="Y20" s="221"/>
      <c r="Z20" s="221"/>
      <c r="AA20" s="221"/>
    </row>
    <row r="21" spans="1:27" ht="13.5" thickBot="1">
      <c r="B21" s="204"/>
      <c r="C21" s="205"/>
      <c r="D21" s="278" t="str">
        <f t="shared" si="5"/>
        <v/>
      </c>
      <c r="E21" s="218"/>
      <c r="F21" s="257" t="str">
        <f t="shared" si="6"/>
        <v/>
      </c>
      <c r="G21" s="273" t="str">
        <f t="shared" si="7"/>
        <v/>
      </c>
      <c r="H21" s="433" t="str">
        <f t="shared" si="8"/>
        <v/>
      </c>
      <c r="I21" s="504" t="str">
        <f t="shared" si="9"/>
        <v/>
      </c>
      <c r="K21" s="415">
        <f t="shared" si="10"/>
        <v>0</v>
      </c>
      <c r="L21" s="417"/>
      <c r="M21" s="417"/>
      <c r="N21" s="415"/>
      <c r="O21" s="415"/>
      <c r="P21" s="415"/>
      <c r="Q21" s="415"/>
      <c r="R21" s="415"/>
      <c r="S21" s="415"/>
      <c r="T21" s="415"/>
      <c r="U21" s="415" t="str">
        <f>IF(Inputs!B76="","",Inputs!B76)</f>
        <v/>
      </c>
      <c r="V21" s="415"/>
      <c r="W21" s="415"/>
      <c r="Y21" s="221"/>
      <c r="Z21" s="221"/>
      <c r="AA21" s="221"/>
    </row>
    <row r="22" spans="1:27" ht="13.5" thickTop="1">
      <c r="B22" s="250"/>
      <c r="C22" s="75"/>
      <c r="D22" s="251"/>
      <c r="E22" s="258"/>
      <c r="F22" s="260"/>
      <c r="G22" s="258" t="s">
        <v>36</v>
      </c>
      <c r="H22" s="480">
        <f>SUM(H16:H21)</f>
        <v>0</v>
      </c>
      <c r="I22" s="505">
        <f>SUM(I16:I21)</f>
        <v>0</v>
      </c>
      <c r="K22" s="415"/>
      <c r="L22" s="415"/>
      <c r="M22" s="415"/>
      <c r="N22" s="415"/>
      <c r="O22" s="415"/>
      <c r="P22" s="415"/>
      <c r="Q22" s="415"/>
      <c r="R22" s="415"/>
      <c r="S22" s="415"/>
      <c r="T22" s="415"/>
      <c r="U22" s="415" t="str">
        <f>IF(Inputs!B77="","",Inputs!B77)</f>
        <v/>
      </c>
      <c r="V22" s="415"/>
      <c r="W22" s="415"/>
      <c r="Y22" s="221"/>
      <c r="Z22" s="221"/>
      <c r="AA22" s="221"/>
    </row>
    <row r="23" spans="1:27">
      <c r="A23" s="156"/>
      <c r="B23" s="250"/>
      <c r="C23" s="243"/>
      <c r="D23" s="251"/>
      <c r="E23" s="251"/>
      <c r="F23" s="251"/>
      <c r="G23" s="251"/>
      <c r="H23" s="434"/>
      <c r="I23" s="495" t="str">
        <f>IF(H23=0,"",H23/$C$5)</f>
        <v/>
      </c>
      <c r="K23" s="415"/>
      <c r="L23" s="415"/>
      <c r="M23" s="415"/>
      <c r="N23" s="415"/>
      <c r="O23" s="415"/>
      <c r="P23" s="415"/>
      <c r="Q23" s="415"/>
      <c r="R23" s="415"/>
      <c r="S23" s="415"/>
      <c r="T23" s="415"/>
      <c r="U23" s="415"/>
      <c r="V23" s="415"/>
      <c r="W23" s="415"/>
      <c r="Y23" s="221"/>
      <c r="Z23" s="221"/>
      <c r="AA23" s="221"/>
    </row>
    <row r="24" spans="1:27">
      <c r="B24" s="263" t="s">
        <v>45</v>
      </c>
      <c r="C24" s="274"/>
      <c r="D24" s="358" t="s">
        <v>56</v>
      </c>
      <c r="E24" s="358" t="s">
        <v>177</v>
      </c>
      <c r="F24" s="364" t="s">
        <v>48</v>
      </c>
      <c r="G24" s="266"/>
      <c r="H24" s="481" t="s">
        <v>31</v>
      </c>
      <c r="I24" s="506" t="s">
        <v>31</v>
      </c>
      <c r="J24" s="223"/>
      <c r="K24" s="415"/>
      <c r="L24" s="415"/>
      <c r="M24" s="415"/>
      <c r="N24" s="415"/>
      <c r="O24" s="415"/>
      <c r="P24" s="415"/>
      <c r="Q24" s="415"/>
      <c r="R24" s="415"/>
      <c r="S24" s="415"/>
      <c r="T24" s="415"/>
      <c r="U24" s="415"/>
      <c r="V24" s="415"/>
      <c r="W24" s="415"/>
      <c r="Y24" s="221"/>
      <c r="Z24" s="221"/>
      <c r="AA24" s="221"/>
    </row>
    <row r="25" spans="1:27">
      <c r="B25" s="250" t="str">
        <f>Inputs!B81</f>
        <v>Labor</v>
      </c>
      <c r="C25" s="242"/>
      <c r="D25" s="256">
        <f>Inputs!D81</f>
        <v>20</v>
      </c>
      <c r="E25" s="359" t="str">
        <f>Inputs!E81</f>
        <v>per animal</v>
      </c>
      <c r="F25" s="124">
        <f>Inputs!S81</f>
        <v>0</v>
      </c>
      <c r="G25" s="265"/>
      <c r="H25" s="434">
        <f>D25*IF(E25="per animal",$C$11+$C$12,1)*F25</f>
        <v>0</v>
      </c>
      <c r="I25" s="436" t="str">
        <f>IF(B25="","",IF(($C$4+$C$5)=0,"",H25/($C$4+$C$5)))</f>
        <v/>
      </c>
      <c r="K25" s="415"/>
      <c r="L25" s="415"/>
      <c r="M25" s="415"/>
      <c r="N25" s="415"/>
      <c r="O25" s="415"/>
      <c r="P25" s="415"/>
      <c r="Q25" s="415"/>
      <c r="R25" s="415"/>
      <c r="S25" s="415"/>
      <c r="T25" s="415"/>
      <c r="U25" s="415"/>
      <c r="V25" s="415"/>
      <c r="W25" s="415"/>
      <c r="Y25" s="221"/>
      <c r="Z25" s="221"/>
      <c r="AA25" s="221"/>
    </row>
    <row r="26" spans="1:27">
      <c r="B26" s="250" t="str">
        <f>Inputs!B82</f>
        <v>Fuel</v>
      </c>
      <c r="C26" s="242"/>
      <c r="D26" s="256">
        <f>Inputs!D82</f>
        <v>20</v>
      </c>
      <c r="E26" s="359" t="str">
        <f>Inputs!E82</f>
        <v>per animal</v>
      </c>
      <c r="F26" s="124">
        <f>Inputs!S82</f>
        <v>0</v>
      </c>
      <c r="G26" s="265"/>
      <c r="H26" s="434">
        <f t="shared" ref="H26:H33" si="11">D26*IF(E26="per animal",$C$11+$C$12,1)*F26</f>
        <v>0</v>
      </c>
      <c r="I26" s="436" t="str">
        <f t="shared" ref="I26:I33" si="12">IF(B26="","",IF(($C$4+$C$5)=0,"",H26/($C$4+$C$5)))</f>
        <v/>
      </c>
      <c r="K26" s="415"/>
      <c r="L26" s="415"/>
      <c r="M26" s="415"/>
      <c r="N26" s="415"/>
      <c r="O26" s="415"/>
      <c r="P26" s="415"/>
      <c r="Q26" s="415"/>
      <c r="R26" s="415"/>
      <c r="S26" s="415"/>
      <c r="T26" s="415"/>
      <c r="U26" s="415"/>
      <c r="V26" s="415"/>
      <c r="W26" s="415"/>
      <c r="Y26" s="221"/>
      <c r="Z26" s="221"/>
      <c r="AA26" s="221"/>
    </row>
    <row r="27" spans="1:27">
      <c r="B27" s="250" t="str">
        <f>Inputs!B83</f>
        <v>Veterinary and Medical</v>
      </c>
      <c r="C27" s="242"/>
      <c r="D27" s="256">
        <f>Inputs!D83</f>
        <v>20</v>
      </c>
      <c r="E27" s="359" t="str">
        <f>Inputs!E83</f>
        <v>per animal</v>
      </c>
      <c r="F27" s="124">
        <f>Inputs!S83</f>
        <v>0</v>
      </c>
      <c r="G27" s="265"/>
      <c r="H27" s="434">
        <f t="shared" si="11"/>
        <v>0</v>
      </c>
      <c r="I27" s="436" t="str">
        <f t="shared" si="12"/>
        <v/>
      </c>
      <c r="K27" s="415"/>
      <c r="L27" s="415"/>
      <c r="M27" s="415"/>
      <c r="N27" s="415"/>
      <c r="O27" s="415"/>
      <c r="P27" s="415"/>
      <c r="Q27" s="415"/>
      <c r="R27" s="415"/>
      <c r="S27" s="415"/>
      <c r="T27" s="415"/>
      <c r="U27" s="415"/>
      <c r="V27" s="415"/>
      <c r="W27" s="415"/>
      <c r="Y27" s="221"/>
      <c r="Z27" s="221"/>
      <c r="AA27" s="221"/>
    </row>
    <row r="28" spans="1:27">
      <c r="B28" s="250" t="s">
        <v>275</v>
      </c>
      <c r="C28" s="275"/>
      <c r="D28" s="256">
        <f>Inputs!X89</f>
        <v>0</v>
      </c>
      <c r="E28" s="359" t="s">
        <v>61</v>
      </c>
      <c r="F28" s="124"/>
      <c r="G28" s="265"/>
      <c r="H28" s="589">
        <f>(C4+C5)*D28-(C11+C12)*Inputs!D88</f>
        <v>0</v>
      </c>
      <c r="I28" s="436" t="str">
        <f t="shared" si="12"/>
        <v/>
      </c>
      <c r="K28" s="415"/>
      <c r="L28" s="415"/>
      <c r="M28" s="415"/>
      <c r="N28" s="415"/>
      <c r="O28" s="415"/>
      <c r="P28" s="415"/>
      <c r="Q28" s="415"/>
      <c r="R28" s="415"/>
      <c r="S28" s="415"/>
      <c r="T28" s="415"/>
      <c r="U28" s="415"/>
      <c r="V28" s="415"/>
      <c r="W28" s="415"/>
      <c r="Y28" s="221"/>
      <c r="Z28" s="221"/>
      <c r="AA28" s="221"/>
    </row>
    <row r="29" spans="1:27" hidden="1">
      <c r="B29" s="284" t="str">
        <f>Inputs!B91</f>
        <v>AI Expense $40 per new heifers</v>
      </c>
      <c r="C29" s="252"/>
      <c r="D29" s="256">
        <f>Inputs!D91</f>
        <v>3280</v>
      </c>
      <c r="E29" s="359" t="str">
        <f>Inputs!E91</f>
        <v>all animals</v>
      </c>
      <c r="F29" s="124">
        <f>Inputs!S91</f>
        <v>0</v>
      </c>
      <c r="G29" s="265"/>
      <c r="H29" s="434">
        <f t="shared" si="11"/>
        <v>0</v>
      </c>
      <c r="I29" s="436" t="str">
        <f t="shared" si="12"/>
        <v/>
      </c>
      <c r="K29" s="415"/>
      <c r="L29" s="415"/>
      <c r="M29" s="415"/>
      <c r="N29" s="415"/>
      <c r="O29" s="415"/>
      <c r="P29" s="415"/>
      <c r="Q29" s="415"/>
      <c r="R29" s="415"/>
      <c r="S29" s="415"/>
      <c r="T29" s="415"/>
      <c r="U29" s="415"/>
      <c r="V29" s="415"/>
      <c r="W29" s="415"/>
      <c r="Y29" s="221"/>
      <c r="Z29" s="221"/>
      <c r="AA29" s="221"/>
    </row>
    <row r="30" spans="1:27" hidden="1">
      <c r="B30" s="284">
        <f>Inputs!B92</f>
        <v>0</v>
      </c>
      <c r="C30" s="252" t="s">
        <v>9</v>
      </c>
      <c r="D30" s="256">
        <f>Inputs!D92</f>
        <v>0</v>
      </c>
      <c r="E30" s="359">
        <f>Inputs!E92</f>
        <v>0</v>
      </c>
      <c r="F30" s="124">
        <f>Inputs!S92</f>
        <v>0</v>
      </c>
      <c r="G30" s="265"/>
      <c r="H30" s="434">
        <f t="shared" si="11"/>
        <v>0</v>
      </c>
      <c r="I30" s="436" t="str">
        <f t="shared" si="12"/>
        <v/>
      </c>
      <c r="K30" s="415"/>
      <c r="L30" s="415"/>
      <c r="M30" s="415"/>
      <c r="N30" s="415"/>
      <c r="O30" s="415"/>
      <c r="P30" s="415"/>
      <c r="Q30" s="415"/>
      <c r="R30" s="415"/>
      <c r="S30" s="415"/>
      <c r="T30" s="415"/>
      <c r="U30" s="415"/>
      <c r="V30" s="415"/>
      <c r="W30" s="415"/>
      <c r="Y30" s="221"/>
      <c r="Z30" s="221"/>
      <c r="AA30" s="221"/>
    </row>
    <row r="31" spans="1:27" hidden="1">
      <c r="B31" s="284">
        <f>Inputs!B93</f>
        <v>0</v>
      </c>
      <c r="C31" s="252" t="s">
        <v>9</v>
      </c>
      <c r="D31" s="256">
        <f>Inputs!D93</f>
        <v>0</v>
      </c>
      <c r="E31" s="359">
        <f>Inputs!E93</f>
        <v>0</v>
      </c>
      <c r="F31" s="124">
        <f>Inputs!S93</f>
        <v>0</v>
      </c>
      <c r="G31" s="265"/>
      <c r="H31" s="434">
        <f t="shared" si="11"/>
        <v>0</v>
      </c>
      <c r="I31" s="436" t="str">
        <f t="shared" si="12"/>
        <v/>
      </c>
      <c r="K31" s="415"/>
      <c r="L31" s="415"/>
      <c r="M31" s="415"/>
      <c r="N31" s="415"/>
      <c r="O31" s="415"/>
      <c r="P31" s="415"/>
      <c r="Q31" s="415"/>
      <c r="R31" s="415"/>
      <c r="S31" s="415"/>
      <c r="T31" s="415"/>
      <c r="U31" s="415"/>
      <c r="V31" s="415"/>
      <c r="W31" s="415"/>
      <c r="Y31" s="221"/>
      <c r="Z31" s="221"/>
      <c r="AA31" s="221"/>
    </row>
    <row r="32" spans="1:27" hidden="1">
      <c r="B32" s="284">
        <f>Inputs!B94</f>
        <v>0</v>
      </c>
      <c r="C32" s="252"/>
      <c r="D32" s="256">
        <f>Inputs!D94</f>
        <v>0</v>
      </c>
      <c r="E32" s="359">
        <f>Inputs!E94</f>
        <v>0</v>
      </c>
      <c r="F32" s="124">
        <f>Inputs!S94</f>
        <v>0</v>
      </c>
      <c r="G32" s="265"/>
      <c r="H32" s="434">
        <f t="shared" si="11"/>
        <v>0</v>
      </c>
      <c r="I32" s="436" t="str">
        <f t="shared" si="12"/>
        <v/>
      </c>
      <c r="K32" s="415"/>
      <c r="L32" s="415"/>
      <c r="M32" s="415"/>
      <c r="N32" s="415"/>
      <c r="O32" s="415"/>
      <c r="P32" s="415"/>
      <c r="Q32" s="415"/>
      <c r="R32" s="415"/>
      <c r="S32" s="415"/>
      <c r="T32" s="415"/>
      <c r="U32" s="415"/>
      <c r="V32" s="415"/>
      <c r="W32" s="415"/>
      <c r="Y32" s="221"/>
      <c r="Z32" s="221"/>
      <c r="AA32" s="221"/>
    </row>
    <row r="33" spans="2:27" hidden="1">
      <c r="B33" s="284">
        <f>Inputs!B95</f>
        <v>0</v>
      </c>
      <c r="C33" s="252" t="s">
        <v>9</v>
      </c>
      <c r="D33" s="256">
        <f>Inputs!D95</f>
        <v>0</v>
      </c>
      <c r="E33" s="359">
        <f>Inputs!E95</f>
        <v>0</v>
      </c>
      <c r="F33" s="124">
        <f>Inputs!S95</f>
        <v>0</v>
      </c>
      <c r="G33" s="265"/>
      <c r="H33" s="434">
        <f t="shared" si="11"/>
        <v>0</v>
      </c>
      <c r="I33" s="436" t="str">
        <f t="shared" si="12"/>
        <v/>
      </c>
      <c r="K33" s="415"/>
      <c r="L33" s="415"/>
      <c r="M33" s="415"/>
      <c r="N33" s="415"/>
      <c r="O33" s="415"/>
      <c r="P33" s="415"/>
      <c r="Q33" s="415"/>
      <c r="R33" s="415"/>
      <c r="S33" s="415"/>
      <c r="T33" s="415"/>
      <c r="U33" s="415"/>
      <c r="V33" s="415"/>
      <c r="W33" s="415"/>
      <c r="Y33" s="221"/>
      <c r="Z33" s="221"/>
      <c r="AA33" s="221"/>
    </row>
    <row r="34" spans="2:27" ht="27" customHeight="1" thickBot="1">
      <c r="B34" s="172" t="s">
        <v>37</v>
      </c>
      <c r="C34" s="829" t="s">
        <v>118</v>
      </c>
      <c r="D34" s="830"/>
      <c r="E34" s="830"/>
      <c r="F34" s="830"/>
      <c r="G34" s="831"/>
      <c r="H34" s="448">
        <f>(SUM(H22,H25:H27,H29:H33,D40:D48)/2+H13)*Inputs!E111*E1/365</f>
        <v>0</v>
      </c>
      <c r="I34" s="437" t="str">
        <f>IF(B34="","",IF(($C$4+$C$5)=0,"",H34/($C$4+$C$5)))</f>
        <v/>
      </c>
      <c r="K34" s="415"/>
      <c r="L34" s="415"/>
      <c r="M34" s="415"/>
      <c r="N34" s="415"/>
      <c r="O34" s="415"/>
      <c r="P34" s="415"/>
      <c r="Q34" s="415"/>
      <c r="R34" s="415"/>
      <c r="S34" s="415"/>
      <c r="T34" s="415"/>
      <c r="U34" s="415"/>
      <c r="V34" s="415"/>
      <c r="W34" s="415"/>
      <c r="Y34" s="221"/>
      <c r="Z34" s="221"/>
      <c r="AA34" s="221"/>
    </row>
    <row r="35" spans="2:27" ht="14.25" thickTop="1" thickBot="1">
      <c r="B35" s="253"/>
      <c r="C35" s="244"/>
      <c r="D35" s="259"/>
      <c r="E35" s="259"/>
      <c r="F35" s="282"/>
      <c r="G35" s="259" t="s">
        <v>145</v>
      </c>
      <c r="H35" s="482">
        <f>SUM(H25:H34)</f>
        <v>0</v>
      </c>
      <c r="I35" s="507">
        <f>SUM(I25:I34)</f>
        <v>0</v>
      </c>
      <c r="K35" s="415"/>
      <c r="L35" s="415"/>
      <c r="M35" s="415"/>
      <c r="N35" s="415"/>
      <c r="O35" s="415"/>
      <c r="P35" s="415"/>
      <c r="Q35" s="415"/>
      <c r="R35" s="415"/>
      <c r="S35" s="415"/>
      <c r="T35" s="415"/>
      <c r="U35" s="415"/>
      <c r="V35" s="415"/>
      <c r="W35" s="415"/>
      <c r="Y35" s="221"/>
      <c r="Z35" s="221"/>
      <c r="AA35" s="221"/>
    </row>
    <row r="36" spans="2:27" ht="13.5" thickBot="1">
      <c r="B36" s="123"/>
      <c r="C36" s="96"/>
      <c r="D36" s="42"/>
      <c r="E36" s="42"/>
      <c r="F36" s="42"/>
      <c r="G36" s="21" t="s">
        <v>104</v>
      </c>
      <c r="H36" s="483">
        <f>H13+H22+H35</f>
        <v>0</v>
      </c>
      <c r="I36" s="508">
        <f>I13+I22+I35</f>
        <v>0</v>
      </c>
      <c r="K36" s="415"/>
      <c r="L36" s="415"/>
      <c r="M36" s="415"/>
      <c r="N36" s="415"/>
      <c r="O36" s="415"/>
      <c r="P36" s="415"/>
      <c r="Q36" s="415"/>
      <c r="R36" s="415"/>
      <c r="S36" s="415"/>
      <c r="T36" s="415"/>
      <c r="U36" s="415"/>
      <c r="V36" s="415"/>
      <c r="W36" s="415"/>
      <c r="Y36" s="221"/>
      <c r="Z36" s="221"/>
      <c r="AA36" s="221"/>
    </row>
    <row r="37" spans="2:27" ht="13.5" thickBot="1">
      <c r="B37" s="251"/>
      <c r="C37" s="251"/>
      <c r="D37" s="251"/>
      <c r="E37" s="251"/>
      <c r="F37" s="258"/>
      <c r="G37" s="258"/>
      <c r="H37" s="484"/>
      <c r="I37" s="509" t="str">
        <f>IF(H37=0,"",H37/$C$5)</f>
        <v/>
      </c>
      <c r="Y37" s="221"/>
      <c r="Z37" s="221"/>
      <c r="AA37" s="221"/>
    </row>
    <row r="38" spans="2:27" ht="26.25" thickBot="1">
      <c r="B38" s="41" t="s">
        <v>109</v>
      </c>
      <c r="C38" s="108"/>
      <c r="D38" s="109"/>
      <c r="E38" s="109"/>
      <c r="F38" s="109"/>
      <c r="G38" s="109"/>
      <c r="H38" s="475" t="s">
        <v>74</v>
      </c>
      <c r="I38" s="498" t="s">
        <v>94</v>
      </c>
      <c r="Y38" s="221"/>
      <c r="Z38" s="221"/>
      <c r="AA38" s="221"/>
    </row>
    <row r="39" spans="2:27">
      <c r="B39" s="263" t="s">
        <v>39</v>
      </c>
      <c r="C39" s="243"/>
      <c r="D39" s="364" t="s">
        <v>15</v>
      </c>
      <c r="E39" s="364"/>
      <c r="F39" s="364" t="s">
        <v>48</v>
      </c>
      <c r="G39" s="266"/>
      <c r="H39" s="485" t="s">
        <v>31</v>
      </c>
      <c r="I39" s="510" t="s">
        <v>31</v>
      </c>
      <c r="Y39" s="221"/>
      <c r="Z39" s="221"/>
      <c r="AA39" s="221"/>
    </row>
    <row r="40" spans="2:27">
      <c r="B40" s="250" t="str">
        <f>Inputs!B100</f>
        <v>Machinery (Livestock)</v>
      </c>
      <c r="C40" s="243"/>
      <c r="D40" s="366">
        <f>Inputs!G100</f>
        <v>2000</v>
      </c>
      <c r="E40" s="256"/>
      <c r="F40" s="264">
        <f>IF(D40=0,0,Inputs!S100)</f>
        <v>0</v>
      </c>
      <c r="G40" s="272"/>
      <c r="H40" s="432">
        <f>IF(B40="","",D40*F40)</f>
        <v>0</v>
      </c>
      <c r="I40" s="436" t="str">
        <f>IF(B40="","",IF(($C$4+$C$5)=0,"",H40/($C$4+$C$5)))</f>
        <v/>
      </c>
      <c r="Y40" s="221"/>
      <c r="Z40" s="221"/>
      <c r="AA40" s="221"/>
    </row>
    <row r="41" spans="2:27">
      <c r="B41" s="250" t="str">
        <f>Inputs!B101</f>
        <v>Vehicles</v>
      </c>
      <c r="C41" s="243"/>
      <c r="D41" s="366">
        <f>Inputs!G101</f>
        <v>1200</v>
      </c>
      <c r="E41" s="256"/>
      <c r="F41" s="264">
        <f>IF(D41=0,0,Inputs!S101)</f>
        <v>0</v>
      </c>
      <c r="G41" s="272"/>
      <c r="H41" s="432">
        <f t="shared" ref="H41:H48" si="13">IF(B41="","",D41*F41)</f>
        <v>0</v>
      </c>
      <c r="I41" s="436" t="str">
        <f t="shared" ref="I41:I48" si="14">IF(B41="","",IF(($C$4+$C$5)=0,"",H41/($C$4+$C$5)))</f>
        <v/>
      </c>
      <c r="Y41" s="221"/>
      <c r="Z41" s="221"/>
      <c r="AA41" s="221"/>
    </row>
    <row r="42" spans="2:27">
      <c r="B42" s="284">
        <f>Inputs!B102</f>
        <v>0</v>
      </c>
      <c r="C42" s="251"/>
      <c r="D42" s="366">
        <f>Inputs!G102</f>
        <v>0</v>
      </c>
      <c r="E42" s="256"/>
      <c r="F42" s="264">
        <f>IF(D42=0,0,Inputs!S102)</f>
        <v>0</v>
      </c>
      <c r="G42" s="272"/>
      <c r="H42" s="432">
        <f t="shared" si="13"/>
        <v>0</v>
      </c>
      <c r="I42" s="436" t="str">
        <f t="shared" si="14"/>
        <v/>
      </c>
      <c r="Y42" s="221"/>
      <c r="Z42" s="221"/>
      <c r="AA42" s="221"/>
    </row>
    <row r="43" spans="2:27">
      <c r="B43" s="284">
        <f>Inputs!B103</f>
        <v>0</v>
      </c>
      <c r="C43" s="251"/>
      <c r="D43" s="366">
        <f>Inputs!G103</f>
        <v>0</v>
      </c>
      <c r="E43" s="256"/>
      <c r="F43" s="264">
        <f>IF(D43=0,0,Inputs!S103)</f>
        <v>0</v>
      </c>
      <c r="G43" s="272"/>
      <c r="H43" s="432">
        <f t="shared" si="13"/>
        <v>0</v>
      </c>
      <c r="I43" s="436" t="str">
        <f t="shared" si="14"/>
        <v/>
      </c>
      <c r="Y43" s="221"/>
      <c r="Z43" s="221"/>
      <c r="AA43" s="221"/>
    </row>
    <row r="44" spans="2:27" hidden="1">
      <c r="B44" s="284">
        <f>Inputs!B104</f>
        <v>0</v>
      </c>
      <c r="C44" s="251"/>
      <c r="D44" s="366">
        <f>Inputs!G104</f>
        <v>0</v>
      </c>
      <c r="E44" s="256"/>
      <c r="F44" s="264">
        <f>IF(D44=0,0,Inputs!S104)</f>
        <v>0</v>
      </c>
      <c r="G44" s="272"/>
      <c r="H44" s="432">
        <f t="shared" si="13"/>
        <v>0</v>
      </c>
      <c r="I44" s="436" t="str">
        <f t="shared" si="14"/>
        <v/>
      </c>
      <c r="Y44" s="221"/>
      <c r="Z44" s="221"/>
      <c r="AA44" s="221"/>
    </row>
    <row r="45" spans="2:27" hidden="1">
      <c r="B45" s="284">
        <f>Inputs!B105</f>
        <v>0</v>
      </c>
      <c r="C45" s="251"/>
      <c r="D45" s="366">
        <f>Inputs!G105</f>
        <v>0</v>
      </c>
      <c r="E45" s="256"/>
      <c r="F45" s="264">
        <f>IF(D45=0,0,Inputs!S105)</f>
        <v>0</v>
      </c>
      <c r="G45" s="272"/>
      <c r="H45" s="432">
        <f t="shared" si="13"/>
        <v>0</v>
      </c>
      <c r="I45" s="436" t="str">
        <f t="shared" si="14"/>
        <v/>
      </c>
      <c r="Y45" s="221"/>
      <c r="Z45" s="221"/>
      <c r="AA45" s="221"/>
    </row>
    <row r="46" spans="2:27" hidden="1">
      <c r="B46" s="284">
        <f>Inputs!B106</f>
        <v>0</v>
      </c>
      <c r="C46" s="251"/>
      <c r="D46" s="366">
        <f>Inputs!G106</f>
        <v>0</v>
      </c>
      <c r="E46" s="256"/>
      <c r="F46" s="264">
        <f>IF(D46=0,0,Inputs!S106)</f>
        <v>0</v>
      </c>
      <c r="G46" s="272"/>
      <c r="H46" s="432">
        <f t="shared" si="13"/>
        <v>0</v>
      </c>
      <c r="I46" s="436" t="str">
        <f t="shared" si="14"/>
        <v/>
      </c>
      <c r="Y46" s="221"/>
      <c r="Z46" s="221"/>
      <c r="AA46" s="221"/>
    </row>
    <row r="47" spans="2:27" hidden="1">
      <c r="B47" s="284">
        <f>Inputs!B107</f>
        <v>0</v>
      </c>
      <c r="C47" s="251"/>
      <c r="D47" s="366">
        <f>Inputs!G107</f>
        <v>0</v>
      </c>
      <c r="E47" s="256"/>
      <c r="F47" s="264">
        <f>IF(D47=0,0,Inputs!S107)</f>
        <v>0</v>
      </c>
      <c r="G47" s="272"/>
      <c r="H47" s="432">
        <f t="shared" si="13"/>
        <v>0</v>
      </c>
      <c r="I47" s="436" t="str">
        <f t="shared" si="14"/>
        <v/>
      </c>
      <c r="Y47" s="221"/>
      <c r="Z47" s="221"/>
      <c r="AA47" s="221"/>
    </row>
    <row r="48" spans="2:27" ht="13.5" thickBot="1">
      <c r="B48" s="284">
        <f>Inputs!B108</f>
        <v>0</v>
      </c>
      <c r="C48" s="251"/>
      <c r="D48" s="366">
        <f>Inputs!G108</f>
        <v>0</v>
      </c>
      <c r="E48" s="256"/>
      <c r="F48" s="264">
        <f>IF(D48=0,0,Inputs!S108)</f>
        <v>0</v>
      </c>
      <c r="G48" s="272"/>
      <c r="H48" s="433">
        <f t="shared" si="13"/>
        <v>0</v>
      </c>
      <c r="I48" s="504" t="str">
        <f t="shared" si="14"/>
        <v/>
      </c>
      <c r="Y48" s="221"/>
      <c r="Z48" s="221"/>
      <c r="AA48" s="221"/>
    </row>
    <row r="49" spans="1:32" ht="13.5" thickTop="1">
      <c r="B49" s="250"/>
      <c r="C49" s="243"/>
      <c r="D49" s="239"/>
      <c r="E49" s="92"/>
      <c r="F49" s="92"/>
      <c r="G49" s="126" t="s">
        <v>112</v>
      </c>
      <c r="H49" s="486">
        <f>SUM(H40:H48)</f>
        <v>0</v>
      </c>
      <c r="I49" s="511">
        <f>SUM(I40:I48)</f>
        <v>0</v>
      </c>
      <c r="Y49" s="221"/>
      <c r="Z49" s="221"/>
      <c r="AA49" s="221"/>
    </row>
    <row r="50" spans="1:32">
      <c r="B50" s="250"/>
      <c r="C50" s="243"/>
      <c r="D50" s="251"/>
      <c r="E50" s="251"/>
      <c r="F50" s="251"/>
      <c r="G50" s="251"/>
      <c r="H50" s="434"/>
      <c r="I50" s="495" t="str">
        <f>IF(H50=0,"",H50/$C$5)</f>
        <v/>
      </c>
      <c r="Y50" s="221"/>
      <c r="Z50" s="221"/>
      <c r="AA50" s="221"/>
    </row>
    <row r="51" spans="1:32">
      <c r="B51" s="263" t="s">
        <v>54</v>
      </c>
      <c r="C51" s="243"/>
      <c r="D51" s="364" t="s">
        <v>56</v>
      </c>
      <c r="E51" s="251"/>
      <c r="F51" s="364" t="s">
        <v>48</v>
      </c>
      <c r="G51" s="265"/>
      <c r="H51" s="481" t="s">
        <v>31</v>
      </c>
      <c r="I51" s="503" t="s">
        <v>31</v>
      </c>
      <c r="Y51" s="221"/>
      <c r="Z51" s="221"/>
      <c r="AA51" s="221"/>
    </row>
    <row r="52" spans="1:32">
      <c r="B52" s="250" t="str">
        <f>Inputs!B117</f>
        <v>Real Estate Tax*</v>
      </c>
      <c r="C52" s="243"/>
      <c r="D52" s="110">
        <f>Inputs!E117</f>
        <v>0</v>
      </c>
      <c r="E52" s="251"/>
      <c r="F52" s="279">
        <f>IF(D52=0,0,Inputs!S117)</f>
        <v>0</v>
      </c>
      <c r="G52" s="265"/>
      <c r="H52" s="434">
        <f>F52*Inputs!E117</f>
        <v>0</v>
      </c>
      <c r="I52" s="436" t="str">
        <f>IF(B52="","",IF(($C$4+$C$5)=0,"",H52/($C$4+$C$5)))</f>
        <v/>
      </c>
      <c r="Y52" s="221"/>
      <c r="Z52" s="221"/>
      <c r="AA52" s="221"/>
    </row>
    <row r="53" spans="1:32">
      <c r="B53" s="250" t="str">
        <f>Inputs!B118</f>
        <v>Annual Insurance Premium</v>
      </c>
      <c r="C53" s="243"/>
      <c r="D53" s="110">
        <f>Inputs!E118</f>
        <v>3000</v>
      </c>
      <c r="E53" s="251"/>
      <c r="F53" s="279">
        <f>IF(D53=0,0,Inputs!S118)</f>
        <v>0</v>
      </c>
      <c r="G53" s="265"/>
      <c r="H53" s="434">
        <f>F53*Inputs!E118</f>
        <v>0</v>
      </c>
      <c r="I53" s="436" t="str">
        <f>IF(B53="","",IF(($C$4+$C$5)=0,"",H53/($C$4+$C$5)))</f>
        <v/>
      </c>
      <c r="Y53" s="221"/>
      <c r="Z53" s="221"/>
      <c r="AA53" s="221"/>
    </row>
    <row r="54" spans="1:32">
      <c r="B54" s="250" t="str">
        <f>Inputs!B119</f>
        <v>Professional Fees</v>
      </c>
      <c r="C54" s="243"/>
      <c r="D54" s="110">
        <f>Inputs!E119</f>
        <v>1500</v>
      </c>
      <c r="E54" s="251"/>
      <c r="F54" s="279">
        <f>IF(D54=0,0,Inputs!S119)</f>
        <v>0</v>
      </c>
      <c r="G54" s="265"/>
      <c r="H54" s="434">
        <f>F54*Inputs!E119</f>
        <v>0</v>
      </c>
      <c r="I54" s="436" t="str">
        <f>IF(B54="","",IF(($C$4+$C$5)=0,"",H54/($C$4+$C$5)))</f>
        <v/>
      </c>
      <c r="Y54" s="221"/>
      <c r="Z54" s="221"/>
      <c r="AA54" s="221"/>
    </row>
    <row r="55" spans="1:32">
      <c r="B55" s="250" t="str">
        <f>Inputs!B120</f>
        <v>Annual Management Charge</v>
      </c>
      <c r="C55" s="243"/>
      <c r="D55" s="110">
        <f>Inputs!E120</f>
        <v>0</v>
      </c>
      <c r="E55" s="251"/>
      <c r="F55" s="279">
        <f>IF(D55=0,0,Inputs!S120)</f>
        <v>0</v>
      </c>
      <c r="G55" s="265"/>
      <c r="H55" s="434">
        <f>F55*Inputs!E120</f>
        <v>0</v>
      </c>
      <c r="I55" s="436" t="str">
        <f>IF(B55="","",IF(($C$4+$C$5)=0,"",H55/($C$4+$C$5)))</f>
        <v/>
      </c>
      <c r="Y55" s="221"/>
      <c r="Z55" s="221"/>
      <c r="AA55" s="221"/>
    </row>
    <row r="56" spans="1:32" ht="13.5" thickBot="1">
      <c r="B56" s="250" t="str">
        <f>Inputs!B121</f>
        <v>Other</v>
      </c>
      <c r="C56" s="243"/>
      <c r="D56" s="110">
        <f>Inputs!E121</f>
        <v>0</v>
      </c>
      <c r="E56" s="251"/>
      <c r="F56" s="279">
        <f>IF(D56=0,0,Inputs!S121)</f>
        <v>0</v>
      </c>
      <c r="G56" s="265"/>
      <c r="H56" s="487">
        <f>F56*Inputs!E121</f>
        <v>0</v>
      </c>
      <c r="I56" s="504" t="str">
        <f>IF(B56="","",IF(($C$4+$C$5)=0,"",H56/($C$4+$C$5)))</f>
        <v/>
      </c>
      <c r="Y56" s="221"/>
      <c r="Z56" s="221"/>
      <c r="AA56" s="221"/>
    </row>
    <row r="57" spans="1:32" ht="14.25" thickTop="1" thickBot="1">
      <c r="B57" s="253"/>
      <c r="C57" s="244"/>
      <c r="D57" s="254"/>
      <c r="E57" s="254"/>
      <c r="F57" s="239"/>
      <c r="G57" s="259" t="s">
        <v>43</v>
      </c>
      <c r="H57" s="488">
        <f>SUM(H52:H56)</f>
        <v>0</v>
      </c>
      <c r="I57" s="512">
        <f>SUM(I52:I56)</f>
        <v>0</v>
      </c>
      <c r="K57" s="223"/>
      <c r="Y57" s="221"/>
      <c r="Z57" s="221"/>
      <c r="AA57" s="221"/>
    </row>
    <row r="58" spans="1:32" ht="13.5" thickBot="1">
      <c r="B58" s="99">
        <v>217480.06701030929</v>
      </c>
      <c r="C58" s="96"/>
      <c r="D58" s="42"/>
      <c r="E58" s="42"/>
      <c r="F58" s="42"/>
      <c r="G58" s="21" t="s">
        <v>103</v>
      </c>
      <c r="H58" s="483">
        <f>H49+H57</f>
        <v>0</v>
      </c>
      <c r="I58" s="513">
        <f>I49+I57</f>
        <v>0</v>
      </c>
      <c r="J58" s="160"/>
      <c r="Y58" s="221"/>
      <c r="Z58" s="221"/>
      <c r="AA58" s="221"/>
    </row>
    <row r="59" spans="1:32" ht="13.5" thickBot="1">
      <c r="B59" s="43"/>
      <c r="C59" s="43"/>
      <c r="D59" s="43"/>
      <c r="E59" s="43"/>
      <c r="F59" s="43"/>
      <c r="G59" s="43"/>
      <c r="H59" s="489"/>
      <c r="I59" s="497" t="str">
        <f>IF(H59=0,"",H59/$C$5)</f>
        <v/>
      </c>
      <c r="Y59" s="221"/>
      <c r="Z59" s="221"/>
      <c r="AA59" s="221"/>
    </row>
    <row r="60" spans="1:32" ht="13.5" thickBot="1">
      <c r="B60" s="98"/>
      <c r="C60" s="96"/>
      <c r="D60" s="67"/>
      <c r="E60" s="67"/>
      <c r="F60" s="67"/>
      <c r="G60" s="21" t="s">
        <v>111</v>
      </c>
      <c r="H60" s="483">
        <f>H36+H58</f>
        <v>0</v>
      </c>
      <c r="I60" s="513">
        <f>I36+I58</f>
        <v>0</v>
      </c>
      <c r="Y60" s="221"/>
      <c r="Z60" s="221"/>
      <c r="AA60" s="221"/>
    </row>
    <row r="61" spans="1:32" ht="13.5" thickBot="1">
      <c r="B61" s="104"/>
      <c r="C61" s="104"/>
      <c r="D61" s="104"/>
      <c r="E61" s="104"/>
      <c r="F61" s="104"/>
      <c r="G61" s="104"/>
      <c r="H61" s="490"/>
      <c r="I61" s="514"/>
      <c r="Y61" s="221"/>
      <c r="Z61" s="221"/>
      <c r="AA61" s="221"/>
    </row>
    <row r="62" spans="1:32" ht="13.5" thickBot="1">
      <c r="B62" s="98"/>
      <c r="C62" s="96"/>
      <c r="D62" s="67"/>
      <c r="E62" s="67"/>
      <c r="F62" s="67"/>
      <c r="G62" s="21" t="s">
        <v>105</v>
      </c>
      <c r="H62" s="483">
        <f>H7-H60</f>
        <v>0</v>
      </c>
      <c r="I62" s="513">
        <f>I7-I60</f>
        <v>0</v>
      </c>
      <c r="Y62" s="221"/>
      <c r="Z62" s="221"/>
      <c r="AA62" s="221"/>
    </row>
    <row r="63" spans="1:32" s="216" customFormat="1" ht="13.5" thickBot="1">
      <c r="A63" s="277"/>
      <c r="B63" s="251"/>
      <c r="C63" s="251"/>
      <c r="D63" s="251"/>
      <c r="E63" s="251"/>
      <c r="F63" s="43"/>
      <c r="G63" s="43"/>
      <c r="H63" s="474"/>
      <c r="I63" s="497"/>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1" t="s">
        <v>74</v>
      </c>
      <c r="I64" s="51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1" t="s">
        <v>31</v>
      </c>
      <c r="I65" s="503"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 (Livestock)</v>
      </c>
      <c r="C66" s="243"/>
      <c r="D66" s="366">
        <f>IF(Inputs!F100=0,0,(Inputs!D100-Inputs!E100)/Inputs!F100)</f>
        <v>9000</v>
      </c>
      <c r="E66" s="365">
        <f>Inputs!D100*Inputs!$E$112</f>
        <v>4500</v>
      </c>
      <c r="F66" s="264">
        <f>IF(SUM(D66:E66)=0,0,Inputs!S100)</f>
        <v>0</v>
      </c>
      <c r="G66" s="256"/>
      <c r="H66" s="432">
        <f>(D66+E66)*F66</f>
        <v>0</v>
      </c>
      <c r="I66" s="436"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2857.1428571428573</v>
      </c>
      <c r="E67" s="365">
        <f>Inputs!D101*Inputs!$E$112</f>
        <v>1050</v>
      </c>
      <c r="F67" s="264">
        <f>IF(SUM(D67:E67)=0,0,Inputs!S101)</f>
        <v>0</v>
      </c>
      <c r="G67" s="256"/>
      <c r="H67" s="432">
        <f t="shared" ref="H67:H73" si="16">(D67+E67)*F67</f>
        <v>0</v>
      </c>
      <c r="I67" s="436"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2">
        <f t="shared" si="16"/>
        <v>0</v>
      </c>
      <c r="I68" s="436"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2">
        <f t="shared" si="16"/>
        <v>0</v>
      </c>
      <c r="I69" s="436"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2"/>
      <c r="I70" s="436"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2"/>
      <c r="I71" s="436"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2">
        <f t="shared" si="16"/>
        <v>0</v>
      </c>
      <c r="I72" s="436"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2">
        <f t="shared" si="16"/>
        <v>0</v>
      </c>
      <c r="I73" s="436"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2"/>
      <c r="I74" s="436"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2">
        <f>E75*F75</f>
        <v>0</v>
      </c>
      <c r="I75" s="436"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2">
        <f>SUM(H66:H75)</f>
        <v>0</v>
      </c>
      <c r="I76" s="51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4"/>
      <c r="I77" s="497"/>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3" t="s">
        <v>74</v>
      </c>
      <c r="I78" s="51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2">
        <f>H60+H76</f>
        <v>0</v>
      </c>
      <c r="I79" s="51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4"/>
      <c r="I80" s="51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3">
        <f>H7-H79</f>
        <v>0</v>
      </c>
      <c r="I81" s="52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election activeCell="H28" sqref="H28"/>
    </sheetView>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39.75" thickBot="1">
      <c r="B1" s="44" t="s">
        <v>190</v>
      </c>
      <c r="C1" s="215"/>
      <c r="D1" s="215"/>
      <c r="E1" s="196">
        <f>Inputs!G50</f>
        <v>0</v>
      </c>
      <c r="F1" s="224" t="s">
        <v>144</v>
      </c>
      <c r="G1" s="215"/>
      <c r="H1" s="215"/>
      <c r="I1" s="44"/>
      <c r="K1" s="415"/>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row>
    <row r="2" spans="1:27" ht="26.25" thickBot="1">
      <c r="B2" s="41" t="s">
        <v>97</v>
      </c>
      <c r="C2" s="108"/>
      <c r="D2" s="109"/>
      <c r="E2" s="109"/>
      <c r="F2" s="41"/>
      <c r="G2" s="119"/>
      <c r="H2" s="108" t="s">
        <v>74</v>
      </c>
      <c r="I2" s="122" t="s">
        <v>94</v>
      </c>
      <c r="K2" s="417"/>
      <c r="L2" s="417">
        <f t="shared" ref="L2:L7" si="0">B16</f>
        <v>0</v>
      </c>
      <c r="M2" s="417">
        <f>IF(M$1=$L2,$K16,0)</f>
        <v>0</v>
      </c>
      <c r="N2" s="417">
        <f t="shared" ref="N2:V2" si="1">IF(N$1=$L2,$K16,0)</f>
        <v>0</v>
      </c>
      <c r="O2" s="417">
        <f t="shared" si="1"/>
        <v>0</v>
      </c>
      <c r="P2" s="417">
        <f t="shared" si="1"/>
        <v>0</v>
      </c>
      <c r="Q2" s="417">
        <f t="shared" si="1"/>
        <v>0</v>
      </c>
      <c r="R2" s="417">
        <f t="shared" si="1"/>
        <v>0</v>
      </c>
      <c r="S2" s="417">
        <f t="shared" si="1"/>
        <v>0</v>
      </c>
      <c r="T2" s="417">
        <f t="shared" si="1"/>
        <v>0</v>
      </c>
      <c r="U2" s="417">
        <f t="shared" si="1"/>
        <v>0</v>
      </c>
      <c r="V2" s="417">
        <f t="shared" si="1"/>
        <v>0</v>
      </c>
      <c r="W2" s="417">
        <f t="shared" ref="W2:W7" si="2">SUM(M2:V2)</f>
        <v>0</v>
      </c>
    </row>
    <row r="3" spans="1:27">
      <c r="B3" s="255"/>
      <c r="C3" s="363" t="s">
        <v>44</v>
      </c>
      <c r="D3" s="364" t="s">
        <v>30</v>
      </c>
      <c r="E3" s="364" t="s">
        <v>5</v>
      </c>
      <c r="F3" s="120"/>
      <c r="G3" s="121"/>
      <c r="H3" s="266" t="s">
        <v>31</v>
      </c>
      <c r="I3" s="91" t="s">
        <v>31</v>
      </c>
      <c r="K3" s="415"/>
      <c r="L3" s="417">
        <f t="shared" si="0"/>
        <v>0</v>
      </c>
      <c r="M3" s="417">
        <f t="shared" ref="M3:V7" si="3">IF(M$1=$L3,$K17,0)</f>
        <v>0</v>
      </c>
      <c r="N3" s="417">
        <f t="shared" si="3"/>
        <v>0</v>
      </c>
      <c r="O3" s="417">
        <f t="shared" si="3"/>
        <v>0</v>
      </c>
      <c r="P3" s="417">
        <f t="shared" si="3"/>
        <v>0</v>
      </c>
      <c r="Q3" s="417">
        <f t="shared" si="3"/>
        <v>0</v>
      </c>
      <c r="R3" s="417">
        <f t="shared" si="3"/>
        <v>0</v>
      </c>
      <c r="S3" s="417">
        <f t="shared" si="3"/>
        <v>0</v>
      </c>
      <c r="T3" s="417">
        <f t="shared" si="3"/>
        <v>0</v>
      </c>
      <c r="U3" s="417">
        <f t="shared" si="3"/>
        <v>0</v>
      </c>
      <c r="V3" s="417">
        <f t="shared" si="3"/>
        <v>0</v>
      </c>
      <c r="W3" s="417">
        <f t="shared" si="2"/>
        <v>0</v>
      </c>
    </row>
    <row r="4" spans="1:27">
      <c r="B4" s="27" t="s">
        <v>159</v>
      </c>
      <c r="C4" s="192">
        <f>Inputs!G52-Inputs!O52</f>
        <v>0</v>
      </c>
      <c r="D4" s="369">
        <f>Inputs!G53</f>
        <v>0</v>
      </c>
      <c r="E4" s="369">
        <f>Inputs!G54</f>
        <v>0</v>
      </c>
      <c r="F4" s="251" t="s">
        <v>1</v>
      </c>
      <c r="G4" s="368"/>
      <c r="H4" s="441">
        <f>C4*D4*E4/100</f>
        <v>0</v>
      </c>
      <c r="I4" s="469">
        <f>D4*E4/100</f>
        <v>0</v>
      </c>
      <c r="K4" s="415"/>
      <c r="L4" s="417">
        <f t="shared" si="0"/>
        <v>0</v>
      </c>
      <c r="M4" s="417">
        <f t="shared" si="3"/>
        <v>0</v>
      </c>
      <c r="N4" s="417">
        <f t="shared" si="3"/>
        <v>0</v>
      </c>
      <c r="O4" s="417">
        <f t="shared" si="3"/>
        <v>0</v>
      </c>
      <c r="P4" s="417">
        <f t="shared" si="3"/>
        <v>0</v>
      </c>
      <c r="Q4" s="417">
        <f t="shared" si="3"/>
        <v>0</v>
      </c>
      <c r="R4" s="417">
        <f t="shared" si="3"/>
        <v>0</v>
      </c>
      <c r="S4" s="417">
        <f t="shared" si="3"/>
        <v>0</v>
      </c>
      <c r="T4" s="417">
        <f t="shared" si="3"/>
        <v>0</v>
      </c>
      <c r="U4" s="417">
        <f t="shared" si="3"/>
        <v>0</v>
      </c>
      <c r="V4" s="417">
        <f t="shared" si="3"/>
        <v>0</v>
      </c>
      <c r="W4" s="417">
        <f t="shared" si="2"/>
        <v>0</v>
      </c>
    </row>
    <row r="5" spans="1:27">
      <c r="B5" s="250" t="s">
        <v>165</v>
      </c>
      <c r="C5" s="370">
        <f>Inputs!G55-Inputs!O52</f>
        <v>0</v>
      </c>
      <c r="D5" s="189">
        <f>Inputs!G56</f>
        <v>0</v>
      </c>
      <c r="E5" s="189">
        <f>Inputs!G57</f>
        <v>0</v>
      </c>
      <c r="F5" s="251" t="s">
        <v>1</v>
      </c>
      <c r="G5" s="265"/>
      <c r="H5" s="441">
        <f>C5*D5*E5/100</f>
        <v>0</v>
      </c>
      <c r="I5" s="469">
        <f>D5*E5/100</f>
        <v>0</v>
      </c>
      <c r="K5" s="415"/>
      <c r="L5" s="417">
        <f t="shared" si="0"/>
        <v>0</v>
      </c>
      <c r="M5" s="417">
        <f t="shared" si="3"/>
        <v>0</v>
      </c>
      <c r="N5" s="417">
        <f t="shared" si="3"/>
        <v>0</v>
      </c>
      <c r="O5" s="417">
        <f t="shared" si="3"/>
        <v>0</v>
      </c>
      <c r="P5" s="417">
        <f t="shared" si="3"/>
        <v>0</v>
      </c>
      <c r="Q5" s="417">
        <f t="shared" si="3"/>
        <v>0</v>
      </c>
      <c r="R5" s="417">
        <f t="shared" si="3"/>
        <v>0</v>
      </c>
      <c r="S5" s="417">
        <f t="shared" si="3"/>
        <v>0</v>
      </c>
      <c r="T5" s="417">
        <f t="shared" si="3"/>
        <v>0</v>
      </c>
      <c r="U5" s="417">
        <f t="shared" si="3"/>
        <v>0</v>
      </c>
      <c r="V5" s="417">
        <f t="shared" si="3"/>
        <v>0</v>
      </c>
      <c r="W5" s="417">
        <f t="shared" si="2"/>
        <v>0</v>
      </c>
    </row>
    <row r="6" spans="1:27" ht="13.5" thickBot="1">
      <c r="B6" s="250"/>
      <c r="C6" s="243"/>
      <c r="D6" s="251"/>
      <c r="E6" s="251"/>
      <c r="F6" s="251"/>
      <c r="G6" s="265"/>
      <c r="H6" s="441"/>
      <c r="I6" s="469"/>
      <c r="K6" s="415"/>
      <c r="L6" s="417">
        <f t="shared" si="0"/>
        <v>0</v>
      </c>
      <c r="M6" s="417">
        <f t="shared" si="3"/>
        <v>0</v>
      </c>
      <c r="N6" s="417">
        <f t="shared" si="3"/>
        <v>0</v>
      </c>
      <c r="O6" s="417">
        <f t="shared" si="3"/>
        <v>0</v>
      </c>
      <c r="P6" s="417">
        <f t="shared" si="3"/>
        <v>0</v>
      </c>
      <c r="Q6" s="417">
        <f t="shared" si="3"/>
        <v>0</v>
      </c>
      <c r="R6" s="417">
        <f t="shared" si="3"/>
        <v>0</v>
      </c>
      <c r="S6" s="417">
        <f t="shared" si="3"/>
        <v>0</v>
      </c>
      <c r="T6" s="417">
        <f t="shared" si="3"/>
        <v>0</v>
      </c>
      <c r="U6" s="417">
        <f t="shared" si="3"/>
        <v>0</v>
      </c>
      <c r="V6" s="417">
        <f t="shared" si="3"/>
        <v>0</v>
      </c>
      <c r="W6" s="417">
        <f t="shared" si="2"/>
        <v>0</v>
      </c>
    </row>
    <row r="7" spans="1:27" ht="13.5" thickBot="1">
      <c r="B7" s="123"/>
      <c r="C7" s="96"/>
      <c r="D7" s="42"/>
      <c r="E7" s="42"/>
      <c r="F7" s="42"/>
      <c r="G7" s="97" t="s">
        <v>110</v>
      </c>
      <c r="H7" s="472">
        <f>SUM(H4:H6)</f>
        <v>0</v>
      </c>
      <c r="I7" s="471">
        <f>IF(H7=0,0,H7/($C$5+$C$4))</f>
        <v>0</v>
      </c>
      <c r="K7" s="415"/>
      <c r="L7" s="417">
        <f t="shared" si="0"/>
        <v>0</v>
      </c>
      <c r="M7" s="417">
        <f t="shared" si="3"/>
        <v>0</v>
      </c>
      <c r="N7" s="417">
        <f t="shared" si="3"/>
        <v>0</v>
      </c>
      <c r="O7" s="417">
        <f t="shared" si="3"/>
        <v>0</v>
      </c>
      <c r="P7" s="417">
        <f t="shared" si="3"/>
        <v>0</v>
      </c>
      <c r="Q7" s="417">
        <f t="shared" si="3"/>
        <v>0</v>
      </c>
      <c r="R7" s="417">
        <f t="shared" si="3"/>
        <v>0</v>
      </c>
      <c r="S7" s="417">
        <f t="shared" si="3"/>
        <v>0</v>
      </c>
      <c r="T7" s="417">
        <f t="shared" si="3"/>
        <v>0</v>
      </c>
      <c r="U7" s="417">
        <f t="shared" si="3"/>
        <v>0</v>
      </c>
      <c r="V7" s="417">
        <f t="shared" si="3"/>
        <v>0</v>
      </c>
      <c r="W7" s="417">
        <f t="shared" si="2"/>
        <v>0</v>
      </c>
    </row>
    <row r="8" spans="1:27" ht="13.5" thickBot="1">
      <c r="B8" s="53"/>
      <c r="C8" s="53"/>
      <c r="D8" s="43"/>
      <c r="E8" s="43"/>
      <c r="F8" s="43"/>
      <c r="G8" s="43"/>
      <c r="H8" s="590"/>
      <c r="I8" s="609" t="str">
        <f>IF(H8=0,"",H8/$C$5)</f>
        <v/>
      </c>
      <c r="K8" s="415"/>
      <c r="L8" s="417" t="s">
        <v>31</v>
      </c>
      <c r="M8" s="417">
        <f>SUM(M2:M7)</f>
        <v>0</v>
      </c>
      <c r="N8" s="417">
        <f t="shared" ref="N8:V8" si="4">SUM(N2:N7)</f>
        <v>0</v>
      </c>
      <c r="O8" s="417">
        <f t="shared" si="4"/>
        <v>0</v>
      </c>
      <c r="P8" s="417">
        <f t="shared" si="4"/>
        <v>0</v>
      </c>
      <c r="Q8" s="417">
        <f t="shared" si="4"/>
        <v>0</v>
      </c>
      <c r="R8" s="417">
        <f t="shared" si="4"/>
        <v>0</v>
      </c>
      <c r="S8" s="417">
        <f t="shared" si="4"/>
        <v>0</v>
      </c>
      <c r="T8" s="417">
        <f t="shared" si="4"/>
        <v>0</v>
      </c>
      <c r="U8" s="417">
        <f t="shared" si="4"/>
        <v>0</v>
      </c>
      <c r="V8" s="417">
        <f t="shared" si="4"/>
        <v>0</v>
      </c>
      <c r="W8" s="417"/>
    </row>
    <row r="9" spans="1:27" ht="26.25" thickBot="1">
      <c r="B9" s="41" t="s">
        <v>96</v>
      </c>
      <c r="C9" s="108"/>
      <c r="D9" s="109"/>
      <c r="E9" s="109"/>
      <c r="F9" s="109"/>
      <c r="G9" s="109"/>
      <c r="H9" s="591" t="s">
        <v>74</v>
      </c>
      <c r="I9" s="610" t="s">
        <v>94</v>
      </c>
      <c r="K9" s="415"/>
      <c r="L9" s="415"/>
      <c r="M9" s="415"/>
      <c r="N9" s="415"/>
      <c r="O9" s="415"/>
      <c r="P9" s="415"/>
      <c r="Q9" s="415"/>
      <c r="R9" s="415"/>
      <c r="S9" s="415"/>
      <c r="T9" s="415"/>
      <c r="U9" s="415"/>
      <c r="V9" s="415"/>
      <c r="W9" s="415"/>
    </row>
    <row r="10" spans="1:27">
      <c r="B10" s="262"/>
      <c r="C10" s="361" t="s">
        <v>44</v>
      </c>
      <c r="D10" s="362" t="s">
        <v>30</v>
      </c>
      <c r="E10" s="362" t="s">
        <v>5</v>
      </c>
      <c r="F10" s="269"/>
      <c r="G10" s="285"/>
      <c r="H10" s="592" t="s">
        <v>31</v>
      </c>
      <c r="I10" s="611"/>
      <c r="K10" s="415" t="s">
        <v>61</v>
      </c>
      <c r="L10" s="415"/>
      <c r="M10" s="415"/>
      <c r="N10" s="415"/>
      <c r="O10" s="415"/>
      <c r="P10" s="415"/>
      <c r="Q10" s="415"/>
      <c r="R10" s="415"/>
      <c r="S10" s="415"/>
      <c r="T10" s="415"/>
      <c r="U10" s="415"/>
      <c r="V10" s="415"/>
      <c r="W10" s="415"/>
    </row>
    <row r="11" spans="1:27" ht="12.75" customHeight="1">
      <c r="B11" s="255" t="s">
        <v>134</v>
      </c>
      <c r="C11" s="117">
        <f>Inputs!G52</f>
        <v>0</v>
      </c>
      <c r="D11" s="189">
        <f>Inputs!G43</f>
        <v>0</v>
      </c>
      <c r="E11" s="252">
        <f>Inputs!G44</f>
        <v>0</v>
      </c>
      <c r="F11" s="251" t="s">
        <v>1</v>
      </c>
      <c r="G11" s="265"/>
      <c r="H11" s="593">
        <f>IF(C11=0,0,C11*D11*E11/100)</f>
        <v>0</v>
      </c>
      <c r="I11" s="612"/>
      <c r="K11" s="415" t="s">
        <v>64</v>
      </c>
      <c r="L11" s="415"/>
      <c r="M11" s="415"/>
      <c r="N11" s="415"/>
      <c r="O11" s="415"/>
      <c r="P11" s="415"/>
      <c r="Q11" s="415"/>
      <c r="R11" s="415"/>
      <c r="S11" s="415"/>
      <c r="T11" s="415"/>
      <c r="U11" s="415"/>
      <c r="V11" s="415"/>
      <c r="W11" s="415"/>
    </row>
    <row r="12" spans="1:27" ht="12.75" customHeight="1" thickBot="1">
      <c r="B12" s="255" t="s">
        <v>135</v>
      </c>
      <c r="C12" s="117">
        <f>Inputs!G55</f>
        <v>0</v>
      </c>
      <c r="D12" s="189">
        <f>Inputs!G46</f>
        <v>0</v>
      </c>
      <c r="E12" s="252">
        <f>Inputs!G47</f>
        <v>0</v>
      </c>
      <c r="F12" s="251" t="s">
        <v>1</v>
      </c>
      <c r="G12" s="265"/>
      <c r="H12" s="594">
        <f>IF(C12=0,0,C12*D12*E12/100)</f>
        <v>0</v>
      </c>
      <c r="I12" s="613"/>
      <c r="K12" s="417"/>
      <c r="L12" s="415"/>
      <c r="M12" s="415"/>
      <c r="N12" s="415"/>
      <c r="O12" s="415"/>
      <c r="P12" s="415"/>
      <c r="Q12" s="415"/>
      <c r="R12" s="415"/>
      <c r="S12" s="415"/>
      <c r="T12" s="415"/>
      <c r="U12" s="415"/>
      <c r="V12" s="415"/>
      <c r="W12" s="415"/>
    </row>
    <row r="13" spans="1:27" ht="13.5" customHeight="1" thickTop="1">
      <c r="B13" s="250"/>
      <c r="C13" s="239"/>
      <c r="D13" s="251"/>
      <c r="E13" s="43"/>
      <c r="F13" s="251"/>
      <c r="G13" s="258" t="s">
        <v>150</v>
      </c>
      <c r="H13" s="595">
        <f>SUM(H11:H12)</f>
        <v>0</v>
      </c>
      <c r="I13" s="559">
        <f>IF(H13=0,0,H13/($C$5+$C$4))</f>
        <v>0</v>
      </c>
      <c r="K13" s="417"/>
      <c r="L13" s="818"/>
      <c r="M13" s="417"/>
      <c r="N13" s="415"/>
      <c r="O13" s="415"/>
      <c r="P13" s="415"/>
      <c r="Q13" s="415"/>
      <c r="R13" s="415"/>
      <c r="S13" s="415"/>
      <c r="T13" s="415"/>
      <c r="U13" s="415" t="str">
        <f>IF(Inputs!B68="","",Inputs!B68)</f>
        <v/>
      </c>
      <c r="V13" s="415"/>
      <c r="W13" s="415"/>
      <c r="Y13" s="221"/>
      <c r="Z13" s="221"/>
      <c r="AA13" s="221"/>
    </row>
    <row r="14" spans="1:27">
      <c r="B14" s="250"/>
      <c r="C14" s="371"/>
      <c r="D14" s="251"/>
      <c r="E14" s="239"/>
      <c r="F14" s="251"/>
      <c r="G14" s="251"/>
      <c r="H14" s="595"/>
      <c r="I14" s="559"/>
      <c r="K14" s="417"/>
      <c r="L14" s="818"/>
      <c r="M14" s="417"/>
      <c r="N14" s="415"/>
      <c r="O14" s="415"/>
      <c r="P14" s="415"/>
      <c r="Q14" s="415"/>
      <c r="R14" s="415"/>
      <c r="S14" s="415"/>
      <c r="T14" s="415"/>
      <c r="U14" s="415" t="str">
        <f>IF(Inputs!B69="","",Inputs!B69)</f>
        <v>Pasture</v>
      </c>
      <c r="V14" s="415"/>
      <c r="W14" s="415"/>
      <c r="Y14" s="221"/>
      <c r="Z14" s="221"/>
      <c r="AA14" s="221"/>
    </row>
    <row r="15" spans="1:27" ht="39" customHeight="1">
      <c r="A15" s="155"/>
      <c r="B15" s="255" t="s">
        <v>7</v>
      </c>
      <c r="C15" s="356" t="s">
        <v>68</v>
      </c>
      <c r="D15" s="251"/>
      <c r="E15" s="357" t="s">
        <v>63</v>
      </c>
      <c r="F15" s="270" t="s">
        <v>5</v>
      </c>
      <c r="G15" s="116"/>
      <c r="H15" s="596" t="s">
        <v>31</v>
      </c>
      <c r="I15" s="614" t="s">
        <v>31</v>
      </c>
      <c r="K15" s="428"/>
      <c r="L15" s="818"/>
      <c r="M15" s="417"/>
      <c r="N15" s="415"/>
      <c r="O15" s="415"/>
      <c r="P15" s="415"/>
      <c r="Q15" s="415"/>
      <c r="R15" s="415"/>
      <c r="S15" s="415"/>
      <c r="T15" s="415"/>
      <c r="U15" s="415" t="str">
        <f>IF(Inputs!B70="","",Inputs!B70)</f>
        <v>Prairie Hay</v>
      </c>
      <c r="V15" s="415"/>
      <c r="W15" s="415"/>
      <c r="Y15" s="221"/>
      <c r="Z15" s="221"/>
      <c r="AA15" s="221"/>
    </row>
    <row r="16" spans="1:27">
      <c r="B16" s="740"/>
      <c r="C16" s="741"/>
      <c r="D16" s="278" t="str">
        <f t="shared" ref="D16:D21" si="5">IF(B16="","",CONCATENATE(VLOOKUP(B16,Feed,5,FALSE)))</f>
        <v/>
      </c>
      <c r="E16" s="743" t="s">
        <v>61</v>
      </c>
      <c r="F16" s="257" t="str">
        <f t="shared" ref="F16:F21" si="6">IF(B16="","",VLOOKUP(B16,Feed,7,FALSE))</f>
        <v/>
      </c>
      <c r="G16" s="273" t="str">
        <f t="shared" ref="G16:G21" si="7">IF(B16="","",CONCATENATE("$ ",VLOOKUP(B16,Feed,5,FALSE)))</f>
        <v/>
      </c>
      <c r="H16" s="444" t="str">
        <f t="shared" ref="H16:H21" si="8">IF(B16="","",C16*F16*IF(E16="per animal",($C$4+$C$5+$C$11+$C$12)/2,1))</f>
        <v/>
      </c>
      <c r="I16" s="438" t="str">
        <f t="shared" ref="I16:I21" si="9">IF(B16="","",IF(($C$4+$C$5)=0,"",H16/($C$4+$C$5)))</f>
        <v/>
      </c>
      <c r="K16" s="415">
        <f t="shared" ref="K16:K21" si="10">C16*IF(E16="total",1,IF(E16="per animal",($C$4+$C$5+$C$11+$C$12)/2,0))</f>
        <v>0</v>
      </c>
      <c r="L16" s="417"/>
      <c r="M16" s="429"/>
      <c r="N16" s="415"/>
      <c r="O16" s="430"/>
      <c r="P16" s="415"/>
      <c r="Q16" s="415"/>
      <c r="R16" s="415"/>
      <c r="S16" s="415"/>
      <c r="T16" s="415"/>
      <c r="U16" s="415" t="str">
        <f>IF(Inputs!B71="","",Inputs!B71)</f>
        <v>Alfalfa</v>
      </c>
      <c r="V16" s="415"/>
      <c r="W16" s="415"/>
      <c r="Y16" s="221"/>
      <c r="Z16" s="221"/>
      <c r="AA16" s="221"/>
    </row>
    <row r="17" spans="1:27">
      <c r="B17" s="739"/>
      <c r="C17" s="742"/>
      <c r="D17" s="278" t="str">
        <f t="shared" si="5"/>
        <v/>
      </c>
      <c r="E17" s="744" t="s">
        <v>61</v>
      </c>
      <c r="F17" s="257" t="str">
        <f t="shared" si="6"/>
        <v/>
      </c>
      <c r="G17" s="273" t="str">
        <f t="shared" si="7"/>
        <v/>
      </c>
      <c r="H17" s="444" t="str">
        <f t="shared" si="8"/>
        <v/>
      </c>
      <c r="I17" s="438" t="str">
        <f t="shared" si="9"/>
        <v/>
      </c>
      <c r="K17" s="415">
        <f t="shared" si="10"/>
        <v>0</v>
      </c>
      <c r="L17" s="417"/>
      <c r="M17" s="417"/>
      <c r="N17" s="415"/>
      <c r="O17" s="415"/>
      <c r="P17" s="415"/>
      <c r="Q17" s="415"/>
      <c r="R17" s="415"/>
      <c r="S17" s="415"/>
      <c r="T17" s="415"/>
      <c r="U17" s="415" t="str">
        <f>IF(Inputs!B72="","",Inputs!B72)</f>
        <v>DDG Cubes</v>
      </c>
      <c r="V17" s="415"/>
      <c r="W17" s="415"/>
      <c r="Y17" s="221"/>
      <c r="Z17" s="221"/>
      <c r="AA17" s="221"/>
    </row>
    <row r="18" spans="1:27">
      <c r="B18" s="739"/>
      <c r="C18" s="741"/>
      <c r="D18" s="278" t="str">
        <f t="shared" si="5"/>
        <v/>
      </c>
      <c r="E18" s="743" t="s">
        <v>61</v>
      </c>
      <c r="F18" s="257" t="str">
        <f t="shared" si="6"/>
        <v/>
      </c>
      <c r="G18" s="273" t="str">
        <f t="shared" si="7"/>
        <v/>
      </c>
      <c r="H18" s="444" t="str">
        <f t="shared" si="8"/>
        <v/>
      </c>
      <c r="I18" s="438" t="str">
        <f t="shared" si="9"/>
        <v/>
      </c>
      <c r="K18" s="415">
        <f t="shared" si="10"/>
        <v>0</v>
      </c>
      <c r="L18" s="417"/>
      <c r="M18" s="417"/>
      <c r="N18" s="415"/>
      <c r="O18" s="415"/>
      <c r="P18" s="415"/>
      <c r="Q18" s="415"/>
      <c r="R18" s="415"/>
      <c r="S18" s="415"/>
      <c r="T18" s="415"/>
      <c r="U18" s="415" t="str">
        <f>IF(Inputs!B73="","",Inputs!B73)</f>
        <v>Salt and Mineral</v>
      </c>
      <c r="V18" s="415"/>
      <c r="W18" s="415"/>
      <c r="Y18" s="221"/>
      <c r="Z18" s="221"/>
      <c r="AA18" s="221"/>
    </row>
    <row r="19" spans="1:27">
      <c r="B19" s="739"/>
      <c r="C19" s="741"/>
      <c r="D19" s="278" t="str">
        <f t="shared" si="5"/>
        <v/>
      </c>
      <c r="E19" s="743" t="s">
        <v>61</v>
      </c>
      <c r="F19" s="257" t="str">
        <f t="shared" si="6"/>
        <v/>
      </c>
      <c r="G19" s="273" t="str">
        <f t="shared" si="7"/>
        <v/>
      </c>
      <c r="H19" s="444" t="str">
        <f t="shared" si="8"/>
        <v/>
      </c>
      <c r="I19" s="438" t="str">
        <f t="shared" si="9"/>
        <v/>
      </c>
      <c r="K19" s="415">
        <f t="shared" si="10"/>
        <v>0</v>
      </c>
      <c r="L19" s="417"/>
      <c r="M19" s="417"/>
      <c r="N19" s="415"/>
      <c r="O19" s="415"/>
      <c r="P19" s="415"/>
      <c r="Q19" s="415"/>
      <c r="R19" s="415"/>
      <c r="S19" s="415"/>
      <c r="T19" s="415"/>
      <c r="U19" s="415" t="str">
        <f>IF(Inputs!B74="","",Inputs!B74)</f>
        <v>Corn Stalks</v>
      </c>
      <c r="V19" s="415"/>
      <c r="W19" s="415"/>
      <c r="Y19" s="221"/>
      <c r="Z19" s="221"/>
      <c r="AA19" s="221"/>
    </row>
    <row r="20" spans="1:27">
      <c r="B20" s="204"/>
      <c r="C20" s="205"/>
      <c r="D20" s="278" t="str">
        <f t="shared" si="5"/>
        <v/>
      </c>
      <c r="E20" s="218"/>
      <c r="F20" s="257" t="str">
        <f t="shared" si="6"/>
        <v/>
      </c>
      <c r="G20" s="273" t="str">
        <f t="shared" si="7"/>
        <v/>
      </c>
      <c r="H20" s="444" t="str">
        <f t="shared" si="8"/>
        <v/>
      </c>
      <c r="I20" s="438" t="str">
        <f t="shared" si="9"/>
        <v/>
      </c>
      <c r="K20" s="415">
        <f t="shared" si="10"/>
        <v>0</v>
      </c>
      <c r="L20" s="417"/>
      <c r="M20" s="417"/>
      <c r="N20" s="415"/>
      <c r="O20" s="415"/>
      <c r="P20" s="415"/>
      <c r="Q20" s="415"/>
      <c r="R20" s="415"/>
      <c r="S20" s="415"/>
      <c r="T20" s="415"/>
      <c r="U20" s="415" t="str">
        <f>IF(Inputs!B75="","",Inputs!B75)</f>
        <v>Dried Rolled Corn</v>
      </c>
      <c r="V20" s="415"/>
      <c r="W20" s="415"/>
      <c r="Y20" s="221"/>
      <c r="Z20" s="221"/>
      <c r="AA20" s="221"/>
    </row>
    <row r="21" spans="1:27" ht="13.5" thickBot="1">
      <c r="B21" s="204"/>
      <c r="C21" s="205"/>
      <c r="D21" s="278" t="str">
        <f t="shared" si="5"/>
        <v/>
      </c>
      <c r="E21" s="218"/>
      <c r="F21" s="257" t="str">
        <f t="shared" si="6"/>
        <v/>
      </c>
      <c r="G21" s="273" t="str">
        <f t="shared" si="7"/>
        <v/>
      </c>
      <c r="H21" s="449" t="str">
        <f t="shared" si="8"/>
        <v/>
      </c>
      <c r="I21" s="439" t="str">
        <f t="shared" si="9"/>
        <v/>
      </c>
      <c r="K21" s="415">
        <f t="shared" si="10"/>
        <v>0</v>
      </c>
      <c r="L21" s="417"/>
      <c r="M21" s="417"/>
      <c r="N21" s="415"/>
      <c r="O21" s="415"/>
      <c r="P21" s="415"/>
      <c r="Q21" s="415"/>
      <c r="R21" s="415"/>
      <c r="S21" s="415"/>
      <c r="T21" s="415"/>
      <c r="U21" s="415" t="str">
        <f>IF(Inputs!B76="","",Inputs!B76)</f>
        <v/>
      </c>
      <c r="V21" s="415"/>
      <c r="W21" s="415"/>
      <c r="Y21" s="221"/>
      <c r="Z21" s="221"/>
      <c r="AA21" s="221"/>
    </row>
    <row r="22" spans="1:27" ht="13.5" thickTop="1">
      <c r="B22" s="250"/>
      <c r="C22" s="75"/>
      <c r="D22" s="251"/>
      <c r="E22" s="258"/>
      <c r="F22" s="260"/>
      <c r="G22" s="258" t="s">
        <v>36</v>
      </c>
      <c r="H22" s="597">
        <f>SUM(H16:H21)</f>
        <v>0</v>
      </c>
      <c r="I22" s="615">
        <f>SUM(I16:I21)</f>
        <v>0</v>
      </c>
      <c r="K22" s="415"/>
      <c r="L22" s="415"/>
      <c r="M22" s="415"/>
      <c r="N22" s="415"/>
      <c r="O22" s="415"/>
      <c r="P22" s="415"/>
      <c r="Q22" s="415"/>
      <c r="R22" s="415"/>
      <c r="S22" s="415"/>
      <c r="T22" s="415"/>
      <c r="U22" s="415" t="str">
        <f>IF(Inputs!B77="","",Inputs!B77)</f>
        <v/>
      </c>
      <c r="V22" s="415"/>
      <c r="W22" s="415"/>
      <c r="Y22" s="221"/>
      <c r="Z22" s="221"/>
      <c r="AA22" s="221"/>
    </row>
    <row r="23" spans="1:27">
      <c r="A23" s="156"/>
      <c r="B23" s="250"/>
      <c r="C23" s="243"/>
      <c r="D23" s="251"/>
      <c r="E23" s="251"/>
      <c r="F23" s="251"/>
      <c r="G23" s="251"/>
      <c r="H23" s="441"/>
      <c r="I23" s="469" t="str">
        <f>IF(H23=0,"",H23/$C$5)</f>
        <v/>
      </c>
      <c r="K23" s="415"/>
      <c r="L23" s="415"/>
      <c r="M23" s="415"/>
      <c r="N23" s="415"/>
      <c r="O23" s="415"/>
      <c r="P23" s="415"/>
      <c r="Q23" s="415"/>
      <c r="R23" s="415"/>
      <c r="S23" s="415"/>
      <c r="T23" s="415"/>
      <c r="U23" s="415"/>
      <c r="V23" s="415"/>
      <c r="W23" s="415"/>
      <c r="Y23" s="221"/>
      <c r="Z23" s="221"/>
      <c r="AA23" s="221"/>
    </row>
    <row r="24" spans="1:27">
      <c r="B24" s="263" t="s">
        <v>45</v>
      </c>
      <c r="C24" s="274"/>
      <c r="D24" s="358" t="s">
        <v>56</v>
      </c>
      <c r="E24" s="358" t="s">
        <v>177</v>
      </c>
      <c r="F24" s="364" t="s">
        <v>48</v>
      </c>
      <c r="G24" s="266"/>
      <c r="H24" s="526" t="s">
        <v>31</v>
      </c>
      <c r="I24" s="616" t="s">
        <v>31</v>
      </c>
      <c r="J24" s="223"/>
      <c r="K24" s="415"/>
      <c r="L24" s="415"/>
      <c r="M24" s="415"/>
      <c r="N24" s="415"/>
      <c r="O24" s="415"/>
      <c r="P24" s="415"/>
      <c r="Q24" s="415"/>
      <c r="R24" s="415"/>
      <c r="S24" s="415"/>
      <c r="T24" s="415"/>
      <c r="U24" s="415"/>
      <c r="V24" s="415"/>
      <c r="W24" s="415"/>
      <c r="Y24" s="221"/>
      <c r="Z24" s="221"/>
      <c r="AA24" s="221"/>
    </row>
    <row r="25" spans="1:27">
      <c r="B25" s="250" t="str">
        <f>Inputs!B81</f>
        <v>Labor</v>
      </c>
      <c r="C25" s="242"/>
      <c r="D25" s="366">
        <f>Inputs!D81</f>
        <v>20</v>
      </c>
      <c r="E25" s="359" t="str">
        <f>Inputs!E81</f>
        <v>per animal</v>
      </c>
      <c r="F25" s="124">
        <f>Inputs!T81</f>
        <v>0</v>
      </c>
      <c r="G25" s="265"/>
      <c r="H25" s="598">
        <f>D25*IF(E25="per animal",$C$11+$C$12,1)*F25</f>
        <v>0</v>
      </c>
      <c r="I25" s="438" t="str">
        <f>IF(B25="","",IF(($C$4+$C$5)=0,"",H25/($C$4+$C$5)))</f>
        <v/>
      </c>
      <c r="K25" s="415"/>
      <c r="L25" s="415"/>
      <c r="M25" s="415"/>
      <c r="N25" s="415"/>
      <c r="O25" s="415"/>
      <c r="P25" s="415"/>
      <c r="Q25" s="415"/>
      <c r="R25" s="415"/>
      <c r="S25" s="415"/>
      <c r="T25" s="415"/>
      <c r="U25" s="415"/>
      <c r="V25" s="415"/>
      <c r="W25" s="415"/>
      <c r="Y25" s="221"/>
      <c r="Z25" s="221"/>
      <c r="AA25" s="221"/>
    </row>
    <row r="26" spans="1:27">
      <c r="B26" s="250" t="str">
        <f>Inputs!B82</f>
        <v>Fuel</v>
      </c>
      <c r="C26" s="242"/>
      <c r="D26" s="366">
        <f>Inputs!D82</f>
        <v>20</v>
      </c>
      <c r="E26" s="359" t="str">
        <f>Inputs!E82</f>
        <v>per animal</v>
      </c>
      <c r="F26" s="124">
        <f>Inputs!T82</f>
        <v>0</v>
      </c>
      <c r="G26" s="265"/>
      <c r="H26" s="598">
        <f t="shared" ref="H26:H33" si="11">D26*IF(E26="per animal",$C$11+$C$12,1)*F26</f>
        <v>0</v>
      </c>
      <c r="I26" s="438" t="str">
        <f t="shared" ref="I26:I33" si="12">IF(B26="","",IF(($C$4+$C$5)=0,"",H26/($C$4+$C$5)))</f>
        <v/>
      </c>
      <c r="K26" s="415"/>
      <c r="L26" s="415"/>
      <c r="M26" s="415"/>
      <c r="N26" s="415"/>
      <c r="O26" s="415"/>
      <c r="P26" s="415"/>
      <c r="Q26" s="415"/>
      <c r="R26" s="415"/>
      <c r="S26" s="415"/>
      <c r="T26" s="415"/>
      <c r="U26" s="415"/>
      <c r="V26" s="415"/>
      <c r="W26" s="415"/>
      <c r="Y26" s="221"/>
      <c r="Z26" s="221"/>
      <c r="AA26" s="221"/>
    </row>
    <row r="27" spans="1:27">
      <c r="B27" s="250" t="str">
        <f>Inputs!B83</f>
        <v>Veterinary and Medical</v>
      </c>
      <c r="C27" s="242"/>
      <c r="D27" s="366">
        <f>Inputs!D83</f>
        <v>20</v>
      </c>
      <c r="E27" s="359" t="str">
        <f>Inputs!E83</f>
        <v>per animal</v>
      </c>
      <c r="F27" s="124">
        <f>Inputs!T83</f>
        <v>0</v>
      </c>
      <c r="G27" s="265"/>
      <c r="H27" s="598">
        <f t="shared" si="11"/>
        <v>0</v>
      </c>
      <c r="I27" s="438" t="str">
        <f t="shared" si="12"/>
        <v/>
      </c>
      <c r="K27" s="415"/>
      <c r="L27" s="415"/>
      <c r="M27" s="415"/>
      <c r="N27" s="415"/>
      <c r="O27" s="415"/>
      <c r="P27" s="415"/>
      <c r="Q27" s="415"/>
      <c r="R27" s="415"/>
      <c r="S27" s="415"/>
      <c r="T27" s="415"/>
      <c r="U27" s="415"/>
      <c r="V27" s="415"/>
      <c r="W27" s="415"/>
      <c r="Y27" s="221"/>
      <c r="Z27" s="221"/>
      <c r="AA27" s="221"/>
    </row>
    <row r="28" spans="1:27">
      <c r="B28" s="250" t="s">
        <v>275</v>
      </c>
      <c r="C28" s="275"/>
      <c r="D28" s="366">
        <f>Inputs!X90</f>
        <v>0</v>
      </c>
      <c r="E28" s="359" t="s">
        <v>61</v>
      </c>
      <c r="F28" s="124"/>
      <c r="G28" s="265"/>
      <c r="H28" s="366">
        <f>(C4+C5)*D28-(C11+C12)*Inputs!D90</f>
        <v>0</v>
      </c>
      <c r="I28" s="438" t="str">
        <f t="shared" si="12"/>
        <v/>
      </c>
      <c r="K28" s="415"/>
      <c r="L28" s="415"/>
      <c r="M28" s="415"/>
      <c r="N28" s="415"/>
      <c r="O28" s="415"/>
      <c r="P28" s="415"/>
      <c r="Q28" s="415"/>
      <c r="R28" s="415"/>
      <c r="S28" s="415"/>
      <c r="T28" s="415"/>
      <c r="U28" s="415"/>
      <c r="V28" s="415"/>
      <c r="W28" s="415"/>
      <c r="Y28" s="221"/>
      <c r="Z28" s="221"/>
      <c r="AA28" s="221"/>
    </row>
    <row r="29" spans="1:27" hidden="1">
      <c r="B29" s="284" t="str">
        <f>Inputs!B91</f>
        <v>AI Expense $40 per new heifers</v>
      </c>
      <c r="C29" s="252"/>
      <c r="D29" s="366">
        <f>Inputs!D91</f>
        <v>3280</v>
      </c>
      <c r="E29" s="359" t="str">
        <f>Inputs!E91</f>
        <v>all animals</v>
      </c>
      <c r="F29" s="124">
        <f>Inputs!T91</f>
        <v>0</v>
      </c>
      <c r="G29" s="265"/>
      <c r="H29" s="598">
        <f t="shared" si="11"/>
        <v>0</v>
      </c>
      <c r="I29" s="438" t="str">
        <f t="shared" si="12"/>
        <v/>
      </c>
      <c r="K29" s="415"/>
      <c r="L29" s="415"/>
      <c r="M29" s="415"/>
      <c r="N29" s="415"/>
      <c r="O29" s="415"/>
      <c r="P29" s="415"/>
      <c r="Q29" s="415"/>
      <c r="R29" s="415"/>
      <c r="S29" s="415"/>
      <c r="T29" s="415"/>
      <c r="U29" s="415"/>
      <c r="V29" s="415"/>
      <c r="W29" s="415"/>
      <c r="Y29" s="221"/>
      <c r="Z29" s="221"/>
      <c r="AA29" s="221"/>
    </row>
    <row r="30" spans="1:27" hidden="1">
      <c r="B30" s="284">
        <f>Inputs!B92</f>
        <v>0</v>
      </c>
      <c r="C30" s="252" t="s">
        <v>9</v>
      </c>
      <c r="D30" s="366">
        <f>Inputs!D92</f>
        <v>0</v>
      </c>
      <c r="E30" s="359">
        <f>Inputs!E92</f>
        <v>0</v>
      </c>
      <c r="F30" s="124">
        <f>Inputs!T92</f>
        <v>0</v>
      </c>
      <c r="G30" s="265"/>
      <c r="H30" s="598">
        <f t="shared" si="11"/>
        <v>0</v>
      </c>
      <c r="I30" s="438" t="str">
        <f t="shared" si="12"/>
        <v/>
      </c>
      <c r="K30" s="415"/>
      <c r="L30" s="415"/>
      <c r="M30" s="415"/>
      <c r="N30" s="415"/>
      <c r="O30" s="415"/>
      <c r="P30" s="415"/>
      <c r="Q30" s="415"/>
      <c r="R30" s="415"/>
      <c r="S30" s="415"/>
      <c r="T30" s="415"/>
      <c r="U30" s="415"/>
      <c r="V30" s="415"/>
      <c r="W30" s="415"/>
      <c r="Y30" s="221"/>
      <c r="Z30" s="221"/>
      <c r="AA30" s="221"/>
    </row>
    <row r="31" spans="1:27" hidden="1">
      <c r="B31" s="284">
        <f>Inputs!B93</f>
        <v>0</v>
      </c>
      <c r="C31" s="252" t="s">
        <v>9</v>
      </c>
      <c r="D31" s="366">
        <f>Inputs!D93</f>
        <v>0</v>
      </c>
      <c r="E31" s="359">
        <f>Inputs!E93</f>
        <v>0</v>
      </c>
      <c r="F31" s="124">
        <f>Inputs!T93</f>
        <v>0</v>
      </c>
      <c r="G31" s="265"/>
      <c r="H31" s="598">
        <f t="shared" si="11"/>
        <v>0</v>
      </c>
      <c r="I31" s="438" t="str">
        <f t="shared" si="12"/>
        <v/>
      </c>
      <c r="K31" s="415"/>
      <c r="L31" s="415"/>
      <c r="M31" s="415"/>
      <c r="N31" s="415"/>
      <c r="O31" s="415"/>
      <c r="P31" s="415"/>
      <c r="Q31" s="415"/>
      <c r="R31" s="415"/>
      <c r="S31" s="415"/>
      <c r="T31" s="415"/>
      <c r="U31" s="415"/>
      <c r="V31" s="415"/>
      <c r="W31" s="415"/>
      <c r="Y31" s="221"/>
      <c r="Z31" s="221"/>
      <c r="AA31" s="221"/>
    </row>
    <row r="32" spans="1:27" hidden="1">
      <c r="B32" s="284">
        <f>Inputs!B94</f>
        <v>0</v>
      </c>
      <c r="C32" s="252"/>
      <c r="D32" s="366">
        <f>Inputs!D94</f>
        <v>0</v>
      </c>
      <c r="E32" s="359">
        <f>Inputs!E94</f>
        <v>0</v>
      </c>
      <c r="F32" s="124">
        <f>Inputs!T94</f>
        <v>0</v>
      </c>
      <c r="G32" s="265"/>
      <c r="H32" s="598">
        <f t="shared" si="11"/>
        <v>0</v>
      </c>
      <c r="I32" s="438" t="str">
        <f t="shared" si="12"/>
        <v/>
      </c>
      <c r="K32" s="415"/>
      <c r="L32" s="415"/>
      <c r="M32" s="415"/>
      <c r="N32" s="415"/>
      <c r="O32" s="415"/>
      <c r="P32" s="415"/>
      <c r="Q32" s="415"/>
      <c r="R32" s="415"/>
      <c r="S32" s="415"/>
      <c r="T32" s="415"/>
      <c r="U32" s="415"/>
      <c r="V32" s="415"/>
      <c r="W32" s="415"/>
      <c r="Y32" s="221"/>
      <c r="Z32" s="221"/>
      <c r="AA32" s="221"/>
    </row>
    <row r="33" spans="2:27" hidden="1">
      <c r="B33" s="284">
        <f>Inputs!B95</f>
        <v>0</v>
      </c>
      <c r="C33" s="252" t="s">
        <v>9</v>
      </c>
      <c r="D33" s="366">
        <f>Inputs!D95</f>
        <v>0</v>
      </c>
      <c r="E33" s="359">
        <f>Inputs!E95</f>
        <v>0</v>
      </c>
      <c r="F33" s="124">
        <f>Inputs!T95</f>
        <v>0</v>
      </c>
      <c r="G33" s="265"/>
      <c r="H33" s="598">
        <f t="shared" si="11"/>
        <v>0</v>
      </c>
      <c r="I33" s="438" t="str">
        <f t="shared" si="12"/>
        <v/>
      </c>
      <c r="K33" s="415"/>
      <c r="L33" s="415"/>
      <c r="M33" s="415"/>
      <c r="N33" s="415"/>
      <c r="O33" s="415"/>
      <c r="P33" s="415"/>
      <c r="Q33" s="415"/>
      <c r="R33" s="415"/>
      <c r="S33" s="415"/>
      <c r="T33" s="415"/>
      <c r="U33" s="415"/>
      <c r="V33" s="415"/>
      <c r="W33" s="415"/>
      <c r="Y33" s="221"/>
      <c r="Z33" s="221"/>
      <c r="AA33" s="221"/>
    </row>
    <row r="34" spans="2:27" ht="27" customHeight="1" thickBot="1">
      <c r="B34" s="172" t="s">
        <v>37</v>
      </c>
      <c r="C34" s="829" t="s">
        <v>118</v>
      </c>
      <c r="D34" s="830"/>
      <c r="E34" s="830"/>
      <c r="F34" s="830"/>
      <c r="G34" s="831"/>
      <c r="H34" s="447">
        <f>(SUM(H22,H25:H27,H29:H33,D40:D48)/2+H13)*Inputs!E111*E1/365</f>
        <v>0</v>
      </c>
      <c r="I34" s="446" t="str">
        <f>IF(B34="","",IF(($C$4+$C$5)=0,"",H34/($C$4+$C$5)))</f>
        <v/>
      </c>
      <c r="K34" s="415"/>
      <c r="L34" s="415"/>
      <c r="M34" s="415"/>
      <c r="N34" s="415"/>
      <c r="O34" s="415"/>
      <c r="P34" s="415"/>
      <c r="Q34" s="415"/>
      <c r="R34" s="415"/>
      <c r="S34" s="415"/>
      <c r="T34" s="415"/>
      <c r="U34" s="415"/>
      <c r="V34" s="415"/>
      <c r="W34" s="415"/>
      <c r="Y34" s="221"/>
      <c r="Z34" s="221"/>
      <c r="AA34" s="221"/>
    </row>
    <row r="35" spans="2:27" ht="14.25" thickTop="1" thickBot="1">
      <c r="B35" s="253"/>
      <c r="C35" s="244"/>
      <c r="D35" s="259"/>
      <c r="E35" s="259"/>
      <c r="F35" s="282"/>
      <c r="G35" s="259" t="s">
        <v>145</v>
      </c>
      <c r="H35" s="599">
        <f>SUM(H25:H34)</f>
        <v>0</v>
      </c>
      <c r="I35" s="560">
        <f>SUM(I25:I34)</f>
        <v>0</v>
      </c>
      <c r="K35" s="415"/>
      <c r="L35" s="415"/>
      <c r="M35" s="415"/>
      <c r="N35" s="415"/>
      <c r="O35" s="415"/>
      <c r="P35" s="415"/>
      <c r="Q35" s="415"/>
      <c r="R35" s="415"/>
      <c r="S35" s="415"/>
      <c r="T35" s="415"/>
      <c r="U35" s="415"/>
      <c r="V35" s="415"/>
      <c r="W35" s="415"/>
      <c r="Y35" s="221"/>
      <c r="Z35" s="221"/>
      <c r="AA35" s="221"/>
    </row>
    <row r="36" spans="2:27" ht="13.5" thickBot="1">
      <c r="B36" s="123"/>
      <c r="C36" s="96"/>
      <c r="D36" s="42"/>
      <c r="E36" s="42"/>
      <c r="F36" s="42"/>
      <c r="G36" s="21" t="s">
        <v>104</v>
      </c>
      <c r="H36" s="600">
        <f>H13+H22+H35</f>
        <v>0</v>
      </c>
      <c r="I36" s="617">
        <f>I13+I22+I35</f>
        <v>0</v>
      </c>
      <c r="K36" s="415"/>
      <c r="L36" s="415"/>
      <c r="M36" s="415"/>
      <c r="N36" s="415"/>
      <c r="O36" s="415"/>
      <c r="P36" s="415"/>
      <c r="Q36" s="415"/>
      <c r="R36" s="415"/>
      <c r="S36" s="415"/>
      <c r="T36" s="415"/>
      <c r="U36" s="415"/>
      <c r="V36" s="415"/>
      <c r="W36" s="415"/>
      <c r="Y36" s="221"/>
      <c r="Z36" s="221"/>
      <c r="AA36" s="221"/>
    </row>
    <row r="37" spans="2:27" ht="13.5" thickBot="1">
      <c r="B37" s="251"/>
      <c r="C37" s="251"/>
      <c r="D37" s="251"/>
      <c r="E37" s="251"/>
      <c r="F37" s="258"/>
      <c r="G37" s="258"/>
      <c r="H37" s="601"/>
      <c r="I37" s="618" t="str">
        <f>IF(H37=0,"",H37/$C$5)</f>
        <v/>
      </c>
      <c r="Y37" s="221"/>
      <c r="Z37" s="221"/>
      <c r="AA37" s="221"/>
    </row>
    <row r="38" spans="2:27" ht="26.25" thickBot="1">
      <c r="B38" s="41" t="s">
        <v>109</v>
      </c>
      <c r="C38" s="108"/>
      <c r="D38" s="109"/>
      <c r="E38" s="109"/>
      <c r="F38" s="109"/>
      <c r="G38" s="109"/>
      <c r="H38" s="591" t="s">
        <v>74</v>
      </c>
      <c r="I38" s="610" t="s">
        <v>94</v>
      </c>
      <c r="Y38" s="221"/>
      <c r="Z38" s="221"/>
      <c r="AA38" s="221"/>
    </row>
    <row r="39" spans="2:27">
      <c r="B39" s="263" t="s">
        <v>39</v>
      </c>
      <c r="C39" s="243"/>
      <c r="D39" s="364" t="s">
        <v>15</v>
      </c>
      <c r="E39" s="364"/>
      <c r="F39" s="364" t="s">
        <v>48</v>
      </c>
      <c r="G39" s="266"/>
      <c r="H39" s="602" t="s">
        <v>31</v>
      </c>
      <c r="I39" s="619" t="s">
        <v>31</v>
      </c>
      <c r="Y39" s="221"/>
      <c r="Z39" s="221"/>
      <c r="AA39" s="221"/>
    </row>
    <row r="40" spans="2:27">
      <c r="B40" s="250" t="str">
        <f>Inputs!B100</f>
        <v>Machinery (Livestock)</v>
      </c>
      <c r="C40" s="243"/>
      <c r="D40" s="366">
        <f>Inputs!G100</f>
        <v>2000</v>
      </c>
      <c r="E40" s="256"/>
      <c r="F40" s="264">
        <f>IF(D40=0,0,Inputs!T100)</f>
        <v>0</v>
      </c>
      <c r="G40" s="272"/>
      <c r="H40" s="444">
        <f>IF(B40="","",D40*F40)</f>
        <v>0</v>
      </c>
      <c r="I40" s="438" t="str">
        <f>IF(B40="","",IF(($C$4+$C$5)=0,"",H40/($C$4+$C$5)))</f>
        <v/>
      </c>
      <c r="Y40" s="221"/>
      <c r="Z40" s="221"/>
      <c r="AA40" s="221"/>
    </row>
    <row r="41" spans="2:27">
      <c r="B41" s="250" t="str">
        <f>Inputs!B101</f>
        <v>Vehicles</v>
      </c>
      <c r="C41" s="243"/>
      <c r="D41" s="366">
        <f>Inputs!G101</f>
        <v>1200</v>
      </c>
      <c r="E41" s="256"/>
      <c r="F41" s="264">
        <f>IF(D41=0,0,Inputs!T101)</f>
        <v>0</v>
      </c>
      <c r="G41" s="272"/>
      <c r="H41" s="44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IF(D42=0,0,Inputs!T102)</f>
        <v>0</v>
      </c>
      <c r="G42" s="272"/>
      <c r="H42" s="444">
        <f t="shared" si="13"/>
        <v>0</v>
      </c>
      <c r="I42" s="438" t="str">
        <f t="shared" si="14"/>
        <v/>
      </c>
      <c r="Y42" s="221"/>
      <c r="Z42" s="221"/>
      <c r="AA42" s="221"/>
    </row>
    <row r="43" spans="2:27">
      <c r="B43" s="284">
        <f>Inputs!B103</f>
        <v>0</v>
      </c>
      <c r="C43" s="251"/>
      <c r="D43" s="366">
        <f>Inputs!G103</f>
        <v>0</v>
      </c>
      <c r="E43" s="256"/>
      <c r="F43" s="264">
        <f>IF(D43=0,0,Inputs!T103)</f>
        <v>0</v>
      </c>
      <c r="G43" s="272"/>
      <c r="H43" s="444">
        <f t="shared" si="13"/>
        <v>0</v>
      </c>
      <c r="I43" s="438" t="str">
        <f t="shared" si="14"/>
        <v/>
      </c>
      <c r="Y43" s="221"/>
      <c r="Z43" s="221"/>
      <c r="AA43" s="221"/>
    </row>
    <row r="44" spans="2:27" hidden="1">
      <c r="B44" s="284">
        <f>Inputs!B104</f>
        <v>0</v>
      </c>
      <c r="C44" s="251"/>
      <c r="D44" s="366">
        <f>Inputs!G104</f>
        <v>0</v>
      </c>
      <c r="E44" s="256"/>
      <c r="F44" s="264">
        <f>IF(D44=0,0,Inputs!T104)</f>
        <v>0</v>
      </c>
      <c r="G44" s="272"/>
      <c r="H44" s="444">
        <f t="shared" si="13"/>
        <v>0</v>
      </c>
      <c r="I44" s="438" t="str">
        <f t="shared" si="14"/>
        <v/>
      </c>
      <c r="Y44" s="221"/>
      <c r="Z44" s="221"/>
      <c r="AA44" s="221"/>
    </row>
    <row r="45" spans="2:27" hidden="1">
      <c r="B45" s="284">
        <f>Inputs!B105</f>
        <v>0</v>
      </c>
      <c r="C45" s="251"/>
      <c r="D45" s="366">
        <f>Inputs!G105</f>
        <v>0</v>
      </c>
      <c r="E45" s="256"/>
      <c r="F45" s="264">
        <f>IF(D45=0,0,Inputs!T105)</f>
        <v>0</v>
      </c>
      <c r="G45" s="272"/>
      <c r="H45" s="444">
        <f t="shared" si="13"/>
        <v>0</v>
      </c>
      <c r="I45" s="438" t="str">
        <f t="shared" si="14"/>
        <v/>
      </c>
      <c r="Y45" s="221"/>
      <c r="Z45" s="221"/>
      <c r="AA45" s="221"/>
    </row>
    <row r="46" spans="2:27" hidden="1">
      <c r="B46" s="284">
        <f>Inputs!B106</f>
        <v>0</v>
      </c>
      <c r="C46" s="251"/>
      <c r="D46" s="366">
        <f>Inputs!G106</f>
        <v>0</v>
      </c>
      <c r="E46" s="256"/>
      <c r="F46" s="264">
        <f>IF(D46=0,0,Inputs!T106)</f>
        <v>0</v>
      </c>
      <c r="G46" s="272"/>
      <c r="H46" s="444">
        <f t="shared" si="13"/>
        <v>0</v>
      </c>
      <c r="I46" s="438" t="str">
        <f t="shared" si="14"/>
        <v/>
      </c>
      <c r="Y46" s="221"/>
      <c r="Z46" s="221"/>
      <c r="AA46" s="221"/>
    </row>
    <row r="47" spans="2:27" hidden="1">
      <c r="B47" s="284">
        <f>Inputs!B107</f>
        <v>0</v>
      </c>
      <c r="C47" s="251"/>
      <c r="D47" s="366">
        <f>Inputs!G107</f>
        <v>0</v>
      </c>
      <c r="E47" s="256"/>
      <c r="F47" s="264">
        <f>IF(D47=0,0,Inputs!T107)</f>
        <v>0</v>
      </c>
      <c r="G47" s="272"/>
      <c r="H47" s="444">
        <f t="shared" si="13"/>
        <v>0</v>
      </c>
      <c r="I47" s="438" t="str">
        <f t="shared" si="14"/>
        <v/>
      </c>
      <c r="Y47" s="221"/>
      <c r="Z47" s="221"/>
      <c r="AA47" s="221"/>
    </row>
    <row r="48" spans="2:27" ht="13.5" thickBot="1">
      <c r="B48" s="284">
        <f>Inputs!B108</f>
        <v>0</v>
      </c>
      <c r="C48" s="251"/>
      <c r="D48" s="366">
        <f>Inputs!G108</f>
        <v>0</v>
      </c>
      <c r="E48" s="256"/>
      <c r="F48" s="264">
        <f>IF(D48=0,0,Inputs!T108)</f>
        <v>0</v>
      </c>
      <c r="G48" s="272"/>
      <c r="H48" s="449">
        <f t="shared" si="13"/>
        <v>0</v>
      </c>
      <c r="I48" s="439" t="str">
        <f t="shared" si="14"/>
        <v/>
      </c>
      <c r="Y48" s="221"/>
      <c r="Z48" s="221"/>
      <c r="AA48" s="221"/>
    </row>
    <row r="49" spans="1:45" ht="13.5" thickTop="1">
      <c r="B49" s="250"/>
      <c r="C49" s="243"/>
      <c r="D49" s="239"/>
      <c r="E49" s="92"/>
      <c r="F49" s="92"/>
      <c r="G49" s="126" t="s">
        <v>112</v>
      </c>
      <c r="H49" s="603">
        <f>SUM(H40:H48)</f>
        <v>0</v>
      </c>
      <c r="I49" s="440">
        <f>SUM(I40:I48)</f>
        <v>0</v>
      </c>
      <c r="Y49" s="221"/>
      <c r="Z49" s="221"/>
      <c r="AA49" s="221"/>
    </row>
    <row r="50" spans="1:45">
      <c r="B50" s="250"/>
      <c r="C50" s="243"/>
      <c r="D50" s="251"/>
      <c r="E50" s="251"/>
      <c r="F50" s="251"/>
      <c r="G50" s="251"/>
      <c r="H50" s="441"/>
      <c r="I50" s="469" t="str">
        <f>IF(H50=0,"",H50/$C$5)</f>
        <v/>
      </c>
      <c r="Y50" s="221"/>
      <c r="Z50" s="221"/>
      <c r="AA50" s="221"/>
    </row>
    <row r="51" spans="1:45">
      <c r="B51" s="263" t="s">
        <v>54</v>
      </c>
      <c r="C51" s="243"/>
      <c r="D51" s="364" t="s">
        <v>56</v>
      </c>
      <c r="E51" s="251"/>
      <c r="F51" s="364" t="s">
        <v>48</v>
      </c>
      <c r="G51" s="265"/>
      <c r="H51" s="526" t="s">
        <v>31</v>
      </c>
      <c r="I51" s="614" t="s">
        <v>31</v>
      </c>
      <c r="Y51" s="221"/>
      <c r="Z51" s="221"/>
      <c r="AA51" s="221"/>
    </row>
    <row r="52" spans="1:45">
      <c r="B52" s="250" t="str">
        <f>Inputs!B117</f>
        <v>Real Estate Tax*</v>
      </c>
      <c r="C52" s="243"/>
      <c r="D52" s="110">
        <f>Inputs!E117</f>
        <v>0</v>
      </c>
      <c r="E52" s="251"/>
      <c r="F52" s="279">
        <f>IF(D52=0,0,Inputs!T117)</f>
        <v>0</v>
      </c>
      <c r="G52" s="265"/>
      <c r="H52" s="444">
        <f>F52*Inputs!E117</f>
        <v>0</v>
      </c>
      <c r="I52" s="438" t="str">
        <f>IF(B52="","",IF(($C$4+$C$5)=0,"",H52/($C$4+$C$5)))</f>
        <v/>
      </c>
      <c r="Y52" s="221"/>
      <c r="Z52" s="221"/>
      <c r="AA52" s="221"/>
    </row>
    <row r="53" spans="1:45">
      <c r="B53" s="250" t="str">
        <f>Inputs!B118</f>
        <v>Annual Insurance Premium</v>
      </c>
      <c r="C53" s="243"/>
      <c r="D53" s="110">
        <f>Inputs!E118</f>
        <v>3000</v>
      </c>
      <c r="E53" s="251"/>
      <c r="F53" s="279">
        <f>IF(D53=0,0,Inputs!T118)</f>
        <v>0</v>
      </c>
      <c r="G53" s="265"/>
      <c r="H53" s="444">
        <f>F53*Inputs!E118</f>
        <v>0</v>
      </c>
      <c r="I53" s="438" t="str">
        <f>IF(B53="","",IF(($C$4+$C$5)=0,"",H53/($C$4+$C$5)))</f>
        <v/>
      </c>
      <c r="Y53" s="221"/>
      <c r="Z53" s="221"/>
      <c r="AA53" s="221"/>
    </row>
    <row r="54" spans="1:45">
      <c r="B54" s="250" t="str">
        <f>Inputs!B119</f>
        <v>Professional Fees</v>
      </c>
      <c r="C54" s="243"/>
      <c r="D54" s="110">
        <f>Inputs!E119</f>
        <v>1500</v>
      </c>
      <c r="E54" s="251"/>
      <c r="F54" s="279">
        <f>IF(D54=0,0,Inputs!T119)</f>
        <v>0</v>
      </c>
      <c r="G54" s="265"/>
      <c r="H54" s="444">
        <f>F54*Inputs!E119</f>
        <v>0</v>
      </c>
      <c r="I54" s="438" t="str">
        <f>IF(B54="","",IF(($C$4+$C$5)=0,"",H54/($C$4+$C$5)))</f>
        <v/>
      </c>
      <c r="Y54" s="221"/>
      <c r="Z54" s="221"/>
      <c r="AA54" s="221"/>
    </row>
    <row r="55" spans="1:45">
      <c r="B55" s="250" t="str">
        <f>Inputs!B120</f>
        <v>Annual Management Charge</v>
      </c>
      <c r="C55" s="243"/>
      <c r="D55" s="110">
        <f>Inputs!E120</f>
        <v>0</v>
      </c>
      <c r="E55" s="251"/>
      <c r="F55" s="279">
        <f>IF(D55=0,0,Inputs!T120)</f>
        <v>0</v>
      </c>
      <c r="G55" s="265"/>
      <c r="H55" s="444">
        <f>F55*Inputs!E120</f>
        <v>0</v>
      </c>
      <c r="I55" s="438" t="str">
        <f>IF(B55="","",IF(($C$4+$C$5)=0,"",H55/($C$4+$C$5)))</f>
        <v/>
      </c>
      <c r="Y55" s="221"/>
      <c r="Z55" s="221"/>
      <c r="AA55" s="221"/>
    </row>
    <row r="56" spans="1:45" ht="13.5" thickBot="1">
      <c r="B56" s="250" t="str">
        <f>Inputs!B121</f>
        <v>Other</v>
      </c>
      <c r="C56" s="243"/>
      <c r="D56" s="110">
        <f>Inputs!E121</f>
        <v>0</v>
      </c>
      <c r="E56" s="251"/>
      <c r="F56" s="279">
        <f>IF(D56=0,0,Inputs!T121)</f>
        <v>0</v>
      </c>
      <c r="G56" s="265"/>
      <c r="H56" s="449">
        <f>F56*Inputs!E121</f>
        <v>0</v>
      </c>
      <c r="I56" s="439" t="str">
        <f>IF(B56="","",IF(($C$4+$C$5)=0,"",H56/($C$4+$C$5)))</f>
        <v/>
      </c>
      <c r="Y56" s="221"/>
      <c r="Z56" s="221"/>
      <c r="AA56" s="221"/>
    </row>
    <row r="57" spans="1:45" ht="14.25" thickTop="1" thickBot="1">
      <c r="B57" s="253"/>
      <c r="C57" s="244"/>
      <c r="D57" s="254"/>
      <c r="E57" s="254"/>
      <c r="F57" s="239"/>
      <c r="G57" s="259" t="s">
        <v>43</v>
      </c>
      <c r="H57" s="442">
        <f>SUM(H52:H56)</f>
        <v>0</v>
      </c>
      <c r="I57" s="443">
        <f>SUM(I52:I56)</f>
        <v>0</v>
      </c>
      <c r="K57" s="223"/>
      <c r="Y57" s="221"/>
      <c r="Z57" s="221"/>
      <c r="AA57" s="221"/>
    </row>
    <row r="58" spans="1:45" ht="13.5" thickBot="1">
      <c r="B58" s="99">
        <v>217480.06701030929</v>
      </c>
      <c r="C58" s="96"/>
      <c r="D58" s="42"/>
      <c r="E58" s="42"/>
      <c r="F58" s="42"/>
      <c r="G58" s="21" t="s">
        <v>103</v>
      </c>
      <c r="H58" s="600">
        <f>H49+H57</f>
        <v>0</v>
      </c>
      <c r="I58" s="620">
        <f>I49+I57</f>
        <v>0</v>
      </c>
      <c r="J58" s="160"/>
      <c r="Y58" s="221"/>
      <c r="Z58" s="221"/>
      <c r="AA58" s="221"/>
    </row>
    <row r="59" spans="1:45" ht="13.5" thickBot="1">
      <c r="B59" s="43"/>
      <c r="C59" s="43"/>
      <c r="D59" s="43"/>
      <c r="E59" s="43"/>
      <c r="F59" s="43"/>
      <c r="G59" s="43"/>
      <c r="H59" s="445"/>
      <c r="I59" s="609" t="str">
        <f>IF(H59=0,"",H59/$C$5)</f>
        <v/>
      </c>
      <c r="Y59" s="221"/>
      <c r="Z59" s="221"/>
      <c r="AA59" s="221"/>
    </row>
    <row r="60" spans="1:45" ht="13.5" thickBot="1">
      <c r="B60" s="98"/>
      <c r="C60" s="96"/>
      <c r="D60" s="67"/>
      <c r="E60" s="67"/>
      <c r="F60" s="67"/>
      <c r="G60" s="21" t="s">
        <v>111</v>
      </c>
      <c r="H60" s="600">
        <f>H36+H58</f>
        <v>0</v>
      </c>
      <c r="I60" s="620">
        <f>I36+I58</f>
        <v>0</v>
      </c>
      <c r="Y60" s="221"/>
      <c r="Z60" s="221"/>
      <c r="AA60" s="221"/>
    </row>
    <row r="61" spans="1:45" ht="13.5" thickBot="1">
      <c r="B61" s="104"/>
      <c r="C61" s="104"/>
      <c r="D61" s="104"/>
      <c r="E61" s="104"/>
      <c r="F61" s="104"/>
      <c r="G61" s="104"/>
      <c r="H61" s="604"/>
      <c r="I61" s="621"/>
      <c r="Y61" s="221"/>
      <c r="Z61" s="221"/>
      <c r="AA61" s="221"/>
    </row>
    <row r="62" spans="1:45" ht="13.5" thickBot="1">
      <c r="B62" s="98"/>
      <c r="C62" s="96"/>
      <c r="D62" s="67"/>
      <c r="E62" s="67"/>
      <c r="F62" s="67"/>
      <c r="G62" s="21" t="s">
        <v>105</v>
      </c>
      <c r="H62" s="600">
        <f>H7-H60</f>
        <v>0</v>
      </c>
      <c r="I62" s="622">
        <f>I7-I60</f>
        <v>0</v>
      </c>
      <c r="Y62" s="221"/>
      <c r="Z62" s="221"/>
      <c r="AA62" s="221"/>
    </row>
    <row r="63" spans="1:45" s="216" customFormat="1" ht="13.5" thickBot="1">
      <c r="A63" s="277"/>
      <c r="B63" s="251"/>
      <c r="C63" s="251"/>
      <c r="D63" s="251"/>
      <c r="E63" s="251"/>
      <c r="F63" s="43"/>
      <c r="G63" s="43"/>
      <c r="H63" s="590"/>
      <c r="I63" s="60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5" t="s">
        <v>74</v>
      </c>
      <c r="I64" s="623"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6" t="s">
        <v>31</v>
      </c>
      <c r="I65" s="614"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 (Livestock)</v>
      </c>
      <c r="C66" s="243"/>
      <c r="D66" s="366">
        <f>IF(Inputs!F100=0,0,(Inputs!D100-Inputs!E100)/Inputs!F100)</f>
        <v>9000</v>
      </c>
      <c r="E66" s="365">
        <f>Inputs!D100*Inputs!$E$112</f>
        <v>4500</v>
      </c>
      <c r="F66" s="264">
        <f>IF(SUM(D66:E66)=0,0,Inputs!T100)</f>
        <v>0</v>
      </c>
      <c r="G66" s="256"/>
      <c r="H66" s="44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2857.1428571428573</v>
      </c>
      <c r="E67" s="365">
        <f>Inputs!D101*Inputs!$E$112</f>
        <v>1050</v>
      </c>
      <c r="F67" s="264">
        <f>IF(SUM(D67:E67)=0,0,Inputs!T101)</f>
        <v>0</v>
      </c>
      <c r="G67" s="256"/>
      <c r="H67" s="44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6">
        <f>SUM(H66:H75)</f>
        <v>0</v>
      </c>
      <c r="I76" s="624">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0"/>
      <c r="I77" s="60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07" t="s">
        <v>74</v>
      </c>
      <c r="I78" s="625"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6">
        <f>H60+H76</f>
        <v>0</v>
      </c>
      <c r="I79" s="626">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08"/>
      <c r="I80" s="627"/>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0">
        <f>H7-H79</f>
        <v>0</v>
      </c>
      <c r="I81" s="628">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topLeftCell="A7" workbookViewId="0">
      <selection activeCell="D27" sqref="D27"/>
    </sheetView>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39.75" thickBot="1">
      <c r="B1" s="44" t="s">
        <v>237</v>
      </c>
      <c r="C1" s="215"/>
      <c r="D1" s="215"/>
      <c r="E1" s="196">
        <f>Inputs!G60</f>
        <v>0</v>
      </c>
      <c r="F1" s="224" t="s">
        <v>144</v>
      </c>
      <c r="G1" s="215"/>
      <c r="H1" s="215"/>
      <c r="J1" s="415"/>
      <c r="K1" s="415"/>
      <c r="L1" s="416" t="s">
        <v>187</v>
      </c>
      <c r="M1" s="416" t="str">
        <f>IF(Inputs!$B$68=0,"",Inputs!$B$68)</f>
        <v/>
      </c>
      <c r="N1" s="416" t="str">
        <f>IF(Inputs!$B$69=0,"",Inputs!$B$69)</f>
        <v>Pasture</v>
      </c>
      <c r="O1" s="416" t="str">
        <f>IF(Inputs!B70=0,"",Inputs!B70)</f>
        <v>Prairie Hay</v>
      </c>
      <c r="P1" s="416" t="str">
        <f>IF(Inputs!B71=0,"",Inputs!B71)</f>
        <v>Alfalfa</v>
      </c>
      <c r="Q1" s="416" t="str">
        <f>IF(Inputs!B72=0,"",Inputs!B72)</f>
        <v>DDG Cubes</v>
      </c>
      <c r="R1" s="416" t="str">
        <f>IF(Inputs!B73=0,"",Inputs!B73)</f>
        <v>Salt and Mineral</v>
      </c>
      <c r="S1" s="416" t="str">
        <f>IF(Inputs!B74=0,"",Inputs!B74)</f>
        <v>Corn Stalks</v>
      </c>
      <c r="T1" s="416" t="str">
        <f>IF(Inputs!B75=0,"",Inputs!B75)</f>
        <v>Dried Rolled Corn</v>
      </c>
      <c r="U1" s="416" t="str">
        <f>IF(Inputs!B76=0,"",Inputs!B76)</f>
        <v/>
      </c>
      <c r="V1" s="416" t="str">
        <f>IF(Inputs!B77=0,"",Inputs!B77)</f>
        <v/>
      </c>
      <c r="W1" s="418" t="s">
        <v>31</v>
      </c>
    </row>
    <row r="2" spans="1:27" ht="16.5" thickBot="1">
      <c r="B2" s="41" t="s">
        <v>97</v>
      </c>
      <c r="C2" s="108"/>
      <c r="D2" s="109"/>
      <c r="E2" s="109"/>
      <c r="F2" s="41"/>
      <c r="G2" s="119"/>
      <c r="H2" s="399" t="s">
        <v>74</v>
      </c>
      <c r="J2" s="417"/>
      <c r="K2" s="417"/>
      <c r="L2" s="417">
        <f t="shared" ref="L2:L7" si="0">B15</f>
        <v>0</v>
      </c>
      <c r="M2" s="417">
        <f t="shared" ref="M2:V2" si="1">IF(M$1=$L2,$J15,0)</f>
        <v>0</v>
      </c>
      <c r="N2" s="417">
        <f t="shared" si="1"/>
        <v>0</v>
      </c>
      <c r="O2" s="417">
        <f t="shared" si="1"/>
        <v>0</v>
      </c>
      <c r="P2" s="417">
        <f t="shared" si="1"/>
        <v>0</v>
      </c>
      <c r="Q2" s="417">
        <f t="shared" si="1"/>
        <v>0</v>
      </c>
      <c r="R2" s="417">
        <f t="shared" si="1"/>
        <v>0</v>
      </c>
      <c r="S2" s="417">
        <f t="shared" si="1"/>
        <v>0</v>
      </c>
      <c r="T2" s="417">
        <f t="shared" si="1"/>
        <v>0</v>
      </c>
      <c r="U2" s="417">
        <f t="shared" si="1"/>
        <v>0</v>
      </c>
      <c r="V2" s="417">
        <f t="shared" si="1"/>
        <v>0</v>
      </c>
      <c r="W2" s="417">
        <f t="shared" ref="W2:W7" si="2">SUM(M2:V2)</f>
        <v>0</v>
      </c>
    </row>
    <row r="3" spans="1:27">
      <c r="B3" s="255"/>
      <c r="C3" s="390" t="s">
        <v>44</v>
      </c>
      <c r="D3" s="391" t="s">
        <v>30</v>
      </c>
      <c r="E3" s="391" t="s">
        <v>5</v>
      </c>
      <c r="F3" s="120"/>
      <c r="G3" s="121"/>
      <c r="H3" s="91" t="s">
        <v>31</v>
      </c>
      <c r="J3" s="415"/>
      <c r="K3" s="415"/>
      <c r="L3" s="417">
        <f t="shared" si="0"/>
        <v>0</v>
      </c>
      <c r="M3" s="417">
        <f t="shared" ref="M3:V3" si="3">IF(M$1=$L3,$J16,0)</f>
        <v>0</v>
      </c>
      <c r="N3" s="417">
        <f t="shared" si="3"/>
        <v>0</v>
      </c>
      <c r="O3" s="417">
        <f t="shared" si="3"/>
        <v>0</v>
      </c>
      <c r="P3" s="417">
        <f t="shared" si="3"/>
        <v>0</v>
      </c>
      <c r="Q3" s="417">
        <f t="shared" si="3"/>
        <v>0</v>
      </c>
      <c r="R3" s="417">
        <f t="shared" si="3"/>
        <v>0</v>
      </c>
      <c r="S3" s="417">
        <f t="shared" si="3"/>
        <v>0</v>
      </c>
      <c r="T3" s="417">
        <f t="shared" si="3"/>
        <v>0</v>
      </c>
      <c r="U3" s="417">
        <f t="shared" si="3"/>
        <v>0</v>
      </c>
      <c r="V3" s="417">
        <f t="shared" si="3"/>
        <v>0</v>
      </c>
      <c r="W3" s="417">
        <f t="shared" si="2"/>
        <v>0</v>
      </c>
    </row>
    <row r="4" spans="1:27">
      <c r="B4" s="250" t="s">
        <v>236</v>
      </c>
      <c r="C4" s="192">
        <f>Inputs!O63</f>
        <v>0</v>
      </c>
      <c r="D4" s="369">
        <f>Inputs!G63</f>
        <v>0</v>
      </c>
      <c r="E4" s="402">
        <f>Inputs!G64</f>
        <v>0</v>
      </c>
      <c r="F4" s="251" t="s">
        <v>1</v>
      </c>
      <c r="G4" s="368"/>
      <c r="H4" s="452">
        <f>C4*D4*E4/100</f>
        <v>0</v>
      </c>
      <c r="J4" s="415"/>
      <c r="K4" s="415"/>
      <c r="L4" s="417">
        <f t="shared" si="0"/>
        <v>0</v>
      </c>
      <c r="M4" s="417">
        <f t="shared" ref="M4:V4" si="4">IF(M$1=$L4,$J17,0)</f>
        <v>0</v>
      </c>
      <c r="N4" s="417">
        <f t="shared" si="4"/>
        <v>0</v>
      </c>
      <c r="O4" s="417">
        <f t="shared" si="4"/>
        <v>0</v>
      </c>
      <c r="P4" s="417">
        <f t="shared" si="4"/>
        <v>0</v>
      </c>
      <c r="Q4" s="417">
        <f t="shared" si="4"/>
        <v>0</v>
      </c>
      <c r="R4" s="417">
        <f t="shared" si="4"/>
        <v>0</v>
      </c>
      <c r="S4" s="417">
        <f t="shared" si="4"/>
        <v>0</v>
      </c>
      <c r="T4" s="417">
        <f t="shared" si="4"/>
        <v>0</v>
      </c>
      <c r="U4" s="417">
        <f t="shared" si="4"/>
        <v>0</v>
      </c>
      <c r="V4" s="417">
        <f t="shared" si="4"/>
        <v>0</v>
      </c>
      <c r="W4" s="417">
        <f t="shared" si="2"/>
        <v>0</v>
      </c>
    </row>
    <row r="5" spans="1:27" ht="13.5" thickBot="1">
      <c r="B5" s="250"/>
      <c r="C5" s="243"/>
      <c r="D5" s="251"/>
      <c r="E5" s="251"/>
      <c r="F5" s="251"/>
      <c r="G5" s="265"/>
      <c r="H5" s="452"/>
      <c r="J5" s="415"/>
      <c r="K5" s="415"/>
      <c r="L5" s="417">
        <f t="shared" si="0"/>
        <v>0</v>
      </c>
      <c r="M5" s="417">
        <f t="shared" ref="M5:V5" si="5">IF(M$1=$L5,$J18,0)</f>
        <v>0</v>
      </c>
      <c r="N5" s="417">
        <f t="shared" si="5"/>
        <v>0</v>
      </c>
      <c r="O5" s="417">
        <f t="shared" si="5"/>
        <v>0</v>
      </c>
      <c r="P5" s="417">
        <f t="shared" si="5"/>
        <v>0</v>
      </c>
      <c r="Q5" s="417">
        <f t="shared" si="5"/>
        <v>0</v>
      </c>
      <c r="R5" s="417">
        <f t="shared" si="5"/>
        <v>0</v>
      </c>
      <c r="S5" s="417">
        <f t="shared" si="5"/>
        <v>0</v>
      </c>
      <c r="T5" s="417">
        <f t="shared" si="5"/>
        <v>0</v>
      </c>
      <c r="U5" s="417">
        <f t="shared" si="5"/>
        <v>0</v>
      </c>
      <c r="V5" s="417">
        <f t="shared" si="5"/>
        <v>0</v>
      </c>
      <c r="W5" s="417">
        <f t="shared" si="2"/>
        <v>0</v>
      </c>
    </row>
    <row r="6" spans="1:27" ht="13.5" thickBot="1">
      <c r="B6" s="123"/>
      <c r="C6" s="96"/>
      <c r="D6" s="42"/>
      <c r="E6" s="42"/>
      <c r="F6" s="42"/>
      <c r="G6" s="97" t="s">
        <v>110</v>
      </c>
      <c r="H6" s="629">
        <f>SUM(H4:H5)</f>
        <v>0</v>
      </c>
      <c r="J6" s="415"/>
      <c r="K6" s="415"/>
      <c r="L6" s="417">
        <f t="shared" si="0"/>
        <v>0</v>
      </c>
      <c r="M6" s="417">
        <f t="shared" ref="M6:V6" si="6">IF(M$1=$L6,$J19,0)</f>
        <v>0</v>
      </c>
      <c r="N6" s="417">
        <f t="shared" si="6"/>
        <v>0</v>
      </c>
      <c r="O6" s="417">
        <f t="shared" si="6"/>
        <v>0</v>
      </c>
      <c r="P6" s="417">
        <f t="shared" si="6"/>
        <v>0</v>
      </c>
      <c r="Q6" s="417">
        <f t="shared" si="6"/>
        <v>0</v>
      </c>
      <c r="R6" s="417">
        <f t="shared" si="6"/>
        <v>0</v>
      </c>
      <c r="S6" s="417">
        <f t="shared" si="6"/>
        <v>0</v>
      </c>
      <c r="T6" s="417">
        <f t="shared" si="6"/>
        <v>0</v>
      </c>
      <c r="U6" s="417">
        <f t="shared" si="6"/>
        <v>0</v>
      </c>
      <c r="V6" s="417">
        <f t="shared" si="6"/>
        <v>0</v>
      </c>
      <c r="W6" s="417">
        <f t="shared" si="2"/>
        <v>0</v>
      </c>
    </row>
    <row r="7" spans="1:27" ht="13.5" thickBot="1">
      <c r="B7" s="53"/>
      <c r="C7" s="53"/>
      <c r="D7" s="43"/>
      <c r="E7" s="43"/>
      <c r="F7" s="43"/>
      <c r="G7" s="43"/>
      <c r="H7" s="590"/>
      <c r="J7" s="415"/>
      <c r="K7" s="415"/>
      <c r="L7" s="417">
        <f t="shared" si="0"/>
        <v>0</v>
      </c>
      <c r="M7" s="417">
        <f t="shared" ref="M7:V7" si="7">IF(M$1=$L7,$J20,0)</f>
        <v>0</v>
      </c>
      <c r="N7" s="417">
        <f t="shared" si="7"/>
        <v>0</v>
      </c>
      <c r="O7" s="417">
        <f t="shared" si="7"/>
        <v>0</v>
      </c>
      <c r="P7" s="417">
        <f t="shared" si="7"/>
        <v>0</v>
      </c>
      <c r="Q7" s="417">
        <f t="shared" si="7"/>
        <v>0</v>
      </c>
      <c r="R7" s="417">
        <f t="shared" si="7"/>
        <v>0</v>
      </c>
      <c r="S7" s="417">
        <f t="shared" si="7"/>
        <v>0</v>
      </c>
      <c r="T7" s="417">
        <f t="shared" si="7"/>
        <v>0</v>
      </c>
      <c r="U7" s="417">
        <f t="shared" si="7"/>
        <v>0</v>
      </c>
      <c r="V7" s="417">
        <f t="shared" si="7"/>
        <v>0</v>
      </c>
      <c r="W7" s="417">
        <f t="shared" si="2"/>
        <v>0</v>
      </c>
    </row>
    <row r="8" spans="1:27" ht="16.5" thickBot="1">
      <c r="B8" s="41" t="s">
        <v>96</v>
      </c>
      <c r="C8" s="108"/>
      <c r="D8" s="109"/>
      <c r="E8" s="109"/>
      <c r="F8" s="109"/>
      <c r="G8" s="109"/>
      <c r="H8" s="630" t="s">
        <v>74</v>
      </c>
      <c r="J8" s="415"/>
      <c r="K8" s="415"/>
      <c r="L8" s="417" t="s">
        <v>31</v>
      </c>
      <c r="M8" s="417">
        <f>SUM(M2:M7)</f>
        <v>0</v>
      </c>
      <c r="N8" s="417">
        <f t="shared" ref="N8:V8" si="8">SUM(N2:N7)</f>
        <v>0</v>
      </c>
      <c r="O8" s="417">
        <f t="shared" si="8"/>
        <v>0</v>
      </c>
      <c r="P8" s="417">
        <f t="shared" si="8"/>
        <v>0</v>
      </c>
      <c r="Q8" s="417">
        <f t="shared" si="8"/>
        <v>0</v>
      </c>
      <c r="R8" s="417">
        <f t="shared" si="8"/>
        <v>0</v>
      </c>
      <c r="S8" s="417">
        <f t="shared" si="8"/>
        <v>0</v>
      </c>
      <c r="T8" s="417">
        <f t="shared" si="8"/>
        <v>0</v>
      </c>
      <c r="U8" s="417">
        <f t="shared" si="8"/>
        <v>0</v>
      </c>
      <c r="V8" s="417">
        <f t="shared" si="8"/>
        <v>0</v>
      </c>
      <c r="W8" s="417"/>
    </row>
    <row r="9" spans="1:27">
      <c r="B9" s="262"/>
      <c r="C9" s="393" t="s">
        <v>44</v>
      </c>
      <c r="D9" s="394" t="s">
        <v>30</v>
      </c>
      <c r="E9" s="394" t="s">
        <v>5</v>
      </c>
      <c r="F9" s="269"/>
      <c r="G9" s="285"/>
      <c r="H9" s="631" t="s">
        <v>31</v>
      </c>
      <c r="J9" s="415" t="s">
        <v>61</v>
      </c>
      <c r="K9" s="415"/>
      <c r="L9" s="415"/>
      <c r="M9" s="415"/>
      <c r="N9" s="415"/>
      <c r="O9" s="415"/>
      <c r="P9" s="415"/>
      <c r="Q9" s="415"/>
      <c r="R9" s="415"/>
      <c r="S9" s="415"/>
      <c r="T9" s="415"/>
      <c r="U9" s="415"/>
      <c r="V9" s="415"/>
      <c r="W9" s="415"/>
    </row>
    <row r="10" spans="1:27">
      <c r="B10" s="27" t="s">
        <v>235</v>
      </c>
      <c r="C10" s="117">
        <f>Inputs!G62</f>
        <v>0</v>
      </c>
      <c r="D10" s="189">
        <f>Inputs!G15</f>
        <v>1350</v>
      </c>
      <c r="E10" s="252">
        <f>Inputs!G16</f>
        <v>64</v>
      </c>
      <c r="F10" s="251" t="s">
        <v>1</v>
      </c>
      <c r="G10" s="265"/>
      <c r="H10" s="632">
        <f>IF(C10=0,0,C10*D10*E10/100)</f>
        <v>0</v>
      </c>
      <c r="J10" s="415" t="s">
        <v>64</v>
      </c>
      <c r="K10" s="415"/>
      <c r="L10" s="415"/>
      <c r="M10" s="415"/>
      <c r="N10" s="415"/>
      <c r="O10" s="415"/>
      <c r="P10" s="415"/>
      <c r="Q10" s="415"/>
      <c r="R10" s="415"/>
      <c r="S10" s="415"/>
      <c r="T10" s="415"/>
      <c r="U10" s="415"/>
      <c r="V10" s="415"/>
      <c r="W10" s="415"/>
    </row>
    <row r="11" spans="1:27" ht="12.75" customHeight="1" thickBot="1">
      <c r="B11" s="255"/>
      <c r="C11" s="117"/>
      <c r="D11" s="189"/>
      <c r="E11" s="252"/>
      <c r="F11" s="251"/>
      <c r="G11" s="265"/>
      <c r="H11" s="633"/>
      <c r="J11" s="417"/>
      <c r="K11" s="417"/>
      <c r="L11" s="415"/>
      <c r="M11" s="415"/>
      <c r="N11" s="415"/>
      <c r="O11" s="415"/>
      <c r="P11" s="415"/>
      <c r="Q11" s="415"/>
      <c r="R11" s="415"/>
      <c r="S11" s="415"/>
      <c r="T11" s="415"/>
      <c r="U11" s="415"/>
      <c r="V11" s="415"/>
      <c r="W11" s="415"/>
    </row>
    <row r="12" spans="1:27" ht="12.75" customHeight="1" thickTop="1">
      <c r="B12" s="284"/>
      <c r="C12" s="260"/>
      <c r="D12" s="251"/>
      <c r="E12" s="251"/>
      <c r="F12" s="251"/>
      <c r="G12" s="258" t="s">
        <v>150</v>
      </c>
      <c r="H12" s="634">
        <f>SUM(H10:H11)</f>
        <v>0</v>
      </c>
      <c r="J12" s="417"/>
      <c r="K12" s="417"/>
      <c r="L12" s="415"/>
      <c r="M12" s="415"/>
      <c r="N12" s="415"/>
      <c r="O12" s="415"/>
      <c r="P12" s="415"/>
      <c r="Q12" s="415"/>
      <c r="R12" s="415"/>
      <c r="S12" s="415"/>
      <c r="T12" s="415"/>
      <c r="U12" s="415"/>
      <c r="V12" s="415"/>
      <c r="W12" s="415"/>
    </row>
    <row r="13" spans="1:27" ht="13.5" customHeight="1">
      <c r="B13" s="250"/>
      <c r="C13" s="371"/>
      <c r="D13" s="251"/>
      <c r="E13" s="260"/>
      <c r="F13" s="251"/>
      <c r="G13" s="251"/>
      <c r="H13" s="634"/>
      <c r="J13" s="417"/>
      <c r="K13" s="417"/>
      <c r="L13" s="818"/>
      <c r="M13" s="417"/>
      <c r="N13" s="415"/>
      <c r="O13" s="415"/>
      <c r="P13" s="415"/>
      <c r="Q13" s="415"/>
      <c r="R13" s="415"/>
      <c r="S13" s="415"/>
      <c r="T13" s="415"/>
      <c r="U13" s="415" t="str">
        <f>IF(Inputs!B68="","",Inputs!B68)</f>
        <v/>
      </c>
      <c r="V13" s="415"/>
      <c r="W13" s="415"/>
      <c r="Y13" s="221"/>
      <c r="Z13" s="221"/>
      <c r="AA13" s="221"/>
    </row>
    <row r="14" spans="1:27" ht="38.25">
      <c r="A14" s="155"/>
      <c r="B14" s="255" t="s">
        <v>7</v>
      </c>
      <c r="C14" s="387" t="s">
        <v>68</v>
      </c>
      <c r="D14" s="251"/>
      <c r="E14" s="388" t="s">
        <v>63</v>
      </c>
      <c r="F14" s="270" t="s">
        <v>5</v>
      </c>
      <c r="G14" s="116"/>
      <c r="H14" s="635" t="s">
        <v>31</v>
      </c>
      <c r="J14" s="428"/>
      <c r="K14" s="428"/>
      <c r="L14" s="818"/>
      <c r="M14" s="417"/>
      <c r="N14" s="415"/>
      <c r="O14" s="415"/>
      <c r="P14" s="415"/>
      <c r="Q14" s="415"/>
      <c r="R14" s="415"/>
      <c r="S14" s="415"/>
      <c r="T14" s="415"/>
      <c r="U14" s="415" t="str">
        <f>IF(Inputs!B69="","",Inputs!B69)</f>
        <v>Pasture</v>
      </c>
      <c r="V14" s="415"/>
      <c r="W14" s="415"/>
      <c r="Y14" s="221"/>
      <c r="Z14" s="221"/>
      <c r="AA14" s="221"/>
    </row>
    <row r="15" spans="1:27" ht="18" customHeight="1">
      <c r="B15" s="746"/>
      <c r="C15" s="747"/>
      <c r="D15" s="278" t="str">
        <f t="shared" ref="D15:D20" si="9">IF(B15="","",CONCATENATE(VLOOKUP(B15,Feed,5,FALSE)))</f>
        <v/>
      </c>
      <c r="E15" s="749" t="s">
        <v>61</v>
      </c>
      <c r="F15" s="257" t="str">
        <f t="shared" ref="F15:F20" si="10">IF(B15="","",VLOOKUP(B15,Feed,7,FALSE))</f>
        <v/>
      </c>
      <c r="G15" s="273" t="str">
        <f t="shared" ref="G15:G20" si="11">IF(B15="","",CONCATENATE("$ ",VLOOKUP(B15,Feed,5,FALSE)))</f>
        <v/>
      </c>
      <c r="H15" s="450">
        <f t="shared" ref="H15:H20" si="12">IF(C15="",0,F15*J15)</f>
        <v>0</v>
      </c>
      <c r="J15" s="415">
        <f t="shared" ref="J15:J20" si="13">C15*IF(E15="total",1,IF(E15="per animal",($C$4+$C$10)/2,0))</f>
        <v>0</v>
      </c>
      <c r="K15" s="415"/>
      <c r="L15" s="818"/>
      <c r="M15" s="417"/>
      <c r="N15" s="415"/>
      <c r="O15" s="415"/>
      <c r="P15" s="415"/>
      <c r="Q15" s="415"/>
      <c r="R15" s="415"/>
      <c r="S15" s="415"/>
      <c r="T15" s="415"/>
      <c r="U15" s="415" t="str">
        <f>IF(Inputs!B70="","",Inputs!B70)</f>
        <v>Prairie Hay</v>
      </c>
      <c r="V15" s="415"/>
      <c r="W15" s="415"/>
      <c r="Y15" s="221"/>
      <c r="Z15" s="221"/>
      <c r="AA15" s="221"/>
    </row>
    <row r="16" spans="1:27">
      <c r="B16" s="745"/>
      <c r="C16" s="748"/>
      <c r="D16" s="278" t="str">
        <f t="shared" si="9"/>
        <v/>
      </c>
      <c r="E16" s="750" t="s">
        <v>61</v>
      </c>
      <c r="F16" s="257" t="str">
        <f t="shared" si="10"/>
        <v/>
      </c>
      <c r="G16" s="273" t="str">
        <f t="shared" si="11"/>
        <v/>
      </c>
      <c r="H16" s="450">
        <f t="shared" si="12"/>
        <v>0</v>
      </c>
      <c r="J16" s="415">
        <f t="shared" si="13"/>
        <v>0</v>
      </c>
      <c r="K16" s="415"/>
      <c r="L16" s="417"/>
      <c r="M16" s="429"/>
      <c r="N16" s="415"/>
      <c r="O16" s="430"/>
      <c r="P16" s="415"/>
      <c r="Q16" s="415"/>
      <c r="R16" s="415"/>
      <c r="S16" s="415"/>
      <c r="T16" s="415"/>
      <c r="U16" s="415" t="str">
        <f>IF(Inputs!B71="","",Inputs!B71)</f>
        <v>Alfalfa</v>
      </c>
      <c r="V16" s="415"/>
      <c r="W16" s="415"/>
      <c r="Y16" s="221"/>
      <c r="Z16" s="221"/>
      <c r="AA16" s="221"/>
    </row>
    <row r="17" spans="1:27">
      <c r="B17" s="204"/>
      <c r="C17" s="205"/>
      <c r="D17" s="278" t="str">
        <f t="shared" si="9"/>
        <v/>
      </c>
      <c r="E17" s="218"/>
      <c r="F17" s="257" t="str">
        <f t="shared" si="10"/>
        <v/>
      </c>
      <c r="G17" s="273" t="str">
        <f t="shared" si="11"/>
        <v/>
      </c>
      <c r="H17" s="450">
        <f t="shared" si="12"/>
        <v>0</v>
      </c>
      <c r="J17" s="415">
        <f t="shared" si="13"/>
        <v>0</v>
      </c>
      <c r="K17" s="415"/>
      <c r="L17" s="417"/>
      <c r="M17" s="417"/>
      <c r="N17" s="415"/>
      <c r="O17" s="415"/>
      <c r="P17" s="415"/>
      <c r="Q17" s="415"/>
      <c r="R17" s="415"/>
      <c r="S17" s="415"/>
      <c r="T17" s="415"/>
      <c r="U17" s="415" t="str">
        <f>IF(Inputs!B72="","",Inputs!B72)</f>
        <v>DDG Cubes</v>
      </c>
      <c r="V17" s="415"/>
      <c r="W17" s="415"/>
      <c r="Y17" s="221"/>
      <c r="Z17" s="221"/>
      <c r="AA17" s="221"/>
    </row>
    <row r="18" spans="1:27">
      <c r="B18" s="204"/>
      <c r="C18" s="205"/>
      <c r="D18" s="278" t="str">
        <f t="shared" si="9"/>
        <v/>
      </c>
      <c r="E18" s="218"/>
      <c r="F18" s="257" t="str">
        <f t="shared" si="10"/>
        <v/>
      </c>
      <c r="G18" s="273" t="str">
        <f t="shared" si="11"/>
        <v/>
      </c>
      <c r="H18" s="450">
        <f t="shared" si="12"/>
        <v>0</v>
      </c>
      <c r="J18" s="415">
        <f t="shared" si="13"/>
        <v>0</v>
      </c>
      <c r="K18" s="415"/>
      <c r="L18" s="417"/>
      <c r="M18" s="417"/>
      <c r="N18" s="415"/>
      <c r="O18" s="415"/>
      <c r="P18" s="415"/>
      <c r="Q18" s="415"/>
      <c r="R18" s="415"/>
      <c r="S18" s="415"/>
      <c r="T18" s="415"/>
      <c r="U18" s="415" t="str">
        <f>IF(Inputs!B73="","",Inputs!B73)</f>
        <v>Salt and Mineral</v>
      </c>
      <c r="V18" s="415"/>
      <c r="W18" s="415"/>
      <c r="Y18" s="221"/>
      <c r="Z18" s="221"/>
      <c r="AA18" s="221"/>
    </row>
    <row r="19" spans="1:27">
      <c r="B19" s="204"/>
      <c r="C19" s="205"/>
      <c r="D19" s="278" t="str">
        <f t="shared" si="9"/>
        <v/>
      </c>
      <c r="E19" s="218"/>
      <c r="F19" s="257" t="str">
        <f t="shared" si="10"/>
        <v/>
      </c>
      <c r="G19" s="273" t="str">
        <f t="shared" si="11"/>
        <v/>
      </c>
      <c r="H19" s="450">
        <f t="shared" si="12"/>
        <v>0</v>
      </c>
      <c r="J19" s="415">
        <f t="shared" si="13"/>
        <v>0</v>
      </c>
      <c r="K19" s="415"/>
      <c r="L19" s="417"/>
      <c r="M19" s="417"/>
      <c r="N19" s="415"/>
      <c r="O19" s="415"/>
      <c r="P19" s="415"/>
      <c r="Q19" s="415"/>
      <c r="R19" s="415"/>
      <c r="S19" s="415"/>
      <c r="T19" s="415"/>
      <c r="U19" s="415" t="str">
        <f>IF(Inputs!B74="","",Inputs!B74)</f>
        <v>Corn Stalks</v>
      </c>
      <c r="V19" s="415"/>
      <c r="W19" s="415"/>
      <c r="Y19" s="221"/>
      <c r="Z19" s="221"/>
      <c r="AA19" s="221"/>
    </row>
    <row r="20" spans="1:27" ht="13.5" thickBot="1">
      <c r="B20" s="204"/>
      <c r="C20" s="205"/>
      <c r="D20" s="278" t="str">
        <f t="shared" si="9"/>
        <v/>
      </c>
      <c r="E20" s="218"/>
      <c r="F20" s="257" t="str">
        <f t="shared" si="10"/>
        <v/>
      </c>
      <c r="G20" s="273" t="str">
        <f t="shared" si="11"/>
        <v/>
      </c>
      <c r="H20" s="451">
        <f t="shared" si="12"/>
        <v>0</v>
      </c>
      <c r="J20" s="415">
        <f t="shared" si="13"/>
        <v>0</v>
      </c>
      <c r="K20" s="415"/>
      <c r="L20" s="417"/>
      <c r="M20" s="417"/>
      <c r="N20" s="415"/>
      <c r="O20" s="415"/>
      <c r="P20" s="415"/>
      <c r="Q20" s="415"/>
      <c r="R20" s="415"/>
      <c r="S20" s="415"/>
      <c r="T20" s="415"/>
      <c r="U20" s="415" t="str">
        <f>IF(Inputs!B75="","",Inputs!B75)</f>
        <v>Dried Rolled Corn</v>
      </c>
      <c r="V20" s="415"/>
      <c r="W20" s="415"/>
      <c r="Y20" s="221"/>
      <c r="Z20" s="221"/>
      <c r="AA20" s="221"/>
    </row>
    <row r="21" spans="1:27" ht="13.5" thickTop="1">
      <c r="B21" s="250"/>
      <c r="C21" s="75"/>
      <c r="D21" s="251"/>
      <c r="E21" s="258"/>
      <c r="F21" s="260"/>
      <c r="G21" s="258" t="s">
        <v>36</v>
      </c>
      <c r="H21" s="636">
        <f>SUM(H15:H20)</f>
        <v>0</v>
      </c>
      <c r="J21" s="415"/>
      <c r="K21" s="415"/>
      <c r="L21" s="417"/>
      <c r="M21" s="417"/>
      <c r="N21" s="415"/>
      <c r="O21" s="415"/>
      <c r="P21" s="415"/>
      <c r="Q21" s="415"/>
      <c r="R21" s="415"/>
      <c r="S21" s="415"/>
      <c r="T21" s="415"/>
      <c r="U21" s="415" t="str">
        <f>IF(Inputs!B76="","",Inputs!B76)</f>
        <v/>
      </c>
      <c r="V21" s="415"/>
      <c r="W21" s="415"/>
      <c r="Y21" s="221"/>
      <c r="Z21" s="221"/>
      <c r="AA21" s="221"/>
    </row>
    <row r="22" spans="1:27">
      <c r="A22" s="156"/>
      <c r="B22" s="250"/>
      <c r="C22" s="243"/>
      <c r="D22" s="251"/>
      <c r="E22" s="251"/>
      <c r="F22" s="251"/>
      <c r="G22" s="251"/>
      <c r="H22" s="452"/>
      <c r="J22" s="415"/>
      <c r="K22" s="415"/>
      <c r="L22" s="415"/>
      <c r="M22" s="415"/>
      <c r="N22" s="415"/>
      <c r="O22" s="415"/>
      <c r="P22" s="415"/>
      <c r="Q22" s="415"/>
      <c r="R22" s="415"/>
      <c r="S22" s="415"/>
      <c r="T22" s="415"/>
      <c r="U22" s="415" t="str">
        <f>IF(Inputs!B77="","",Inputs!B77)</f>
        <v/>
      </c>
      <c r="V22" s="415"/>
      <c r="W22" s="415"/>
      <c r="Y22" s="221"/>
      <c r="Z22" s="221"/>
      <c r="AA22" s="221"/>
    </row>
    <row r="23" spans="1:27">
      <c r="B23" s="263" t="s">
        <v>45</v>
      </c>
      <c r="C23" s="274"/>
      <c r="D23" s="389" t="s">
        <v>56</v>
      </c>
      <c r="E23" s="389" t="s">
        <v>177</v>
      </c>
      <c r="F23" s="391" t="s">
        <v>48</v>
      </c>
      <c r="G23" s="266"/>
      <c r="H23" s="637" t="s">
        <v>31</v>
      </c>
      <c r="I23" s="223"/>
      <c r="J23" s="415"/>
      <c r="K23" s="415"/>
      <c r="L23" s="415"/>
      <c r="M23" s="415"/>
      <c r="N23" s="415"/>
      <c r="O23" s="415"/>
      <c r="P23" s="415"/>
      <c r="Q23" s="415"/>
      <c r="R23" s="415"/>
      <c r="S23" s="415"/>
      <c r="T23" s="415"/>
      <c r="U23" s="415"/>
      <c r="V23" s="415"/>
      <c r="W23" s="415"/>
      <c r="Y23" s="221"/>
      <c r="Z23" s="221"/>
      <c r="AA23" s="221"/>
    </row>
    <row r="24" spans="1:27">
      <c r="B24" s="250" t="str">
        <f>Inputs!B81</f>
        <v>Labor</v>
      </c>
      <c r="C24" s="242"/>
      <c r="D24" s="366">
        <f>Inputs!D81</f>
        <v>20</v>
      </c>
      <c r="E24" s="395" t="str">
        <f>Inputs!E81</f>
        <v>per animal</v>
      </c>
      <c r="F24" s="124">
        <f>Inputs!U81</f>
        <v>0</v>
      </c>
      <c r="G24" s="265"/>
      <c r="H24" s="453">
        <f t="shared" ref="H24:H32" si="14">D24*IF(E24="per animal",$C$10+$C$11,1)*F24</f>
        <v>0</v>
      </c>
      <c r="J24" s="415"/>
      <c r="K24" s="415"/>
      <c r="L24" s="415"/>
      <c r="M24" s="415"/>
      <c r="N24" s="415"/>
      <c r="O24" s="415"/>
      <c r="P24" s="415"/>
      <c r="Q24" s="415"/>
      <c r="R24" s="415"/>
      <c r="S24" s="415"/>
      <c r="T24" s="415"/>
      <c r="U24" s="415"/>
      <c r="V24" s="415"/>
      <c r="W24" s="415"/>
      <c r="Y24" s="221"/>
      <c r="Z24" s="221"/>
      <c r="AA24" s="221"/>
    </row>
    <row r="25" spans="1:27">
      <c r="B25" s="250" t="str">
        <f>Inputs!B82</f>
        <v>Fuel</v>
      </c>
      <c r="C25" s="242"/>
      <c r="D25" s="366">
        <f>Inputs!D82</f>
        <v>20</v>
      </c>
      <c r="E25" s="395" t="str">
        <f>Inputs!E82</f>
        <v>per animal</v>
      </c>
      <c r="F25" s="124">
        <f>Inputs!U82</f>
        <v>0</v>
      </c>
      <c r="G25" s="265"/>
      <c r="H25" s="453">
        <f t="shared" si="14"/>
        <v>0</v>
      </c>
      <c r="J25" s="415"/>
      <c r="K25" s="415"/>
      <c r="L25" s="415"/>
      <c r="M25" s="415"/>
      <c r="N25" s="415"/>
      <c r="O25" s="415"/>
      <c r="P25" s="415"/>
      <c r="Q25" s="415"/>
      <c r="R25" s="415"/>
      <c r="S25" s="415"/>
      <c r="T25" s="415"/>
      <c r="U25" s="415"/>
      <c r="V25" s="415"/>
      <c r="W25" s="415"/>
      <c r="Y25" s="221"/>
      <c r="Z25" s="221"/>
      <c r="AA25" s="221"/>
    </row>
    <row r="26" spans="1:27">
      <c r="B26" s="250" t="str">
        <f>Inputs!B83</f>
        <v>Veterinary and Medical</v>
      </c>
      <c r="C26" s="242"/>
      <c r="D26" s="366">
        <f>Inputs!D83</f>
        <v>20</v>
      </c>
      <c r="E26" s="395" t="str">
        <f>Inputs!E83</f>
        <v>per animal</v>
      </c>
      <c r="F26" s="124">
        <f>Inputs!U83</f>
        <v>0</v>
      </c>
      <c r="G26" s="265"/>
      <c r="H26" s="453">
        <f t="shared" si="14"/>
        <v>0</v>
      </c>
      <c r="J26" s="415"/>
      <c r="K26" s="415"/>
      <c r="L26" s="415"/>
      <c r="M26" s="415"/>
      <c r="N26" s="415"/>
      <c r="O26" s="415"/>
      <c r="P26" s="415"/>
      <c r="Q26" s="415"/>
      <c r="R26" s="415"/>
      <c r="S26" s="415"/>
      <c r="T26" s="415"/>
      <c r="U26" s="415"/>
      <c r="V26" s="415"/>
      <c r="W26" s="415"/>
      <c r="Y26" s="221"/>
      <c r="Z26" s="221"/>
      <c r="AA26" s="221"/>
    </row>
    <row r="27" spans="1:27">
      <c r="B27" s="250" t="str">
        <f>Inputs!B84</f>
        <v>Cull Cow Marketing</v>
      </c>
      <c r="C27" s="275"/>
      <c r="D27" s="366">
        <f>Inputs!X84</f>
        <v>25</v>
      </c>
      <c r="E27" s="395" t="s">
        <v>61</v>
      </c>
      <c r="F27" s="124"/>
      <c r="G27" s="265"/>
      <c r="H27" s="453">
        <f>C4*D27</f>
        <v>0</v>
      </c>
      <c r="J27" s="415"/>
      <c r="K27" s="415"/>
      <c r="L27" s="415"/>
      <c r="M27" s="415"/>
      <c r="N27" s="415"/>
      <c r="O27" s="415"/>
      <c r="P27" s="415"/>
      <c r="Q27" s="415"/>
      <c r="R27" s="415"/>
      <c r="S27" s="415"/>
      <c r="T27" s="415"/>
      <c r="U27" s="415"/>
      <c r="V27" s="415"/>
      <c r="W27" s="415"/>
      <c r="Y27" s="221"/>
      <c r="Z27" s="221"/>
      <c r="AA27" s="221"/>
    </row>
    <row r="28" spans="1:27">
      <c r="B28" s="284" t="str">
        <f>Inputs!B91</f>
        <v>AI Expense $40 per new heifers</v>
      </c>
      <c r="C28" s="252"/>
      <c r="D28" s="366">
        <f>Inputs!D91</f>
        <v>3280</v>
      </c>
      <c r="E28" s="395" t="str">
        <f>Inputs!E91</f>
        <v>all animals</v>
      </c>
      <c r="F28" s="124">
        <f>Inputs!U91</f>
        <v>0</v>
      </c>
      <c r="G28" s="265"/>
      <c r="H28" s="453">
        <f t="shared" si="14"/>
        <v>0</v>
      </c>
      <c r="J28" s="415"/>
      <c r="K28" s="415"/>
      <c r="L28" s="415"/>
      <c r="M28" s="415"/>
      <c r="N28" s="415"/>
      <c r="O28" s="415"/>
      <c r="P28" s="415"/>
      <c r="Q28" s="415"/>
      <c r="R28" s="415"/>
      <c r="S28" s="415"/>
      <c r="T28" s="415"/>
      <c r="U28" s="415"/>
      <c r="V28" s="415"/>
      <c r="W28" s="415"/>
      <c r="Y28" s="221"/>
      <c r="Z28" s="221"/>
      <c r="AA28" s="221"/>
    </row>
    <row r="29" spans="1:27">
      <c r="B29" s="284">
        <f>Inputs!B92</f>
        <v>0</v>
      </c>
      <c r="C29" s="252" t="s">
        <v>9</v>
      </c>
      <c r="D29" s="366">
        <f>Inputs!D92</f>
        <v>0</v>
      </c>
      <c r="E29" s="395">
        <f>Inputs!E92</f>
        <v>0</v>
      </c>
      <c r="F29" s="124">
        <f>Inputs!U92</f>
        <v>0</v>
      </c>
      <c r="G29" s="265"/>
      <c r="H29" s="453">
        <f t="shared" si="14"/>
        <v>0</v>
      </c>
      <c r="J29" s="415"/>
      <c r="K29" s="415"/>
      <c r="L29" s="415"/>
      <c r="M29" s="415"/>
      <c r="N29" s="415"/>
      <c r="O29" s="415"/>
      <c r="P29" s="415"/>
      <c r="Q29" s="415"/>
      <c r="R29" s="415"/>
      <c r="S29" s="415"/>
      <c r="T29" s="415"/>
      <c r="U29" s="415"/>
      <c r="V29" s="415"/>
      <c r="W29" s="415"/>
      <c r="Y29" s="221"/>
      <c r="Z29" s="221"/>
      <c r="AA29" s="221"/>
    </row>
    <row r="30" spans="1:27">
      <c r="B30" s="284">
        <f>Inputs!B93</f>
        <v>0</v>
      </c>
      <c r="C30" s="252" t="s">
        <v>9</v>
      </c>
      <c r="D30" s="366">
        <f>Inputs!D93</f>
        <v>0</v>
      </c>
      <c r="E30" s="395">
        <f>Inputs!E93</f>
        <v>0</v>
      </c>
      <c r="F30" s="124">
        <f>Inputs!U93</f>
        <v>0</v>
      </c>
      <c r="G30" s="265"/>
      <c r="H30" s="453">
        <f t="shared" si="14"/>
        <v>0</v>
      </c>
      <c r="J30" s="415"/>
      <c r="K30" s="415"/>
      <c r="L30" s="415"/>
      <c r="M30" s="415"/>
      <c r="N30" s="415"/>
      <c r="O30" s="415"/>
      <c r="P30" s="415"/>
      <c r="Q30" s="415"/>
      <c r="R30" s="415"/>
      <c r="S30" s="415"/>
      <c r="T30" s="415"/>
      <c r="U30" s="415"/>
      <c r="V30" s="415"/>
      <c r="W30" s="415"/>
      <c r="Y30" s="221"/>
      <c r="Z30" s="221"/>
      <c r="AA30" s="221"/>
    </row>
    <row r="31" spans="1:27">
      <c r="B31" s="284">
        <f>Inputs!B94</f>
        <v>0</v>
      </c>
      <c r="C31" s="252"/>
      <c r="D31" s="366">
        <f>Inputs!D94</f>
        <v>0</v>
      </c>
      <c r="E31" s="395">
        <f>Inputs!E94</f>
        <v>0</v>
      </c>
      <c r="F31" s="124">
        <f>Inputs!U94</f>
        <v>0</v>
      </c>
      <c r="G31" s="265"/>
      <c r="H31" s="453">
        <f t="shared" si="14"/>
        <v>0</v>
      </c>
      <c r="J31" s="415"/>
      <c r="K31" s="415"/>
      <c r="L31" s="415"/>
      <c r="M31" s="415"/>
      <c r="N31" s="415"/>
      <c r="O31" s="415"/>
      <c r="P31" s="415"/>
      <c r="Q31" s="415"/>
      <c r="R31" s="415"/>
      <c r="S31" s="415"/>
      <c r="T31" s="415"/>
      <c r="U31" s="415"/>
      <c r="V31" s="415"/>
      <c r="W31" s="415"/>
      <c r="Y31" s="221"/>
      <c r="Z31" s="221"/>
      <c r="AA31" s="221"/>
    </row>
    <row r="32" spans="1:27">
      <c r="B32" s="284">
        <f>Inputs!B95</f>
        <v>0</v>
      </c>
      <c r="C32" s="252" t="s">
        <v>9</v>
      </c>
      <c r="D32" s="366">
        <f>Inputs!D95</f>
        <v>0</v>
      </c>
      <c r="E32" s="395">
        <f>Inputs!E95</f>
        <v>0</v>
      </c>
      <c r="F32" s="124">
        <f>Inputs!U95</f>
        <v>0</v>
      </c>
      <c r="G32" s="265"/>
      <c r="H32" s="453">
        <f t="shared" si="14"/>
        <v>0</v>
      </c>
      <c r="J32" s="415"/>
      <c r="K32" s="415"/>
      <c r="L32" s="415"/>
      <c r="M32" s="415"/>
      <c r="N32" s="415"/>
      <c r="O32" s="415"/>
      <c r="P32" s="415"/>
      <c r="Q32" s="415"/>
      <c r="R32" s="415"/>
      <c r="S32" s="415"/>
      <c r="T32" s="415"/>
      <c r="U32" s="415"/>
      <c r="V32" s="415"/>
      <c r="W32" s="415"/>
      <c r="Y32" s="221"/>
      <c r="Z32" s="221"/>
      <c r="AA32" s="221"/>
    </row>
    <row r="33" spans="2:27" ht="13.5" thickBot="1">
      <c r="B33" s="172" t="s">
        <v>37</v>
      </c>
      <c r="C33" s="829" t="s">
        <v>118</v>
      </c>
      <c r="D33" s="830"/>
      <c r="E33" s="830"/>
      <c r="F33" s="830"/>
      <c r="G33" s="831"/>
      <c r="H33" s="454">
        <f>(SUM(H21,H24:H26,H28:H32,D39:D47)/2+H12)*Inputs!E111*E1/365</f>
        <v>0</v>
      </c>
      <c r="J33" s="415"/>
      <c r="K33" s="415"/>
      <c r="L33" s="415"/>
      <c r="M33" s="415"/>
      <c r="N33" s="415"/>
      <c r="O33" s="415"/>
      <c r="P33" s="415"/>
      <c r="Q33" s="415"/>
      <c r="R33" s="415"/>
      <c r="S33" s="415"/>
      <c r="T33" s="415"/>
      <c r="U33" s="415"/>
      <c r="V33" s="415"/>
      <c r="W33" s="415"/>
      <c r="Y33" s="221"/>
      <c r="Z33" s="221"/>
      <c r="AA33" s="221"/>
    </row>
    <row r="34" spans="2:27" ht="27" customHeight="1" thickTop="1" thickBot="1">
      <c r="B34" s="253"/>
      <c r="C34" s="244"/>
      <c r="D34" s="259"/>
      <c r="E34" s="259"/>
      <c r="F34" s="282"/>
      <c r="G34" s="259" t="s">
        <v>145</v>
      </c>
      <c r="H34" s="638">
        <f>SUM(H24:H33)</f>
        <v>0</v>
      </c>
      <c r="J34" s="415"/>
      <c r="K34" s="415"/>
      <c r="L34" s="415"/>
      <c r="M34" s="415"/>
      <c r="N34" s="415"/>
      <c r="O34" s="415"/>
      <c r="P34" s="415"/>
      <c r="Q34" s="415"/>
      <c r="R34" s="415"/>
      <c r="S34" s="415"/>
      <c r="T34" s="415"/>
      <c r="U34" s="415"/>
      <c r="V34" s="415"/>
      <c r="W34" s="415"/>
      <c r="Y34" s="221"/>
      <c r="Z34" s="221"/>
      <c r="AA34" s="221"/>
    </row>
    <row r="35" spans="2:27" ht="13.5" thickBot="1">
      <c r="B35" s="123"/>
      <c r="C35" s="96"/>
      <c r="D35" s="42"/>
      <c r="E35" s="42"/>
      <c r="F35" s="42"/>
      <c r="G35" s="21" t="s">
        <v>104</v>
      </c>
      <c r="H35" s="639">
        <f>H12+H21+H34</f>
        <v>0</v>
      </c>
      <c r="J35" s="415"/>
      <c r="K35" s="415"/>
      <c r="L35" s="415"/>
      <c r="M35" s="415"/>
      <c r="N35" s="415"/>
      <c r="O35" s="415"/>
      <c r="P35" s="415"/>
      <c r="Q35" s="415"/>
      <c r="R35" s="415"/>
      <c r="S35" s="415"/>
      <c r="T35" s="415"/>
      <c r="U35" s="415"/>
      <c r="V35" s="415"/>
      <c r="W35" s="415"/>
      <c r="Y35" s="221"/>
      <c r="Z35" s="221"/>
      <c r="AA35" s="221"/>
    </row>
    <row r="36" spans="2:27" ht="13.5" thickBot="1">
      <c r="B36" s="251"/>
      <c r="C36" s="251"/>
      <c r="D36" s="251"/>
      <c r="E36" s="251"/>
      <c r="F36" s="258"/>
      <c r="G36" s="258"/>
      <c r="H36" s="601"/>
      <c r="Y36" s="221"/>
      <c r="Z36" s="221"/>
      <c r="AA36" s="221"/>
    </row>
    <row r="37" spans="2:27" ht="16.5" thickBot="1">
      <c r="B37" s="41" t="s">
        <v>109</v>
      </c>
      <c r="C37" s="108"/>
      <c r="D37" s="109"/>
      <c r="E37" s="109"/>
      <c r="F37" s="109"/>
      <c r="G37" s="109"/>
      <c r="H37" s="630" t="s">
        <v>74</v>
      </c>
      <c r="Y37" s="221"/>
      <c r="Z37" s="221"/>
      <c r="AA37" s="221"/>
    </row>
    <row r="38" spans="2:27">
      <c r="B38" s="263" t="s">
        <v>39</v>
      </c>
      <c r="C38" s="243"/>
      <c r="D38" s="391" t="s">
        <v>15</v>
      </c>
      <c r="E38" s="391"/>
      <c r="F38" s="391" t="s">
        <v>48</v>
      </c>
      <c r="G38" s="266"/>
      <c r="H38" s="640" t="s">
        <v>31</v>
      </c>
      <c r="Y38" s="221"/>
      <c r="Z38" s="221"/>
      <c r="AA38" s="221"/>
    </row>
    <row r="39" spans="2:27">
      <c r="B39" s="250" t="str">
        <f>Inputs!B100</f>
        <v>Machinery (Livestock)</v>
      </c>
      <c r="C39" s="243"/>
      <c r="D39" s="366">
        <f>Inputs!G100</f>
        <v>2000</v>
      </c>
      <c r="E39" s="256"/>
      <c r="F39" s="264">
        <f>IF(D39=0,0,Inputs!U100)</f>
        <v>0</v>
      </c>
      <c r="G39" s="272"/>
      <c r="H39" s="450">
        <f>IF(B39="","",D39*F39)</f>
        <v>0</v>
      </c>
      <c r="Y39" s="221"/>
      <c r="Z39" s="221"/>
      <c r="AA39" s="221"/>
    </row>
    <row r="40" spans="2:27">
      <c r="B40" s="250" t="str">
        <f>Inputs!B101</f>
        <v>Vehicles</v>
      </c>
      <c r="C40" s="243"/>
      <c r="D40" s="366">
        <f>Inputs!G101</f>
        <v>1200</v>
      </c>
      <c r="E40" s="256"/>
      <c r="F40" s="264">
        <f>IF(D40=0,0,Inputs!U101)</f>
        <v>0</v>
      </c>
      <c r="G40" s="272"/>
      <c r="H40" s="450">
        <f t="shared" ref="H40:H47" si="15">IF(B40="","",D40*F40)</f>
        <v>0</v>
      </c>
      <c r="Y40" s="221"/>
      <c r="Z40" s="221"/>
      <c r="AA40" s="221"/>
    </row>
    <row r="41" spans="2:27">
      <c r="B41" s="284">
        <f>Inputs!B102</f>
        <v>0</v>
      </c>
      <c r="C41" s="251"/>
      <c r="D41" s="366">
        <f>Inputs!G102</f>
        <v>0</v>
      </c>
      <c r="E41" s="256"/>
      <c r="F41" s="264">
        <f>IF(D41=0,0,Inputs!U102)</f>
        <v>0</v>
      </c>
      <c r="G41" s="272"/>
      <c r="H41" s="450">
        <f t="shared" si="15"/>
        <v>0</v>
      </c>
      <c r="Y41" s="221"/>
      <c r="Z41" s="221"/>
      <c r="AA41" s="221"/>
    </row>
    <row r="42" spans="2:27">
      <c r="B42" s="284">
        <f>Inputs!B103</f>
        <v>0</v>
      </c>
      <c r="C42" s="251"/>
      <c r="D42" s="366">
        <f>Inputs!G103</f>
        <v>0</v>
      </c>
      <c r="E42" s="256"/>
      <c r="F42" s="264">
        <f>IF(D42=0,0,Inputs!U103)</f>
        <v>0</v>
      </c>
      <c r="G42" s="272"/>
      <c r="H42" s="450">
        <f t="shared" si="15"/>
        <v>0</v>
      </c>
      <c r="Y42" s="221"/>
      <c r="Z42" s="221"/>
      <c r="AA42" s="221"/>
    </row>
    <row r="43" spans="2:27">
      <c r="B43" s="284">
        <f>Inputs!B104</f>
        <v>0</v>
      </c>
      <c r="C43" s="251"/>
      <c r="D43" s="366">
        <f>Inputs!G104</f>
        <v>0</v>
      </c>
      <c r="E43" s="256"/>
      <c r="F43" s="264">
        <f>IF(D43=0,0,Inputs!U104)</f>
        <v>0</v>
      </c>
      <c r="G43" s="272"/>
      <c r="H43" s="450">
        <f t="shared" si="15"/>
        <v>0</v>
      </c>
      <c r="Y43" s="221"/>
      <c r="Z43" s="221"/>
      <c r="AA43" s="221"/>
    </row>
    <row r="44" spans="2:27">
      <c r="B44" s="284">
        <f>Inputs!B105</f>
        <v>0</v>
      </c>
      <c r="C44" s="251"/>
      <c r="D44" s="366">
        <f>Inputs!G105</f>
        <v>0</v>
      </c>
      <c r="E44" s="256"/>
      <c r="F44" s="264">
        <f>IF(D44=0,0,Inputs!U105)</f>
        <v>0</v>
      </c>
      <c r="G44" s="272"/>
      <c r="H44" s="450">
        <f t="shared" si="15"/>
        <v>0</v>
      </c>
      <c r="Y44" s="221"/>
      <c r="Z44" s="221"/>
      <c r="AA44" s="221"/>
    </row>
    <row r="45" spans="2:27">
      <c r="B45" s="284">
        <f>Inputs!B106</f>
        <v>0</v>
      </c>
      <c r="C45" s="251"/>
      <c r="D45" s="366">
        <f>Inputs!G106</f>
        <v>0</v>
      </c>
      <c r="E45" s="256"/>
      <c r="F45" s="264">
        <f>IF(D45=0,0,Inputs!U106)</f>
        <v>0</v>
      </c>
      <c r="G45" s="272"/>
      <c r="H45" s="450">
        <f t="shared" si="15"/>
        <v>0</v>
      </c>
      <c r="Y45" s="221"/>
      <c r="Z45" s="221"/>
      <c r="AA45" s="221"/>
    </row>
    <row r="46" spans="2:27">
      <c r="B46" s="284">
        <f>Inputs!B107</f>
        <v>0</v>
      </c>
      <c r="C46" s="251"/>
      <c r="D46" s="366">
        <f>Inputs!G107</f>
        <v>0</v>
      </c>
      <c r="E46" s="256"/>
      <c r="F46" s="264">
        <f>IF(D46=0,0,Inputs!U107)</f>
        <v>0</v>
      </c>
      <c r="G46" s="272"/>
      <c r="H46" s="450">
        <f t="shared" si="15"/>
        <v>0</v>
      </c>
      <c r="Y46" s="221"/>
      <c r="Z46" s="221"/>
      <c r="AA46" s="221"/>
    </row>
    <row r="47" spans="2:27" ht="13.5" thickBot="1">
      <c r="B47" s="284">
        <f>Inputs!B108</f>
        <v>0</v>
      </c>
      <c r="C47" s="251"/>
      <c r="D47" s="366">
        <f>Inputs!G108</f>
        <v>0</v>
      </c>
      <c r="E47" s="256"/>
      <c r="F47" s="264">
        <f>IF(D47=0,0,Inputs!U108)</f>
        <v>0</v>
      </c>
      <c r="G47" s="272"/>
      <c r="H47" s="451">
        <f t="shared" si="15"/>
        <v>0</v>
      </c>
      <c r="Y47" s="221"/>
      <c r="Z47" s="221"/>
      <c r="AA47" s="221"/>
    </row>
    <row r="48" spans="2:27" ht="13.5" thickTop="1">
      <c r="B48" s="250"/>
      <c r="C48" s="243"/>
      <c r="D48" s="260"/>
      <c r="E48" s="92"/>
      <c r="F48" s="92"/>
      <c r="G48" s="126" t="s">
        <v>112</v>
      </c>
      <c r="H48" s="641">
        <f>SUM(H39:H47)</f>
        <v>0</v>
      </c>
      <c r="Y48" s="221"/>
      <c r="Z48" s="221"/>
      <c r="AA48" s="221"/>
    </row>
    <row r="49" spans="1:36">
      <c r="B49" s="250"/>
      <c r="C49" s="243"/>
      <c r="D49" s="251"/>
      <c r="E49" s="251"/>
      <c r="F49" s="251"/>
      <c r="G49" s="251"/>
      <c r="H49" s="452"/>
      <c r="Y49" s="221"/>
      <c r="Z49" s="221"/>
      <c r="AA49" s="221"/>
    </row>
    <row r="50" spans="1:36">
      <c r="B50" s="263" t="s">
        <v>54</v>
      </c>
      <c r="C50" s="243"/>
      <c r="D50" s="391" t="s">
        <v>56</v>
      </c>
      <c r="E50" s="251"/>
      <c r="F50" s="391" t="s">
        <v>48</v>
      </c>
      <c r="G50" s="265"/>
      <c r="H50" s="637" t="s">
        <v>31</v>
      </c>
      <c r="Y50" s="221"/>
      <c r="Z50" s="221"/>
      <c r="AA50" s="221"/>
    </row>
    <row r="51" spans="1:36">
      <c r="B51" s="250" t="str">
        <f>Inputs!B117</f>
        <v>Real Estate Tax*</v>
      </c>
      <c r="C51" s="243"/>
      <c r="D51" s="366">
        <f>Inputs!E117</f>
        <v>0</v>
      </c>
      <c r="E51" s="251"/>
      <c r="F51" s="279">
        <f>IF(D51=0,0,Inputs!U117)</f>
        <v>0</v>
      </c>
      <c r="G51" s="265"/>
      <c r="H51" s="452">
        <f>F51*Inputs!E117</f>
        <v>0</v>
      </c>
      <c r="Y51" s="221"/>
      <c r="Z51" s="221"/>
      <c r="AA51" s="221"/>
    </row>
    <row r="52" spans="1:36">
      <c r="B52" s="250" t="str">
        <f>Inputs!B118</f>
        <v>Annual Insurance Premium</v>
      </c>
      <c r="C52" s="243"/>
      <c r="D52" s="366">
        <f>Inputs!E118</f>
        <v>3000</v>
      </c>
      <c r="E52" s="251"/>
      <c r="F52" s="279">
        <f>IF(D52=0,0,Inputs!U118)</f>
        <v>0</v>
      </c>
      <c r="G52" s="265"/>
      <c r="H52" s="452">
        <f>F52*Inputs!E118</f>
        <v>0</v>
      </c>
      <c r="Y52" s="221"/>
      <c r="Z52" s="221"/>
      <c r="AA52" s="221"/>
    </row>
    <row r="53" spans="1:36">
      <c r="B53" s="250" t="str">
        <f>Inputs!B119</f>
        <v>Professional Fees</v>
      </c>
      <c r="C53" s="243"/>
      <c r="D53" s="366">
        <f>Inputs!E119</f>
        <v>1500</v>
      </c>
      <c r="E53" s="251"/>
      <c r="F53" s="279">
        <f>IF(D53=0,0,Inputs!U119)</f>
        <v>0</v>
      </c>
      <c r="G53" s="265"/>
      <c r="H53" s="452">
        <f>F53*Inputs!E119</f>
        <v>0</v>
      </c>
      <c r="Y53" s="221"/>
      <c r="Z53" s="221"/>
      <c r="AA53" s="221"/>
    </row>
    <row r="54" spans="1:36">
      <c r="B54" s="250" t="str">
        <f>Inputs!B120</f>
        <v>Annual Management Charge</v>
      </c>
      <c r="C54" s="243"/>
      <c r="D54" s="366">
        <f>Inputs!E120</f>
        <v>0</v>
      </c>
      <c r="E54" s="251"/>
      <c r="F54" s="279">
        <f>IF(D54=0,0,Inputs!U120)</f>
        <v>0</v>
      </c>
      <c r="G54" s="265"/>
      <c r="H54" s="452">
        <f>F54*Inputs!E120</f>
        <v>0</v>
      </c>
      <c r="Y54" s="221"/>
      <c r="Z54" s="221"/>
      <c r="AA54" s="221"/>
    </row>
    <row r="55" spans="1:36" ht="13.5" thickBot="1">
      <c r="B55" s="250" t="str">
        <f>Inputs!B121</f>
        <v>Other</v>
      </c>
      <c r="C55" s="243"/>
      <c r="D55" s="366">
        <f>Inputs!E121</f>
        <v>0</v>
      </c>
      <c r="E55" s="251"/>
      <c r="F55" s="279">
        <f>IF(D55=0,0,Inputs!U121)</f>
        <v>0</v>
      </c>
      <c r="G55" s="265"/>
      <c r="H55" s="455">
        <f>F55*Inputs!E121</f>
        <v>0</v>
      </c>
      <c r="Y55" s="221"/>
      <c r="Z55" s="221"/>
      <c r="AA55" s="221"/>
    </row>
    <row r="56" spans="1:36" ht="14.25" thickTop="1" thickBot="1">
      <c r="B56" s="253"/>
      <c r="C56" s="244"/>
      <c r="D56" s="254"/>
      <c r="E56" s="254"/>
      <c r="F56" s="260"/>
      <c r="G56" s="259" t="s">
        <v>43</v>
      </c>
      <c r="H56" s="642">
        <f>SUM(H51:H55)</f>
        <v>0</v>
      </c>
      <c r="J56" s="223"/>
      <c r="K56" s="223"/>
      <c r="Y56" s="221"/>
      <c r="Z56" s="221"/>
      <c r="AA56" s="221"/>
    </row>
    <row r="57" spans="1:36" ht="13.5" thickBot="1">
      <c r="B57" s="99">
        <v>217480.06701030929</v>
      </c>
      <c r="C57" s="96"/>
      <c r="D57" s="42"/>
      <c r="E57" s="42"/>
      <c r="F57" s="42"/>
      <c r="G57" s="21" t="s">
        <v>103</v>
      </c>
      <c r="H57" s="639">
        <f>H48+H56</f>
        <v>0</v>
      </c>
      <c r="I57" s="160"/>
      <c r="Y57" s="221"/>
      <c r="Z57" s="221"/>
      <c r="AA57" s="221"/>
    </row>
    <row r="58" spans="1:36" ht="13.5" thickBot="1">
      <c r="B58" s="43"/>
      <c r="C58" s="43"/>
      <c r="D58" s="43"/>
      <c r="E58" s="43"/>
      <c r="F58" s="43"/>
      <c r="G58" s="43"/>
      <c r="H58" s="445"/>
      <c r="Y58" s="221"/>
      <c r="Z58" s="221"/>
      <c r="AA58" s="221"/>
    </row>
    <row r="59" spans="1:36" ht="13.5" thickBot="1">
      <c r="B59" s="98"/>
      <c r="C59" s="96"/>
      <c r="D59" s="67"/>
      <c r="E59" s="67"/>
      <c r="F59" s="67"/>
      <c r="G59" s="21" t="s">
        <v>111</v>
      </c>
      <c r="H59" s="600">
        <f>H35+H57</f>
        <v>0</v>
      </c>
      <c r="Y59" s="221"/>
      <c r="Z59" s="221"/>
      <c r="AA59" s="221"/>
    </row>
    <row r="60" spans="1:36" ht="13.5" thickBot="1">
      <c r="B60" s="104"/>
      <c r="C60" s="104"/>
      <c r="D60" s="104"/>
      <c r="E60" s="104"/>
      <c r="F60" s="104"/>
      <c r="G60" s="104"/>
      <c r="H60" s="604"/>
      <c r="Y60" s="221"/>
      <c r="Z60" s="221"/>
      <c r="AA60" s="221"/>
    </row>
    <row r="61" spans="1:36" ht="13.5" thickBot="1">
      <c r="B61" s="98"/>
      <c r="C61" s="96"/>
      <c r="D61" s="67"/>
      <c r="E61" s="67"/>
      <c r="F61" s="67"/>
      <c r="G61" s="21" t="s">
        <v>105</v>
      </c>
      <c r="H61" s="600">
        <f>H6-H59</f>
        <v>0</v>
      </c>
      <c r="Y61" s="221"/>
      <c r="Z61" s="221"/>
      <c r="AA61" s="221"/>
    </row>
    <row r="62" spans="1:36" ht="13.5" thickBot="1">
      <c r="B62" s="251"/>
      <c r="C62" s="251"/>
      <c r="D62" s="251"/>
      <c r="E62" s="251"/>
      <c r="F62" s="43"/>
      <c r="G62" s="43"/>
      <c r="H62" s="590"/>
      <c r="Y62" s="221"/>
      <c r="Z62" s="221"/>
      <c r="AA62" s="221"/>
    </row>
    <row r="63" spans="1:36" s="216" customFormat="1" ht="16.5" thickBot="1">
      <c r="A63" s="155"/>
      <c r="B63" s="41" t="s">
        <v>98</v>
      </c>
      <c r="C63" s="108"/>
      <c r="D63" s="109"/>
      <c r="E63" s="109"/>
      <c r="F63" s="109"/>
      <c r="G63" s="109"/>
      <c r="H63" s="630"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1" t="s">
        <v>46</v>
      </c>
      <c r="E64" s="392" t="s">
        <v>55</v>
      </c>
      <c r="F64" s="391" t="s">
        <v>48</v>
      </c>
      <c r="G64" s="391"/>
      <c r="H64" s="637"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 (Livestock)</v>
      </c>
      <c r="C65" s="243"/>
      <c r="D65" s="366">
        <f>IF(Inputs!F100=0,0,(Inputs!D100-Inputs!E100)/Inputs!F100)</f>
        <v>9000</v>
      </c>
      <c r="E65" s="365">
        <f>Inputs!D100*Inputs!$E$112</f>
        <v>4500</v>
      </c>
      <c r="F65" s="264">
        <f>IF(SUM(D65:E65)=0,0,Inputs!U100)</f>
        <v>0</v>
      </c>
      <c r="G65" s="256"/>
      <c r="H65" s="450">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2857.1428571428573</v>
      </c>
      <c r="E66" s="365">
        <f>Inputs!D101*Inputs!$E$112</f>
        <v>1050</v>
      </c>
      <c r="F66" s="264">
        <f>IF(SUM(D66:E66)=0,0,Inputs!U101)</f>
        <v>0</v>
      </c>
      <c r="G66" s="256"/>
      <c r="H66" s="450">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0">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0">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0"/>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0"/>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0">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0">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0"/>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0">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3">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0"/>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4"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3">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08"/>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0">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EAC2CD02B269489D2968333A35022A" ma:contentTypeVersion="14" ma:contentTypeDescription="Create a new document." ma:contentTypeScope="" ma:versionID="c226eb250f6bd0879b70a102584eb801">
  <xsd:schema xmlns:xsd="http://www.w3.org/2001/XMLSchema" xmlns:xs="http://www.w3.org/2001/XMLSchema" xmlns:p="http://schemas.microsoft.com/office/2006/metadata/properties" xmlns:ns3="3ced5e5e-b86e-4ca4-8688-b9142fbd645f" xmlns:ns4="de7eb468-e3f3-45ae-941f-500c6b778c35" targetNamespace="http://schemas.microsoft.com/office/2006/metadata/properties" ma:root="true" ma:fieldsID="96a2b74cc914ae3e8f92038160064549" ns3:_="" ns4:_="">
    <xsd:import namespace="3ced5e5e-b86e-4ca4-8688-b9142fbd645f"/>
    <xsd:import namespace="de7eb468-e3f3-45ae-941f-500c6b778c3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d5e5e-b86e-4ca4-8688-b9142fbd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7eb468-e3f3-45ae-941f-500c6b778c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5250E-DCD2-406E-870E-5B9DF54E4EBF}">
  <ds:schemaRefs>
    <ds:schemaRef ds:uri="http://schemas.microsoft.com/office/2006/documentManagement/types"/>
    <ds:schemaRef ds:uri="de7eb468-e3f3-45ae-941f-500c6b778c35"/>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3ced5e5e-b86e-4ca4-8688-b9142fbd645f"/>
    <ds:schemaRef ds:uri="http://www.w3.org/XML/1998/namespace"/>
    <ds:schemaRef ds:uri="http://purl.org/dc/dcmitype/"/>
  </ds:schemaRefs>
</ds:datastoreItem>
</file>

<file path=customXml/itemProps2.xml><?xml version="1.0" encoding="utf-8"?>
<ds:datastoreItem xmlns:ds="http://schemas.openxmlformats.org/officeDocument/2006/customXml" ds:itemID="{0D317D25-0B43-4E01-9032-B941A7A0BAB2}">
  <ds:schemaRefs>
    <ds:schemaRef ds:uri="http://schemas.microsoft.com/sharepoint/v3/contenttype/forms"/>
  </ds:schemaRefs>
</ds:datastoreItem>
</file>

<file path=customXml/itemProps3.xml><?xml version="1.0" encoding="utf-8"?>
<ds:datastoreItem xmlns:ds="http://schemas.openxmlformats.org/officeDocument/2006/customXml" ds:itemID="{503AED78-D9EB-412C-9424-5CB3CD5465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d5e5e-b86e-4ca4-8688-b9142fbd645f"/>
    <ds:schemaRef ds:uri="de7eb468-e3f3-45ae-941f-500c6b778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Backgrounding</vt:lpstr>
      <vt:lpstr>Stocker</vt:lpstr>
      <vt:lpstr>Feedlot</vt:lpstr>
      <vt:lpstr>Fed Cull Cow</vt:lpstr>
      <vt:lpstr>System</vt:lpstr>
      <vt:lpstr>Feed</vt:lpstr>
      <vt:lpstr>HerdSize</vt:lpstr>
      <vt:lpstr>Overhead</vt:lpstr>
      <vt:lpstr>Backgrounding!Print_Area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2021-10-08T21:01:06Z</cp:lastPrinted>
  <dcterms:created xsi:type="dcterms:W3CDTF">2009-03-11T18:48:46Z</dcterms:created>
  <dcterms:modified xsi:type="dcterms:W3CDTF">2021-10-08T21:01:07Z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0x01010020EAC2CD02B269489D2968333A35022A</vt:lpwstr>
  </property>
</Properties>
</file>