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https://uofnelincoln-my.sharepoint.com/personal/gmcclure3_unl_edu/Documents/Livestock budgets/Beef Systems - Cow Calf Budgets/NE Nebraska - Norfolk group/"/>
    </mc:Choice>
  </mc:AlternateContent>
  <xr:revisionPtr revIDLastSave="38" documentId="8_{766756D2-3625-47AB-8458-0107499C39DA}" xr6:coauthVersionLast="47" xr6:coauthVersionMax="47" xr10:uidLastSave="{57DEFAE1-CDDA-4181-9F11-C14F087A433D}"/>
  <bookViews>
    <workbookView xWindow="4920" yWindow="4425" windowWidth="21600" windowHeight="11385" xr2:uid="{00000000-000D-0000-FFFF-FFFF00000000}"/>
  </bookViews>
  <sheets>
    <sheet name="Title Page" sheetId="8" r:id="rId1"/>
    <sheet name="Inputs" sheetId="1" r:id="rId2"/>
    <sheet name="Bulls" sheetId="6" r:id="rId3"/>
    <sheet name="Breeding Herd" sheetId="2" r:id="rId4"/>
    <sheet name="Background Calf" sheetId="3" r:id="rId5"/>
    <sheet name="Replacements" sheetId="7" r:id="rId6"/>
    <sheet name="Stocker" sheetId="9" r:id="rId7"/>
    <sheet name="Feedlot" sheetId="10" r:id="rId8"/>
    <sheet name="Fed Cull Cow" sheetId="11" r:id="rId9"/>
    <sheet name="System" sheetId="4" r:id="rId10"/>
  </sheets>
  <definedNames>
    <definedName name="Feed">Inputs!$B$68:$H$77</definedName>
    <definedName name="HerdSize">Inputs!$G$3</definedName>
    <definedName name="Overhead">Inputs!$B$116:$H$121</definedName>
    <definedName name="_xlnm.Print_Area" localSheetId="4">'Background Calf'!$B$1:$I$81</definedName>
    <definedName name="_xlnm.Print_Area" localSheetId="3">'Breeding Herd'!$B$1:$J$90</definedName>
    <definedName name="_xlnm.Print_Area" localSheetId="2">Bulls!$B$1:$H$28</definedName>
    <definedName name="_xlnm.Print_Area" localSheetId="8">'Fed Cull Cow'!$B$1:$H$80</definedName>
    <definedName name="_xlnm.Print_Area" localSheetId="7">Feedlot!$B$1:$I$81</definedName>
    <definedName name="_xlnm.Print_Area" localSheetId="1">Inputs!$B$1:$I$121</definedName>
    <definedName name="_xlnm.Print_Area" localSheetId="5">Replacements!$B$1:$H$11</definedName>
    <definedName name="_xlnm.Print_Area" localSheetId="6">Stocker!$B$1:$I$81</definedName>
    <definedName name="_xlnm.Print_Area" localSheetId="9">System!$B$1:$G$104</definedName>
    <definedName name="_xlnm.Print_Area" localSheetId="0">'Title Page'!$A$1:$P$55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D11" i="3" l="1"/>
  <c r="O18" i="1" l="1"/>
  <c r="Y85" i="1"/>
  <c r="B54" i="4" l="1"/>
  <c r="B53" i="4"/>
  <c r="B52" i="4"/>
  <c r="B31" i="2"/>
  <c r="B32" i="2"/>
  <c r="B33" i="2"/>
  <c r="B34" i="2"/>
  <c r="B35" i="2"/>
  <c r="B36" i="2"/>
  <c r="B37" i="2"/>
  <c r="B38" i="2"/>
  <c r="D35" i="2"/>
  <c r="D36" i="2"/>
  <c r="D37" i="2"/>
  <c r="D38" i="2"/>
  <c r="C35" i="2"/>
  <c r="C36" i="2"/>
  <c r="F36" i="2" s="1"/>
  <c r="C37" i="2"/>
  <c r="F37" i="2" s="1"/>
  <c r="C38" i="2"/>
  <c r="F38" i="2" s="1"/>
  <c r="B29" i="2"/>
  <c r="B30" i="2"/>
  <c r="C29" i="2"/>
  <c r="C30" i="2"/>
  <c r="C34" i="2"/>
  <c r="D29" i="2"/>
  <c r="D30" i="2"/>
  <c r="D34" i="2"/>
  <c r="B49" i="4"/>
  <c r="B50" i="4"/>
  <c r="B51" i="4"/>
  <c r="B43" i="4"/>
  <c r="B44" i="4"/>
  <c r="B45" i="4"/>
  <c r="B46" i="4"/>
  <c r="B47" i="4"/>
  <c r="B48" i="4"/>
  <c r="U27" i="4"/>
  <c r="S27" i="4"/>
  <c r="E11" i="3" l="1"/>
  <c r="E12" i="9" l="1"/>
  <c r="E11" i="9"/>
  <c r="D15" i="6"/>
  <c r="D16" i="6"/>
  <c r="D17" i="6"/>
  <c r="D18" i="6"/>
  <c r="D19" i="6"/>
  <c r="D14" i="6"/>
  <c r="D19" i="2"/>
  <c r="D20" i="2"/>
  <c r="D21" i="2"/>
  <c r="D22" i="2"/>
  <c r="D23" i="2"/>
  <c r="D18" i="2"/>
  <c r="K82" i="1"/>
  <c r="K83" i="1"/>
  <c r="K91" i="1"/>
  <c r="K92" i="1"/>
  <c r="K93" i="1"/>
  <c r="K94" i="1"/>
  <c r="K95" i="1"/>
  <c r="K81" i="1"/>
  <c r="Y86" i="1"/>
  <c r="X87" i="1"/>
  <c r="C33" i="2" s="1"/>
  <c r="X86" i="1"/>
  <c r="X85" i="1"/>
  <c r="X84" i="1"/>
  <c r="C12" i="4"/>
  <c r="B27" i="11"/>
  <c r="H17" i="11"/>
  <c r="H18" i="11"/>
  <c r="H19" i="11"/>
  <c r="H20" i="11"/>
  <c r="J17" i="11"/>
  <c r="J18" i="11"/>
  <c r="J19" i="11"/>
  <c r="J20" i="11"/>
  <c r="E10" i="11"/>
  <c r="D10" i="11"/>
  <c r="C10" i="11"/>
  <c r="E4" i="11"/>
  <c r="D4" i="11"/>
  <c r="E1" i="11"/>
  <c r="P100" i="1"/>
  <c r="P101" i="1"/>
  <c r="P102" i="1"/>
  <c r="P103" i="1"/>
  <c r="P104" i="1"/>
  <c r="P105" i="1"/>
  <c r="P106" i="1"/>
  <c r="P107" i="1"/>
  <c r="P108" i="1"/>
  <c r="P99" i="1"/>
  <c r="Q84" i="1"/>
  <c r="R84" i="1"/>
  <c r="S84" i="1"/>
  <c r="T84" i="1"/>
  <c r="U84" i="1"/>
  <c r="Q85" i="1"/>
  <c r="R85" i="1"/>
  <c r="S85" i="1"/>
  <c r="T85" i="1"/>
  <c r="U85" i="1"/>
  <c r="Q86" i="1"/>
  <c r="R86" i="1"/>
  <c r="S86" i="1"/>
  <c r="T86" i="1"/>
  <c r="U86" i="1"/>
  <c r="Q87" i="1"/>
  <c r="R87" i="1"/>
  <c r="S87" i="1"/>
  <c r="T87" i="1"/>
  <c r="U87" i="1"/>
  <c r="Q88" i="1"/>
  <c r="R88" i="1"/>
  <c r="S88" i="1"/>
  <c r="T88" i="1"/>
  <c r="U88" i="1"/>
  <c r="Q89" i="1"/>
  <c r="R89" i="1"/>
  <c r="S89" i="1"/>
  <c r="T89" i="1"/>
  <c r="U89" i="1"/>
  <c r="Q90" i="1"/>
  <c r="R90" i="1"/>
  <c r="S90" i="1"/>
  <c r="T90" i="1"/>
  <c r="U90" i="1"/>
  <c r="T91" i="1"/>
  <c r="Q93" i="1"/>
  <c r="R93" i="1"/>
  <c r="S93" i="1"/>
  <c r="T93" i="1"/>
  <c r="F31" i="10" s="1"/>
  <c r="U93" i="1"/>
  <c r="F30" i="11" s="1"/>
  <c r="Q94" i="1"/>
  <c r="R94" i="1"/>
  <c r="F32" i="3" s="1"/>
  <c r="S94" i="1"/>
  <c r="F32" i="9" s="1"/>
  <c r="T94" i="1"/>
  <c r="F32" i="10" s="1"/>
  <c r="U94" i="1"/>
  <c r="F31" i="11" s="1"/>
  <c r="Q95" i="1"/>
  <c r="R95" i="1"/>
  <c r="S95" i="1"/>
  <c r="T95" i="1"/>
  <c r="F33" i="10" s="1"/>
  <c r="U95" i="1"/>
  <c r="F32" i="11" s="1"/>
  <c r="P82" i="1"/>
  <c r="P83" i="1"/>
  <c r="P84" i="1"/>
  <c r="P85" i="1"/>
  <c r="P86" i="1"/>
  <c r="P87" i="1"/>
  <c r="P88" i="1"/>
  <c r="P89" i="1"/>
  <c r="P90" i="1"/>
  <c r="P91" i="1"/>
  <c r="P92" i="1"/>
  <c r="P93" i="1"/>
  <c r="P94" i="1"/>
  <c r="P95" i="1"/>
  <c r="P81" i="1"/>
  <c r="O62" i="1"/>
  <c r="O63" i="1" s="1"/>
  <c r="O64" i="1" s="1"/>
  <c r="U74" i="1" s="1"/>
  <c r="O52" i="1"/>
  <c r="C10" i="4" s="1"/>
  <c r="E10" i="4" s="1"/>
  <c r="F62" i="1"/>
  <c r="E74" i="11"/>
  <c r="E73" i="11"/>
  <c r="D73" i="11"/>
  <c r="B73" i="11"/>
  <c r="E72" i="11"/>
  <c r="D72" i="11"/>
  <c r="B72" i="11"/>
  <c r="E71" i="11"/>
  <c r="D71" i="11"/>
  <c r="B71" i="11"/>
  <c r="E70" i="11"/>
  <c r="D70" i="11"/>
  <c r="B70" i="11"/>
  <c r="E69" i="11"/>
  <c r="D69" i="11"/>
  <c r="B69" i="11"/>
  <c r="E68" i="11"/>
  <c r="D68" i="11"/>
  <c r="B68" i="11"/>
  <c r="E67" i="11"/>
  <c r="D67" i="11"/>
  <c r="B67" i="11"/>
  <c r="E66" i="11"/>
  <c r="D66" i="11"/>
  <c r="B66" i="11"/>
  <c r="E65" i="11"/>
  <c r="D65" i="11"/>
  <c r="B65" i="11"/>
  <c r="D55" i="11"/>
  <c r="B55" i="11"/>
  <c r="D54" i="11"/>
  <c r="F54" i="11" s="1"/>
  <c r="B54" i="11"/>
  <c r="D53" i="11"/>
  <c r="B53" i="11"/>
  <c r="D52" i="11"/>
  <c r="B52" i="11"/>
  <c r="D51" i="11"/>
  <c r="B51" i="11"/>
  <c r="D47" i="11"/>
  <c r="F47" i="11" s="1"/>
  <c r="B47" i="11"/>
  <c r="D46" i="11"/>
  <c r="F46" i="11" s="1"/>
  <c r="B46" i="11"/>
  <c r="D45" i="11"/>
  <c r="F45" i="11" s="1"/>
  <c r="B45" i="11"/>
  <c r="D44" i="11"/>
  <c r="F44" i="11" s="1"/>
  <c r="B44" i="11"/>
  <c r="D43" i="11"/>
  <c r="F43" i="11" s="1"/>
  <c r="B43" i="11"/>
  <c r="D42" i="11"/>
  <c r="B42" i="11"/>
  <c r="D41" i="11"/>
  <c r="B41" i="11"/>
  <c r="D40" i="11"/>
  <c r="B40" i="11"/>
  <c r="D39" i="11"/>
  <c r="B39" i="11"/>
  <c r="E32" i="11"/>
  <c r="D32" i="11"/>
  <c r="B32" i="11"/>
  <c r="E31" i="11"/>
  <c r="D31" i="11"/>
  <c r="B31" i="11"/>
  <c r="E30" i="11"/>
  <c r="D30" i="11"/>
  <c r="B30" i="11"/>
  <c r="E29" i="11"/>
  <c r="D29" i="11"/>
  <c r="B29" i="11"/>
  <c r="E28" i="11"/>
  <c r="D28" i="11"/>
  <c r="B28" i="11"/>
  <c r="E26" i="11"/>
  <c r="D26" i="11"/>
  <c r="B26" i="11"/>
  <c r="E25" i="11"/>
  <c r="D25" i="11"/>
  <c r="B25" i="11"/>
  <c r="E24" i="11"/>
  <c r="D24" i="11"/>
  <c r="B24" i="11"/>
  <c r="U22" i="11"/>
  <c r="U21" i="11"/>
  <c r="G20" i="11"/>
  <c r="F20" i="11"/>
  <c r="D20" i="11"/>
  <c r="U20" i="11"/>
  <c r="G19" i="11"/>
  <c r="F19" i="11"/>
  <c r="D19" i="11"/>
  <c r="U19" i="11"/>
  <c r="G18" i="11"/>
  <c r="F18" i="11"/>
  <c r="D18" i="11"/>
  <c r="U18" i="11"/>
  <c r="G17" i="11"/>
  <c r="F17" i="11"/>
  <c r="D17" i="11"/>
  <c r="U17" i="11"/>
  <c r="G16" i="11"/>
  <c r="D16" i="11"/>
  <c r="U16" i="11"/>
  <c r="G15" i="11"/>
  <c r="D15" i="11"/>
  <c r="U15" i="11"/>
  <c r="U14" i="11"/>
  <c r="U13" i="11"/>
  <c r="L7" i="11"/>
  <c r="L6" i="11"/>
  <c r="L5" i="11"/>
  <c r="L4" i="11"/>
  <c r="L3" i="11"/>
  <c r="L2" i="11"/>
  <c r="V1" i="11"/>
  <c r="U1" i="11"/>
  <c r="U4" i="11" s="1"/>
  <c r="T1" i="11"/>
  <c r="S1" i="11"/>
  <c r="R1" i="11"/>
  <c r="Q1" i="11"/>
  <c r="Q4" i="11" s="1"/>
  <c r="P1" i="11"/>
  <c r="O1" i="11"/>
  <c r="N1" i="11"/>
  <c r="M1" i="11"/>
  <c r="M4" i="11" s="1"/>
  <c r="O55" i="1"/>
  <c r="O56" i="1" s="1"/>
  <c r="O42" i="1"/>
  <c r="O43" i="1" s="1"/>
  <c r="F52" i="1" s="1"/>
  <c r="O32" i="1"/>
  <c r="O35" i="1" s="1"/>
  <c r="O36" i="1" s="1"/>
  <c r="D45" i="1" s="1"/>
  <c r="O13" i="1"/>
  <c r="O33" i="1"/>
  <c r="C4" i="3" s="1"/>
  <c r="O8" i="1"/>
  <c r="Q8" i="1" s="1"/>
  <c r="O10" i="1"/>
  <c r="O6" i="1"/>
  <c r="C5" i="2" s="1"/>
  <c r="D88" i="4"/>
  <c r="E88" i="4"/>
  <c r="D89" i="4"/>
  <c r="E89" i="4"/>
  <c r="D90" i="4"/>
  <c r="E90" i="4"/>
  <c r="D91" i="4"/>
  <c r="E91" i="4"/>
  <c r="D92" i="4"/>
  <c r="E92" i="4"/>
  <c r="D93" i="4"/>
  <c r="E93" i="4"/>
  <c r="D94" i="4"/>
  <c r="E94" i="4"/>
  <c r="D95" i="4"/>
  <c r="E95" i="4"/>
  <c r="E87" i="4"/>
  <c r="D87" i="4"/>
  <c r="D62" i="4"/>
  <c r="G62" i="4" s="1"/>
  <c r="D63" i="4"/>
  <c r="G63" i="4" s="1"/>
  <c r="D64" i="4"/>
  <c r="G64" i="4" s="1"/>
  <c r="D65" i="4"/>
  <c r="G65" i="4" s="1"/>
  <c r="D66" i="4"/>
  <c r="G66" i="4" s="1"/>
  <c r="D67" i="4"/>
  <c r="G67" i="4" s="1"/>
  <c r="D68" i="4"/>
  <c r="G68" i="4" s="1"/>
  <c r="D69" i="4"/>
  <c r="G69" i="4" s="1"/>
  <c r="D61" i="4"/>
  <c r="G61" i="4" s="1"/>
  <c r="B41" i="4"/>
  <c r="B42" i="4"/>
  <c r="L7" i="10"/>
  <c r="L6" i="10"/>
  <c r="L5" i="10"/>
  <c r="L4" i="10"/>
  <c r="L3" i="10"/>
  <c r="L2" i="10"/>
  <c r="V1" i="10"/>
  <c r="U1" i="10"/>
  <c r="T1" i="10"/>
  <c r="S1" i="10"/>
  <c r="R1" i="10"/>
  <c r="Q1" i="10"/>
  <c r="P1" i="10"/>
  <c r="O1" i="10"/>
  <c r="N1" i="10"/>
  <c r="M1" i="10"/>
  <c r="L7" i="9"/>
  <c r="L6" i="9"/>
  <c r="L5" i="9"/>
  <c r="L4" i="9"/>
  <c r="L3" i="9"/>
  <c r="L2" i="9"/>
  <c r="V1" i="9"/>
  <c r="U1" i="9"/>
  <c r="T1" i="9"/>
  <c r="S1" i="9"/>
  <c r="R1" i="9"/>
  <c r="R7" i="9" s="1"/>
  <c r="Q1" i="9"/>
  <c r="P1" i="9"/>
  <c r="O1" i="9"/>
  <c r="N1" i="9"/>
  <c r="M1" i="9"/>
  <c r="L7" i="3"/>
  <c r="L6" i="3"/>
  <c r="L5" i="3"/>
  <c r="L4" i="3"/>
  <c r="L3" i="3"/>
  <c r="L2" i="3"/>
  <c r="L7" i="7"/>
  <c r="L6" i="7"/>
  <c r="L5" i="7"/>
  <c r="L4" i="7"/>
  <c r="L3" i="7"/>
  <c r="L2" i="7"/>
  <c r="L7" i="6"/>
  <c r="L6" i="6"/>
  <c r="L5" i="6"/>
  <c r="L4" i="6"/>
  <c r="L3" i="6"/>
  <c r="L2" i="6"/>
  <c r="V1" i="3"/>
  <c r="U1" i="3"/>
  <c r="T1" i="3"/>
  <c r="S1" i="3"/>
  <c r="R1" i="3"/>
  <c r="Q1" i="3"/>
  <c r="P1" i="3"/>
  <c r="O1" i="3"/>
  <c r="N1" i="3"/>
  <c r="M1" i="3"/>
  <c r="V1" i="7"/>
  <c r="U1" i="7"/>
  <c r="T1" i="7"/>
  <c r="S1" i="7"/>
  <c r="R1" i="7"/>
  <c r="Q1" i="7"/>
  <c r="P1" i="7"/>
  <c r="O1" i="7"/>
  <c r="N1" i="7"/>
  <c r="M1" i="7"/>
  <c r="V1" i="6"/>
  <c r="U1" i="6"/>
  <c r="T1" i="6"/>
  <c r="S1" i="6"/>
  <c r="R1" i="6"/>
  <c r="Q1" i="6"/>
  <c r="P1" i="6"/>
  <c r="O1" i="6"/>
  <c r="N1" i="6"/>
  <c r="M1" i="6"/>
  <c r="N1" i="2"/>
  <c r="M1" i="2"/>
  <c r="L3" i="2"/>
  <c r="L4" i="2"/>
  <c r="L5" i="2"/>
  <c r="L6" i="2"/>
  <c r="L7" i="2"/>
  <c r="L2" i="2"/>
  <c r="L19" i="2"/>
  <c r="L20" i="2"/>
  <c r="L21" i="2"/>
  <c r="L22" i="2"/>
  <c r="L23" i="2"/>
  <c r="D46" i="2"/>
  <c r="D47" i="2"/>
  <c r="D48" i="2"/>
  <c r="D49" i="2"/>
  <c r="D50" i="2"/>
  <c r="F50" i="2" s="1"/>
  <c r="D51" i="2"/>
  <c r="F51" i="2" s="1"/>
  <c r="D52" i="2"/>
  <c r="F52" i="2" s="1"/>
  <c r="D53" i="2"/>
  <c r="F53" i="2" s="1"/>
  <c r="D45" i="2"/>
  <c r="O1" i="2"/>
  <c r="P1" i="2"/>
  <c r="Q1" i="2"/>
  <c r="R1" i="2"/>
  <c r="S1" i="2"/>
  <c r="T1" i="2"/>
  <c r="U1" i="2"/>
  <c r="V1" i="2"/>
  <c r="K21" i="10"/>
  <c r="K20" i="10"/>
  <c r="K21" i="9"/>
  <c r="K20" i="9"/>
  <c r="K19" i="9"/>
  <c r="K18" i="9"/>
  <c r="K21" i="3"/>
  <c r="K20" i="3"/>
  <c r="D6" i="7"/>
  <c r="D7" i="7"/>
  <c r="D8" i="7"/>
  <c r="D9" i="7"/>
  <c r="D10" i="7"/>
  <c r="D5" i="7"/>
  <c r="J10" i="7"/>
  <c r="J16" i="6"/>
  <c r="J17" i="6"/>
  <c r="J18" i="6"/>
  <c r="J19" i="6"/>
  <c r="J14" i="6"/>
  <c r="J15" i="6"/>
  <c r="L18" i="2"/>
  <c r="C4" i="4"/>
  <c r="F4" i="4" s="1"/>
  <c r="B28" i="10"/>
  <c r="E1" i="10"/>
  <c r="E12" i="10"/>
  <c r="E11" i="10"/>
  <c r="D12" i="10"/>
  <c r="D11" i="10"/>
  <c r="C12" i="10"/>
  <c r="C11" i="10"/>
  <c r="E5" i="10"/>
  <c r="D5" i="10"/>
  <c r="E4" i="10"/>
  <c r="D4" i="10"/>
  <c r="E75" i="10"/>
  <c r="E74" i="10"/>
  <c r="D74" i="10"/>
  <c r="B74" i="10"/>
  <c r="E73" i="10"/>
  <c r="D73" i="10"/>
  <c r="B73" i="10"/>
  <c r="E72" i="10"/>
  <c r="D72" i="10"/>
  <c r="B72" i="10"/>
  <c r="E71" i="10"/>
  <c r="D71" i="10"/>
  <c r="B71" i="10"/>
  <c r="E70" i="10"/>
  <c r="D70" i="10"/>
  <c r="B70" i="10"/>
  <c r="E69" i="10"/>
  <c r="D69" i="10"/>
  <c r="B69" i="10"/>
  <c r="E68" i="10"/>
  <c r="D68" i="10"/>
  <c r="B68" i="10"/>
  <c r="E67" i="10"/>
  <c r="D67" i="10"/>
  <c r="B67" i="10"/>
  <c r="E66" i="10"/>
  <c r="D66" i="10"/>
  <c r="B66" i="10"/>
  <c r="I59" i="10"/>
  <c r="D56" i="10"/>
  <c r="B56" i="10"/>
  <c r="D55" i="10"/>
  <c r="F55" i="10" s="1"/>
  <c r="B55" i="10"/>
  <c r="D54" i="10"/>
  <c r="B54" i="10"/>
  <c r="D53" i="10"/>
  <c r="B53" i="10"/>
  <c r="D52" i="10"/>
  <c r="B52" i="10"/>
  <c r="I50" i="10"/>
  <c r="D48" i="10"/>
  <c r="F48" i="10" s="1"/>
  <c r="B48" i="10"/>
  <c r="D47" i="10"/>
  <c r="F47" i="10" s="1"/>
  <c r="B47" i="10"/>
  <c r="D46" i="10"/>
  <c r="F46" i="10" s="1"/>
  <c r="B46" i="10"/>
  <c r="D45" i="10"/>
  <c r="F45" i="10" s="1"/>
  <c r="B45" i="10"/>
  <c r="D44" i="10"/>
  <c r="F44" i="10" s="1"/>
  <c r="B44" i="10"/>
  <c r="D43" i="10"/>
  <c r="B43" i="10"/>
  <c r="D42" i="10"/>
  <c r="B42" i="10"/>
  <c r="D41" i="10"/>
  <c r="B41" i="10"/>
  <c r="D40" i="10"/>
  <c r="B40" i="10"/>
  <c r="I37" i="10"/>
  <c r="E33" i="10"/>
  <c r="D33" i="10"/>
  <c r="B33" i="10"/>
  <c r="E32" i="10"/>
  <c r="D32" i="10"/>
  <c r="B32" i="10"/>
  <c r="E31" i="10"/>
  <c r="D31" i="10"/>
  <c r="B31" i="10"/>
  <c r="E30" i="10"/>
  <c r="D30" i="10"/>
  <c r="B30" i="10"/>
  <c r="E29" i="10"/>
  <c r="D29" i="10"/>
  <c r="B29" i="10"/>
  <c r="E27" i="10"/>
  <c r="D27" i="10"/>
  <c r="B27" i="10"/>
  <c r="E26" i="10"/>
  <c r="D26" i="10"/>
  <c r="B26" i="10"/>
  <c r="E25" i="10"/>
  <c r="D25" i="10"/>
  <c r="B25" i="10"/>
  <c r="I23" i="10"/>
  <c r="U22" i="10"/>
  <c r="U21" i="10"/>
  <c r="I21" i="10"/>
  <c r="H21" i="10"/>
  <c r="G21" i="10"/>
  <c r="F21" i="10"/>
  <c r="D21" i="10"/>
  <c r="U20" i="10"/>
  <c r="I20" i="10"/>
  <c r="H20" i="10"/>
  <c r="G20" i="10"/>
  <c r="F20" i="10"/>
  <c r="D20" i="10"/>
  <c r="U19" i="10"/>
  <c r="G19" i="10"/>
  <c r="D19" i="10"/>
  <c r="U18" i="10"/>
  <c r="G18" i="10"/>
  <c r="D18" i="10"/>
  <c r="U17" i="10"/>
  <c r="G17" i="10"/>
  <c r="D17" i="10"/>
  <c r="U16" i="10"/>
  <c r="G16" i="10"/>
  <c r="D16" i="10"/>
  <c r="U15" i="10"/>
  <c r="U14" i="10"/>
  <c r="U13" i="10"/>
  <c r="I8" i="10"/>
  <c r="B28" i="9"/>
  <c r="D12" i="9"/>
  <c r="D11" i="9"/>
  <c r="C12" i="9"/>
  <c r="C11" i="9"/>
  <c r="C11" i="3"/>
  <c r="E5" i="9"/>
  <c r="D5" i="9"/>
  <c r="E4" i="9"/>
  <c r="D4" i="9"/>
  <c r="E1" i="9"/>
  <c r="E75" i="9"/>
  <c r="E74" i="9"/>
  <c r="D74" i="9"/>
  <c r="B74" i="9"/>
  <c r="E73" i="9"/>
  <c r="D73" i="9"/>
  <c r="B73" i="9"/>
  <c r="E72" i="9"/>
  <c r="D72" i="9"/>
  <c r="B72" i="9"/>
  <c r="E71" i="9"/>
  <c r="D71" i="9"/>
  <c r="B71" i="9"/>
  <c r="E70" i="9"/>
  <c r="D70" i="9"/>
  <c r="B70" i="9"/>
  <c r="E69" i="9"/>
  <c r="D69" i="9"/>
  <c r="B69" i="9"/>
  <c r="E68" i="9"/>
  <c r="D68" i="9"/>
  <c r="B68" i="9"/>
  <c r="E67" i="9"/>
  <c r="D67" i="9"/>
  <c r="B67" i="9"/>
  <c r="E66" i="9"/>
  <c r="D66" i="9"/>
  <c r="B66" i="9"/>
  <c r="I59" i="9"/>
  <c r="D56" i="9"/>
  <c r="B56" i="9"/>
  <c r="D55" i="9"/>
  <c r="F55" i="9" s="1"/>
  <c r="B55" i="9"/>
  <c r="D54" i="9"/>
  <c r="B54" i="9"/>
  <c r="D53" i="9"/>
  <c r="B53" i="9"/>
  <c r="D52" i="9"/>
  <c r="B52" i="9"/>
  <c r="I50" i="9"/>
  <c r="D48" i="9"/>
  <c r="F48" i="9" s="1"/>
  <c r="B48" i="9"/>
  <c r="D47" i="9"/>
  <c r="F47" i="9" s="1"/>
  <c r="B47" i="9"/>
  <c r="D46" i="9"/>
  <c r="F46" i="9" s="1"/>
  <c r="B46" i="9"/>
  <c r="D45" i="9"/>
  <c r="F45" i="9" s="1"/>
  <c r="B45" i="9"/>
  <c r="D44" i="9"/>
  <c r="F44" i="9" s="1"/>
  <c r="B44" i="9"/>
  <c r="D43" i="9"/>
  <c r="B43" i="9"/>
  <c r="D42" i="9"/>
  <c r="B42" i="9"/>
  <c r="D41" i="9"/>
  <c r="B41" i="9"/>
  <c r="D40" i="9"/>
  <c r="B40" i="9"/>
  <c r="I37" i="9"/>
  <c r="E33" i="9"/>
  <c r="D33" i="9"/>
  <c r="B33" i="9"/>
  <c r="E32" i="9"/>
  <c r="D32" i="9"/>
  <c r="B32" i="9"/>
  <c r="E31" i="9"/>
  <c r="D31" i="9"/>
  <c r="B31" i="9"/>
  <c r="E30" i="9"/>
  <c r="D30" i="9"/>
  <c r="B30" i="9"/>
  <c r="E29" i="9"/>
  <c r="D29" i="9"/>
  <c r="B29" i="9"/>
  <c r="E27" i="9"/>
  <c r="D27" i="9"/>
  <c r="B27" i="9"/>
  <c r="E26" i="9"/>
  <c r="D26" i="9"/>
  <c r="B26" i="9"/>
  <c r="E25" i="9"/>
  <c r="D25" i="9"/>
  <c r="B25" i="9"/>
  <c r="I23" i="9"/>
  <c r="U22" i="9"/>
  <c r="U21" i="9"/>
  <c r="I21" i="9"/>
  <c r="H21" i="9"/>
  <c r="G21" i="9"/>
  <c r="F21" i="9"/>
  <c r="D21" i="9"/>
  <c r="U20" i="9"/>
  <c r="G20" i="9"/>
  <c r="F20" i="9"/>
  <c r="H20" i="9" s="1"/>
  <c r="D20" i="9"/>
  <c r="U19" i="9"/>
  <c r="G19" i="9"/>
  <c r="F19" i="9"/>
  <c r="H19" i="9" s="1"/>
  <c r="D19" i="9"/>
  <c r="U18" i="9"/>
  <c r="G18" i="9"/>
  <c r="F18" i="9"/>
  <c r="H18" i="9" s="1"/>
  <c r="D18" i="9"/>
  <c r="U17" i="9"/>
  <c r="G17" i="9"/>
  <c r="D17" i="9"/>
  <c r="U16" i="9"/>
  <c r="G16" i="9"/>
  <c r="D16" i="9"/>
  <c r="U15" i="9"/>
  <c r="U14" i="9"/>
  <c r="U13" i="9"/>
  <c r="I8" i="9"/>
  <c r="I20" i="9"/>
  <c r="I21" i="3"/>
  <c r="E67" i="3"/>
  <c r="E68" i="3"/>
  <c r="E69" i="3"/>
  <c r="E70" i="3"/>
  <c r="E71" i="3"/>
  <c r="E72" i="3"/>
  <c r="E73" i="3"/>
  <c r="E74" i="3"/>
  <c r="E66" i="3"/>
  <c r="D67" i="3"/>
  <c r="D68" i="3"/>
  <c r="D69" i="3"/>
  <c r="D70" i="3"/>
  <c r="D71" i="3"/>
  <c r="D72" i="3"/>
  <c r="D73" i="3"/>
  <c r="D74" i="3"/>
  <c r="D66" i="3"/>
  <c r="B67" i="3"/>
  <c r="B68" i="3"/>
  <c r="B69" i="3"/>
  <c r="B70" i="3"/>
  <c r="B71" i="3"/>
  <c r="B72" i="3"/>
  <c r="B73" i="3"/>
  <c r="B74" i="3"/>
  <c r="B66" i="3"/>
  <c r="D53" i="3"/>
  <c r="D54" i="3"/>
  <c r="D55" i="3"/>
  <c r="F55" i="3" s="1"/>
  <c r="D56" i="3"/>
  <c r="D52" i="3"/>
  <c r="D41" i="3"/>
  <c r="D42" i="3"/>
  <c r="D43" i="3"/>
  <c r="D44" i="3"/>
  <c r="F44" i="3" s="1"/>
  <c r="D45" i="3"/>
  <c r="F45" i="3" s="1"/>
  <c r="D46" i="3"/>
  <c r="F46" i="3" s="1"/>
  <c r="D47" i="3"/>
  <c r="F47" i="3" s="1"/>
  <c r="D48" i="3"/>
  <c r="F48" i="3" s="1"/>
  <c r="D40" i="3"/>
  <c r="B42" i="3"/>
  <c r="B43" i="3"/>
  <c r="B44" i="3"/>
  <c r="B45" i="3"/>
  <c r="B46" i="3"/>
  <c r="B47" i="3"/>
  <c r="B48" i="3"/>
  <c r="B41" i="3"/>
  <c r="B40" i="3"/>
  <c r="D30" i="3"/>
  <c r="D31" i="3"/>
  <c r="D32" i="3"/>
  <c r="D33" i="3"/>
  <c r="D29" i="3"/>
  <c r="E30" i="3"/>
  <c r="E31" i="3"/>
  <c r="E32" i="3"/>
  <c r="E33" i="3"/>
  <c r="E29" i="3"/>
  <c r="E28" i="3"/>
  <c r="E26" i="3"/>
  <c r="E27" i="3"/>
  <c r="E25" i="3"/>
  <c r="D26" i="3"/>
  <c r="D27" i="3"/>
  <c r="D25" i="3"/>
  <c r="B30" i="3"/>
  <c r="B31" i="3"/>
  <c r="B32" i="3"/>
  <c r="B33" i="3"/>
  <c r="B29" i="3"/>
  <c r="B28" i="3"/>
  <c r="B26" i="3"/>
  <c r="B27" i="3"/>
  <c r="B25" i="3"/>
  <c r="H21" i="3"/>
  <c r="G17" i="3"/>
  <c r="G18" i="3"/>
  <c r="G19" i="3"/>
  <c r="G20" i="3"/>
  <c r="G21" i="3"/>
  <c r="G16" i="3"/>
  <c r="F21" i="3"/>
  <c r="D17" i="3"/>
  <c r="D18" i="3"/>
  <c r="D19" i="3"/>
  <c r="D20" i="3"/>
  <c r="D21" i="3"/>
  <c r="D16" i="3"/>
  <c r="U14" i="3"/>
  <c r="U15" i="3"/>
  <c r="U16" i="3"/>
  <c r="U17" i="3"/>
  <c r="U18" i="3"/>
  <c r="U19" i="3"/>
  <c r="U20" i="3"/>
  <c r="U21" i="3"/>
  <c r="U22" i="3"/>
  <c r="E5" i="3"/>
  <c r="D5" i="3"/>
  <c r="E4" i="3"/>
  <c r="D4" i="3"/>
  <c r="E72" i="2"/>
  <c r="E73" i="2"/>
  <c r="E74" i="2"/>
  <c r="E75" i="2"/>
  <c r="E76" i="2"/>
  <c r="E77" i="2"/>
  <c r="E78" i="2"/>
  <c r="E79" i="2"/>
  <c r="E80" i="2"/>
  <c r="D72" i="2"/>
  <c r="D73" i="2"/>
  <c r="D74" i="2"/>
  <c r="D75" i="2"/>
  <c r="D76" i="2"/>
  <c r="D77" i="2"/>
  <c r="D78" i="2"/>
  <c r="D79" i="2"/>
  <c r="D80" i="2"/>
  <c r="E71" i="2"/>
  <c r="D71" i="2"/>
  <c r="B72" i="2"/>
  <c r="B73" i="2"/>
  <c r="B74" i="2"/>
  <c r="B75" i="2"/>
  <c r="B76" i="2"/>
  <c r="F76" i="2" s="1"/>
  <c r="B77" i="2"/>
  <c r="F77" i="2" s="1"/>
  <c r="B78" i="2"/>
  <c r="F78" i="2" s="1"/>
  <c r="B79" i="2"/>
  <c r="F79" i="2" s="1"/>
  <c r="B80" i="2"/>
  <c r="F80" i="2" s="1"/>
  <c r="B71" i="2"/>
  <c r="M108" i="1"/>
  <c r="B46" i="2"/>
  <c r="B47" i="2"/>
  <c r="B48" i="2"/>
  <c r="B49" i="2"/>
  <c r="B52" i="2"/>
  <c r="B53" i="2"/>
  <c r="B45" i="2"/>
  <c r="H36" i="2"/>
  <c r="H37" i="2"/>
  <c r="F10" i="7"/>
  <c r="H18" i="6"/>
  <c r="H19" i="6"/>
  <c r="F18" i="6"/>
  <c r="F19" i="6"/>
  <c r="E23" i="6"/>
  <c r="O23" i="1"/>
  <c r="O21" i="1"/>
  <c r="P117" i="1"/>
  <c r="P118" i="1"/>
  <c r="P119" i="1"/>
  <c r="P120" i="1"/>
  <c r="P121" i="1"/>
  <c r="P116" i="1"/>
  <c r="M100" i="1"/>
  <c r="M101" i="1"/>
  <c r="M102" i="1"/>
  <c r="M103" i="1"/>
  <c r="M104" i="1"/>
  <c r="M105" i="1"/>
  <c r="M106" i="1"/>
  <c r="M107" i="1"/>
  <c r="M99" i="1"/>
  <c r="O15" i="1"/>
  <c r="D83" i="2"/>
  <c r="B28" i="2"/>
  <c r="D28" i="2"/>
  <c r="C28" i="2"/>
  <c r="U13" i="3"/>
  <c r="B40" i="4"/>
  <c r="R7" i="10" l="1"/>
  <c r="Q5" i="2"/>
  <c r="Q7" i="9"/>
  <c r="Q7" i="10"/>
  <c r="S3" i="6"/>
  <c r="S7" i="9"/>
  <c r="S7" i="10"/>
  <c r="O3" i="3"/>
  <c r="S3" i="3"/>
  <c r="U3" i="3"/>
  <c r="C8" i="4"/>
  <c r="E8" i="4" s="1"/>
  <c r="S5" i="2"/>
  <c r="O5" i="2"/>
  <c r="X88" i="1"/>
  <c r="D28" i="3" s="1"/>
  <c r="S4" i="11"/>
  <c r="O4" i="11"/>
  <c r="C6" i="4"/>
  <c r="E6" i="4" s="1"/>
  <c r="U5" i="2"/>
  <c r="P2" i="7"/>
  <c r="R2" i="7"/>
  <c r="T2" i="7"/>
  <c r="R7" i="11"/>
  <c r="T7" i="11"/>
  <c r="V7" i="11"/>
  <c r="N7" i="11"/>
  <c r="P7" i="11"/>
  <c r="O7" i="10"/>
  <c r="T7" i="10"/>
  <c r="P7" i="10"/>
  <c r="M7" i="10"/>
  <c r="U7" i="10"/>
  <c r="N7" i="10"/>
  <c r="V7" i="10"/>
  <c r="M7" i="9"/>
  <c r="P7" i="9"/>
  <c r="T7" i="9"/>
  <c r="U7" i="9"/>
  <c r="N7" i="9"/>
  <c r="V7" i="9"/>
  <c r="O7" i="9"/>
  <c r="T3" i="2"/>
  <c r="R3" i="2"/>
  <c r="V3" i="2"/>
  <c r="P3" i="2"/>
  <c r="Q3" i="7"/>
  <c r="S3" i="7"/>
  <c r="U3" i="7"/>
  <c r="N2" i="7"/>
  <c r="Q3" i="6"/>
  <c r="U3" i="6"/>
  <c r="H11" i="10"/>
  <c r="H12" i="10"/>
  <c r="H12" i="9"/>
  <c r="Z85" i="1"/>
  <c r="H23" i="6" s="1"/>
  <c r="G44" i="4" s="1"/>
  <c r="D23" i="6"/>
  <c r="Z86" i="1"/>
  <c r="H32" i="2" s="1"/>
  <c r="C32" i="2"/>
  <c r="C31" i="2"/>
  <c r="H31" i="2" s="1"/>
  <c r="D27" i="11"/>
  <c r="F32" i="1"/>
  <c r="R2" i="3"/>
  <c r="T2" i="3"/>
  <c r="V2" i="3"/>
  <c r="V2" i="7"/>
  <c r="P2" i="6"/>
  <c r="R2" i="6"/>
  <c r="T2" i="6"/>
  <c r="V2" i="6"/>
  <c r="N3" i="2"/>
  <c r="M3" i="2"/>
  <c r="M3" i="6"/>
  <c r="V84" i="1"/>
  <c r="V88" i="1"/>
  <c r="V86" i="1"/>
  <c r="V90" i="1"/>
  <c r="V94" i="1"/>
  <c r="Y88" i="1"/>
  <c r="F69" i="11"/>
  <c r="F71" i="11"/>
  <c r="H71" i="11" s="1"/>
  <c r="F73" i="11"/>
  <c r="O57" i="1"/>
  <c r="T74" i="1" s="1"/>
  <c r="C4" i="11"/>
  <c r="J15" i="11" s="1"/>
  <c r="R2" i="11" s="1"/>
  <c r="C13" i="4"/>
  <c r="F13" i="4" s="1"/>
  <c r="Y84" i="1"/>
  <c r="Z84" i="1" s="1"/>
  <c r="F70" i="11"/>
  <c r="F72" i="11"/>
  <c r="H72" i="11" s="1"/>
  <c r="V95" i="1"/>
  <c r="V93" i="1"/>
  <c r="V89" i="1"/>
  <c r="V87" i="1"/>
  <c r="V85" i="1"/>
  <c r="H47" i="11"/>
  <c r="O53" i="1"/>
  <c r="Q2" i="11"/>
  <c r="H43" i="11"/>
  <c r="O2" i="11"/>
  <c r="S2" i="11"/>
  <c r="M3" i="11"/>
  <c r="Q3" i="11"/>
  <c r="U3" i="11"/>
  <c r="H10" i="11"/>
  <c r="H12" i="11" s="1"/>
  <c r="M2" i="11"/>
  <c r="O3" i="11"/>
  <c r="H45" i="11"/>
  <c r="N4" i="11"/>
  <c r="P4" i="11"/>
  <c r="R4" i="11"/>
  <c r="T4" i="11"/>
  <c r="V4" i="11"/>
  <c r="M5" i="11"/>
  <c r="O5" i="11"/>
  <c r="Q5" i="11"/>
  <c r="S5" i="11"/>
  <c r="U5" i="11"/>
  <c r="M6" i="11"/>
  <c r="O6" i="11"/>
  <c r="Q6" i="11"/>
  <c r="S6" i="11"/>
  <c r="U6" i="11"/>
  <c r="M7" i="11"/>
  <c r="O7" i="11"/>
  <c r="Q7" i="11"/>
  <c r="S7" i="11"/>
  <c r="U7" i="11"/>
  <c r="U2" i="11"/>
  <c r="H30" i="11"/>
  <c r="H31" i="11"/>
  <c r="H32" i="11"/>
  <c r="H44" i="11"/>
  <c r="H46" i="11"/>
  <c r="N2" i="11"/>
  <c r="P2" i="11"/>
  <c r="T2" i="11"/>
  <c r="V2" i="11"/>
  <c r="N3" i="11"/>
  <c r="P3" i="11"/>
  <c r="R3" i="11"/>
  <c r="T3" i="11"/>
  <c r="V3" i="11"/>
  <c r="N5" i="11"/>
  <c r="P5" i="11"/>
  <c r="R5" i="11"/>
  <c r="T5" i="11"/>
  <c r="V5" i="11"/>
  <c r="N6" i="11"/>
  <c r="P6" i="11"/>
  <c r="R6" i="11"/>
  <c r="T6" i="11"/>
  <c r="V6" i="11"/>
  <c r="F42" i="1"/>
  <c r="N5" i="2"/>
  <c r="O45" i="1"/>
  <c r="O46" i="1" s="1"/>
  <c r="F23" i="1"/>
  <c r="C11" i="4"/>
  <c r="F11" i="4" s="1"/>
  <c r="C5" i="3"/>
  <c r="I70" i="3" s="1"/>
  <c r="F71" i="9"/>
  <c r="F73" i="9"/>
  <c r="H73" i="9" s="1"/>
  <c r="F70" i="10"/>
  <c r="N7" i="2"/>
  <c r="M4" i="2"/>
  <c r="I4" i="10"/>
  <c r="I4" i="9"/>
  <c r="H11" i="9"/>
  <c r="F74" i="10"/>
  <c r="C4" i="10"/>
  <c r="C5" i="10"/>
  <c r="H5" i="10" s="1"/>
  <c r="C4" i="9"/>
  <c r="H4" i="9" s="1"/>
  <c r="V2" i="9"/>
  <c r="C7" i="4"/>
  <c r="E7" i="4" s="1"/>
  <c r="O3" i="6"/>
  <c r="M6" i="2"/>
  <c r="N2" i="6"/>
  <c r="U7" i="2"/>
  <c r="S7" i="2"/>
  <c r="Q7" i="2"/>
  <c r="O7" i="2"/>
  <c r="V6" i="2"/>
  <c r="T6" i="2"/>
  <c r="R6" i="2"/>
  <c r="P6" i="2"/>
  <c r="V5" i="2"/>
  <c r="T5" i="2"/>
  <c r="R5" i="2"/>
  <c r="P5" i="2"/>
  <c r="U4" i="2"/>
  <c r="S4" i="2"/>
  <c r="Q4" i="2"/>
  <c r="O4" i="2"/>
  <c r="U3" i="2"/>
  <c r="S3" i="2"/>
  <c r="Q3" i="2"/>
  <c r="O3" i="2"/>
  <c r="M2" i="6"/>
  <c r="M6" i="6"/>
  <c r="M4" i="6"/>
  <c r="V7" i="6"/>
  <c r="T7" i="6"/>
  <c r="R7" i="6"/>
  <c r="P7" i="6"/>
  <c r="N7" i="6"/>
  <c r="U6" i="6"/>
  <c r="S6" i="6"/>
  <c r="Q6" i="6"/>
  <c r="O6" i="6"/>
  <c r="V5" i="6"/>
  <c r="T5" i="6"/>
  <c r="R5" i="6"/>
  <c r="P5" i="6"/>
  <c r="N5" i="6"/>
  <c r="U4" i="6"/>
  <c r="S4" i="6"/>
  <c r="Q4" i="6"/>
  <c r="O4" i="6"/>
  <c r="V3" i="6"/>
  <c r="T3" i="6"/>
  <c r="R3" i="6"/>
  <c r="P3" i="6"/>
  <c r="N3" i="6"/>
  <c r="U2" i="6"/>
  <c r="S2" i="6"/>
  <c r="Q2" i="6"/>
  <c r="O2" i="6"/>
  <c r="M6" i="7"/>
  <c r="M4" i="7"/>
  <c r="V7" i="7"/>
  <c r="T7" i="7"/>
  <c r="R7" i="7"/>
  <c r="P7" i="7"/>
  <c r="N7" i="7"/>
  <c r="Q6" i="7"/>
  <c r="O6" i="7"/>
  <c r="V5" i="7"/>
  <c r="N5" i="7"/>
  <c r="U4" i="7"/>
  <c r="S4" i="7"/>
  <c r="Q4" i="7"/>
  <c r="T3" i="7"/>
  <c r="R3" i="7"/>
  <c r="P3" i="7"/>
  <c r="N3" i="7"/>
  <c r="U2" i="7"/>
  <c r="S2" i="7"/>
  <c r="Q2" i="7"/>
  <c r="M2" i="3"/>
  <c r="M6" i="3"/>
  <c r="M4" i="3"/>
  <c r="V7" i="3"/>
  <c r="T7" i="3"/>
  <c r="R7" i="3"/>
  <c r="P7" i="3"/>
  <c r="N7" i="3"/>
  <c r="U6" i="3"/>
  <c r="S6" i="3"/>
  <c r="Q6" i="3"/>
  <c r="O6" i="3"/>
  <c r="V5" i="3"/>
  <c r="T5" i="3"/>
  <c r="R5" i="3"/>
  <c r="P5" i="3"/>
  <c r="N5" i="3"/>
  <c r="S4" i="3"/>
  <c r="O4" i="3"/>
  <c r="V3" i="3"/>
  <c r="R3" i="3"/>
  <c r="P3" i="3"/>
  <c r="N3" i="3"/>
  <c r="U2" i="3"/>
  <c r="S2" i="3"/>
  <c r="Q2" i="3"/>
  <c r="V2" i="10"/>
  <c r="P2" i="2"/>
  <c r="V7" i="2"/>
  <c r="T7" i="2"/>
  <c r="R7" i="2"/>
  <c r="P7" i="2"/>
  <c r="U6" i="2"/>
  <c r="S6" i="2"/>
  <c r="Q6" i="2"/>
  <c r="O6" i="2"/>
  <c r="V4" i="2"/>
  <c r="T4" i="2"/>
  <c r="R4" i="2"/>
  <c r="P4" i="2"/>
  <c r="M7" i="6"/>
  <c r="M5" i="6"/>
  <c r="U7" i="6"/>
  <c r="S7" i="6"/>
  <c r="Q7" i="6"/>
  <c r="O7" i="6"/>
  <c r="V6" i="6"/>
  <c r="T6" i="6"/>
  <c r="R6" i="6"/>
  <c r="P6" i="6"/>
  <c r="N6" i="6"/>
  <c r="U5" i="6"/>
  <c r="S5" i="6"/>
  <c r="Q5" i="6"/>
  <c r="O5" i="6"/>
  <c r="V4" i="6"/>
  <c r="T4" i="6"/>
  <c r="R4" i="6"/>
  <c r="P4" i="6"/>
  <c r="N4" i="6"/>
  <c r="M7" i="7"/>
  <c r="M5" i="7"/>
  <c r="U7" i="7"/>
  <c r="S7" i="7"/>
  <c r="Q7" i="7"/>
  <c r="O7" i="7"/>
  <c r="V6" i="7"/>
  <c r="T6" i="7"/>
  <c r="P6" i="7"/>
  <c r="N6" i="7"/>
  <c r="U5" i="7"/>
  <c r="S5" i="7"/>
  <c r="O5" i="7"/>
  <c r="V4" i="7"/>
  <c r="T4" i="7"/>
  <c r="R4" i="7"/>
  <c r="M7" i="3"/>
  <c r="M5" i="3"/>
  <c r="M3" i="3"/>
  <c r="U7" i="3"/>
  <c r="S7" i="3"/>
  <c r="Q7" i="3"/>
  <c r="O7" i="3"/>
  <c r="V6" i="3"/>
  <c r="T6" i="3"/>
  <c r="R6" i="3"/>
  <c r="P6" i="3"/>
  <c r="N6" i="3"/>
  <c r="Q5" i="3"/>
  <c r="O5" i="3"/>
  <c r="V4" i="3"/>
  <c r="T4" i="3"/>
  <c r="P4" i="3"/>
  <c r="N4" i="3"/>
  <c r="M2" i="10"/>
  <c r="O2" i="10"/>
  <c r="S2" i="10"/>
  <c r="M3" i="10"/>
  <c r="O3" i="10"/>
  <c r="Q3" i="10"/>
  <c r="U3" i="10"/>
  <c r="M4" i="10"/>
  <c r="O4" i="10"/>
  <c r="S4" i="10"/>
  <c r="U4" i="10"/>
  <c r="M5" i="10"/>
  <c r="O5" i="10"/>
  <c r="Q5" i="10"/>
  <c r="S5" i="10"/>
  <c r="U5" i="10"/>
  <c r="M6" i="10"/>
  <c r="O6" i="10"/>
  <c r="Q6" i="10"/>
  <c r="S6" i="10"/>
  <c r="U6" i="10"/>
  <c r="N2" i="10"/>
  <c r="P2" i="10"/>
  <c r="T2" i="10"/>
  <c r="P3" i="10"/>
  <c r="R3" i="10"/>
  <c r="T3" i="10"/>
  <c r="N4" i="10"/>
  <c r="P4" i="10"/>
  <c r="R4" i="10"/>
  <c r="T4" i="10"/>
  <c r="V4" i="10"/>
  <c r="N5" i="10"/>
  <c r="P5" i="10"/>
  <c r="R5" i="10"/>
  <c r="T5" i="10"/>
  <c r="N6" i="10"/>
  <c r="P6" i="10"/>
  <c r="R6" i="10"/>
  <c r="T6" i="10"/>
  <c r="V6" i="10"/>
  <c r="Q2" i="9"/>
  <c r="S2" i="9"/>
  <c r="U2" i="9"/>
  <c r="M3" i="9"/>
  <c r="O3" i="9"/>
  <c r="Q3" i="9"/>
  <c r="M4" i="9"/>
  <c r="O4" i="9"/>
  <c r="Q4" i="9"/>
  <c r="S4" i="9"/>
  <c r="U4" i="9"/>
  <c r="M5" i="9"/>
  <c r="O5" i="9"/>
  <c r="Q5" i="9"/>
  <c r="S5" i="9"/>
  <c r="U5" i="9"/>
  <c r="M6" i="9"/>
  <c r="O6" i="9"/>
  <c r="Q6" i="9"/>
  <c r="S6" i="9"/>
  <c r="U6" i="9"/>
  <c r="N2" i="9"/>
  <c r="P2" i="9"/>
  <c r="R2" i="9"/>
  <c r="T2" i="9"/>
  <c r="N3" i="9"/>
  <c r="P3" i="9"/>
  <c r="R3" i="9"/>
  <c r="T3" i="9"/>
  <c r="V3" i="9"/>
  <c r="N4" i="9"/>
  <c r="P4" i="9"/>
  <c r="R4" i="9"/>
  <c r="T4" i="9"/>
  <c r="V4" i="9"/>
  <c r="N5" i="9"/>
  <c r="P5" i="9"/>
  <c r="R5" i="9"/>
  <c r="T5" i="9"/>
  <c r="V5" i="9"/>
  <c r="N6" i="9"/>
  <c r="P6" i="9"/>
  <c r="R6" i="9"/>
  <c r="T6" i="9"/>
  <c r="V6" i="9"/>
  <c r="U2" i="2"/>
  <c r="S2" i="2"/>
  <c r="Q2" i="2"/>
  <c r="O2" i="2"/>
  <c r="N2" i="2"/>
  <c r="M2" i="2"/>
  <c r="V2" i="2"/>
  <c r="T2" i="2"/>
  <c r="R2" i="2"/>
  <c r="N6" i="2"/>
  <c r="N4" i="2"/>
  <c r="M7" i="2"/>
  <c r="M5" i="2"/>
  <c r="F71" i="10"/>
  <c r="F73" i="10"/>
  <c r="H73" i="10" s="1"/>
  <c r="F73" i="3"/>
  <c r="F70" i="9"/>
  <c r="F72" i="9"/>
  <c r="H72" i="9" s="1"/>
  <c r="F74" i="9"/>
  <c r="I5" i="9"/>
  <c r="I4" i="3"/>
  <c r="I5" i="3"/>
  <c r="F72" i="10"/>
  <c r="H72" i="10" s="1"/>
  <c r="F72" i="3"/>
  <c r="H44" i="9"/>
  <c r="H46" i="9"/>
  <c r="H48" i="9"/>
  <c r="H44" i="10"/>
  <c r="H46" i="10"/>
  <c r="H48" i="10"/>
  <c r="F10" i="4"/>
  <c r="F8" i="4"/>
  <c r="D4" i="4"/>
  <c r="E4" i="4"/>
  <c r="D10" i="4"/>
  <c r="H31" i="10"/>
  <c r="H33" i="10"/>
  <c r="F71" i="3"/>
  <c r="F33" i="9"/>
  <c r="H33" i="9" s="1"/>
  <c r="F31" i="9"/>
  <c r="H31" i="9" s="1"/>
  <c r="I5" i="10"/>
  <c r="H32" i="10"/>
  <c r="H45" i="10"/>
  <c r="H47" i="10"/>
  <c r="H32" i="9"/>
  <c r="F33" i="3"/>
  <c r="H33" i="3" s="1"/>
  <c r="F31" i="3"/>
  <c r="H31" i="3" s="1"/>
  <c r="F74" i="3"/>
  <c r="F70" i="3"/>
  <c r="H45" i="9"/>
  <c r="H47" i="9"/>
  <c r="I18" i="9"/>
  <c r="I19" i="9"/>
  <c r="H32" i="3"/>
  <c r="H47" i="3"/>
  <c r="H45" i="3"/>
  <c r="H48" i="3"/>
  <c r="H46" i="3"/>
  <c r="H44" i="3"/>
  <c r="H4" i="3"/>
  <c r="H78" i="2"/>
  <c r="I78" i="2" s="1"/>
  <c r="H79" i="2"/>
  <c r="H80" i="2"/>
  <c r="H38" i="2"/>
  <c r="O37" i="1"/>
  <c r="R74" i="1" s="1"/>
  <c r="F13" i="1"/>
  <c r="D1" i="7"/>
  <c r="B66" i="4"/>
  <c r="B67" i="4"/>
  <c r="B68" i="4"/>
  <c r="B69" i="4"/>
  <c r="B65" i="4"/>
  <c r="G77" i="4"/>
  <c r="C22" i="4"/>
  <c r="E1" i="3"/>
  <c r="D8" i="4" l="1"/>
  <c r="G8" i="4" s="1"/>
  <c r="Z88" i="1"/>
  <c r="H28" i="3" s="1"/>
  <c r="I47" i="3"/>
  <c r="F6" i="4"/>
  <c r="K17" i="10"/>
  <c r="N3" i="10" s="1"/>
  <c r="N8" i="10" s="1"/>
  <c r="F55" i="1"/>
  <c r="X89" i="1"/>
  <c r="D28" i="9" s="1"/>
  <c r="Y90" i="1"/>
  <c r="X90" i="1"/>
  <c r="D28" i="10" s="1"/>
  <c r="I71" i="3"/>
  <c r="D6" i="4"/>
  <c r="G6" i="4" s="1"/>
  <c r="I45" i="10"/>
  <c r="I33" i="10"/>
  <c r="K16" i="10"/>
  <c r="U2" i="10" s="1"/>
  <c r="U8" i="10" s="1"/>
  <c r="I73" i="10"/>
  <c r="I47" i="10"/>
  <c r="I32" i="10"/>
  <c r="I70" i="10"/>
  <c r="H13" i="10"/>
  <c r="I13" i="10" s="1"/>
  <c r="H13" i="9"/>
  <c r="H4" i="10"/>
  <c r="H7" i="10" s="1"/>
  <c r="I7" i="10" s="1"/>
  <c r="I31" i="3"/>
  <c r="I48" i="3"/>
  <c r="I74" i="3"/>
  <c r="I45" i="3"/>
  <c r="I32" i="3"/>
  <c r="I44" i="3"/>
  <c r="I33" i="3"/>
  <c r="I46" i="3"/>
  <c r="O9" i="1"/>
  <c r="Y87" i="1" s="1"/>
  <c r="Z87" i="1" s="1"/>
  <c r="H33" i="2" s="1"/>
  <c r="G46" i="4" s="1"/>
  <c r="F35" i="1"/>
  <c r="W7" i="10"/>
  <c r="W7" i="9"/>
  <c r="W4" i="2"/>
  <c r="Q8" i="2"/>
  <c r="J16" i="11"/>
  <c r="S3" i="11" s="1"/>
  <c r="S8" i="11" s="1"/>
  <c r="H27" i="11"/>
  <c r="G43" i="4" s="1"/>
  <c r="D11" i="4"/>
  <c r="O47" i="1"/>
  <c r="S74" i="1" s="1"/>
  <c r="G54" i="4"/>
  <c r="U8" i="2"/>
  <c r="R8" i="2"/>
  <c r="V8" i="2"/>
  <c r="I32" i="2"/>
  <c r="G45" i="4"/>
  <c r="K18" i="10"/>
  <c r="Q4" i="10" s="1"/>
  <c r="W4" i="10" s="1"/>
  <c r="K19" i="10"/>
  <c r="V5" i="10" s="1"/>
  <c r="W5" i="10" s="1"/>
  <c r="G52" i="4"/>
  <c r="G53" i="4"/>
  <c r="E13" i="4"/>
  <c r="E11" i="4"/>
  <c r="D13" i="4"/>
  <c r="S3" i="10"/>
  <c r="S8" i="10" s="1"/>
  <c r="V3" i="10"/>
  <c r="Q2" i="10"/>
  <c r="C9" i="4"/>
  <c r="Y89" i="1"/>
  <c r="C5" i="9"/>
  <c r="I72" i="9" s="1"/>
  <c r="H4" i="11"/>
  <c r="H6" i="11" s="1"/>
  <c r="O8" i="11"/>
  <c r="W4" i="11"/>
  <c r="W2" i="11"/>
  <c r="Q8" i="11"/>
  <c r="T8" i="11"/>
  <c r="P8" i="11"/>
  <c r="U8" i="11"/>
  <c r="W6" i="11"/>
  <c r="V8" i="11"/>
  <c r="R8" i="11"/>
  <c r="N8" i="11"/>
  <c r="W7" i="11"/>
  <c r="W5" i="11"/>
  <c r="M8" i="11"/>
  <c r="D7" i="4"/>
  <c r="W7" i="6"/>
  <c r="W3" i="2"/>
  <c r="I46" i="10"/>
  <c r="I43" i="10"/>
  <c r="I30" i="10"/>
  <c r="I31" i="10"/>
  <c r="F7" i="4"/>
  <c r="I48" i="10"/>
  <c r="I44" i="10"/>
  <c r="I72" i="10"/>
  <c r="I74" i="10"/>
  <c r="T8" i="2"/>
  <c r="O8" i="2"/>
  <c r="S8" i="2"/>
  <c r="I28" i="10"/>
  <c r="I71" i="10"/>
  <c r="W2" i="2"/>
  <c r="W7" i="3"/>
  <c r="W7" i="7"/>
  <c r="M8" i="2"/>
  <c r="N8" i="2"/>
  <c r="V8" i="9"/>
  <c r="O7" i="1"/>
  <c r="O27" i="1" s="1"/>
  <c r="C5" i="4"/>
  <c r="P8" i="2"/>
  <c r="O8" i="10"/>
  <c r="M8" i="10"/>
  <c r="T8" i="10"/>
  <c r="P8" i="10"/>
  <c r="W6" i="10"/>
  <c r="R8" i="9"/>
  <c r="N8" i="9"/>
  <c r="W5" i="9"/>
  <c r="T8" i="9"/>
  <c r="P8" i="9"/>
  <c r="W6" i="9"/>
  <c r="W4" i="9"/>
  <c r="Q8" i="9"/>
  <c r="M8" i="3"/>
  <c r="W6" i="3"/>
  <c r="V8" i="3"/>
  <c r="V8" i="6"/>
  <c r="R8" i="6"/>
  <c r="N8" i="6"/>
  <c r="W5" i="6"/>
  <c r="W3" i="6"/>
  <c r="S8" i="6"/>
  <c r="O8" i="6"/>
  <c r="M8" i="6"/>
  <c r="W2" i="6"/>
  <c r="T8" i="6"/>
  <c r="P8" i="6"/>
  <c r="W6" i="6"/>
  <c r="W4" i="6"/>
  <c r="U8" i="6"/>
  <c r="Q8" i="6"/>
  <c r="W5" i="2"/>
  <c r="J7" i="7"/>
  <c r="O4" i="7" s="1"/>
  <c r="J9" i="7"/>
  <c r="R6" i="7" s="1"/>
  <c r="J5" i="7"/>
  <c r="J6" i="7"/>
  <c r="V3" i="7" s="1"/>
  <c r="V8" i="7" s="1"/>
  <c r="J8" i="7"/>
  <c r="G10" i="4"/>
  <c r="G4" i="4"/>
  <c r="J78" i="2"/>
  <c r="I80" i="2"/>
  <c r="J80" i="2"/>
  <c r="J79" i="2"/>
  <c r="I79" i="2"/>
  <c r="H77" i="2"/>
  <c r="H10" i="7"/>
  <c r="F7" i="2"/>
  <c r="E7" i="2"/>
  <c r="C7" i="2"/>
  <c r="D84" i="2"/>
  <c r="H84" i="2" s="1"/>
  <c r="G98" i="4" s="1"/>
  <c r="Q5" i="7" l="1"/>
  <c r="Q8" i="7" s="1"/>
  <c r="P5" i="7"/>
  <c r="Z90" i="1"/>
  <c r="H28" i="10" s="1"/>
  <c r="G49" i="4" s="1"/>
  <c r="Z89" i="1"/>
  <c r="H28" i="9" s="1"/>
  <c r="G48" i="4" s="1"/>
  <c r="R2" i="10"/>
  <c r="R8" i="10" s="1"/>
  <c r="G13" i="4"/>
  <c r="I13" i="9"/>
  <c r="I28" i="9"/>
  <c r="W3" i="11"/>
  <c r="V8" i="10"/>
  <c r="I36" i="4" s="1"/>
  <c r="C36" i="4" s="1"/>
  <c r="Q8" i="10"/>
  <c r="I48" i="9"/>
  <c r="I32" i="9"/>
  <c r="K16" i="9"/>
  <c r="M2" i="9" s="1"/>
  <c r="M2" i="7"/>
  <c r="O2" i="7"/>
  <c r="R5" i="7"/>
  <c r="R8" i="7" s="1"/>
  <c r="T5" i="7"/>
  <c r="T8" i="7" s="1"/>
  <c r="P4" i="7"/>
  <c r="N4" i="7"/>
  <c r="N8" i="7" s="1"/>
  <c r="W3" i="10"/>
  <c r="S6" i="7"/>
  <c r="S8" i="7" s="1"/>
  <c r="U6" i="7"/>
  <c r="U8" i="7" s="1"/>
  <c r="I71" i="9"/>
  <c r="I44" i="9"/>
  <c r="I74" i="9"/>
  <c r="I43" i="9"/>
  <c r="I31" i="9"/>
  <c r="I73" i="9"/>
  <c r="I46" i="9"/>
  <c r="O3" i="7"/>
  <c r="M3" i="7"/>
  <c r="O2" i="9"/>
  <c r="O8" i="9" s="1"/>
  <c r="D9" i="4"/>
  <c r="E9" i="4"/>
  <c r="F9" i="4"/>
  <c r="I33" i="9"/>
  <c r="I47" i="9"/>
  <c r="I30" i="9"/>
  <c r="H5" i="9"/>
  <c r="H7" i="9" s="1"/>
  <c r="I7" i="9" s="1"/>
  <c r="K17" i="9"/>
  <c r="I70" i="9"/>
  <c r="I45" i="9"/>
  <c r="G7" i="4"/>
  <c r="Q74" i="1"/>
  <c r="P74" i="1" s="1"/>
  <c r="U75" i="1" s="1"/>
  <c r="E5" i="4"/>
  <c r="D5" i="4"/>
  <c r="F5" i="4"/>
  <c r="W6" i="2"/>
  <c r="I77" i="2"/>
  <c r="J77" i="2"/>
  <c r="H73" i="3"/>
  <c r="I73" i="3" s="1"/>
  <c r="H72" i="3"/>
  <c r="I72" i="3" s="1"/>
  <c r="H7" i="2"/>
  <c r="C15" i="4"/>
  <c r="E14" i="2"/>
  <c r="C14" i="2"/>
  <c r="P8" i="7" l="1"/>
  <c r="Z91" i="1"/>
  <c r="W2" i="10"/>
  <c r="O8" i="7"/>
  <c r="W2" i="7"/>
  <c r="M8" i="9"/>
  <c r="W2" i="9"/>
  <c r="W4" i="7"/>
  <c r="W5" i="7"/>
  <c r="M8" i="7"/>
  <c r="S3" i="9"/>
  <c r="S8" i="9" s="1"/>
  <c r="U3" i="9"/>
  <c r="U8" i="9" s="1"/>
  <c r="W6" i="7"/>
  <c r="W3" i="7"/>
  <c r="G9" i="4"/>
  <c r="G5" i="4"/>
  <c r="W7" i="2"/>
  <c r="D15" i="4"/>
  <c r="F15" i="4"/>
  <c r="E15" i="4"/>
  <c r="E4" i="6"/>
  <c r="I27" i="4" l="1"/>
  <c r="C27" i="4" s="1"/>
  <c r="W3" i="9"/>
  <c r="F29" i="10"/>
  <c r="H29" i="10" s="1"/>
  <c r="I29" i="10" s="1"/>
  <c r="R75" i="1"/>
  <c r="T75" i="1"/>
  <c r="Q75" i="1"/>
  <c r="S75" i="1"/>
  <c r="G15" i="4"/>
  <c r="E12" i="3"/>
  <c r="D12" i="3"/>
  <c r="C12" i="3"/>
  <c r="F4" i="2"/>
  <c r="E4" i="2"/>
  <c r="C4" i="2"/>
  <c r="E75" i="3"/>
  <c r="H76" i="2"/>
  <c r="I76" i="2" s="1"/>
  <c r="C10" i="6"/>
  <c r="C4" i="6"/>
  <c r="I84" i="2"/>
  <c r="G97" i="4"/>
  <c r="F6" i="2"/>
  <c r="H68" i="1"/>
  <c r="F20" i="3" s="1"/>
  <c r="H20" i="3" s="1"/>
  <c r="I20" i="3" s="1"/>
  <c r="E6" i="2"/>
  <c r="C6" i="2"/>
  <c r="J32" i="2" s="1"/>
  <c r="E5" i="2"/>
  <c r="B88" i="4"/>
  <c r="B89" i="4"/>
  <c r="B90" i="4"/>
  <c r="B91" i="4"/>
  <c r="B92" i="4"/>
  <c r="B93" i="4"/>
  <c r="B94" i="4"/>
  <c r="B95" i="4"/>
  <c r="B87" i="4"/>
  <c r="D1" i="2"/>
  <c r="C1" i="6"/>
  <c r="R92" i="1" l="1"/>
  <c r="F30" i="3" s="1"/>
  <c r="H30" i="3" s="1"/>
  <c r="I30" i="3" s="1"/>
  <c r="S92" i="1"/>
  <c r="F30" i="9" s="1"/>
  <c r="H30" i="9" s="1"/>
  <c r="Q92" i="1"/>
  <c r="Q99" i="1"/>
  <c r="U92" i="1"/>
  <c r="F29" i="11" s="1"/>
  <c r="H29" i="11" s="1"/>
  <c r="T92" i="1"/>
  <c r="F30" i="10" s="1"/>
  <c r="H30" i="10" s="1"/>
  <c r="S116" i="1"/>
  <c r="S118" i="1"/>
  <c r="F53" i="9" s="1"/>
  <c r="S103" i="1"/>
  <c r="S107" i="1"/>
  <c r="S117" i="1"/>
  <c r="F52" i="9" s="1"/>
  <c r="S121" i="1"/>
  <c r="F56" i="9" s="1"/>
  <c r="H56" i="9" s="1"/>
  <c r="I56" i="9" s="1"/>
  <c r="S102" i="1"/>
  <c r="S106" i="1"/>
  <c r="S99" i="1"/>
  <c r="S100" i="1"/>
  <c r="S104" i="1"/>
  <c r="S119" i="1"/>
  <c r="S108" i="1"/>
  <c r="S120" i="1"/>
  <c r="S101" i="1"/>
  <c r="S105" i="1"/>
  <c r="V120" i="1"/>
  <c r="V101" i="1"/>
  <c r="V105" i="1"/>
  <c r="Q117" i="1"/>
  <c r="Q121" i="1"/>
  <c r="Q102" i="1"/>
  <c r="Q106" i="1"/>
  <c r="V119" i="1"/>
  <c r="V100" i="1"/>
  <c r="V104" i="1"/>
  <c r="V108" i="1"/>
  <c r="Q120" i="1"/>
  <c r="V116" i="1"/>
  <c r="Q101" i="1"/>
  <c r="Q105" i="1"/>
  <c r="V117" i="1"/>
  <c r="V106" i="1"/>
  <c r="Q107" i="1"/>
  <c r="V118" i="1"/>
  <c r="Q116" i="1"/>
  <c r="V103" i="1"/>
  <c r="V107" i="1"/>
  <c r="V121" i="1"/>
  <c r="Q118" i="1"/>
  <c r="Q119" i="1"/>
  <c r="Q100" i="1"/>
  <c r="F46" i="2" s="1"/>
  <c r="Q104" i="1"/>
  <c r="Q108" i="1"/>
  <c r="V102" i="1"/>
  <c r="Q103" i="1"/>
  <c r="U119" i="1"/>
  <c r="F53" i="11" s="1"/>
  <c r="U120" i="1"/>
  <c r="U117" i="1"/>
  <c r="F51" i="11" s="1"/>
  <c r="U118" i="1"/>
  <c r="F52" i="11" s="1"/>
  <c r="U103" i="1"/>
  <c r="U100" i="1"/>
  <c r="U104" i="1"/>
  <c r="U101" i="1"/>
  <c r="U108" i="1"/>
  <c r="U105" i="1"/>
  <c r="U116" i="1"/>
  <c r="U121" i="1"/>
  <c r="F55" i="11" s="1"/>
  <c r="U102" i="1"/>
  <c r="U107" i="1"/>
  <c r="U106" i="1"/>
  <c r="T119" i="1"/>
  <c r="F54" i="10" s="1"/>
  <c r="T100" i="1"/>
  <c r="T104" i="1"/>
  <c r="T108" i="1"/>
  <c r="T116" i="1"/>
  <c r="T118" i="1"/>
  <c r="F53" i="10" s="1"/>
  <c r="T103" i="1"/>
  <c r="T107" i="1"/>
  <c r="T101" i="1"/>
  <c r="T117" i="1"/>
  <c r="F52" i="10" s="1"/>
  <c r="T121" i="1"/>
  <c r="F56" i="10" s="1"/>
  <c r="T102" i="1"/>
  <c r="T106" i="1"/>
  <c r="T105" i="1"/>
  <c r="T99" i="1"/>
  <c r="T120" i="1"/>
  <c r="R118" i="1"/>
  <c r="F53" i="3" s="1"/>
  <c r="R103" i="1"/>
  <c r="R107" i="1"/>
  <c r="R117" i="1"/>
  <c r="F52" i="3" s="1"/>
  <c r="R121" i="1"/>
  <c r="F56" i="3" s="1"/>
  <c r="R102" i="1"/>
  <c r="R106" i="1"/>
  <c r="R99" i="1"/>
  <c r="R104" i="1"/>
  <c r="R120" i="1"/>
  <c r="R101" i="1"/>
  <c r="R105" i="1"/>
  <c r="R108" i="1"/>
  <c r="R116" i="1"/>
  <c r="R119" i="1"/>
  <c r="F54" i="3" s="1"/>
  <c r="R100" i="1"/>
  <c r="V99" i="1"/>
  <c r="U99" i="1"/>
  <c r="Q83" i="1"/>
  <c r="F30" i="2" s="1"/>
  <c r="H30" i="2" s="1"/>
  <c r="Q91" i="1"/>
  <c r="F34" i="2" s="1"/>
  <c r="H34" i="2" s="1"/>
  <c r="Q81" i="1"/>
  <c r="Q82" i="1"/>
  <c r="F29" i="2" s="1"/>
  <c r="H29" i="2" s="1"/>
  <c r="P75" i="1"/>
  <c r="U83" i="1"/>
  <c r="F26" i="11" s="1"/>
  <c r="U81" i="1"/>
  <c r="F24" i="11" s="1"/>
  <c r="U91" i="1"/>
  <c r="F28" i="11" s="1"/>
  <c r="H28" i="11" s="1"/>
  <c r="U82" i="1"/>
  <c r="F25" i="11" s="1"/>
  <c r="R82" i="1"/>
  <c r="R81" i="1"/>
  <c r="F25" i="3" s="1"/>
  <c r="H25" i="3" s="1"/>
  <c r="R83" i="1"/>
  <c r="F27" i="3" s="1"/>
  <c r="H27" i="3" s="1"/>
  <c r="I27" i="3" s="1"/>
  <c r="R91" i="1"/>
  <c r="F29" i="3" s="1"/>
  <c r="H29" i="3" s="1"/>
  <c r="I29" i="3" s="1"/>
  <c r="S83" i="1"/>
  <c r="F27" i="9" s="1"/>
  <c r="H27" i="9" s="1"/>
  <c r="I27" i="9" s="1"/>
  <c r="S91" i="1"/>
  <c r="F29" i="9" s="1"/>
  <c r="H29" i="9" s="1"/>
  <c r="I29" i="9" s="1"/>
  <c r="S82" i="1"/>
  <c r="F26" i="9" s="1"/>
  <c r="H26" i="9" s="1"/>
  <c r="I26" i="9" s="1"/>
  <c r="S81" i="1"/>
  <c r="F25" i="9" s="1"/>
  <c r="H25" i="9" s="1"/>
  <c r="I25" i="9" s="1"/>
  <c r="T82" i="1"/>
  <c r="T81" i="1"/>
  <c r="T83" i="1"/>
  <c r="H12" i="3"/>
  <c r="K18" i="3"/>
  <c r="R4" i="3" s="1"/>
  <c r="R8" i="3" s="1"/>
  <c r="I32" i="4" s="1"/>
  <c r="C32" i="4" s="1"/>
  <c r="K16" i="3"/>
  <c r="P2" i="3" s="1"/>
  <c r="P8" i="3" s="1"/>
  <c r="K17" i="3"/>
  <c r="K19" i="3"/>
  <c r="G47" i="4"/>
  <c r="H4" i="2"/>
  <c r="J84" i="2"/>
  <c r="H11" i="3"/>
  <c r="H6" i="2"/>
  <c r="H14" i="2"/>
  <c r="J76" i="2"/>
  <c r="B52" i="3"/>
  <c r="B53" i="3"/>
  <c r="B54" i="3"/>
  <c r="B55" i="3"/>
  <c r="B56" i="3"/>
  <c r="B57" i="2"/>
  <c r="C57" i="2" s="1"/>
  <c r="F57" i="2" s="1"/>
  <c r="B58" i="2"/>
  <c r="C58" i="2" s="1"/>
  <c r="B59" i="2"/>
  <c r="C59" i="2" s="1"/>
  <c r="B60" i="2"/>
  <c r="C60" i="2" s="1"/>
  <c r="F60" i="2" s="1"/>
  <c r="B61" i="2"/>
  <c r="C61" i="2" s="1"/>
  <c r="F4" i="6"/>
  <c r="H4" i="6" s="1"/>
  <c r="C14" i="4"/>
  <c r="E10" i="6"/>
  <c r="I36" i="2"/>
  <c r="I37" i="2"/>
  <c r="I38" i="2"/>
  <c r="G74" i="4"/>
  <c r="G75" i="4"/>
  <c r="G76" i="4"/>
  <c r="G73" i="4"/>
  <c r="B62" i="4"/>
  <c r="B63" i="4"/>
  <c r="B64" i="4"/>
  <c r="B61" i="4"/>
  <c r="B28" i="4"/>
  <c r="B29" i="4"/>
  <c r="B30" i="4"/>
  <c r="B31" i="4"/>
  <c r="B32" i="4"/>
  <c r="B33" i="4"/>
  <c r="B34" i="4"/>
  <c r="B35" i="4"/>
  <c r="B36" i="4"/>
  <c r="E36" i="4" s="1"/>
  <c r="B27" i="4"/>
  <c r="D22" i="4"/>
  <c r="D21" i="4"/>
  <c r="I8" i="3"/>
  <c r="I23" i="3"/>
  <c r="I37" i="3"/>
  <c r="I50" i="3"/>
  <c r="I59" i="3"/>
  <c r="F61" i="2" l="1"/>
  <c r="F45" i="2"/>
  <c r="H45" i="2" s="1"/>
  <c r="J45" i="2" s="1"/>
  <c r="F71" i="2"/>
  <c r="H71" i="2" s="1"/>
  <c r="I71" i="2" s="1"/>
  <c r="F35" i="2"/>
  <c r="H35" i="2" s="1"/>
  <c r="I35" i="2" s="1"/>
  <c r="V92" i="1"/>
  <c r="I30" i="4"/>
  <c r="C30" i="4" s="1"/>
  <c r="L27" i="4"/>
  <c r="T3" i="3"/>
  <c r="Q3" i="3"/>
  <c r="F58" i="2"/>
  <c r="F59" i="2"/>
  <c r="H55" i="9"/>
  <c r="I55" i="9" s="1"/>
  <c r="F54" i="9"/>
  <c r="H54" i="9" s="1"/>
  <c r="I54" i="9" s="1"/>
  <c r="F69" i="10"/>
  <c r="H69" i="10" s="1"/>
  <c r="I69" i="10" s="1"/>
  <c r="F43" i="10"/>
  <c r="H43" i="10" s="1"/>
  <c r="F69" i="3"/>
  <c r="H69" i="3" s="1"/>
  <c r="I69" i="3" s="1"/>
  <c r="F43" i="3"/>
  <c r="H43" i="3" s="1"/>
  <c r="I43" i="3" s="1"/>
  <c r="F68" i="11"/>
  <c r="H68" i="11" s="1"/>
  <c r="F42" i="11"/>
  <c r="H42" i="11" s="1"/>
  <c r="F69" i="9"/>
  <c r="H69" i="9" s="1"/>
  <c r="I69" i="9" s="1"/>
  <c r="F43" i="9"/>
  <c r="H43" i="9" s="1"/>
  <c r="F75" i="2"/>
  <c r="H75" i="2" s="1"/>
  <c r="J75" i="2" s="1"/>
  <c r="F49" i="2"/>
  <c r="H49" i="2" s="1"/>
  <c r="F68" i="9"/>
  <c r="H68" i="9" s="1"/>
  <c r="I68" i="9" s="1"/>
  <c r="F42" i="9"/>
  <c r="H42" i="9" s="1"/>
  <c r="I42" i="9" s="1"/>
  <c r="F74" i="2"/>
  <c r="H74" i="2" s="1"/>
  <c r="J74" i="2" s="1"/>
  <c r="F48" i="2"/>
  <c r="H48" i="2" s="1"/>
  <c r="F41" i="11"/>
  <c r="H41" i="11" s="1"/>
  <c r="F67" i="11"/>
  <c r="H67" i="11" s="1"/>
  <c r="F42" i="3"/>
  <c r="H42" i="3" s="1"/>
  <c r="I42" i="3" s="1"/>
  <c r="F68" i="3"/>
  <c r="F42" i="10"/>
  <c r="H42" i="10" s="1"/>
  <c r="I42" i="10" s="1"/>
  <c r="F68" i="10"/>
  <c r="H68" i="10" s="1"/>
  <c r="I68" i="10" s="1"/>
  <c r="H53" i="9"/>
  <c r="I53" i="9" s="1"/>
  <c r="F75" i="9"/>
  <c r="H75" i="9" s="1"/>
  <c r="I75" i="9" s="1"/>
  <c r="H52" i="9"/>
  <c r="I52" i="9" s="1"/>
  <c r="F74" i="11"/>
  <c r="H74" i="11" s="1"/>
  <c r="H51" i="11"/>
  <c r="F75" i="3"/>
  <c r="H75" i="3" s="1"/>
  <c r="I75" i="3" s="1"/>
  <c r="F73" i="2"/>
  <c r="H73" i="2" s="1"/>
  <c r="J73" i="2" s="1"/>
  <c r="F47" i="2"/>
  <c r="H47" i="2" s="1"/>
  <c r="J47" i="2" s="1"/>
  <c r="F41" i="9"/>
  <c r="H41" i="9" s="1"/>
  <c r="I41" i="9" s="1"/>
  <c r="F67" i="9"/>
  <c r="H67" i="9" s="1"/>
  <c r="I67" i="9" s="1"/>
  <c r="F41" i="3"/>
  <c r="H41" i="3" s="1"/>
  <c r="I41" i="3" s="1"/>
  <c r="F67" i="3"/>
  <c r="F67" i="10"/>
  <c r="H67" i="10" s="1"/>
  <c r="I67" i="10" s="1"/>
  <c r="F41" i="10"/>
  <c r="H41" i="10" s="1"/>
  <c r="I41" i="10" s="1"/>
  <c r="F40" i="11"/>
  <c r="H40" i="11" s="1"/>
  <c r="F66" i="11"/>
  <c r="H66" i="11" s="1"/>
  <c r="S5" i="3"/>
  <c r="S8" i="3" s="1"/>
  <c r="I33" i="4" s="1"/>
  <c r="C33" i="4" s="1"/>
  <c r="U5" i="3"/>
  <c r="N2" i="3"/>
  <c r="N8" i="3" s="1"/>
  <c r="I28" i="4" s="1"/>
  <c r="C28" i="4" s="1"/>
  <c r="O2" i="3"/>
  <c r="O8" i="3" s="1"/>
  <c r="I29" i="4" s="1"/>
  <c r="C29" i="4" s="1"/>
  <c r="U4" i="3"/>
  <c r="Q4" i="3"/>
  <c r="F65" i="11"/>
  <c r="H65" i="11" s="1"/>
  <c r="F39" i="11"/>
  <c r="H39" i="11" s="1"/>
  <c r="V81" i="1"/>
  <c r="V83" i="1"/>
  <c r="V82" i="1"/>
  <c r="V91" i="1"/>
  <c r="H55" i="10"/>
  <c r="I55" i="10" s="1"/>
  <c r="H54" i="11"/>
  <c r="H52" i="10"/>
  <c r="I52" i="10" s="1"/>
  <c r="H54" i="10"/>
  <c r="I54" i="10" s="1"/>
  <c r="H53" i="11"/>
  <c r="F26" i="10"/>
  <c r="H26" i="10" s="1"/>
  <c r="I26" i="10" s="1"/>
  <c r="H25" i="11"/>
  <c r="F75" i="10"/>
  <c r="H75" i="10" s="1"/>
  <c r="I75" i="10" s="1"/>
  <c r="H53" i="10"/>
  <c r="I53" i="10" s="1"/>
  <c r="H52" i="11"/>
  <c r="H56" i="10"/>
  <c r="I56" i="10" s="1"/>
  <c r="H55" i="11"/>
  <c r="F25" i="10"/>
  <c r="H25" i="10" s="1"/>
  <c r="I25" i="10" s="1"/>
  <c r="H24" i="11"/>
  <c r="F27" i="10"/>
  <c r="H27" i="10" s="1"/>
  <c r="H26" i="11"/>
  <c r="I25" i="3"/>
  <c r="H52" i="2"/>
  <c r="F28" i="2"/>
  <c r="H28" i="2" s="1"/>
  <c r="F40" i="3"/>
  <c r="F66" i="3"/>
  <c r="F83" i="2"/>
  <c r="H83" i="2" s="1"/>
  <c r="F40" i="10"/>
  <c r="H40" i="10" s="1"/>
  <c r="F66" i="10"/>
  <c r="H66" i="10" s="1"/>
  <c r="G50" i="4"/>
  <c r="H53" i="2"/>
  <c r="F72" i="2"/>
  <c r="H72" i="2" s="1"/>
  <c r="J72" i="2" s="1"/>
  <c r="H46" i="2"/>
  <c r="J46" i="2" s="1"/>
  <c r="F40" i="9"/>
  <c r="H40" i="9" s="1"/>
  <c r="F66" i="9"/>
  <c r="H66" i="9" s="1"/>
  <c r="F26" i="3"/>
  <c r="H26" i="3" s="1"/>
  <c r="I28" i="3"/>
  <c r="T8" i="3"/>
  <c r="I34" i="4" s="1"/>
  <c r="C34" i="4" s="1"/>
  <c r="W3" i="3"/>
  <c r="E34" i="4"/>
  <c r="D34" i="4"/>
  <c r="F34" i="4"/>
  <c r="E32" i="4"/>
  <c r="G32" i="4" s="1"/>
  <c r="D32" i="4"/>
  <c r="F32" i="4"/>
  <c r="E30" i="4"/>
  <c r="D30" i="4"/>
  <c r="F30" i="4"/>
  <c r="E28" i="4"/>
  <c r="D28" i="4"/>
  <c r="F28" i="4"/>
  <c r="E27" i="4"/>
  <c r="G27" i="4" s="1"/>
  <c r="D27" i="4"/>
  <c r="F27" i="4"/>
  <c r="F35" i="4"/>
  <c r="E35" i="4"/>
  <c r="D35" i="4"/>
  <c r="F33" i="4"/>
  <c r="E33" i="4"/>
  <c r="D33" i="4"/>
  <c r="F31" i="4"/>
  <c r="E31" i="4"/>
  <c r="D31" i="4"/>
  <c r="F29" i="4"/>
  <c r="E29" i="4"/>
  <c r="D29" i="4"/>
  <c r="F14" i="4"/>
  <c r="E14" i="4"/>
  <c r="D14" i="4"/>
  <c r="D12" i="4"/>
  <c r="F12" i="4"/>
  <c r="E12" i="4"/>
  <c r="J37" i="2"/>
  <c r="J38" i="2"/>
  <c r="J36" i="2"/>
  <c r="J33" i="2"/>
  <c r="J14" i="2"/>
  <c r="I14" i="2"/>
  <c r="G78" i="4"/>
  <c r="I33" i="2"/>
  <c r="G95" i="4"/>
  <c r="G94" i="4"/>
  <c r="G93" i="4"/>
  <c r="G92" i="4"/>
  <c r="G91" i="4"/>
  <c r="G90" i="4"/>
  <c r="G89" i="4"/>
  <c r="G88" i="4"/>
  <c r="G87" i="4"/>
  <c r="H13" i="3"/>
  <c r="I13" i="3" s="1"/>
  <c r="D36" i="4"/>
  <c r="F36" i="4"/>
  <c r="H6" i="6"/>
  <c r="H10" i="6"/>
  <c r="C21" i="4"/>
  <c r="G21" i="4" s="1"/>
  <c r="G22" i="4"/>
  <c r="H69" i="1"/>
  <c r="H70" i="1"/>
  <c r="H71" i="1"/>
  <c r="H72" i="1"/>
  <c r="F18" i="10" s="1"/>
  <c r="H18" i="10" s="1"/>
  <c r="I18" i="10" s="1"/>
  <c r="H73" i="1"/>
  <c r="H74" i="1"/>
  <c r="H75" i="1"/>
  <c r="H76" i="1"/>
  <c r="H77" i="1"/>
  <c r="F5" i="2"/>
  <c r="H5" i="2" s="1"/>
  <c r="G30" i="4" l="1"/>
  <c r="J71" i="2"/>
  <c r="I45" i="2"/>
  <c r="F17" i="3"/>
  <c r="H17" i="3" s="1"/>
  <c r="I17" i="3" s="1"/>
  <c r="G51" i="4"/>
  <c r="J35" i="2"/>
  <c r="Q8" i="3"/>
  <c r="I31" i="4" s="1"/>
  <c r="C31" i="4" s="1"/>
  <c r="G31" i="4" s="1"/>
  <c r="I75" i="2"/>
  <c r="I74" i="2"/>
  <c r="G36" i="4"/>
  <c r="F19" i="10"/>
  <c r="H19" i="10" s="1"/>
  <c r="I19" i="10" s="1"/>
  <c r="F16" i="9"/>
  <c r="H16" i="9" s="1"/>
  <c r="I16" i="9" s="1"/>
  <c r="H17" i="6"/>
  <c r="F17" i="6"/>
  <c r="F5" i="7"/>
  <c r="H5" i="7"/>
  <c r="I73" i="2"/>
  <c r="W5" i="3"/>
  <c r="I57" i="9"/>
  <c r="I57" i="10"/>
  <c r="U8" i="3"/>
  <c r="I35" i="4" s="1"/>
  <c r="C35" i="4" s="1"/>
  <c r="G35" i="4" s="1"/>
  <c r="G41" i="4"/>
  <c r="H57" i="9"/>
  <c r="G29" i="4"/>
  <c r="G42" i="4"/>
  <c r="W4" i="3"/>
  <c r="W2" i="3"/>
  <c r="G40" i="4"/>
  <c r="I34" i="2"/>
  <c r="G34" i="4"/>
  <c r="G28" i="4"/>
  <c r="G33" i="4"/>
  <c r="H57" i="10"/>
  <c r="F17" i="10"/>
  <c r="H17" i="10" s="1"/>
  <c r="I17" i="10" s="1"/>
  <c r="F16" i="11"/>
  <c r="H16" i="11" s="1"/>
  <c r="F16" i="3"/>
  <c r="H16" i="3" s="1"/>
  <c r="F16" i="10"/>
  <c r="H16" i="10" s="1"/>
  <c r="F18" i="3"/>
  <c r="H18" i="3" s="1"/>
  <c r="I18" i="3" s="1"/>
  <c r="F15" i="11"/>
  <c r="H15" i="11" s="1"/>
  <c r="F19" i="3"/>
  <c r="H19" i="3" s="1"/>
  <c r="I19" i="3" s="1"/>
  <c r="F17" i="9"/>
  <c r="H17" i="9" s="1"/>
  <c r="I17" i="9" s="1"/>
  <c r="G12" i="4"/>
  <c r="I27" i="10"/>
  <c r="H48" i="11"/>
  <c r="H56" i="11"/>
  <c r="H75" i="11"/>
  <c r="G14" i="4"/>
  <c r="H76" i="10"/>
  <c r="I66" i="10"/>
  <c r="I76" i="10" s="1"/>
  <c r="H49" i="10"/>
  <c r="I40" i="10"/>
  <c r="I49" i="10" s="1"/>
  <c r="H49" i="9"/>
  <c r="I40" i="9"/>
  <c r="I49" i="9" s="1"/>
  <c r="H76" i="9"/>
  <c r="I66" i="9"/>
  <c r="I76" i="9" s="1"/>
  <c r="I46" i="2"/>
  <c r="I47" i="2"/>
  <c r="J52" i="2"/>
  <c r="I52" i="2"/>
  <c r="I26" i="3"/>
  <c r="I72" i="2"/>
  <c r="J53" i="2"/>
  <c r="I53" i="2"/>
  <c r="I48" i="2"/>
  <c r="J48" i="2"/>
  <c r="J34" i="2"/>
  <c r="J49" i="2"/>
  <c r="I49" i="2"/>
  <c r="I83" i="2"/>
  <c r="J83" i="2"/>
  <c r="F18" i="2"/>
  <c r="H14" i="6"/>
  <c r="F14" i="6"/>
  <c r="H18" i="2"/>
  <c r="J18" i="2" s="1"/>
  <c r="H22" i="2"/>
  <c r="J22" i="2" s="1"/>
  <c r="F22" i="2"/>
  <c r="F8" i="7"/>
  <c r="H8" i="7"/>
  <c r="F7" i="7"/>
  <c r="F20" i="2"/>
  <c r="H20" i="2"/>
  <c r="H7" i="7"/>
  <c r="H23" i="2"/>
  <c r="F23" i="2"/>
  <c r="F9" i="7"/>
  <c r="F16" i="6"/>
  <c r="H16" i="6"/>
  <c r="H9" i="7"/>
  <c r="H21" i="2"/>
  <c r="F21" i="2"/>
  <c r="H19" i="2"/>
  <c r="F19" i="2"/>
  <c r="H15" i="6"/>
  <c r="F6" i="7"/>
  <c r="F15" i="6"/>
  <c r="H6" i="7"/>
  <c r="H68" i="3"/>
  <c r="I68" i="3" s="1"/>
  <c r="H66" i="3"/>
  <c r="I66" i="3" s="1"/>
  <c r="H40" i="3"/>
  <c r="I40" i="3" s="1"/>
  <c r="I49" i="3" s="1"/>
  <c r="H67" i="3"/>
  <c r="I67" i="3" s="1"/>
  <c r="G23" i="4"/>
  <c r="H58" i="2"/>
  <c r="H60" i="2"/>
  <c r="J60" i="2" s="1"/>
  <c r="H9" i="2"/>
  <c r="G99" i="4"/>
  <c r="H57" i="2"/>
  <c r="J57" i="2" s="1"/>
  <c r="H59" i="2"/>
  <c r="J59" i="2" s="1"/>
  <c r="H61" i="2"/>
  <c r="J61" i="2" s="1"/>
  <c r="H5" i="3"/>
  <c r="I21" i="2" l="1"/>
  <c r="J21" i="2"/>
  <c r="I58" i="9"/>
  <c r="I58" i="10"/>
  <c r="H58" i="9"/>
  <c r="H58" i="10"/>
  <c r="J58" i="2"/>
  <c r="I18" i="2"/>
  <c r="I22" i="9"/>
  <c r="I16" i="3"/>
  <c r="I22" i="3" s="1"/>
  <c r="H22" i="3"/>
  <c r="H34" i="3" s="1"/>
  <c r="I34" i="3" s="1"/>
  <c r="I35" i="3" s="1"/>
  <c r="H22" i="9"/>
  <c r="H34" i="9" s="1"/>
  <c r="H21" i="11"/>
  <c r="H33" i="11" s="1"/>
  <c r="I16" i="10"/>
  <c r="I22" i="10" s="1"/>
  <c r="H22" i="10"/>
  <c r="H34" i="10" s="1"/>
  <c r="H57" i="11"/>
  <c r="H7" i="3"/>
  <c r="I7" i="3" s="1"/>
  <c r="H20" i="6"/>
  <c r="H24" i="6" s="1"/>
  <c r="H25" i="6" s="1"/>
  <c r="H11" i="7"/>
  <c r="J20" i="2"/>
  <c r="I20" i="2"/>
  <c r="I19" i="2"/>
  <c r="J19" i="2"/>
  <c r="I23" i="2"/>
  <c r="J23" i="2"/>
  <c r="I9" i="2"/>
  <c r="J9" i="2"/>
  <c r="I60" i="2"/>
  <c r="I58" i="2"/>
  <c r="I29" i="2"/>
  <c r="I59" i="2"/>
  <c r="I61" i="2"/>
  <c r="I22" i="2"/>
  <c r="G11" i="4"/>
  <c r="G17" i="4" s="1"/>
  <c r="H34" i="11" l="1"/>
  <c r="H35" i="11" s="1"/>
  <c r="H59" i="11" s="1"/>
  <c r="H61" i="11" s="1"/>
  <c r="I36" i="3"/>
  <c r="I34" i="9"/>
  <c r="I35" i="9" s="1"/>
  <c r="I36" i="9" s="1"/>
  <c r="I60" i="9" s="1"/>
  <c r="H35" i="9"/>
  <c r="H36" i="9" s="1"/>
  <c r="H60" i="9" s="1"/>
  <c r="I34" i="10"/>
  <c r="I35" i="10" s="1"/>
  <c r="I36" i="10" s="1"/>
  <c r="I60" i="10" s="1"/>
  <c r="H35" i="10"/>
  <c r="H24" i="2"/>
  <c r="H25" i="2" s="1"/>
  <c r="I28" i="2"/>
  <c r="I30" i="2"/>
  <c r="I31" i="2"/>
  <c r="J28" i="2"/>
  <c r="J29" i="2"/>
  <c r="J30" i="2"/>
  <c r="J31" i="2"/>
  <c r="G37" i="4"/>
  <c r="H76" i="3"/>
  <c r="H26" i="6"/>
  <c r="H28" i="6" s="1"/>
  <c r="H13" i="2" s="1"/>
  <c r="J13" i="2" s="1"/>
  <c r="H53" i="3"/>
  <c r="I53" i="3" s="1"/>
  <c r="H55" i="3"/>
  <c r="I55" i="3" s="1"/>
  <c r="H52" i="3"/>
  <c r="I52" i="3" s="1"/>
  <c r="H54" i="3"/>
  <c r="I54" i="3" s="1"/>
  <c r="H56" i="3"/>
  <c r="I56" i="3" s="1"/>
  <c r="H36" i="10" l="1"/>
  <c r="H60" i="10" s="1"/>
  <c r="H62" i="10" s="1"/>
  <c r="H78" i="11"/>
  <c r="H80" i="11" s="1"/>
  <c r="I79" i="9"/>
  <c r="I81" i="9" s="1"/>
  <c r="I62" i="9"/>
  <c r="I62" i="10"/>
  <c r="I79" i="10"/>
  <c r="I81" i="10" s="1"/>
  <c r="H62" i="9"/>
  <c r="H79" i="9"/>
  <c r="H81" i="9" s="1"/>
  <c r="I57" i="3"/>
  <c r="I58" i="3" s="1"/>
  <c r="I60" i="3" s="1"/>
  <c r="I62" i="3" s="1"/>
  <c r="I24" i="2"/>
  <c r="I25" i="2" s="1"/>
  <c r="J24" i="2"/>
  <c r="J25" i="2" s="1"/>
  <c r="J15" i="2"/>
  <c r="H15" i="2"/>
  <c r="I57" i="2"/>
  <c r="H85" i="2"/>
  <c r="I13" i="2"/>
  <c r="I15" i="2" s="1"/>
  <c r="I76" i="3"/>
  <c r="H57" i="3"/>
  <c r="H62" i="2"/>
  <c r="H79" i="10" l="1"/>
  <c r="H81" i="10" s="1"/>
  <c r="G70" i="4"/>
  <c r="G79" i="4" s="1"/>
  <c r="H49" i="3"/>
  <c r="H58" i="3" s="1"/>
  <c r="I85" i="2"/>
  <c r="J85" i="2"/>
  <c r="J54" i="2"/>
  <c r="I54" i="2"/>
  <c r="I62" i="2"/>
  <c r="H54" i="2"/>
  <c r="H39" i="2" s="1"/>
  <c r="J62" i="2"/>
  <c r="H63" i="2" l="1"/>
  <c r="H35" i="3"/>
  <c r="H36" i="3" s="1"/>
  <c r="H60" i="3" s="1"/>
  <c r="H62" i="3" s="1"/>
  <c r="I63" i="2"/>
  <c r="J63" i="2"/>
  <c r="G55" i="4" l="1"/>
  <c r="G56" i="4" s="1"/>
  <c r="I39" i="2"/>
  <c r="I40" i="2" s="1"/>
  <c r="I41" i="2" s="1"/>
  <c r="I65" i="2" s="1"/>
  <c r="H40" i="2"/>
  <c r="J39" i="2"/>
  <c r="J40" i="2" s="1"/>
  <c r="J41" i="2" s="1"/>
  <c r="J65" i="2" s="1"/>
  <c r="H41" i="2" l="1"/>
  <c r="H65" i="2" s="1"/>
  <c r="H67" i="2" s="1"/>
  <c r="I67" i="2"/>
  <c r="I88" i="2"/>
  <c r="I90" i="2" s="1"/>
  <c r="J67" i="2"/>
  <c r="J88" i="2"/>
  <c r="J90" i="2" s="1"/>
  <c r="G57" i="4" l="1"/>
  <c r="G81" i="4" s="1"/>
  <c r="G102" i="4" s="1"/>
  <c r="G104" i="4" s="1"/>
  <c r="H79" i="3"/>
  <c r="H81" i="3" s="1"/>
  <c r="I79" i="3"/>
  <c r="I81" i="3" s="1"/>
  <c r="H88" i="2" l="1"/>
  <c r="H90" i="2" s="1"/>
  <c r="G83" i="4"/>
</calcChain>
</file>

<file path=xl/sharedStrings.xml><?xml version="1.0" encoding="utf-8"?>
<sst xmlns="http://schemas.openxmlformats.org/spreadsheetml/2006/main" count="933" uniqueCount="280">
  <si>
    <t>pounds</t>
  </si>
  <si>
    <t>$ / cwt</t>
  </si>
  <si>
    <t>$ / head</t>
  </si>
  <si>
    <t>years</t>
  </si>
  <si>
    <t>per head</t>
  </si>
  <si>
    <t>Price</t>
  </si>
  <si>
    <t>head</t>
  </si>
  <si>
    <t>Feed</t>
  </si>
  <si>
    <t>Price per Unit Purchased</t>
  </si>
  <si>
    <t/>
  </si>
  <si>
    <t>Labor</t>
  </si>
  <si>
    <t>Fuel</t>
  </si>
  <si>
    <t>Veterinary and Medical</t>
  </si>
  <si>
    <t>Depreciable Input Costs</t>
  </si>
  <si>
    <t>Annual Repairs</t>
  </si>
  <si>
    <t>Repairs</t>
  </si>
  <si>
    <t>Interest</t>
  </si>
  <si>
    <t>Operations Interest Rate</t>
  </si>
  <si>
    <t>Opportunity Rate</t>
  </si>
  <si>
    <t>Real Estate Tax</t>
  </si>
  <si>
    <t>per year</t>
  </si>
  <si>
    <t>Annual Insurance Premium</t>
  </si>
  <si>
    <t>Professional Fees</t>
  </si>
  <si>
    <t>Annual Management Charge</t>
  </si>
  <si>
    <t>Other</t>
  </si>
  <si>
    <t>head/year</t>
  </si>
  <si>
    <t>Non-Feed Input Costs</t>
  </si>
  <si>
    <t>Cost per Year</t>
  </si>
  <si>
    <t>As Fed Price</t>
  </si>
  <si>
    <t>Income</t>
  </si>
  <si>
    <t>Weight</t>
  </si>
  <si>
    <t>Total</t>
  </si>
  <si>
    <t>per cwt</t>
  </si>
  <si>
    <t>Gross Income</t>
  </si>
  <si>
    <t>Variable Costs</t>
  </si>
  <si>
    <t>$ per head</t>
  </si>
  <si>
    <t>Total Feed</t>
  </si>
  <si>
    <t>Operations Interest</t>
  </si>
  <si>
    <t>Total Variable Costs</t>
  </si>
  <si>
    <t>Depreciables Input Costs</t>
  </si>
  <si>
    <t>Real Estate Opportunity</t>
  </si>
  <si>
    <t>Insurance</t>
  </si>
  <si>
    <t>Management</t>
  </si>
  <si>
    <t>Total Overhead and Ownership</t>
  </si>
  <si>
    <t>Number</t>
  </si>
  <si>
    <t>NonFeed</t>
  </si>
  <si>
    <t>Depreciation</t>
  </si>
  <si>
    <t>Other Variable</t>
  </si>
  <si>
    <t>Allocation</t>
  </si>
  <si>
    <t>Total Other</t>
  </si>
  <si>
    <t>Total Ownership</t>
  </si>
  <si>
    <t>Total Overhead</t>
  </si>
  <si>
    <t>Overhead Costs</t>
  </si>
  <si>
    <t>days</t>
  </si>
  <si>
    <t>Overhead and Management</t>
  </si>
  <si>
    <r>
      <rPr>
        <b/>
        <sz val="10"/>
        <color theme="1"/>
        <rFont val="Arial"/>
        <family val="2"/>
      </rPr>
      <t>Oppor-</t>
    </r>
    <r>
      <rPr>
        <b/>
        <u/>
        <sz val="10"/>
        <color theme="1"/>
        <rFont val="Arial"/>
        <family val="2"/>
      </rPr>
      <t>tunity</t>
    </r>
  </si>
  <si>
    <t>Amount</t>
  </si>
  <si>
    <t>Total Animals Purchased</t>
  </si>
  <si>
    <t>Budget Inputs</t>
  </si>
  <si>
    <r>
      <t xml:space="preserve">Fed Unit </t>
    </r>
    <r>
      <rPr>
        <sz val="10"/>
        <color theme="1"/>
        <rFont val="Arial"/>
        <family val="2"/>
      </rPr>
      <t>(tons, lbs. etc)</t>
    </r>
  </si>
  <si>
    <t>all animals</t>
  </si>
  <si>
    <t>per animal</t>
  </si>
  <si>
    <t>Breeding Costs</t>
  </si>
  <si>
    <t>Per Animal or Total</t>
  </si>
  <si>
    <t>total</t>
  </si>
  <si>
    <t>Other Variables</t>
  </si>
  <si>
    <t>head @</t>
  </si>
  <si>
    <t>Net Expense</t>
  </si>
  <si>
    <t>Amount Fed per Year</t>
  </si>
  <si>
    <t>Animal Purchases</t>
  </si>
  <si>
    <t>(From Replacement Spreadsheet)</t>
  </si>
  <si>
    <t>Total Costs</t>
  </si>
  <si>
    <t>Breeding Herd</t>
  </si>
  <si>
    <t>Herd size</t>
  </si>
  <si>
    <t>Herd Total</t>
  </si>
  <si>
    <t>Cull Bull Sales</t>
  </si>
  <si>
    <t>Bulls</t>
  </si>
  <si>
    <t>Bulls Needed</t>
  </si>
  <si>
    <t>Bull(s)</t>
  </si>
  <si>
    <t>Bull Purchase Price</t>
  </si>
  <si>
    <t>Bull use (years)</t>
  </si>
  <si>
    <t>Bull Death Loss Rate</t>
  </si>
  <si>
    <t>Cull Bull Marketing</t>
  </si>
  <si>
    <t>(This amount is the "Net Expenses" from the "Bulls" tab)</t>
  </si>
  <si>
    <t>Bull Feed</t>
  </si>
  <si>
    <t>Cull Cow Sales</t>
  </si>
  <si>
    <t>Cows</t>
  </si>
  <si>
    <t>Cows Culled per Year</t>
  </si>
  <si>
    <t>Cow Deaths per year</t>
  </si>
  <si>
    <t>Cull Cow Marketing</t>
  </si>
  <si>
    <t>Cow Feed</t>
  </si>
  <si>
    <t>Per Cow</t>
  </si>
  <si>
    <t>Replacement Heifer Feed</t>
  </si>
  <si>
    <t>Weaned Calf Marketing</t>
  </si>
  <si>
    <t>Per Calf Sold</t>
  </si>
  <si>
    <t>Calves Weaned</t>
  </si>
  <si>
    <t>Variable Cash Costs</t>
  </si>
  <si>
    <t>Revenue</t>
  </si>
  <si>
    <t>Non-Cash Costs</t>
  </si>
  <si>
    <t>Cash Ownership</t>
  </si>
  <si>
    <t>Real Estate</t>
  </si>
  <si>
    <t>Livestock</t>
  </si>
  <si>
    <t>Average Cow Value</t>
  </si>
  <si>
    <t>Total Fixed Cash Costs</t>
  </si>
  <si>
    <t>Total Variable Cash Costs</t>
  </si>
  <si>
    <t>Net Cash Income</t>
  </si>
  <si>
    <t>Total Non-Cash Costs</t>
  </si>
  <si>
    <t>Net Total Income</t>
  </si>
  <si>
    <t>Total Cash and Non-Cash</t>
  </si>
  <si>
    <t>Fixed Cash Costs</t>
  </si>
  <si>
    <t>Gross Revenue</t>
  </si>
  <si>
    <t>Total Cash Costs</t>
  </si>
  <si>
    <t>Total Cash Costs on Depreciables</t>
  </si>
  <si>
    <t>Opportunity</t>
  </si>
  <si>
    <t>Depreciable Assets</t>
  </si>
  <si>
    <t>Depreciables Costs</t>
  </si>
  <si>
    <t>Real Estate Value*</t>
  </si>
  <si>
    <t>* If cattle are grazed on owned land, either the value of the land and associated taxes or the grazing fees for that land should be included so costs are not double counted. If grazing fees are used to calculate costs when land is owned, only the cost of  and taxes on non-grazing real estate should be included as an overhead cost. A calving shed is an example of non-grazing real estate.</t>
  </si>
  <si>
    <t>Calculations: Operations interest rate times feed and other variable expenses except marketing divided by two.</t>
  </si>
  <si>
    <t>Operations interest rate times feed and other variable expenses except marketing divided by two.</t>
  </si>
  <si>
    <t>Investment rate times livestock value</t>
  </si>
  <si>
    <t>Investment rate times real estate value</t>
  </si>
  <si>
    <t>*The number of replacement heifers assumes constant herd size.</t>
  </si>
  <si>
    <t>Current Value</t>
  </si>
  <si>
    <t>Future Value</t>
  </si>
  <si>
    <t>Unit</t>
  </si>
  <si>
    <t>Feed Costs</t>
  </si>
  <si>
    <t>Days Fed</t>
  </si>
  <si>
    <t>Weaned Steer Price</t>
  </si>
  <si>
    <t>Weaned Heifer Price</t>
  </si>
  <si>
    <t>Steer Weaning Weight</t>
  </si>
  <si>
    <t>Heifer Weaning Weight</t>
  </si>
  <si>
    <t>Weaned Steer Value</t>
  </si>
  <si>
    <t>Weaned Heifer Value</t>
  </si>
  <si>
    <t>Steer Calves Retained</t>
  </si>
  <si>
    <t>Heifer Calves Retained</t>
  </si>
  <si>
    <t>Cull Bull Price</t>
  </si>
  <si>
    <t>Cull Bull Weight</t>
  </si>
  <si>
    <t>Head*</t>
  </si>
  <si>
    <t>Replacements Purchased</t>
  </si>
  <si>
    <t>Cull Replacement Sales</t>
  </si>
  <si>
    <t xml:space="preserve">Breeding Herd Cash Budget </t>
  </si>
  <si>
    <t xml:space="preserve">Bull Budget </t>
  </si>
  <si>
    <t xml:space="preserve">Replacement Budget </t>
  </si>
  <si>
    <t>Days</t>
  </si>
  <si>
    <t>Total Non-feed</t>
  </si>
  <si>
    <t>Name</t>
  </si>
  <si>
    <t>Extra Heifers Retained for Breeding that Will Not Be Used as Replacements</t>
  </si>
  <si>
    <t>Number of Replacements Needed</t>
  </si>
  <si>
    <t>Per Calf</t>
  </si>
  <si>
    <t>Animals Purchased</t>
  </si>
  <si>
    <r>
      <t>Depre-</t>
    </r>
    <r>
      <rPr>
        <b/>
        <u/>
        <sz val="10"/>
        <color theme="1"/>
        <rFont val="Arial"/>
        <family val="2"/>
      </rPr>
      <t>ciation</t>
    </r>
  </si>
  <si>
    <r>
      <t>Oppor-</t>
    </r>
    <r>
      <rPr>
        <b/>
        <u/>
        <sz val="10"/>
        <color theme="1"/>
        <rFont val="Arial"/>
        <family val="2"/>
      </rPr>
      <t>tunity</t>
    </r>
  </si>
  <si>
    <r>
      <t xml:space="preserve">Amount </t>
    </r>
    <r>
      <rPr>
        <b/>
        <u/>
        <sz val="10"/>
        <color theme="1"/>
        <rFont val="Arial"/>
        <family val="2"/>
      </rPr>
      <t>per Year</t>
    </r>
  </si>
  <si>
    <r>
      <t xml:space="preserve">Per Animal </t>
    </r>
    <r>
      <rPr>
        <b/>
        <u/>
        <sz val="10"/>
        <color theme="1"/>
        <rFont val="Arial"/>
        <family val="2"/>
      </rPr>
      <t>or Total</t>
    </r>
  </si>
  <si>
    <t>Replacement Females Purchased</t>
  </si>
  <si>
    <t>Replacement Female Cost (if applicable)</t>
  </si>
  <si>
    <t>Breeding Females</t>
  </si>
  <si>
    <t>Calves</t>
  </si>
  <si>
    <t>Steers</t>
  </si>
  <si>
    <t>Retained after Weaning</t>
  </si>
  <si>
    <t>End Weight</t>
  </si>
  <si>
    <t>Death Loss</t>
  </si>
  <si>
    <t>percent</t>
  </si>
  <si>
    <t>Market Price</t>
  </si>
  <si>
    <t>Heifers</t>
  </si>
  <si>
    <t>Retained for Grazing</t>
  </si>
  <si>
    <t>Placed on Feed</t>
  </si>
  <si>
    <r>
      <t xml:space="preserve">Priced Unit </t>
    </r>
    <r>
      <rPr>
        <sz val="10"/>
        <color theme="1"/>
        <rFont val="Arial"/>
        <family val="2"/>
      </rPr>
      <t>(tons, lbs. etc)</t>
    </r>
  </si>
  <si>
    <t>Fed Unit per Priced Unit</t>
  </si>
  <si>
    <t>Feedlot Marketing</t>
  </si>
  <si>
    <t>$ per cwt</t>
  </si>
  <si>
    <t>It is assumed that herd size remains stationary so replacements will equal cow culls and cow deaths. If too few replacements are purchased, the worksheet automatically retains heifers.</t>
  </si>
  <si>
    <t>Bull Purchases</t>
  </si>
  <si>
    <t>Herd</t>
  </si>
  <si>
    <t>Stocker</t>
  </si>
  <si>
    <t>Feeder</t>
  </si>
  <si>
    <t>Basis</t>
  </si>
  <si>
    <t>Wintered</t>
  </si>
  <si>
    <t>Stockers</t>
  </si>
  <si>
    <t>Weaned Steers</t>
  </si>
  <si>
    <t>Weaned Heifers</t>
  </si>
  <si>
    <t>Stocker Steers</t>
  </si>
  <si>
    <t>Stocker Heifers</t>
  </si>
  <si>
    <t>Fed Steers</t>
  </si>
  <si>
    <t>Fed Heifers</t>
  </si>
  <si>
    <t>Replacement Females</t>
  </si>
  <si>
    <t>Feed Calc</t>
  </si>
  <si>
    <t>$ for all</t>
  </si>
  <si>
    <t>Cull Replacement Marketing</t>
  </si>
  <si>
    <t>Feedlot</t>
  </si>
  <si>
    <t>Estimated Weaning Rate</t>
  </si>
  <si>
    <t>Replacements Culled</t>
  </si>
  <si>
    <t>calves</t>
  </si>
  <si>
    <t>heifers available</t>
  </si>
  <si>
    <t>Weaned Calf Value</t>
  </si>
  <si>
    <t>Cull Cow Value</t>
  </si>
  <si>
    <t>Retained Heifer Value</t>
  </si>
  <si>
    <t>Cull Replacement Value</t>
  </si>
  <si>
    <t>Purchased Replacements Value</t>
  </si>
  <si>
    <t>Cull Bull Value</t>
  </si>
  <si>
    <t>Breeding Herd Total Value</t>
  </si>
  <si>
    <t>stocker steer survivors</t>
  </si>
  <si>
    <t>wintered steer deaths</t>
  </si>
  <si>
    <t>wintered heifer deaths</t>
  </si>
  <si>
    <t>wintered steer survivors</t>
  </si>
  <si>
    <t>wintered heifer survivors</t>
  </si>
  <si>
    <t>stocker steer deaths</t>
  </si>
  <si>
    <t>stocker heifer deaths</t>
  </si>
  <si>
    <t>stocker heifer survivors</t>
  </si>
  <si>
    <t>feeder steer deaths</t>
  </si>
  <si>
    <t>feeder heifer deaths</t>
  </si>
  <si>
    <t>fed heifer survivors</t>
  </si>
  <si>
    <t>fed steer survivors</t>
  </si>
  <si>
    <t>(&lt;10)</t>
  </si>
  <si>
    <t>(&gt;=10)</t>
  </si>
  <si>
    <t>(0-100)</t>
  </si>
  <si>
    <t>Culled Replacement Heifer Weight When Sold</t>
  </si>
  <si>
    <t>Culled Replacement Heifer Selling Price</t>
  </si>
  <si>
    <t>Cost of Marketing Culled Replacement Heifers</t>
  </si>
  <si>
    <t>Is This Cost Per Animal or for All Animals?</t>
  </si>
  <si>
    <t>Allocation Percentage</t>
  </si>
  <si>
    <t>Breeding Herd (Optional)</t>
  </si>
  <si>
    <t>Stocker (Optional)</t>
  </si>
  <si>
    <t>Feedlot (Optional)</t>
  </si>
  <si>
    <t>Cow Cull Weight</t>
  </si>
  <si>
    <t>Non-Fed Cull Cow Price</t>
  </si>
  <si>
    <t>cull cow deaths</t>
  </si>
  <si>
    <t>cull cows surviving</t>
  </si>
  <si>
    <t>Cull Cow</t>
  </si>
  <si>
    <t>Cull Cow Value Increase</t>
  </si>
  <si>
    <t>Feeders Value Increase</t>
  </si>
  <si>
    <t>Stockers Value Increase</t>
  </si>
  <si>
    <t>Wintered Calves Value Increase</t>
  </si>
  <si>
    <t>Cull Cows Retained</t>
  </si>
  <si>
    <t>Cull Cows Sold</t>
  </si>
  <si>
    <t>Fed Cull Cow</t>
  </si>
  <si>
    <t>Fed Cull Cow (Optional)</t>
  </si>
  <si>
    <t>Fed Cull Cow Sales</t>
  </si>
  <si>
    <t>Number Sold</t>
  </si>
  <si>
    <t>Market Cost</t>
  </si>
  <si>
    <t>Marketing Cost per Hd</t>
  </si>
  <si>
    <t>System Budget</t>
  </si>
  <si>
    <t>Total Net Income</t>
  </si>
  <si>
    <t>Total Feed Costs</t>
  </si>
  <si>
    <t>Stocker Marketing</t>
  </si>
  <si>
    <t>steers</t>
  </si>
  <si>
    <t>Prairie Hay</t>
  </si>
  <si>
    <t>ton</t>
  </si>
  <si>
    <t>lbs</t>
  </si>
  <si>
    <t>Alfalfa</t>
  </si>
  <si>
    <t>Salt and Mineral</t>
  </si>
  <si>
    <t>Corn</t>
  </si>
  <si>
    <t>bu</t>
  </si>
  <si>
    <t>day</t>
  </si>
  <si>
    <t>salt and mineral</t>
  </si>
  <si>
    <t>Corn Stalks</t>
  </si>
  <si>
    <t>Vehicles</t>
  </si>
  <si>
    <t>v150416</t>
  </si>
  <si>
    <t>month</t>
  </si>
  <si>
    <t>ounce</t>
  </si>
  <si>
    <t xml:space="preserve">Pasture  </t>
  </si>
  <si>
    <t>Dried Rolled Corn</t>
  </si>
  <si>
    <t>Distiller's Grain - modified wet</t>
  </si>
  <si>
    <t>Dried Distiller's Cubes - bulk</t>
  </si>
  <si>
    <t>Grain mix (distillers &amp; corn)</t>
  </si>
  <si>
    <t>2 Horses ($5,000 value each)</t>
  </si>
  <si>
    <t xml:space="preserve">Horse maintenance /feed </t>
  </si>
  <si>
    <t>Background Calves</t>
  </si>
  <si>
    <t>Backgrounded Calf Marketing</t>
  </si>
  <si>
    <t>General machinery &amp; equipment</t>
  </si>
  <si>
    <t>Backgrounding Calf Budget</t>
  </si>
  <si>
    <t>Backgrounded Steers</t>
  </si>
  <si>
    <t>Backgrounded Heifers</t>
  </si>
  <si>
    <t>Background Calf (Optional)</t>
  </si>
  <si>
    <t>Weaned Calf Background (Optional)</t>
  </si>
  <si>
    <t>Background Calf Wintering (Optional)</t>
  </si>
  <si>
    <t>Time Horizon</t>
  </si>
  <si>
    <t>Northeast NE Dec. 2021</t>
  </si>
  <si>
    <t>Buildings /Barn /Fencing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</si>
</sst>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
    <numFmt numFmtId="168" formatCode="0.0000000"/>
  </numFmts>
  <fonts count="25">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2"/>
      <color theme="0"/>
      <name val="Arial"/>
      <family val="2"/>
    </font>
    <font>
      <b/>
      <sz val="14"/>
      <color theme="0"/>
      <name val="Arial"/>
      <family val="2"/>
    </font>
    <font>
      <b/>
      <u/>
      <sz val="10"/>
      <color theme="1"/>
      <name val="Arial"/>
      <family val="2"/>
    </font>
    <font>
      <sz val="10"/>
      <name val="Arial"/>
      <family val="2"/>
    </font>
    <font>
      <u/>
      <sz val="10"/>
      <color theme="1"/>
      <name val="Arial"/>
      <family val="2"/>
    </font>
    <font>
      <sz val="24"/>
      <color theme="1"/>
      <name val="Arial"/>
      <family val="2"/>
    </font>
    <font>
      <sz val="10"/>
      <color theme="0" tint="-4.9989318521683403E-2"/>
      <name val="Arial"/>
      <family val="2"/>
    </font>
    <font>
      <sz val="9"/>
      <color theme="1"/>
      <name val="Arial"/>
      <family val="2"/>
    </font>
    <font>
      <sz val="10"/>
      <color theme="3" tint="0.39997558519241921"/>
      <name val="Arial"/>
      <family val="2"/>
    </font>
    <font>
      <b/>
      <sz val="10"/>
      <color theme="3" tint="0.39997558519241921"/>
      <name val="Arial"/>
      <family val="2"/>
    </font>
    <font>
      <sz val="8"/>
      <color theme="4"/>
      <name val="Arial"/>
      <family val="2"/>
    </font>
    <font>
      <b/>
      <sz val="10"/>
      <color rgb="FFFFFF00"/>
      <name val="Arial"/>
      <family val="2"/>
    </font>
    <font>
      <sz val="16"/>
      <color rgb="FFFFFF00"/>
      <name val="Arial"/>
      <family val="2"/>
    </font>
    <font>
      <b/>
      <sz val="10"/>
      <color rgb="FFFF0000"/>
      <name val="Arial"/>
      <family val="2"/>
    </font>
    <font>
      <b/>
      <sz val="11"/>
      <color rgb="FFFF0000"/>
      <name val="Arial"/>
      <family val="2"/>
    </font>
    <font>
      <sz val="10"/>
      <name val="SWISS"/>
    </font>
    <font>
      <sz val="12"/>
      <color theme="1"/>
      <name val="Arial"/>
      <family val="2"/>
    </font>
    <font>
      <sz val="10"/>
      <color rgb="FFFF0000"/>
      <name val="Arial"/>
      <family val="2"/>
    </font>
    <font>
      <b/>
      <sz val="10"/>
      <name val="Arial"/>
      <family val="2"/>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diagonal/>
    </border>
    <border>
      <left/>
      <right style="thin">
        <color indexed="64"/>
      </right>
      <top/>
      <bottom style="double">
        <color indexed="64"/>
      </bottom>
      <diagonal/>
    </border>
    <border>
      <left style="medium">
        <color indexed="64"/>
      </left>
      <right style="thin">
        <color rgb="FF00B0F0"/>
      </right>
      <top style="thin">
        <color rgb="FF00B0F0"/>
      </top>
      <bottom style="thin">
        <color rgb="FF00B0F0"/>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diagonal/>
    </border>
    <border>
      <left style="thin">
        <color indexed="64"/>
      </left>
      <right style="thin">
        <color indexed="64"/>
      </right>
      <top/>
      <bottom style="medium">
        <color indexed="64"/>
      </bottom>
      <diagonal/>
    </border>
    <border>
      <left style="thin">
        <color rgb="FF00B0F0"/>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rgb="FF00B0F0"/>
      </top>
      <bottom/>
      <diagonal/>
    </border>
    <border>
      <left/>
      <right style="thin">
        <color indexed="64"/>
      </right>
      <top/>
      <bottom/>
      <diagonal/>
    </border>
    <border>
      <left/>
      <right style="thin">
        <color theme="0"/>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theme="0"/>
      </left>
      <right style="medium">
        <color indexed="64"/>
      </right>
      <top style="medium">
        <color indexed="64"/>
      </top>
      <bottom style="medium">
        <color indexed="64"/>
      </bottom>
      <diagonal/>
    </border>
    <border>
      <left style="thin">
        <color rgb="FF00B0F0"/>
      </left>
      <right/>
      <top/>
      <bottom/>
      <diagonal/>
    </border>
    <border>
      <left style="thin">
        <color theme="0"/>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rgb="FF00B0F0"/>
      </top>
      <bottom style="thin">
        <color rgb="FF00B0F0"/>
      </bottom>
      <diagonal/>
    </border>
    <border>
      <left style="thin">
        <color rgb="FF00B0F0"/>
      </left>
      <right style="thin">
        <color rgb="FF00B0F0"/>
      </right>
      <top/>
      <bottom style="thin">
        <color rgb="FF00B0F0"/>
      </bottom>
      <diagonal/>
    </border>
    <border>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double">
        <color indexed="64"/>
      </top>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theme="0"/>
      </left>
      <right/>
      <top/>
      <bottom/>
      <diagonal/>
    </border>
    <border>
      <left/>
      <right style="medium">
        <color indexed="64"/>
      </right>
      <top style="medium">
        <color indexed="64"/>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21" fillId="0" borderId="0"/>
    <xf numFmtId="0" fontId="9" fillId="0" borderId="0"/>
  </cellStyleXfs>
  <cellXfs count="840">
    <xf numFmtId="0" fontId="0" fillId="0" borderId="0" xfId="0"/>
    <xf numFmtId="0" fontId="0" fillId="4" borderId="19" xfId="0" applyFill="1" applyBorder="1" applyAlignment="1" applyProtection="1">
      <alignment horizontal="center"/>
      <protection locked="0"/>
    </xf>
    <xf numFmtId="164" fontId="0" fillId="4" borderId="5" xfId="1" applyNumberFormat="1" applyFont="1" applyFill="1" applyBorder="1" applyProtection="1">
      <protection locked="0"/>
    </xf>
    <xf numFmtId="164" fontId="0" fillId="4" borderId="29" xfId="1" applyNumberFormat="1" applyFont="1" applyFill="1" applyBorder="1" applyProtection="1">
      <protection locked="0"/>
    </xf>
    <xf numFmtId="0" fontId="7" fillId="2" borderId="6" xfId="0" applyFont="1" applyFill="1" applyBorder="1" applyProtection="1"/>
    <xf numFmtId="0" fontId="0" fillId="3" borderId="0" xfId="0" applyFill="1" applyProtection="1"/>
    <xf numFmtId="0" fontId="0" fillId="0" borderId="0" xfId="0" applyProtection="1"/>
    <xf numFmtId="0" fontId="0" fillId="2" borderId="7" xfId="0" applyFill="1" applyBorder="1" applyProtection="1"/>
    <xf numFmtId="0" fontId="0" fillId="2" borderId="8" xfId="0" applyFill="1" applyBorder="1" applyProtection="1"/>
    <xf numFmtId="0" fontId="0" fillId="3" borderId="10" xfId="0" applyFill="1" applyBorder="1" applyProtection="1"/>
    <xf numFmtId="0" fontId="0" fillId="3" borderId="13" xfId="0" applyFill="1" applyBorder="1" applyProtection="1"/>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9" fontId="0" fillId="0" borderId="1" xfId="2" applyFont="1" applyFill="1" applyBorder="1" applyProtection="1"/>
    <xf numFmtId="0" fontId="7" fillId="2" borderId="30" xfId="0" applyFont="1" applyFill="1" applyBorder="1" applyProtection="1"/>
    <xf numFmtId="0" fontId="0" fillId="2" borderId="32" xfId="0" applyFill="1" applyBorder="1" applyProtection="1"/>
    <xf numFmtId="0" fontId="0" fillId="2" borderId="33" xfId="0" applyFill="1" applyBorder="1" applyProtection="1"/>
    <xf numFmtId="0" fontId="3" fillId="3" borderId="34" xfId="0" applyFont="1" applyFill="1" applyBorder="1" applyAlignment="1" applyProtection="1">
      <alignment horizontal="center" wrapText="1"/>
    </xf>
    <xf numFmtId="0" fontId="7" fillId="2" borderId="22" xfId="0" applyFont="1" applyFill="1" applyBorder="1" applyProtection="1"/>
    <xf numFmtId="0" fontId="0" fillId="2" borderId="23" xfId="0" applyFill="1" applyBorder="1" applyProtection="1"/>
    <xf numFmtId="0" fontId="0" fillId="2" borderId="24" xfId="0" applyFill="1" applyBorder="1" applyProtection="1"/>
    <xf numFmtId="0" fontId="2" fillId="2" borderId="23" xfId="0" applyFont="1" applyFill="1" applyBorder="1" applyAlignment="1">
      <alignment horizontal="right"/>
    </xf>
    <xf numFmtId="0" fontId="0" fillId="3" borderId="0" xfId="0" applyFill="1"/>
    <xf numFmtId="0" fontId="5" fillId="3" borderId="0" xfId="0" applyFont="1" applyFill="1"/>
    <xf numFmtId="0" fontId="0" fillId="3" borderId="0" xfId="0" applyFill="1" applyBorder="1"/>
    <xf numFmtId="0" fontId="3" fillId="3" borderId="0" xfId="0" applyFont="1" applyFill="1" applyBorder="1" applyAlignment="1">
      <alignment horizontal="right"/>
    </xf>
    <xf numFmtId="0" fontId="3" fillId="3" borderId="0" xfId="0" applyFont="1" applyFill="1" applyBorder="1"/>
    <xf numFmtId="0" fontId="0" fillId="3" borderId="9" xfId="0" applyFont="1" applyFill="1" applyBorder="1"/>
    <xf numFmtId="2" fontId="3" fillId="3" borderId="0" xfId="0" applyNumberFormat="1" applyFont="1" applyFill="1" applyBorder="1" applyAlignment="1">
      <alignment horizontal="right"/>
    </xf>
    <xf numFmtId="43" fontId="3" fillId="3" borderId="0" xfId="1" applyFont="1" applyFill="1" applyBorder="1" applyAlignment="1">
      <alignment horizontal="right"/>
    </xf>
    <xf numFmtId="2" fontId="0" fillId="3" borderId="38" xfId="0" applyNumberFormat="1" applyFill="1" applyBorder="1"/>
    <xf numFmtId="0" fontId="0" fillId="3" borderId="38" xfId="0" applyFill="1" applyBorder="1"/>
    <xf numFmtId="0" fontId="3" fillId="3" borderId="38" xfId="0" applyFont="1" applyFill="1" applyBorder="1" applyAlignment="1">
      <alignment horizontal="right"/>
    </xf>
    <xf numFmtId="43" fontId="0" fillId="3" borderId="38" xfId="1" applyFont="1" applyFill="1" applyBorder="1"/>
    <xf numFmtId="0" fontId="0" fillId="3" borderId="20" xfId="0" applyFill="1" applyBorder="1"/>
    <xf numFmtId="0" fontId="6" fillId="2" borderId="41" xfId="0" applyFont="1" applyFill="1" applyBorder="1"/>
    <xf numFmtId="0" fontId="8" fillId="3" borderId="33" xfId="0" applyFont="1" applyFill="1" applyBorder="1" applyAlignment="1">
      <alignment horizontal="right"/>
    </xf>
    <xf numFmtId="2" fontId="0" fillId="0" borderId="17" xfId="0" applyNumberFormat="1" applyFill="1" applyBorder="1" applyProtection="1"/>
    <xf numFmtId="0" fontId="2" fillId="2" borderId="23" xfId="0" applyFont="1" applyFill="1" applyBorder="1"/>
    <xf numFmtId="0" fontId="8" fillId="3" borderId="0" xfId="0" applyFont="1" applyFill="1" applyBorder="1" applyAlignment="1">
      <alignment horizontal="right"/>
    </xf>
    <xf numFmtId="0" fontId="0" fillId="0" borderId="0" xfId="0"/>
    <xf numFmtId="0" fontId="6" fillId="2" borderId="22" xfId="0" applyFont="1" applyFill="1" applyBorder="1"/>
    <xf numFmtId="0" fontId="4" fillId="2" borderId="23" xfId="0" applyFont="1" applyFill="1" applyBorder="1"/>
    <xf numFmtId="0" fontId="0" fillId="3" borderId="0" xfId="0" applyFill="1"/>
    <xf numFmtId="0" fontId="5" fillId="3" borderId="0" xfId="0" applyFont="1" applyFill="1"/>
    <xf numFmtId="0" fontId="0" fillId="3" borderId="7" xfId="0" applyFill="1" applyBorder="1"/>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0" fillId="3" borderId="0" xfId="0" applyFill="1" applyAlignment="1">
      <alignment horizontal="right"/>
    </xf>
    <xf numFmtId="0" fontId="3" fillId="3" borderId="9" xfId="0" applyFont="1" applyFill="1" applyBorder="1"/>
    <xf numFmtId="0" fontId="3" fillId="3" borderId="0" xfId="0" applyFont="1" applyFill="1" applyBorder="1" applyAlignment="1">
      <alignment wrapText="1"/>
    </xf>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2" borderId="23" xfId="0" applyFill="1" applyBorder="1"/>
    <xf numFmtId="0" fontId="0" fillId="0" borderId="0" xfId="0" applyFill="1"/>
    <xf numFmtId="0" fontId="0" fillId="0" borderId="0" xfId="0" applyFill="1" applyBorder="1"/>
    <xf numFmtId="0" fontId="5" fillId="0" borderId="0" xfId="0" applyFont="1" applyFill="1"/>
    <xf numFmtId="0" fontId="0" fillId="0" borderId="0" xfId="0" applyFill="1" applyAlignment="1">
      <alignment horizontal="right"/>
    </xf>
    <xf numFmtId="0" fontId="0" fillId="0" borderId="11" xfId="0" applyFill="1" applyBorder="1"/>
    <xf numFmtId="0" fontId="6" fillId="2" borderId="46" xfId="0" applyFont="1" applyFill="1" applyBorder="1"/>
    <xf numFmtId="0" fontId="3" fillId="2" borderId="23" xfId="0" applyFont="1" applyFill="1" applyBorder="1"/>
    <xf numFmtId="0" fontId="0" fillId="0" borderId="0" xfId="0" applyBorder="1"/>
    <xf numFmtId="0" fontId="8" fillId="3" borderId="7" xfId="0" applyFont="1" applyFill="1" applyBorder="1" applyAlignment="1">
      <alignment horizontal="right"/>
    </xf>
    <xf numFmtId="0" fontId="8" fillId="3" borderId="8" xfId="0" applyFont="1" applyFill="1" applyBorder="1" applyAlignment="1">
      <alignment horizontal="right"/>
    </xf>
    <xf numFmtId="0" fontId="0" fillId="3" borderId="6" xfId="0" applyFill="1" applyBorder="1"/>
    <xf numFmtId="0" fontId="8" fillId="3" borderId="32" xfId="0" applyFont="1" applyFill="1" applyBorder="1" applyAlignment="1">
      <alignment horizontal="right"/>
    </xf>
    <xf numFmtId="1" fontId="0" fillId="3" borderId="38" xfId="0" applyNumberFormat="1" applyFill="1" applyBorder="1"/>
    <xf numFmtId="165" fontId="0" fillId="3" borderId="38" xfId="0" applyNumberFormat="1" applyFill="1" applyBorder="1"/>
    <xf numFmtId="0" fontId="0" fillId="3" borderId="51" xfId="0" applyFill="1" applyBorder="1"/>
    <xf numFmtId="0" fontId="8" fillId="3" borderId="38" xfId="0" applyFont="1" applyFill="1" applyBorder="1" applyAlignment="1">
      <alignment horizontal="right"/>
    </xf>
    <xf numFmtId="164" fontId="0" fillId="3" borderId="38" xfId="1" applyNumberFormat="1" applyFont="1" applyFill="1" applyBorder="1"/>
    <xf numFmtId="0" fontId="8" fillId="3" borderId="6" xfId="0" applyFont="1"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9" fontId="0" fillId="3" borderId="0" xfId="2" applyFont="1" applyFill="1" applyBorder="1" applyAlignment="1">
      <alignment wrapText="1"/>
    </xf>
    <xf numFmtId="2" fontId="2" fillId="2" borderId="40" xfId="0" applyNumberFormat="1" applyFont="1" applyFill="1" applyBorder="1" applyAlignment="1">
      <alignment horizontal="right"/>
    </xf>
    <xf numFmtId="43" fontId="0" fillId="3" borderId="0" xfId="1" applyNumberFormat="1" applyFont="1" applyFill="1" applyBorder="1"/>
    <xf numFmtId="0" fontId="0" fillId="0" borderId="12" xfId="0" applyBorder="1"/>
    <xf numFmtId="0" fontId="3" fillId="3" borderId="7" xfId="0" applyFont="1" applyFill="1" applyBorder="1" applyAlignment="1">
      <alignment horizontal="center" wrapText="1"/>
    </xf>
    <xf numFmtId="0" fontId="8" fillId="3" borderId="31" xfId="0" applyFont="1" applyFill="1" applyBorder="1" applyAlignment="1">
      <alignment horizontal="right"/>
    </xf>
    <xf numFmtId="0" fontId="5" fillId="3" borderId="0" xfId="0" applyFont="1" applyFill="1" applyAlignment="1">
      <alignment horizontal="right"/>
    </xf>
    <xf numFmtId="0" fontId="8" fillId="3" borderId="10" xfId="0" applyFont="1" applyFill="1" applyBorder="1" applyAlignment="1">
      <alignment horizontal="right"/>
    </xf>
    <xf numFmtId="164" fontId="3" fillId="3" borderId="0" xfId="0" applyNumberFormat="1" applyFont="1" applyFill="1" applyBorder="1" applyAlignment="1">
      <alignment horizontal="left"/>
    </xf>
    <xf numFmtId="164" fontId="0" fillId="3" borderId="52" xfId="1" applyNumberFormat="1" applyFont="1" applyFill="1" applyBorder="1"/>
    <xf numFmtId="0" fontId="0" fillId="3" borderId="38" xfId="0" applyFont="1" applyFill="1" applyBorder="1"/>
    <xf numFmtId="0" fontId="8" fillId="3" borderId="38" xfId="0" applyFont="1" applyFill="1" applyBorder="1" applyAlignment="1">
      <alignment horizontal="right" wrapText="1"/>
    </xf>
    <xf numFmtId="0" fontId="0" fillId="2" borderId="40" xfId="0" applyFill="1" applyBorder="1"/>
    <xf numFmtId="164" fontId="2" fillId="2" borderId="53" xfId="1" applyNumberFormat="1" applyFont="1" applyFill="1" applyBorder="1" applyAlignment="1">
      <alignment horizontal="right"/>
    </xf>
    <xf numFmtId="0" fontId="0" fillId="2" borderId="22" xfId="0" applyFill="1" applyBorder="1"/>
    <xf numFmtId="43" fontId="0" fillId="2" borderId="22" xfId="0" applyNumberFormat="1" applyFill="1" applyBorder="1"/>
    <xf numFmtId="0" fontId="5" fillId="3" borderId="12" xfId="0" applyFont="1" applyFill="1" applyBorder="1" applyAlignment="1"/>
    <xf numFmtId="0" fontId="3" fillId="3" borderId="0" xfId="0" applyFont="1" applyFill="1" applyAlignment="1" applyProtection="1">
      <alignment wrapText="1"/>
    </xf>
    <xf numFmtId="0" fontId="3" fillId="3" borderId="33" xfId="0" applyFont="1" applyFill="1" applyBorder="1" applyAlignment="1">
      <alignment horizontal="right" wrapText="1"/>
    </xf>
    <xf numFmtId="2" fontId="2" fillId="2" borderId="57" xfId="0" applyNumberFormat="1" applyFont="1" applyFill="1" applyBorder="1" applyAlignment="1">
      <alignment horizontal="right"/>
    </xf>
    <xf numFmtId="0" fontId="0" fillId="5" borderId="0" xfId="0" applyFill="1"/>
    <xf numFmtId="0" fontId="0" fillId="5" borderId="0" xfId="0" applyFill="1" applyBorder="1"/>
    <xf numFmtId="0" fontId="11" fillId="3" borderId="0" xfId="0" applyFont="1" applyFill="1" applyProtection="1"/>
    <xf numFmtId="0" fontId="3" fillId="3" borderId="0" xfId="0" applyFont="1" applyFill="1" applyBorder="1" applyAlignment="1">
      <alignment horizontal="center" wrapText="1"/>
    </xf>
    <xf numFmtId="0" fontId="2" fillId="2" borderId="40" xfId="0" applyFont="1" applyFill="1" applyBorder="1" applyAlignment="1"/>
    <xf numFmtId="0" fontId="2" fillId="2" borderId="23" xfId="0" applyFont="1" applyFill="1" applyBorder="1" applyAlignment="1"/>
    <xf numFmtId="164" fontId="0" fillId="3" borderId="0" xfId="1" applyNumberFormat="1" applyFont="1" applyFill="1"/>
    <xf numFmtId="43" fontId="0" fillId="3" borderId="38" xfId="1" applyNumberFormat="1" applyFont="1" applyFill="1" applyBorder="1"/>
    <xf numFmtId="165" fontId="0" fillId="3" borderId="0" xfId="0" applyNumberFormat="1" applyFill="1" applyBorder="1"/>
    <xf numFmtId="0" fontId="2" fillId="2" borderId="59" xfId="0" applyFont="1" applyFill="1" applyBorder="1" applyAlignment="1">
      <alignment horizontal="center" wrapText="1"/>
    </xf>
    <xf numFmtId="164" fontId="0" fillId="3" borderId="39" xfId="1" applyNumberFormat="1" applyFont="1" applyFill="1" applyBorder="1"/>
    <xf numFmtId="164" fontId="8" fillId="3" borderId="39" xfId="1" applyNumberFormat="1" applyFont="1" applyFill="1" applyBorder="1" applyAlignment="1">
      <alignment horizontal="right"/>
    </xf>
    <xf numFmtId="0" fontId="8" fillId="3" borderId="52" xfId="0" applyFont="1" applyFill="1" applyBorder="1" applyAlignment="1">
      <alignment horizontal="right" wrapText="1"/>
    </xf>
    <xf numFmtId="1" fontId="0" fillId="3" borderId="38" xfId="0" applyNumberFormat="1" applyFont="1" applyFill="1" applyBorder="1"/>
    <xf numFmtId="0" fontId="2" fillId="2" borderId="40" xfId="0" applyFont="1" applyFill="1" applyBorder="1" applyAlignment="1">
      <alignment horizontal="center" vertical="center" wrapText="1"/>
    </xf>
    <xf numFmtId="0" fontId="6" fillId="2" borderId="23" xfId="0" applyFont="1" applyFill="1" applyBorder="1"/>
    <xf numFmtId="0" fontId="10" fillId="3" borderId="0" xfId="0" applyFont="1" applyFill="1" applyBorder="1"/>
    <xf numFmtId="0" fontId="10" fillId="3" borderId="52" xfId="0" applyFont="1" applyFill="1" applyBorder="1"/>
    <xf numFmtId="0" fontId="2" fillId="2" borderId="57" xfId="0" applyFont="1" applyFill="1" applyBorder="1" applyAlignment="1">
      <alignment horizontal="center" vertical="center" wrapText="1"/>
    </xf>
    <xf numFmtId="0" fontId="0" fillId="2" borderId="22" xfId="0" applyFill="1" applyBorder="1" applyAlignment="1">
      <alignment horizontal="right"/>
    </xf>
    <xf numFmtId="9" fontId="0" fillId="3" borderId="0" xfId="2" applyFont="1" applyFill="1" applyBorder="1" applyAlignment="1">
      <alignment horizontal="center"/>
    </xf>
    <xf numFmtId="9" fontId="0" fillId="3" borderId="0" xfId="2" applyFont="1" applyFill="1" applyBorder="1" applyAlignment="1">
      <alignment horizontal="center" wrapText="1"/>
    </xf>
    <xf numFmtId="164" fontId="3" fillId="3" borderId="0" xfId="0" applyNumberFormat="1" applyFont="1" applyFill="1" applyBorder="1" applyAlignment="1">
      <alignment horizontal="right"/>
    </xf>
    <xf numFmtId="0" fontId="8" fillId="3" borderId="0" xfId="0" applyFont="1" applyFill="1" applyBorder="1" applyAlignment="1">
      <alignment horizontal="center" wrapText="1"/>
    </xf>
    <xf numFmtId="0" fontId="2" fillId="2" borderId="40" xfId="0" applyFont="1" applyFill="1" applyBorder="1" applyAlignment="1">
      <alignment horizontal="center" wrapText="1"/>
    </xf>
    <xf numFmtId="0" fontId="2" fillId="2" borderId="40" xfId="0" applyFont="1" applyFill="1" applyBorder="1" applyAlignment="1">
      <alignment horizontal="center"/>
    </xf>
    <xf numFmtId="0" fontId="0" fillId="6" borderId="0" xfId="0" applyFill="1"/>
    <xf numFmtId="0" fontId="13" fillId="3" borderId="0" xfId="0" applyFont="1" applyFill="1" applyBorder="1" applyAlignment="1">
      <alignment horizontal="right"/>
    </xf>
    <xf numFmtId="0" fontId="0" fillId="3" borderId="52" xfId="0" applyFill="1" applyBorder="1" applyProtection="1"/>
    <xf numFmtId="0" fontId="5" fillId="0" borderId="0" xfId="0" applyFont="1" applyFill="1" applyAlignment="1">
      <alignment vertical="center"/>
    </xf>
    <xf numFmtId="0" fontId="5" fillId="3" borderId="12" xfId="0" applyFont="1" applyFill="1" applyBorder="1" applyAlignment="1">
      <alignment vertical="center"/>
    </xf>
    <xf numFmtId="0" fontId="6" fillId="2" borderId="66" xfId="0" applyFont="1" applyFill="1" applyBorder="1"/>
    <xf numFmtId="0" fontId="3" fillId="2" borderId="12" xfId="0" applyFont="1" applyFill="1" applyBorder="1"/>
    <xf numFmtId="0" fontId="2" fillId="2" borderId="12" xfId="0" applyFont="1" applyFill="1" applyBorder="1" applyAlignment="1">
      <alignment horizontal="right"/>
    </xf>
    <xf numFmtId="0" fontId="0" fillId="5" borderId="9" xfId="0" applyFill="1" applyBorder="1"/>
    <xf numFmtId="0" fontId="2" fillId="2" borderId="68" xfId="0" applyFont="1" applyFill="1" applyBorder="1" applyAlignment="1"/>
    <xf numFmtId="0" fontId="0" fillId="2" borderId="11" xfId="0" applyFill="1" applyBorder="1"/>
    <xf numFmtId="0" fontId="0" fillId="2" borderId="71" xfId="0" applyFill="1" applyBorder="1"/>
    <xf numFmtId="0" fontId="6" fillId="2" borderId="73" xfId="0" applyFont="1" applyFill="1" applyBorder="1"/>
    <xf numFmtId="0" fontId="2" fillId="2" borderId="74" xfId="0" applyFont="1" applyFill="1" applyBorder="1" applyAlignment="1"/>
    <xf numFmtId="0" fontId="2" fillId="2" borderId="75" xfId="0" applyFont="1" applyFill="1" applyBorder="1" applyAlignment="1"/>
    <xf numFmtId="0" fontId="8" fillId="3" borderId="36" xfId="0" applyFont="1" applyFill="1" applyBorder="1" applyAlignment="1">
      <alignment horizontal="right"/>
    </xf>
    <xf numFmtId="0" fontId="2" fillId="3" borderId="0" xfId="0" applyFont="1" applyFill="1" applyBorder="1" applyAlignment="1">
      <alignment horizontal="right"/>
    </xf>
    <xf numFmtId="0" fontId="6" fillId="2" borderId="76" xfId="0" applyFont="1" applyFill="1" applyBorder="1"/>
    <xf numFmtId="0" fontId="6" fillId="2" borderId="11" xfId="0" applyFont="1" applyFill="1" applyBorder="1"/>
    <xf numFmtId="0" fontId="3" fillId="2" borderId="24" xfId="0" applyFont="1" applyFill="1" applyBorder="1"/>
    <xf numFmtId="0" fontId="0" fillId="8" borderId="0" xfId="0" applyFill="1"/>
    <xf numFmtId="0" fontId="0" fillId="3" borderId="9" xfId="0" applyFill="1" applyBorder="1" applyAlignment="1">
      <alignment horizontal="right"/>
    </xf>
    <xf numFmtId="0" fontId="0" fillId="9" borderId="0" xfId="0" applyFill="1"/>
    <xf numFmtId="0" fontId="12" fillId="9" borderId="0" xfId="0" applyFont="1" applyFill="1"/>
    <xf numFmtId="0" fontId="12" fillId="9" borderId="0" xfId="0" applyFont="1" applyFill="1" applyBorder="1"/>
    <xf numFmtId="0" fontId="3" fillId="9" borderId="0" xfId="0" applyFont="1" applyFill="1"/>
    <xf numFmtId="0" fontId="0" fillId="9" borderId="0" xfId="0" applyFill="1" applyBorder="1"/>
    <xf numFmtId="0" fontId="14" fillId="9" borderId="0" xfId="0" applyFont="1" applyFill="1"/>
    <xf numFmtId="0" fontId="14" fillId="9" borderId="0" xfId="0" applyFont="1" applyFill="1" applyBorder="1"/>
    <xf numFmtId="0" fontId="15" fillId="9" borderId="0" xfId="0" applyFont="1" applyFill="1" applyBorder="1"/>
    <xf numFmtId="43" fontId="14" fillId="9" borderId="0" xfId="0" applyNumberFormat="1" applyFont="1" applyFill="1"/>
    <xf numFmtId="0" fontId="15" fillId="9" borderId="0" xfId="0" applyFont="1" applyFill="1"/>
    <xf numFmtId="0" fontId="15" fillId="9" borderId="0" xfId="0" applyFont="1" applyFill="1" applyBorder="1" applyAlignment="1">
      <alignment wrapText="1"/>
    </xf>
    <xf numFmtId="164" fontId="14" fillId="9" borderId="0" xfId="1" applyNumberFormat="1" applyFont="1" applyFill="1" applyBorder="1"/>
    <xf numFmtId="164" fontId="14" fillId="9" borderId="0" xfId="0" applyNumberFormat="1" applyFont="1" applyFill="1"/>
    <xf numFmtId="0" fontId="0" fillId="9" borderId="39" xfId="0" applyFill="1" applyBorder="1"/>
    <xf numFmtId="0" fontId="0" fillId="9" borderId="0" xfId="0" applyFill="1" applyProtection="1"/>
    <xf numFmtId="0" fontId="14" fillId="9" borderId="0" xfId="0" applyFont="1" applyFill="1" applyProtection="1"/>
    <xf numFmtId="0" fontId="8" fillId="3" borderId="0" xfId="0" applyFont="1" applyFill="1" applyBorder="1" applyAlignment="1">
      <alignment horizontal="center"/>
    </xf>
    <xf numFmtId="164" fontId="0" fillId="3" borderId="0" xfId="1" applyNumberFormat="1" applyFont="1" applyFill="1" applyBorder="1" applyAlignment="1">
      <alignment horizontal="center"/>
    </xf>
    <xf numFmtId="0" fontId="0" fillId="3" borderId="9" xfId="0" applyFill="1" applyBorder="1" applyAlignment="1">
      <alignment horizontal="left" vertical="center"/>
    </xf>
    <xf numFmtId="0" fontId="18" fillId="9" borderId="0" xfId="0" applyFont="1" applyFill="1" applyBorder="1"/>
    <xf numFmtId="0" fontId="0" fillId="3" borderId="9" xfId="0" applyFill="1" applyBorder="1" applyAlignment="1">
      <alignment horizontal="center" vertical="center"/>
    </xf>
    <xf numFmtId="0" fontId="0" fillId="3" borderId="9" xfId="0" applyFill="1" applyBorder="1" applyAlignment="1">
      <alignment vertical="center"/>
    </xf>
    <xf numFmtId="43" fontId="0" fillId="3" borderId="0" xfId="0" applyNumberFormat="1" applyFill="1" applyBorder="1"/>
    <xf numFmtId="44" fontId="0" fillId="3" borderId="0" xfId="3" applyFont="1" applyFill="1" applyBorder="1"/>
    <xf numFmtId="166" fontId="0" fillId="3" borderId="0" xfId="3" applyNumberFormat="1" applyFont="1" applyFill="1" applyBorder="1"/>
    <xf numFmtId="0" fontId="8" fillId="3" borderId="7" xfId="0" applyFont="1" applyFill="1" applyBorder="1" applyAlignment="1">
      <alignment horizontal="center" wrapText="1"/>
    </xf>
    <xf numFmtId="0" fontId="4" fillId="2" borderId="7" xfId="0" applyFont="1" applyFill="1" applyBorder="1" applyProtection="1"/>
    <xf numFmtId="164" fontId="0" fillId="3" borderId="0" xfId="1" applyNumberFormat="1" applyFont="1" applyFill="1" applyBorder="1" applyAlignment="1">
      <alignment horizontal="center"/>
    </xf>
    <xf numFmtId="0" fontId="8" fillId="3" borderId="7" xfId="0" applyFont="1" applyFill="1" applyBorder="1" applyAlignment="1">
      <alignment horizontal="right"/>
    </xf>
    <xf numFmtId="0" fontId="0" fillId="0" borderId="10" xfId="0" applyBorder="1" applyProtection="1"/>
    <xf numFmtId="0" fontId="0" fillId="3" borderId="8" xfId="0" applyFill="1" applyBorder="1" applyProtection="1"/>
    <xf numFmtId="0" fontId="8" fillId="10" borderId="10" xfId="0" applyFont="1" applyFill="1" applyBorder="1" applyAlignment="1">
      <alignment horizontal="right"/>
    </xf>
    <xf numFmtId="0" fontId="8" fillId="10" borderId="36" xfId="0" applyFont="1" applyFill="1" applyBorder="1" applyAlignment="1">
      <alignment horizontal="right"/>
    </xf>
    <xf numFmtId="43" fontId="0" fillId="10" borderId="36" xfId="1" applyFont="1" applyFill="1" applyBorder="1"/>
    <xf numFmtId="43" fontId="0" fillId="10" borderId="10" xfId="1" applyFont="1" applyFill="1" applyBorder="1"/>
    <xf numFmtId="0" fontId="0" fillId="10" borderId="36" xfId="0" applyFill="1" applyBorder="1"/>
    <xf numFmtId="0" fontId="0" fillId="10" borderId="10" xfId="0" applyFill="1" applyBorder="1"/>
    <xf numFmtId="3" fontId="0" fillId="3" borderId="0" xfId="0" applyNumberFormat="1" applyFill="1" applyBorder="1"/>
    <xf numFmtId="0" fontId="0" fillId="0" borderId="0" xfId="0"/>
    <xf numFmtId="3" fontId="5" fillId="3" borderId="12" xfId="0" applyNumberFormat="1" applyFont="1" applyFill="1" applyBorder="1" applyAlignment="1"/>
    <xf numFmtId="3" fontId="0" fillId="3" borderId="38" xfId="0" applyNumberFormat="1" applyFont="1" applyFill="1" applyBorder="1" applyAlignment="1">
      <alignment horizontal="right"/>
    </xf>
    <xf numFmtId="3" fontId="0" fillId="3" borderId="0" xfId="0" applyNumberFormat="1" applyFont="1" applyFill="1" applyBorder="1" applyAlignment="1"/>
    <xf numFmtId="0" fontId="0" fillId="3" borderId="20" xfId="0" applyFill="1" applyBorder="1" applyAlignment="1"/>
    <xf numFmtId="0" fontId="0" fillId="3" borderId="12" xfId="0" applyFill="1" applyBorder="1" applyAlignment="1"/>
    <xf numFmtId="3" fontId="22" fillId="3" borderId="12" xfId="0" applyNumberFormat="1" applyFont="1" applyFill="1" applyBorder="1" applyAlignment="1"/>
    <xf numFmtId="164" fontId="0" fillId="4" borderId="4" xfId="1" applyNumberFormat="1" applyFont="1" applyFill="1" applyBorder="1" applyProtection="1">
      <protection locked="0"/>
    </xf>
    <xf numFmtId="164" fontId="0" fillId="4" borderId="1" xfId="1" applyNumberFormat="1" applyFont="1" applyFill="1" applyBorder="1" applyProtection="1">
      <protection locked="0"/>
    </xf>
    <xf numFmtId="164" fontId="0" fillId="4" borderId="19" xfId="1" applyNumberFormat="1" applyFont="1" applyFill="1" applyBorder="1" applyProtection="1">
      <protection locked="0"/>
    </xf>
    <xf numFmtId="0" fontId="0" fillId="3" borderId="0" xfId="0" applyFill="1" applyBorder="1" applyProtection="1"/>
    <xf numFmtId="0" fontId="0" fillId="3" borderId="7" xfId="0" applyFill="1" applyBorder="1" applyProtection="1"/>
    <xf numFmtId="0" fontId="0" fillId="3" borderId="12" xfId="0" applyFill="1" applyBorder="1" applyProtection="1"/>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Alignment="1" applyProtection="1">
      <alignment horizontal="right"/>
      <protection locked="0"/>
    </xf>
    <xf numFmtId="0" fontId="0" fillId="4" borderId="1" xfId="0" applyFill="1" applyBorder="1" applyAlignment="1" applyProtection="1">
      <alignment horizontal="center"/>
      <protection locked="0"/>
    </xf>
    <xf numFmtId="0" fontId="0" fillId="3" borderId="37" xfId="0" applyFill="1" applyBorder="1" applyProtection="1"/>
    <xf numFmtId="0" fontId="0" fillId="3" borderId="0" xfId="0" applyFill="1" applyBorder="1"/>
    <xf numFmtId="0" fontId="3" fillId="3" borderId="0" xfId="0" applyFont="1" applyFill="1" applyBorder="1" applyAlignment="1">
      <alignment horizontal="right"/>
    </xf>
    <xf numFmtId="0" fontId="0" fillId="3" borderId="38" xfId="0" applyFill="1" applyBorder="1"/>
    <xf numFmtId="0" fontId="0" fillId="3" borderId="9" xfId="0" applyFill="1" applyBorder="1"/>
    <xf numFmtId="164" fontId="0" fillId="3" borderId="0" xfId="1" applyNumberFormat="1" applyFont="1" applyFill="1" applyBorder="1"/>
    <xf numFmtId="43" fontId="0" fillId="3" borderId="0" xfId="1" applyFont="1" applyFill="1" applyBorder="1"/>
    <xf numFmtId="164" fontId="0" fillId="3" borderId="38" xfId="1" applyNumberFormat="1" applyFont="1" applyFill="1" applyBorder="1"/>
    <xf numFmtId="0" fontId="5" fillId="3" borderId="12" xfId="0" applyFont="1" applyFill="1" applyBorder="1" applyAlignment="1"/>
    <xf numFmtId="0" fontId="0" fillId="6" borderId="0" xfId="0" applyFill="1"/>
    <xf numFmtId="0" fontId="12" fillId="6" borderId="0" xfId="0" applyFont="1" applyFill="1"/>
    <xf numFmtId="0" fontId="0" fillId="7" borderId="49" xfId="0" applyFill="1" applyBorder="1" applyAlignment="1" applyProtection="1">
      <alignment horizontal="center"/>
      <protection locked="0"/>
    </xf>
    <xf numFmtId="0" fontId="0" fillId="8" borderId="0" xfId="0" applyFill="1"/>
    <xf numFmtId="0" fontId="0" fillId="9" borderId="0" xfId="0" applyFill="1"/>
    <xf numFmtId="0" fontId="12" fillId="9" borderId="0" xfId="0" applyFont="1" applyFill="1"/>
    <xf numFmtId="0" fontId="14" fillId="9" borderId="0" xfId="0" applyFont="1" applyFill="1"/>
    <xf numFmtId="0" fontId="14" fillId="9" borderId="0" xfId="0" applyFont="1" applyFill="1" applyBorder="1"/>
    <xf numFmtId="0" fontId="22" fillId="3" borderId="12" xfId="0" applyFont="1" applyFill="1" applyBorder="1" applyAlignment="1"/>
    <xf numFmtId="1" fontId="0" fillId="3" borderId="0" xfId="0" applyNumberFormat="1" applyFill="1" applyBorder="1"/>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3" xfId="0" applyFill="1" applyBorder="1" applyAlignment="1" applyProtection="1">
      <alignment horizontal="center"/>
      <protection locked="0"/>
    </xf>
    <xf numFmtId="3" fontId="0" fillId="3" borderId="4" xfId="2" applyNumberFormat="1" applyFont="1" applyFill="1" applyBorder="1" applyAlignment="1" applyProtection="1">
      <alignment horizontal="center"/>
    </xf>
    <xf numFmtId="0" fontId="4" fillId="2" borderId="8" xfId="0" applyFont="1" applyFill="1" applyBorder="1" applyProtection="1"/>
    <xf numFmtId="0" fontId="23" fillId="3" borderId="52" xfId="0" applyFont="1" applyFill="1" applyBorder="1" applyAlignment="1" applyProtection="1">
      <alignment horizontal="right"/>
    </xf>
    <xf numFmtId="0" fontId="3" fillId="3" borderId="0" xfId="0" applyFont="1" applyFill="1" applyBorder="1" applyAlignment="1">
      <alignment horizontal="center" wrapText="1"/>
    </xf>
    <xf numFmtId="0" fontId="0" fillId="3" borderId="0" xfId="0" applyFill="1" applyBorder="1" applyAlignment="1">
      <alignment horizontal="center"/>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0" xfId="0" applyFont="1" applyFill="1" applyBorder="1" applyAlignment="1">
      <alignment horizontal="right"/>
    </xf>
    <xf numFmtId="0" fontId="6" fillId="2" borderId="23" xfId="0" applyFont="1" applyFill="1" applyBorder="1" applyAlignment="1">
      <alignment horizontal="left"/>
    </xf>
    <xf numFmtId="0" fontId="2" fillId="2" borderId="12" xfId="0" applyFont="1" applyFill="1" applyBorder="1"/>
    <xf numFmtId="0" fontId="0" fillId="0" borderId="0" xfId="0"/>
    <xf numFmtId="0" fontId="0" fillId="3" borderId="37" xfId="0" applyFill="1" applyBorder="1" applyProtection="1"/>
    <xf numFmtId="2" fontId="3" fillId="3" borderId="0" xfId="0" applyNumberFormat="1" applyFont="1" applyFill="1" applyBorder="1" applyAlignment="1">
      <alignment horizontal="right"/>
    </xf>
    <xf numFmtId="2" fontId="0" fillId="3" borderId="38" xfId="0" applyNumberFormat="1" applyFill="1" applyBorder="1"/>
    <xf numFmtId="0" fontId="0" fillId="3" borderId="38" xfId="0" applyFill="1" applyBorder="1"/>
    <xf numFmtId="0" fontId="0" fillId="3" borderId="20" xfId="0" applyFill="1" applyBorder="1"/>
    <xf numFmtId="0" fontId="8" fillId="3" borderId="33" xfId="0" applyFont="1" applyFill="1" applyBorder="1" applyAlignment="1">
      <alignment horizontal="right"/>
    </xf>
    <xf numFmtId="0" fontId="8" fillId="3" borderId="0" xfId="0" applyFont="1" applyFill="1" applyBorder="1" applyAlignment="1">
      <alignment horizontal="right"/>
    </xf>
    <xf numFmtId="0" fontId="2" fillId="2" borderId="12" xfId="0" applyFont="1" applyFill="1" applyBorder="1" applyAlignment="1">
      <alignment horizontal="right"/>
    </xf>
    <xf numFmtId="0" fontId="3" fillId="3" borderId="6" xfId="0" applyFont="1" applyFill="1" applyBorder="1"/>
    <xf numFmtId="0" fontId="3" fillId="3" borderId="7" xfId="0" applyFont="1" applyFill="1" applyBorder="1" applyAlignment="1">
      <alignment horizontal="right"/>
    </xf>
    <xf numFmtId="0" fontId="0" fillId="3" borderId="9" xfId="0" applyFill="1" applyBorder="1"/>
    <xf numFmtId="0" fontId="0" fillId="3" borderId="0" xfId="0" applyFill="1" applyBorder="1"/>
    <xf numFmtId="2" fontId="0" fillId="3" borderId="0" xfId="0" applyNumberFormat="1" applyFill="1" applyBorder="1"/>
    <xf numFmtId="0" fontId="0" fillId="3" borderId="11" xfId="0" applyFill="1" applyBorder="1"/>
    <xf numFmtId="0" fontId="0" fillId="3" borderId="12" xfId="0" applyFill="1" applyBorder="1"/>
    <xf numFmtId="0" fontId="3" fillId="3" borderId="9" xfId="0" applyFont="1" applyFill="1" applyBorder="1"/>
    <xf numFmtId="164" fontId="0" fillId="3" borderId="0" xfId="1" applyNumberFormat="1" applyFont="1" applyFill="1" applyBorder="1"/>
    <xf numFmtId="43" fontId="0" fillId="3" borderId="0" xfId="1" applyFont="1" applyFill="1" applyBorder="1"/>
    <xf numFmtId="0" fontId="3" fillId="3" borderId="0" xfId="0" applyFont="1" applyFill="1" applyBorder="1" applyAlignment="1">
      <alignment horizontal="right"/>
    </xf>
    <xf numFmtId="0" fontId="3" fillId="3" borderId="12" xfId="0" applyFont="1" applyFill="1" applyBorder="1" applyAlignment="1">
      <alignment horizontal="right"/>
    </xf>
    <xf numFmtId="0" fontId="0" fillId="0" borderId="0" xfId="0" applyBorder="1"/>
    <xf numFmtId="0" fontId="8" fillId="3" borderId="7" xfId="0" applyFont="1" applyFill="1" applyBorder="1" applyAlignment="1">
      <alignment horizontal="right"/>
    </xf>
    <xf numFmtId="0" fontId="0" fillId="3" borderId="6" xfId="0" applyFill="1" applyBorder="1"/>
    <xf numFmtId="0" fontId="8" fillId="3" borderId="9" xfId="0" applyFont="1" applyFill="1" applyBorder="1"/>
    <xf numFmtId="9" fontId="0" fillId="3" borderId="0" xfId="2" applyFont="1" applyFill="1" applyBorder="1"/>
    <xf numFmtId="0" fontId="0" fillId="3" borderId="52" xfId="0" applyFill="1" applyBorder="1"/>
    <xf numFmtId="0" fontId="8" fillId="3" borderId="52" xfId="0" applyFont="1" applyFill="1" applyBorder="1" applyAlignment="1">
      <alignment horizontal="right"/>
    </xf>
    <xf numFmtId="0" fontId="8" fillId="3" borderId="0" xfId="0" applyFont="1" applyFill="1" applyBorder="1" applyAlignment="1">
      <alignment wrapText="1"/>
    </xf>
    <xf numFmtId="0" fontId="0" fillId="3" borderId="33" xfId="0" applyFill="1" applyBorder="1"/>
    <xf numFmtId="0" fontId="10" fillId="3" borderId="7" xfId="0" applyFont="1" applyFill="1" applyBorder="1"/>
    <xf numFmtId="0" fontId="8" fillId="3" borderId="0" xfId="0" applyFont="1" applyFill="1" applyBorder="1" applyAlignment="1">
      <alignment horizontal="right" wrapText="1"/>
    </xf>
    <xf numFmtId="0" fontId="8" fillId="3" borderId="0" xfId="0" applyFont="1" applyFill="1" applyBorder="1"/>
    <xf numFmtId="164" fontId="0" fillId="3" borderId="52" xfId="1" applyNumberFormat="1" applyFont="1" applyFill="1" applyBorder="1"/>
    <xf numFmtId="43" fontId="0" fillId="3" borderId="52" xfId="1" applyFont="1" applyFill="1" applyBorder="1"/>
    <xf numFmtId="0" fontId="8" fillId="3" borderId="38" xfId="0" applyFont="1" applyFill="1" applyBorder="1" applyAlignment="1">
      <alignment horizontal="right" wrapText="1"/>
    </xf>
    <xf numFmtId="2" fontId="0" fillId="3" borderId="38" xfId="1" applyNumberFormat="1" applyFont="1" applyFill="1" applyBorder="1"/>
    <xf numFmtId="0" fontId="3" fillId="3" borderId="7" xfId="0" applyFont="1" applyFill="1" applyBorder="1" applyAlignment="1">
      <alignment horizontal="right" wrapText="1"/>
    </xf>
    <xf numFmtId="0" fontId="0" fillId="9" borderId="0" xfId="0" applyFill="1"/>
    <xf numFmtId="43" fontId="0" fillId="3" borderId="0" xfId="1" applyNumberFormat="1" applyFont="1" applyFill="1" applyBorder="1"/>
    <xf numFmtId="9" fontId="0" fillId="3" borderId="0" xfId="2" applyFont="1" applyFill="1" applyBorder="1" applyAlignment="1">
      <alignment horizontal="center" wrapText="1"/>
    </xf>
    <xf numFmtId="0" fontId="6" fillId="2" borderId="66" xfId="0" applyFont="1" applyFill="1" applyBorder="1"/>
    <xf numFmtId="0" fontId="3" fillId="2" borderId="12" xfId="0" applyFont="1" applyFill="1" applyBorder="1"/>
    <xf numFmtId="0" fontId="0" fillId="0" borderId="12" xfId="0" applyBorder="1"/>
    <xf numFmtId="0" fontId="8" fillId="3" borderId="0" xfId="0" applyFont="1" applyFill="1" applyBorder="1" applyAlignment="1">
      <alignment horizontal="center"/>
    </xf>
    <xf numFmtId="0" fontId="0" fillId="3" borderId="37" xfId="0" applyFill="1" applyBorder="1"/>
    <xf numFmtId="0" fontId="10" fillId="3" borderId="78" xfId="0" applyFont="1" applyFill="1" applyBorder="1"/>
    <xf numFmtId="164" fontId="0" fillId="3" borderId="12" xfId="1" applyNumberFormat="1" applyFont="1" applyFill="1" applyBorder="1"/>
    <xf numFmtId="9" fontId="0" fillId="3" borderId="12" xfId="2" applyFont="1" applyFill="1" applyBorder="1" applyAlignment="1">
      <alignment horizontal="center" wrapText="1"/>
    </xf>
    <xf numFmtId="0" fontId="7" fillId="2" borderId="7" xfId="0" applyFont="1" applyFill="1" applyBorder="1" applyProtection="1"/>
    <xf numFmtId="0" fontId="7" fillId="2" borderId="23" xfId="0" applyFont="1" applyFill="1" applyBorder="1" applyProtection="1"/>
    <xf numFmtId="0" fontId="3" fillId="3" borderId="81" xfId="0" applyFont="1" applyFill="1" applyBorder="1" applyAlignment="1" applyProtection="1">
      <alignment wrapText="1"/>
    </xf>
    <xf numFmtId="0" fontId="7" fillId="2" borderId="78" xfId="0" applyFont="1" applyFill="1" applyBorder="1" applyProtection="1"/>
    <xf numFmtId="0" fontId="0" fillId="3" borderId="36" xfId="0" applyFill="1" applyBorder="1" applyProtection="1"/>
    <xf numFmtId="0" fontId="0" fillId="3" borderId="56" xfId="0" applyFill="1" applyBorder="1" applyAlignment="1" applyProtection="1">
      <alignment horizontal="left"/>
    </xf>
    <xf numFmtId="0" fontId="0" fillId="3" borderId="38" xfId="0" applyFill="1" applyBorder="1" applyAlignment="1" applyProtection="1">
      <alignment horizontal="left"/>
    </xf>
    <xf numFmtId="0" fontId="0" fillId="3" borderId="38" xfId="0" applyFill="1" applyBorder="1" applyAlignment="1" applyProtection="1">
      <alignment horizontal="left" vertical="center"/>
    </xf>
    <xf numFmtId="0" fontId="0" fillId="3" borderId="38" xfId="0" applyFill="1" applyBorder="1" applyProtection="1"/>
    <xf numFmtId="0" fontId="0" fillId="3" borderId="14" xfId="0" applyFill="1" applyBorder="1" applyProtection="1"/>
    <xf numFmtId="0" fontId="0" fillId="3" borderId="77" xfId="0" applyFill="1" applyBorder="1" applyProtection="1"/>
    <xf numFmtId="0" fontId="0" fillId="3" borderId="25" xfId="0" applyFill="1" applyBorder="1" applyProtection="1"/>
    <xf numFmtId="0" fontId="0" fillId="3" borderId="83" xfId="0" applyFill="1" applyBorder="1" applyAlignment="1" applyProtection="1">
      <alignment horizontal="left"/>
    </xf>
    <xf numFmtId="0" fontId="0" fillId="3" borderId="83" xfId="0" applyFill="1" applyBorder="1" applyProtection="1"/>
    <xf numFmtId="0" fontId="0" fillId="3" borderId="62" xfId="0" applyFill="1" applyBorder="1" applyProtection="1"/>
    <xf numFmtId="0" fontId="0" fillId="3" borderId="14" xfId="0" applyFill="1" applyBorder="1" applyAlignment="1" applyProtection="1">
      <alignment horizontal="left"/>
    </xf>
    <xf numFmtId="0" fontId="0" fillId="3" borderId="77" xfId="0" applyFill="1" applyBorder="1" applyAlignment="1" applyProtection="1">
      <alignment horizontal="left"/>
    </xf>
    <xf numFmtId="0" fontId="0" fillId="3" borderId="33" xfId="0" applyFill="1" applyBorder="1" applyAlignment="1" applyProtection="1">
      <alignment horizontal="left"/>
    </xf>
    <xf numFmtId="0" fontId="0" fillId="3" borderId="31" xfId="0" applyFill="1" applyBorder="1" applyProtection="1"/>
    <xf numFmtId="0" fontId="0" fillId="3" borderId="39" xfId="0" applyFill="1" applyBorder="1" applyProtection="1"/>
    <xf numFmtId="0" fontId="0" fillId="3" borderId="17" xfId="0" applyFill="1" applyBorder="1" applyProtection="1"/>
    <xf numFmtId="0" fontId="0" fillId="3" borderId="60" xfId="0" applyFill="1" applyBorder="1" applyProtection="1"/>
    <xf numFmtId="0" fontId="19" fillId="3" borderId="0" xfId="0" applyFont="1" applyFill="1" applyBorder="1" applyAlignment="1" applyProtection="1">
      <alignment horizontal="center"/>
    </xf>
    <xf numFmtId="0" fontId="19" fillId="3" borderId="52" xfId="0" applyFont="1" applyFill="1" applyBorder="1" applyAlignment="1" applyProtection="1">
      <alignment horizontal="center"/>
    </xf>
    <xf numFmtId="0" fontId="7" fillId="2" borderId="84" xfId="0" applyFont="1" applyFill="1" applyBorder="1" applyProtection="1"/>
    <xf numFmtId="0" fontId="9" fillId="9" borderId="0" xfId="0" applyFont="1" applyFill="1" applyProtection="1"/>
    <xf numFmtId="0" fontId="19" fillId="3" borderId="12" xfId="0" applyFont="1" applyFill="1" applyBorder="1" applyAlignment="1" applyProtection="1">
      <alignment horizontal="center"/>
    </xf>
    <xf numFmtId="0" fontId="0" fillId="3" borderId="85" xfId="0" applyFill="1" applyBorder="1" applyProtection="1"/>
    <xf numFmtId="0" fontId="19" fillId="3" borderId="77" xfId="0" applyFont="1" applyFill="1" applyBorder="1" applyAlignment="1" applyProtection="1">
      <alignment horizontal="center"/>
    </xf>
    <xf numFmtId="0" fontId="3" fillId="3" borderId="81" xfId="0" applyFont="1" applyFill="1" applyBorder="1" applyAlignment="1" applyProtection="1">
      <alignment horizontal="center" wrapText="1"/>
    </xf>
    <xf numFmtId="0" fontId="3" fillId="3" borderId="86" xfId="0" applyFont="1" applyFill="1" applyBorder="1" applyAlignment="1" applyProtection="1"/>
    <xf numFmtId="2" fontId="0" fillId="0" borderId="35" xfId="0" applyNumberFormat="1" applyFill="1" applyBorder="1" applyProtection="1"/>
    <xf numFmtId="9" fontId="0" fillId="0" borderId="90" xfId="2" applyFont="1" applyFill="1" applyBorder="1" applyProtection="1"/>
    <xf numFmtId="9" fontId="0" fillId="11" borderId="3" xfId="2" applyFont="1" applyFill="1" applyBorder="1" applyProtection="1">
      <protection locked="0"/>
    </xf>
    <xf numFmtId="9" fontId="0" fillId="11" borderId="1" xfId="2" applyFont="1" applyFill="1" applyBorder="1" applyProtection="1">
      <protection locked="0"/>
    </xf>
    <xf numFmtId="9" fontId="0" fillId="11" borderId="19" xfId="2" applyFont="1" applyFill="1" applyBorder="1" applyProtection="1">
      <protection locked="0"/>
    </xf>
    <xf numFmtId="0" fontId="14" fillId="3" borderId="0" xfId="0" applyFont="1" applyFill="1" applyBorder="1" applyProtection="1"/>
    <xf numFmtId="0" fontId="14" fillId="3" borderId="0" xfId="0" applyFont="1" applyFill="1" applyProtection="1"/>
    <xf numFmtId="2" fontId="14" fillId="3" borderId="0" xfId="0" applyNumberFormat="1" applyFont="1" applyFill="1" applyBorder="1" applyProtection="1">
      <protection locked="0"/>
    </xf>
    <xf numFmtId="0" fontId="15" fillId="3" borderId="0" xfId="0" applyFont="1" applyFill="1" applyBorder="1" applyAlignment="1">
      <alignment wrapText="1"/>
    </xf>
    <xf numFmtId="0" fontId="15" fillId="3" borderId="0" xfId="0" applyFont="1" applyFill="1" applyBorder="1" applyAlignment="1">
      <alignment horizontal="center" wrapText="1"/>
    </xf>
    <xf numFmtId="164" fontId="14" fillId="3" borderId="0" xfId="1" applyNumberFormat="1" applyFont="1" applyFill="1" applyBorder="1"/>
    <xf numFmtId="0" fontId="14" fillId="3" borderId="0" xfId="0" applyFont="1" applyFill="1" applyBorder="1"/>
    <xf numFmtId="0" fontId="15" fillId="3" borderId="0" xfId="0" applyFont="1" applyFill="1" applyBorder="1" applyProtection="1"/>
    <xf numFmtId="9" fontId="0" fillId="11" borderId="4" xfId="2" applyFont="1" applyFill="1" applyBorder="1" applyProtection="1">
      <protection locked="0"/>
    </xf>
    <xf numFmtId="0" fontId="0" fillId="3" borderId="92" xfId="0" applyFill="1" applyBorder="1" applyProtection="1"/>
    <xf numFmtId="0" fontId="7" fillId="3" borderId="86" xfId="0" applyFont="1" applyFill="1" applyBorder="1" applyProtection="1"/>
    <xf numFmtId="0" fontId="7" fillId="3" borderId="93" xfId="0" applyFont="1" applyFill="1" applyBorder="1" applyProtection="1"/>
    <xf numFmtId="0" fontId="0" fillId="3" borderId="93" xfId="0" applyFill="1" applyBorder="1" applyProtection="1"/>
    <xf numFmtId="0" fontId="0" fillId="3" borderId="81" xfId="0" applyFill="1" applyBorder="1" applyProtection="1"/>
    <xf numFmtId="0" fontId="0" fillId="3" borderId="48" xfId="0" applyFill="1" applyBorder="1" applyProtection="1"/>
    <xf numFmtId="0" fontId="3" fillId="3" borderId="94"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wrapText="1"/>
    </xf>
    <xf numFmtId="0" fontId="20" fillId="3" borderId="52" xfId="0" applyFont="1" applyFill="1" applyBorder="1" applyAlignment="1" applyProtection="1">
      <alignment wrapText="1"/>
    </xf>
    <xf numFmtId="0" fontId="0" fillId="3" borderId="35" xfId="0" applyFill="1" applyBorder="1" applyProtection="1"/>
    <xf numFmtId="0" fontId="0" fillId="8" borderId="30" xfId="0" applyFill="1" applyBorder="1" applyProtection="1"/>
    <xf numFmtId="0" fontId="0" fillId="8" borderId="16" xfId="0" applyFill="1" applyBorder="1" applyProtection="1"/>
    <xf numFmtId="0" fontId="9" fillId="9" borderId="0" xfId="0" applyFont="1" applyFill="1" applyBorder="1"/>
    <xf numFmtId="0" fontId="24" fillId="9" borderId="0" xfId="0" applyFont="1" applyFill="1" applyBorder="1" applyAlignment="1">
      <alignment horizontal="center" wrapText="1"/>
    </xf>
    <xf numFmtId="0" fontId="19" fillId="3" borderId="0" xfId="0" applyFont="1" applyFill="1" applyProtection="1"/>
    <xf numFmtId="0" fontId="0" fillId="3" borderId="9" xfId="0" applyFill="1" applyBorder="1" applyAlignment="1" applyProtection="1">
      <alignment horizontal="left"/>
    </xf>
    <xf numFmtId="0" fontId="0" fillId="3" borderId="0" xfId="0" applyFill="1" applyBorder="1" applyAlignment="1" applyProtection="1">
      <alignment horizontal="left"/>
    </xf>
    <xf numFmtId="0" fontId="0" fillId="3" borderId="11" xfId="0" applyFill="1" applyBorder="1" applyAlignment="1" applyProtection="1">
      <alignment horizontal="left"/>
    </xf>
    <xf numFmtId="0" fontId="0" fillId="3" borderId="12" xfId="0" applyFill="1" applyBorder="1" applyAlignment="1" applyProtection="1">
      <alignment horizontal="left"/>
    </xf>
    <xf numFmtId="0" fontId="0" fillId="3" borderId="9" xfId="0" applyFill="1" applyBorder="1" applyAlignment="1" applyProtection="1">
      <alignment horizontal="left" wrapText="1"/>
    </xf>
    <xf numFmtId="0" fontId="0" fillId="3" borderId="0" xfId="0" applyFill="1" applyBorder="1" applyAlignment="1" applyProtection="1">
      <alignment horizontal="left" wrapText="1"/>
    </xf>
    <xf numFmtId="164" fontId="0" fillId="3" borderId="0" xfId="1" applyNumberFormat="1" applyFont="1" applyFill="1" applyBorder="1" applyAlignment="1">
      <alignment horizontal="center"/>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0" fillId="3" borderId="0" xfId="0"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8" fillId="3" borderId="38" xfId="0" applyFont="1" applyFill="1" applyBorder="1" applyAlignment="1">
      <alignment horizontal="right"/>
    </xf>
    <xf numFmtId="0" fontId="8" fillId="3" borderId="0" xfId="0" applyFont="1" applyFill="1" applyBorder="1" applyAlignment="1">
      <alignment horizontal="right"/>
    </xf>
    <xf numFmtId="37" fontId="0" fillId="3" borderId="0" xfId="1" applyNumberFormat="1" applyFont="1" applyFill="1" applyBorder="1" applyAlignment="1">
      <alignment horizontal="center"/>
    </xf>
    <xf numFmtId="37" fontId="0" fillId="3" borderId="0" xfId="1" applyNumberFormat="1" applyFont="1" applyFill="1" applyBorder="1"/>
    <xf numFmtId="0" fontId="8" fillId="3" borderId="7" xfId="0" applyFont="1" applyFill="1" applyBorder="1" applyAlignment="1">
      <alignment horizontal="right" wrapText="1"/>
    </xf>
    <xf numFmtId="0" fontId="0" fillId="3" borderId="52" xfId="0" applyFont="1" applyFill="1" applyBorder="1" applyAlignment="1">
      <alignment horizontal="center"/>
    </xf>
    <xf numFmtId="3" fontId="0" fillId="3" borderId="0" xfId="0" applyNumberFormat="1" applyFont="1" applyFill="1" applyBorder="1" applyAlignment="1">
      <alignment horizontal="right"/>
    </xf>
    <xf numFmtId="3" fontId="0" fillId="3" borderId="38" xfId="0" applyNumberFormat="1" applyFill="1" applyBorder="1"/>
    <xf numFmtId="0" fontId="3" fillId="3" borderId="38" xfId="0" applyFont="1" applyFill="1" applyBorder="1" applyAlignment="1">
      <alignment wrapText="1"/>
    </xf>
    <xf numFmtId="9" fontId="0" fillId="3" borderId="0" xfId="2" applyFont="1" applyFill="1" applyBorder="1" applyAlignment="1">
      <alignment horizontal="right" wrapText="1"/>
    </xf>
    <xf numFmtId="0" fontId="0" fillId="3" borderId="0" xfId="0" applyFill="1" applyBorder="1" applyAlignment="1">
      <alignment horizontal="center"/>
    </xf>
    <xf numFmtId="0" fontId="14" fillId="9" borderId="0" xfId="0" applyFont="1" applyFill="1" applyAlignment="1"/>
    <xf numFmtId="0" fontId="8" fillId="3" borderId="30" xfId="0" applyFont="1" applyFill="1" applyBorder="1"/>
    <xf numFmtId="0" fontId="2" fillId="2" borderId="95" xfId="0" applyFont="1" applyFill="1" applyBorder="1" applyAlignment="1"/>
    <xf numFmtId="0" fontId="0" fillId="7" borderId="90" xfId="0" applyFill="1" applyBorder="1" applyProtection="1">
      <protection locked="0"/>
    </xf>
    <xf numFmtId="0" fontId="12" fillId="3" borderId="0" xfId="0" applyFont="1" applyFill="1"/>
    <xf numFmtId="0" fontId="24" fillId="9" borderId="0" xfId="0" applyFont="1" applyFill="1" applyBorder="1" applyAlignment="1">
      <alignment wrapText="1"/>
    </xf>
    <xf numFmtId="0" fontId="19" fillId="3" borderId="52" xfId="0" applyFont="1" applyFill="1" applyBorder="1" applyAlignment="1" applyProtection="1">
      <alignment horizontal="right" vertical="center"/>
    </xf>
    <xf numFmtId="0" fontId="23" fillId="3" borderId="52" xfId="0" applyFont="1" applyFill="1" applyBorder="1" applyAlignment="1" applyProtection="1">
      <alignment horizontal="right" vertical="center"/>
    </xf>
    <xf numFmtId="0" fontId="23" fillId="3" borderId="83" xfId="0" applyFont="1" applyFill="1" applyBorder="1" applyAlignment="1" applyProtection="1"/>
    <xf numFmtId="0" fontId="19" fillId="3" borderId="83" xfId="0" applyFont="1" applyFill="1" applyBorder="1" applyAlignment="1" applyProtection="1"/>
    <xf numFmtId="0" fontId="23" fillId="3" borderId="55" xfId="0" applyFont="1" applyFill="1" applyBorder="1" applyAlignment="1" applyProtection="1">
      <alignment horizontal="right"/>
    </xf>
    <xf numFmtId="0" fontId="23" fillId="3" borderId="25" xfId="0" applyFont="1" applyFill="1" applyBorder="1" applyAlignment="1" applyProtection="1">
      <alignment horizontal="right"/>
    </xf>
    <xf numFmtId="0" fontId="23" fillId="3" borderId="77" xfId="0" applyFont="1" applyFill="1" applyBorder="1" applyAlignment="1" applyProtection="1">
      <alignment horizontal="right"/>
    </xf>
    <xf numFmtId="0" fontId="3" fillId="3" borderId="45" xfId="0" applyFont="1" applyFill="1" applyBorder="1" applyAlignment="1" applyProtection="1">
      <alignment horizontal="center" wrapText="1"/>
    </xf>
    <xf numFmtId="0" fontId="3" fillId="3" borderId="26" xfId="0" applyFont="1" applyFill="1" applyBorder="1" applyAlignment="1" applyProtection="1">
      <alignment horizontal="center" wrapText="1"/>
    </xf>
    <xf numFmtId="0" fontId="3" fillId="3" borderId="38" xfId="0" applyFont="1" applyFill="1" applyBorder="1" applyAlignment="1">
      <alignment horizontal="center" wrapText="1"/>
    </xf>
    <xf numFmtId="0" fontId="3" fillId="3" borderId="0" xfId="0" applyFont="1" applyFill="1" applyBorder="1" applyAlignment="1">
      <alignment horizontal="center" wrapText="1"/>
    </xf>
    <xf numFmtId="0" fontId="8" fillId="3" borderId="0" xfId="0" applyFont="1" applyFill="1" applyBorder="1" applyAlignment="1">
      <alignment horizontal="center"/>
    </xf>
    <xf numFmtId="0" fontId="8" fillId="3" borderId="38" xfId="0" applyFont="1" applyFill="1" applyBorder="1" applyAlignment="1">
      <alignment horizontal="right"/>
    </xf>
    <xf numFmtId="0" fontId="8" fillId="3" borderId="0" xfId="0" applyFont="1" applyFill="1" applyBorder="1" applyAlignment="1">
      <alignment horizontal="right"/>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0" fillId="3" borderId="0" xfId="0" applyFill="1" applyBorder="1" applyAlignment="1">
      <alignment horizontal="center"/>
    </xf>
    <xf numFmtId="0" fontId="0" fillId="8" borderId="37" xfId="0" applyFill="1" applyBorder="1" applyProtection="1"/>
    <xf numFmtId="0" fontId="0" fillId="8" borderId="82" xfId="0" applyFill="1" applyBorder="1" applyProtection="1"/>
    <xf numFmtId="0" fontId="17" fillId="9" borderId="0" xfId="0" applyFont="1" applyFill="1" applyAlignment="1" applyProtection="1">
      <alignment wrapText="1"/>
    </xf>
    <xf numFmtId="0" fontId="2" fillId="2" borderId="57" xfId="0" applyFont="1" applyFill="1" applyBorder="1" applyAlignment="1">
      <alignment horizontal="center"/>
    </xf>
    <xf numFmtId="43" fontId="0" fillId="4" borderId="1" xfId="1" applyNumberFormat="1" applyFont="1" applyFill="1" applyBorder="1" applyProtection="1">
      <protection locked="0"/>
    </xf>
    <xf numFmtId="43" fontId="0" fillId="4" borderId="19" xfId="1" applyNumberFormat="1" applyFont="1" applyFill="1" applyBorder="1" applyProtection="1">
      <protection locked="0"/>
    </xf>
    <xf numFmtId="4" fontId="0" fillId="3" borderId="0" xfId="0" applyNumberFormat="1" applyFont="1" applyFill="1" applyBorder="1" applyAlignment="1">
      <alignment horizontal="right"/>
    </xf>
    <xf numFmtId="0" fontId="23" fillId="3" borderId="0" xfId="0" applyFont="1" applyFill="1" applyBorder="1" applyProtection="1"/>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17" fillId="9" borderId="0" xfId="0" applyFont="1" applyFill="1" applyAlignment="1" applyProtection="1">
      <alignment horizontal="left" wrapText="1"/>
    </xf>
    <xf numFmtId="0" fontId="15" fillId="9" borderId="0" xfId="0" applyFont="1" applyFill="1" applyBorder="1" applyAlignment="1">
      <alignment horizontal="center" wrapText="1"/>
    </xf>
    <xf numFmtId="0" fontId="0" fillId="3" borderId="0" xfId="0" applyFill="1" applyBorder="1" applyAlignment="1">
      <alignment horizontal="center"/>
    </xf>
    <xf numFmtId="0" fontId="23" fillId="9" borderId="0" xfId="0" applyFont="1" applyFill="1"/>
    <xf numFmtId="164" fontId="23" fillId="9" borderId="0" xfId="1" applyNumberFormat="1" applyFont="1" applyFill="1" applyBorder="1"/>
    <xf numFmtId="0" fontId="23" fillId="9" borderId="0" xfId="0" applyFont="1" applyFill="1" applyBorder="1"/>
    <xf numFmtId="164" fontId="23" fillId="9" borderId="0" xfId="0" applyNumberFormat="1" applyFont="1" applyFill="1"/>
    <xf numFmtId="0" fontId="14" fillId="6" borderId="0" xfId="0" applyFont="1" applyFill="1"/>
    <xf numFmtId="0" fontId="14" fillId="6" borderId="0" xfId="0" applyFont="1" applyFill="1" applyBorder="1" applyAlignment="1">
      <alignment wrapText="1"/>
    </xf>
    <xf numFmtId="0" fontId="14" fillId="6" borderId="0" xfId="0" applyFont="1" applyFill="1" applyBorder="1"/>
    <xf numFmtId="0" fontId="14" fillId="6" borderId="0" xfId="0" applyFont="1" applyFill="1" applyBorder="1" applyAlignment="1">
      <alignment horizontal="center" wrapText="1"/>
    </xf>
    <xf numFmtId="0" fontId="23" fillId="6" borderId="0" xfId="0" applyFont="1" applyFill="1"/>
    <xf numFmtId="0" fontId="19" fillId="6" borderId="0" xfId="0" applyFont="1" applyFill="1" applyBorder="1"/>
    <xf numFmtId="0" fontId="19" fillId="6" borderId="0" xfId="0" applyFont="1" applyFill="1" applyBorder="1" applyAlignment="1">
      <alignment wrapText="1"/>
    </xf>
    <xf numFmtId="0" fontId="19" fillId="6" borderId="0" xfId="0" applyFont="1" applyFill="1"/>
    <xf numFmtId="0" fontId="15" fillId="6" borderId="0" xfId="0" applyFont="1" applyFill="1" applyBorder="1" applyAlignment="1">
      <alignment horizontal="center" wrapText="1"/>
    </xf>
    <xf numFmtId="0" fontId="19" fillId="6" borderId="0" xfId="0" applyFont="1" applyFill="1" applyBorder="1" applyAlignment="1">
      <alignment horizontal="center" wrapText="1"/>
    </xf>
    <xf numFmtId="164" fontId="23" fillId="6" borderId="0" xfId="1" applyNumberFormat="1" applyFont="1" applyFill="1" applyBorder="1"/>
    <xf numFmtId="0" fontId="23" fillId="6" borderId="0" xfId="0" applyFont="1" applyFill="1" applyBorder="1"/>
    <xf numFmtId="164" fontId="23" fillId="6" borderId="0" xfId="0" applyNumberFormat="1" applyFont="1" applyFill="1"/>
    <xf numFmtId="0" fontId="15" fillId="6" borderId="0" xfId="0" applyFont="1" applyFill="1" applyBorder="1"/>
    <xf numFmtId="0" fontId="14" fillId="6" borderId="0" xfId="0" applyFont="1" applyFill="1" applyBorder="1" applyAlignment="1"/>
    <xf numFmtId="0" fontId="14" fillId="6" borderId="0" xfId="0" applyFont="1" applyFill="1" applyAlignment="1"/>
    <xf numFmtId="4" fontId="0" fillId="3" borderId="36" xfId="1" applyNumberFormat="1" applyFont="1" applyFill="1" applyBorder="1"/>
    <xf numFmtId="3" fontId="0" fillId="3" borderId="36" xfId="1" applyNumberFormat="1" applyFont="1" applyFill="1" applyBorder="1"/>
    <xf numFmtId="3" fontId="0" fillId="3" borderId="45" xfId="1" applyNumberFormat="1" applyFont="1" applyFill="1" applyBorder="1"/>
    <xf numFmtId="3" fontId="0" fillId="3" borderId="52" xfId="1" applyNumberFormat="1" applyFont="1" applyFill="1" applyBorder="1"/>
    <xf numFmtId="3" fontId="0" fillId="3" borderId="42" xfId="1" applyNumberFormat="1" applyFont="1" applyFill="1" applyBorder="1" applyAlignment="1">
      <alignment horizontal="center" vertical="center"/>
    </xf>
    <xf numFmtId="4" fontId="1" fillId="3" borderId="39" xfId="1" applyNumberFormat="1" applyFont="1" applyFill="1" applyBorder="1"/>
    <xf numFmtId="4" fontId="1" fillId="3" borderId="26" xfId="1" applyNumberFormat="1" applyFont="1" applyFill="1" applyBorder="1" applyAlignment="1">
      <alignment vertical="center"/>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7" fontId="0" fillId="3" borderId="52" xfId="1" applyNumberFormat="1" applyFont="1" applyFill="1" applyBorder="1"/>
    <xf numFmtId="37" fontId="3" fillId="3" borderId="55" xfId="1" applyNumberFormat="1" applyFont="1" applyFill="1" applyBorder="1" applyAlignment="1">
      <alignment horizontal="right"/>
    </xf>
    <xf numFmtId="39" fontId="3" fillId="3" borderId="13" xfId="1" applyNumberFormat="1" applyFont="1" applyFill="1" applyBorder="1" applyAlignment="1">
      <alignment horizontal="right"/>
    </xf>
    <xf numFmtId="37" fontId="0" fillId="3" borderId="36" xfId="1" applyNumberFormat="1" applyFont="1" applyFill="1" applyBorder="1"/>
    <xf numFmtId="37" fontId="0" fillId="3" borderId="0" xfId="1" applyNumberFormat="1" applyFont="1" applyFill="1"/>
    <xf numFmtId="39" fontId="1" fillId="3" borderId="26" xfId="1" applyNumberFormat="1" applyFont="1" applyFill="1" applyBorder="1" applyAlignment="1">
      <alignment vertical="center"/>
    </xf>
    <xf numFmtId="37" fontId="0" fillId="3" borderId="42" xfId="1" applyNumberFormat="1" applyFont="1" applyFill="1" applyBorder="1" applyAlignment="1">
      <alignment horizontal="right" vertical="center"/>
    </xf>
    <xf numFmtId="3" fontId="0" fillId="3" borderId="42" xfId="1" applyNumberFormat="1" applyFont="1" applyFill="1" applyBorder="1" applyAlignment="1">
      <alignment horizontal="right" vertical="center"/>
    </xf>
    <xf numFmtId="37" fontId="0" fillId="3" borderId="45" xfId="1" applyNumberFormat="1" applyFont="1" applyFill="1" applyBorder="1"/>
    <xf numFmtId="37" fontId="0" fillId="3" borderId="39" xfId="1" applyNumberFormat="1" applyFont="1" applyFill="1" applyBorder="1"/>
    <xf numFmtId="37" fontId="0" fillId="3" borderId="26" xfId="1" applyNumberFormat="1" applyFont="1" applyFill="1" applyBorder="1"/>
    <xf numFmtId="37" fontId="0" fillId="3" borderId="10" xfId="1" applyNumberFormat="1" applyFont="1" applyFill="1" applyBorder="1"/>
    <xf numFmtId="37" fontId="0" fillId="3" borderId="10" xfId="1" applyNumberFormat="1" applyFont="1" applyFill="1" applyBorder="1" applyAlignment="1">
      <alignment horizontal="right"/>
    </xf>
    <xf numFmtId="37" fontId="0" fillId="3" borderId="44" xfId="1" applyNumberFormat="1" applyFont="1" applyFill="1" applyBorder="1" applyAlignment="1">
      <alignment horizontal="right" vertical="center"/>
    </xf>
    <xf numFmtId="37" fontId="0" fillId="3" borderId="44" xfId="1" applyNumberFormat="1" applyFont="1" applyFill="1" applyBorder="1"/>
    <xf numFmtId="37" fontId="0" fillId="3" borderId="45" xfId="1" applyNumberFormat="1" applyFont="1" applyFill="1" applyBorder="1" applyAlignment="1">
      <alignment vertical="center"/>
    </xf>
    <xf numFmtId="0" fontId="0" fillId="3" borderId="0" xfId="1" applyNumberFormat="1" applyFont="1" applyFill="1" applyBorder="1"/>
    <xf numFmtId="0" fontId="15" fillId="6" borderId="0" xfId="0" applyFont="1" applyFill="1" applyBorder="1" applyAlignment="1">
      <alignment horizontal="center" wrapText="1"/>
    </xf>
    <xf numFmtId="0" fontId="15" fillId="6" borderId="0" xfId="0" applyFont="1" applyFill="1"/>
    <xf numFmtId="164" fontId="14" fillId="6" borderId="0" xfId="0" applyNumberFormat="1" applyFont="1" applyFill="1"/>
    <xf numFmtId="0" fontId="9" fillId="6" borderId="0" xfId="0" applyFont="1" applyFill="1"/>
    <xf numFmtId="9" fontId="0" fillId="11" borderId="17" xfId="2" applyFont="1" applyFill="1" applyBorder="1" applyProtection="1">
      <protection locked="0"/>
    </xf>
    <xf numFmtId="9" fontId="0" fillId="11" borderId="90" xfId="2" applyFont="1" applyFill="1" applyBorder="1" applyProtection="1">
      <protection locked="0"/>
    </xf>
    <xf numFmtId="0" fontId="0" fillId="7" borderId="19" xfId="0" applyFill="1" applyBorder="1" applyAlignment="1" applyProtection="1">
      <alignment horizontal="center"/>
      <protection locked="0"/>
    </xf>
    <xf numFmtId="9" fontId="0" fillId="11" borderId="91" xfId="2" applyFont="1" applyFill="1" applyBorder="1" applyProtection="1">
      <protection locked="0"/>
    </xf>
    <xf numFmtId="9" fontId="0" fillId="11" borderId="65" xfId="2" applyFont="1" applyFill="1" applyBorder="1" applyProtection="1">
      <protection locked="0"/>
    </xf>
    <xf numFmtId="0" fontId="15" fillId="6" borderId="0" xfId="0" applyFont="1" applyFill="1" applyBorder="1" applyAlignment="1">
      <alignment wrapText="1"/>
    </xf>
    <xf numFmtId="164" fontId="14" fillId="6" borderId="0" xfId="1" applyNumberFormat="1" applyFont="1" applyFill="1" applyBorder="1"/>
    <xf numFmtId="39" fontId="0" fillId="3" borderId="10" xfId="1" applyNumberFormat="1" applyFont="1" applyFill="1" applyBorder="1"/>
    <xf numFmtId="39" fontId="2" fillId="2" borderId="53" xfId="1" applyNumberFormat="1" applyFont="1" applyFill="1" applyBorder="1" applyAlignment="1">
      <alignment horizontal="right"/>
    </xf>
    <xf numFmtId="39" fontId="2" fillId="2" borderId="24" xfId="1" applyNumberFormat="1" applyFont="1" applyFill="1" applyBorder="1" applyAlignment="1">
      <alignment horizontal="right"/>
    </xf>
    <xf numFmtId="37" fontId="2" fillId="2" borderId="53" xfId="1" applyNumberFormat="1" applyFont="1" applyFill="1" applyBorder="1" applyAlignment="1">
      <alignment horizontal="right"/>
    </xf>
    <xf numFmtId="3" fontId="2" fillId="2" borderId="53" xfId="1" applyNumberFormat="1" applyFont="1" applyFill="1" applyBorder="1" applyAlignment="1">
      <alignment horizontal="right"/>
    </xf>
    <xf numFmtId="3" fontId="0" fillId="3" borderId="0" xfId="0" applyNumberFormat="1" applyFill="1"/>
    <xf numFmtId="3" fontId="2" fillId="2" borderId="40" xfId="0" applyNumberFormat="1" applyFont="1" applyFill="1" applyBorder="1" applyAlignment="1"/>
    <xf numFmtId="3" fontId="8" fillId="3" borderId="78" xfId="0" applyNumberFormat="1" applyFont="1" applyFill="1" applyBorder="1" applyAlignment="1">
      <alignment horizontal="right"/>
    </xf>
    <xf numFmtId="3" fontId="1" fillId="3" borderId="52" xfId="1" applyNumberFormat="1" applyFont="1" applyFill="1" applyBorder="1"/>
    <xf numFmtId="3" fontId="1" fillId="3" borderId="45" xfId="1" applyNumberFormat="1" applyFont="1" applyFill="1" applyBorder="1"/>
    <xf numFmtId="3" fontId="8" fillId="3" borderId="2" xfId="0" applyNumberFormat="1" applyFont="1" applyFill="1" applyBorder="1" applyAlignment="1">
      <alignment horizontal="right"/>
    </xf>
    <xf numFmtId="3" fontId="3" fillId="3" borderId="52" xfId="1" applyNumberFormat="1" applyFont="1" applyFill="1" applyBorder="1"/>
    <xf numFmtId="3" fontId="8" fillId="3" borderId="2" xfId="1" applyNumberFormat="1" applyFont="1" applyFill="1" applyBorder="1" applyAlignment="1">
      <alignment horizontal="right"/>
    </xf>
    <xf numFmtId="3" fontId="3" fillId="3" borderId="55" xfId="1" applyNumberFormat="1" applyFont="1" applyFill="1" applyBorder="1"/>
    <xf numFmtId="3" fontId="2" fillId="2" borderId="40" xfId="1" applyNumberFormat="1" applyFont="1" applyFill="1" applyBorder="1" applyAlignment="1"/>
    <xf numFmtId="3" fontId="3" fillId="3" borderId="0" xfId="1" applyNumberFormat="1" applyFont="1" applyFill="1" applyBorder="1"/>
    <xf numFmtId="3" fontId="8" fillId="3" borderId="52" xfId="1" applyNumberFormat="1" applyFont="1" applyFill="1" applyBorder="1" applyAlignment="1">
      <alignment horizontal="right"/>
    </xf>
    <xf numFmtId="3" fontId="3" fillId="3" borderId="52" xfId="1" applyNumberFormat="1" applyFont="1" applyFill="1" applyBorder="1" applyAlignment="1">
      <alignment horizontal="right"/>
    </xf>
    <xf numFmtId="3" fontId="0" fillId="3" borderId="42" xfId="1" applyNumberFormat="1" applyFont="1" applyFill="1" applyBorder="1"/>
    <xf numFmtId="3" fontId="3" fillId="3" borderId="55" xfId="1" applyNumberFormat="1" applyFont="1" applyFill="1" applyBorder="1" applyAlignment="1">
      <alignment horizontal="right"/>
    </xf>
    <xf numFmtId="3" fontId="0" fillId="3" borderId="0" xfId="1" applyNumberFormat="1" applyFont="1" applyFill="1"/>
    <xf numFmtId="3" fontId="0" fillId="5" borderId="0" xfId="0" applyNumberFormat="1" applyFill="1"/>
    <xf numFmtId="3" fontId="2" fillId="2" borderId="47" xfId="0" applyNumberFormat="1" applyFont="1" applyFill="1" applyBorder="1" applyAlignment="1"/>
    <xf numFmtId="3" fontId="2" fillId="2" borderId="71" xfId="1" applyNumberFormat="1" applyFont="1" applyFill="1" applyBorder="1" applyAlignment="1"/>
    <xf numFmtId="3" fontId="2" fillId="2" borderId="68" xfId="0" applyNumberFormat="1" applyFont="1" applyFill="1" applyBorder="1" applyAlignment="1"/>
    <xf numFmtId="3" fontId="0" fillId="5" borderId="0" xfId="0" applyNumberFormat="1" applyFill="1" applyBorder="1"/>
    <xf numFmtId="4" fontId="0" fillId="3" borderId="10" xfId="1" applyNumberFormat="1" applyFont="1" applyFill="1" applyBorder="1"/>
    <xf numFmtId="4" fontId="2" fillId="2" borderId="24" xfId="1" applyNumberFormat="1" applyFont="1" applyFill="1" applyBorder="1" applyAlignment="1">
      <alignment horizontal="right"/>
    </xf>
    <xf numFmtId="4" fontId="0" fillId="3" borderId="0" xfId="0" applyNumberFormat="1" applyFill="1"/>
    <xf numFmtId="4" fontId="2" fillId="2" borderId="57" xfId="0" applyNumberFormat="1" applyFont="1" applyFill="1" applyBorder="1" applyAlignment="1">
      <alignment horizontal="center" vertical="center" wrapText="1"/>
    </xf>
    <xf numFmtId="4" fontId="8" fillId="10" borderId="8" xfId="0" applyNumberFormat="1" applyFont="1" applyFill="1" applyBorder="1" applyAlignment="1">
      <alignment horizontal="right"/>
    </xf>
    <xf numFmtId="4" fontId="1" fillId="10" borderId="10" xfId="1" applyNumberFormat="1" applyFont="1" applyFill="1" applyBorder="1"/>
    <xf numFmtId="4" fontId="1" fillId="10" borderId="44" xfId="1" applyNumberFormat="1" applyFont="1" applyFill="1" applyBorder="1"/>
    <xf numFmtId="4" fontId="0" fillId="3" borderId="10" xfId="0" applyNumberFormat="1" applyFill="1" applyBorder="1"/>
    <xf numFmtId="4" fontId="8" fillId="3" borderId="61" xfId="0" applyNumberFormat="1" applyFont="1" applyFill="1" applyBorder="1" applyAlignment="1">
      <alignment horizontal="right"/>
    </xf>
    <xf numFmtId="4" fontId="1" fillId="3" borderId="26" xfId="1" applyNumberFormat="1" applyFont="1" applyFill="1" applyBorder="1"/>
    <xf numFmtId="4" fontId="3" fillId="3" borderId="10" xfId="1" applyNumberFormat="1" applyFont="1" applyFill="1" applyBorder="1"/>
    <xf numFmtId="4" fontId="8" fillId="3" borderId="61" xfId="1" applyNumberFormat="1" applyFont="1" applyFill="1" applyBorder="1" applyAlignment="1">
      <alignment horizontal="right"/>
    </xf>
    <xf numFmtId="4" fontId="3" fillId="3" borderId="13" xfId="1" applyNumberFormat="1" applyFont="1" applyFill="1" applyBorder="1"/>
    <xf numFmtId="4" fontId="2" fillId="2" borderId="57" xfId="0" applyNumberFormat="1" applyFont="1" applyFill="1" applyBorder="1" applyAlignment="1"/>
    <xf numFmtId="4" fontId="3" fillId="3" borderId="0" xfId="1" applyNumberFormat="1" applyFont="1" applyFill="1" applyBorder="1"/>
    <xf numFmtId="4" fontId="8" fillId="3" borderId="10" xfId="0" applyNumberFormat="1" applyFont="1" applyFill="1" applyBorder="1" applyAlignment="1">
      <alignment horizontal="right"/>
    </xf>
    <xf numFmtId="4" fontId="3" fillId="3" borderId="10" xfId="1" applyNumberFormat="1" applyFont="1" applyFill="1" applyBorder="1" applyAlignment="1">
      <alignment horizontal="right"/>
    </xf>
    <xf numFmtId="4" fontId="3" fillId="3" borderId="13" xfId="1" applyNumberFormat="1" applyFont="1" applyFill="1" applyBorder="1" applyAlignment="1">
      <alignment horizontal="right"/>
    </xf>
    <xf numFmtId="4" fontId="2" fillId="2" borderId="40" xfId="0" applyNumberFormat="1" applyFont="1" applyFill="1" applyBorder="1" applyAlignment="1"/>
    <xf numFmtId="4" fontId="0" fillId="5" borderId="0" xfId="0" applyNumberFormat="1" applyFill="1"/>
    <xf numFmtId="4" fontId="2" fillId="2" borderId="59" xfId="0" applyNumberFormat="1" applyFont="1" applyFill="1" applyBorder="1" applyAlignment="1">
      <alignment horizontal="center" vertical="center" wrapText="1"/>
    </xf>
    <xf numFmtId="4" fontId="2" fillId="2" borderId="71" xfId="1" applyNumberFormat="1" applyFont="1" applyFill="1" applyBorder="1" applyAlignment="1"/>
    <xf numFmtId="4" fontId="2" fillId="2" borderId="67" xfId="0" applyNumberFormat="1" applyFont="1" applyFill="1" applyBorder="1" applyAlignment="1">
      <alignment horizontal="center" vertical="center" wrapText="1"/>
    </xf>
    <xf numFmtId="4" fontId="2" fillId="2" borderId="72" xfId="1" applyNumberFormat="1" applyFont="1" applyFill="1" applyBorder="1" applyAlignment="1"/>
    <xf numFmtId="4" fontId="0" fillId="5" borderId="10" xfId="0" applyNumberFormat="1" applyFill="1" applyBorder="1"/>
    <xf numFmtId="4" fontId="2" fillId="2" borderId="57" xfId="1" applyNumberFormat="1" applyFont="1" applyFill="1" applyBorder="1" applyAlignment="1"/>
    <xf numFmtId="37" fontId="2" fillId="2" borderId="40" xfId="1" applyNumberFormat="1" applyFont="1" applyFill="1" applyBorder="1" applyAlignment="1">
      <alignment horizontal="right"/>
    </xf>
    <xf numFmtId="37" fontId="2" fillId="2" borderId="40" xfId="0" applyNumberFormat="1" applyFont="1" applyFill="1" applyBorder="1" applyAlignment="1">
      <alignment horizontal="center" wrapText="1"/>
    </xf>
    <xf numFmtId="37" fontId="8" fillId="3" borderId="32" xfId="1" applyNumberFormat="1" applyFont="1" applyFill="1" applyBorder="1" applyAlignment="1">
      <alignment horizontal="right"/>
    </xf>
    <xf numFmtId="37" fontId="3" fillId="3" borderId="0" xfId="1" applyNumberFormat="1" applyFont="1" applyFill="1" applyBorder="1" applyAlignment="1">
      <alignment horizontal="right"/>
    </xf>
    <xf numFmtId="37" fontId="8" fillId="3" borderId="62" xfId="0" applyNumberFormat="1" applyFont="1" applyFill="1" applyBorder="1" applyAlignment="1">
      <alignment horizontal="right"/>
    </xf>
    <xf numFmtId="37" fontId="8" fillId="3" borderId="2" xfId="1" applyNumberFormat="1" applyFont="1" applyFill="1" applyBorder="1" applyAlignment="1">
      <alignment horizontal="right"/>
    </xf>
    <xf numFmtId="37" fontId="3" fillId="3" borderId="12" xfId="1" applyNumberFormat="1" applyFont="1" applyFill="1" applyBorder="1" applyAlignment="1">
      <alignment horizontal="right"/>
    </xf>
    <xf numFmtId="37" fontId="2" fillId="2" borderId="47" xfId="0" applyNumberFormat="1" applyFont="1" applyFill="1" applyBorder="1" applyAlignment="1">
      <alignment horizontal="center" wrapText="1"/>
    </xf>
    <xf numFmtId="37" fontId="8" fillId="3" borderId="33" xfId="1" applyNumberFormat="1" applyFont="1" applyFill="1" applyBorder="1" applyAlignment="1">
      <alignment horizontal="right"/>
    </xf>
    <xf numFmtId="37" fontId="8" fillId="3" borderId="56" xfId="1" applyNumberFormat="1" applyFont="1" applyFill="1" applyBorder="1" applyAlignment="1">
      <alignment horizontal="right"/>
    </xf>
    <xf numFmtId="37" fontId="2" fillId="3" borderId="0" xfId="1" applyNumberFormat="1" applyFont="1" applyFill="1" applyBorder="1" applyAlignment="1">
      <alignment horizontal="right"/>
    </xf>
    <xf numFmtId="37" fontId="12" fillId="3" borderId="0" xfId="0" applyNumberFormat="1" applyFont="1" applyFill="1"/>
    <xf numFmtId="37" fontId="2" fillId="2" borderId="71" xfId="1" applyNumberFormat="1" applyFont="1" applyFill="1" applyBorder="1" applyAlignment="1">
      <alignment horizontal="right"/>
    </xf>
    <xf numFmtId="37" fontId="2" fillId="2" borderId="68" xfId="0" applyNumberFormat="1" applyFont="1" applyFill="1" applyBorder="1" applyAlignment="1">
      <alignment horizontal="center" wrapText="1"/>
    </xf>
    <xf numFmtId="37" fontId="2" fillId="2" borderId="69" xfId="1" applyNumberFormat="1" applyFont="1" applyFill="1" applyBorder="1" applyAlignment="1">
      <alignment horizontal="right"/>
    </xf>
    <xf numFmtId="37" fontId="2" fillId="2" borderId="70" xfId="1" applyNumberFormat="1" applyFont="1" applyFill="1" applyBorder="1" applyAlignment="1">
      <alignment horizontal="right"/>
    </xf>
    <xf numFmtId="4" fontId="0" fillId="3" borderId="45" xfId="0" applyNumberFormat="1" applyFill="1" applyBorder="1" applyAlignment="1">
      <alignment vertical="center"/>
    </xf>
    <xf numFmtId="4" fontId="3" fillId="3" borderId="0" xfId="1" applyNumberFormat="1" applyFont="1" applyFill="1" applyBorder="1" applyAlignment="1">
      <alignment horizontal="right"/>
    </xf>
    <xf numFmtId="4" fontId="0" fillId="3" borderId="0" xfId="0" applyNumberFormat="1" applyFill="1" applyBorder="1"/>
    <xf numFmtId="4" fontId="8" fillId="3" borderId="62" xfId="0" applyNumberFormat="1" applyFont="1" applyFill="1" applyBorder="1" applyAlignment="1">
      <alignment horizontal="right"/>
    </xf>
    <xf numFmtId="4" fontId="3" fillId="3" borderId="12" xfId="0" applyNumberFormat="1" applyFont="1" applyFill="1" applyBorder="1" applyAlignment="1">
      <alignment horizontal="right"/>
    </xf>
    <xf numFmtId="4" fontId="2" fillId="2" borderId="40" xfId="0" applyNumberFormat="1" applyFont="1" applyFill="1" applyBorder="1" applyAlignment="1">
      <alignment horizontal="right"/>
    </xf>
    <xf numFmtId="4" fontId="3" fillId="3" borderId="0" xfId="0" applyNumberFormat="1" applyFont="1" applyFill="1" applyBorder="1" applyAlignment="1">
      <alignment horizontal="right"/>
    </xf>
    <xf numFmtId="4" fontId="2" fillId="2" borderId="47" xfId="0" applyNumberFormat="1" applyFont="1" applyFill="1" applyBorder="1" applyAlignment="1">
      <alignment horizontal="center"/>
    </xf>
    <xf numFmtId="4" fontId="8" fillId="3" borderId="33" xfId="0" applyNumberFormat="1" applyFont="1" applyFill="1" applyBorder="1" applyAlignment="1">
      <alignment horizontal="right"/>
    </xf>
    <xf numFmtId="4" fontId="0" fillId="3" borderId="36" xfId="0" applyNumberFormat="1" applyFill="1" applyBorder="1"/>
    <xf numFmtId="4" fontId="0" fillId="3" borderId="45" xfId="0" applyNumberFormat="1" applyFill="1" applyBorder="1"/>
    <xf numFmtId="4" fontId="8" fillId="3" borderId="56" xfId="0" applyNumberFormat="1" applyFont="1" applyFill="1" applyBorder="1" applyAlignment="1">
      <alignment horizontal="right"/>
    </xf>
    <xf numFmtId="4" fontId="2" fillId="3" borderId="0" xfId="0" applyNumberFormat="1" applyFont="1" applyFill="1" applyBorder="1" applyAlignment="1">
      <alignment horizontal="right"/>
    </xf>
    <xf numFmtId="4" fontId="12" fillId="3" borderId="0" xfId="0" applyNumberFormat="1" applyFont="1" applyFill="1"/>
    <xf numFmtId="4" fontId="0" fillId="3" borderId="48" xfId="0" applyNumberFormat="1" applyFill="1" applyBorder="1"/>
    <xf numFmtId="4" fontId="2" fillId="2" borderId="71" xfId="0" applyNumberFormat="1" applyFont="1" applyFill="1" applyBorder="1" applyAlignment="1">
      <alignment horizontal="right"/>
    </xf>
    <xf numFmtId="4" fontId="2" fillId="2" borderId="68" xfId="0" applyNumberFormat="1" applyFont="1" applyFill="1" applyBorder="1" applyAlignment="1">
      <alignment horizontal="center"/>
    </xf>
    <xf numFmtId="4" fontId="2" fillId="2" borderId="69" xfId="1" applyNumberFormat="1" applyFont="1" applyFill="1" applyBorder="1" applyAlignment="1">
      <alignment horizontal="right"/>
    </xf>
    <xf numFmtId="39" fontId="0" fillId="3" borderId="39" xfId="1" applyNumberFormat="1" applyFont="1" applyFill="1" applyBorder="1"/>
    <xf numFmtId="39" fontId="0" fillId="3" borderId="26" xfId="0" applyNumberFormat="1" applyFont="1" applyFill="1" applyBorder="1" applyAlignment="1">
      <alignment vertical="center"/>
    </xf>
    <xf numFmtId="39" fontId="3" fillId="3" borderId="10" xfId="0" applyNumberFormat="1" applyFont="1" applyFill="1" applyBorder="1" applyAlignment="1">
      <alignment horizontal="right"/>
    </xf>
    <xf numFmtId="39" fontId="8" fillId="3" borderId="60" xfId="0" applyNumberFormat="1" applyFont="1" applyFill="1" applyBorder="1" applyAlignment="1">
      <alignment horizontal="right"/>
    </xf>
    <xf numFmtId="39" fontId="0" fillId="3" borderId="10" xfId="0" applyNumberFormat="1" applyFill="1" applyBorder="1"/>
    <xf numFmtId="39" fontId="3" fillId="3" borderId="13" xfId="1" applyNumberFormat="1" applyFont="1" applyFill="1" applyBorder="1"/>
    <xf numFmtId="39" fontId="2" fillId="2" borderId="57" xfId="0" applyNumberFormat="1" applyFont="1" applyFill="1" applyBorder="1" applyAlignment="1">
      <alignment horizontal="right"/>
    </xf>
    <xf numFmtId="39" fontId="3" fillId="3" borderId="0" xfId="0" applyNumberFormat="1" applyFont="1" applyFill="1" applyBorder="1"/>
    <xf numFmtId="39" fontId="2" fillId="2" borderId="59" xfId="0" applyNumberFormat="1" applyFont="1" applyFill="1" applyBorder="1" applyAlignment="1">
      <alignment horizontal="center" wrapText="1"/>
    </xf>
    <xf numFmtId="39" fontId="8" fillId="3" borderId="31" xfId="0" applyNumberFormat="1" applyFont="1" applyFill="1" applyBorder="1" applyAlignment="1">
      <alignment horizontal="right"/>
    </xf>
    <xf numFmtId="39" fontId="0" fillId="3" borderId="10" xfId="0" applyNumberFormat="1" applyFont="1" applyFill="1" applyBorder="1"/>
    <xf numFmtId="39" fontId="0" fillId="3" borderId="26" xfId="0" applyNumberFormat="1" applyFont="1" applyFill="1" applyBorder="1"/>
    <xf numFmtId="39" fontId="3" fillId="3" borderId="10" xfId="0" applyNumberFormat="1" applyFont="1" applyFill="1" applyBorder="1"/>
    <xf numFmtId="39" fontId="2" fillId="3" borderId="0" xfId="0" applyNumberFormat="1" applyFont="1" applyFill="1" applyBorder="1" applyAlignment="1">
      <alignment horizontal="right"/>
    </xf>
    <xf numFmtId="39" fontId="12" fillId="3" borderId="0" xfId="0" applyNumberFormat="1" applyFont="1" applyFill="1"/>
    <xf numFmtId="39" fontId="0" fillId="3" borderId="13" xfId="0" applyNumberFormat="1" applyFont="1" applyFill="1" applyBorder="1"/>
    <xf numFmtId="39" fontId="2" fillId="2" borderId="72" xfId="0" applyNumberFormat="1" applyFont="1" applyFill="1" applyBorder="1" applyAlignment="1">
      <alignment horizontal="right"/>
    </xf>
    <xf numFmtId="39" fontId="2" fillId="2" borderId="67" xfId="0" applyNumberFormat="1" applyFont="1" applyFill="1" applyBorder="1" applyAlignment="1">
      <alignment horizontal="center" wrapText="1"/>
    </xf>
    <xf numFmtId="39" fontId="2" fillId="2" borderId="69" xfId="1" applyNumberFormat="1" applyFont="1" applyFill="1" applyBorder="1" applyAlignment="1">
      <alignment horizontal="right"/>
    </xf>
    <xf numFmtId="39" fontId="0" fillId="3" borderId="0" xfId="1" applyNumberFormat="1" applyFont="1" applyFill="1" applyBorder="1"/>
    <xf numFmtId="3" fontId="0" fillId="3" borderId="39" xfId="1" applyNumberFormat="1" applyFont="1" applyFill="1" applyBorder="1"/>
    <xf numFmtId="3" fontId="2" fillId="2" borderId="57" xfId="1" applyNumberFormat="1" applyFont="1" applyFill="1" applyBorder="1" applyAlignment="1">
      <alignment horizontal="right"/>
    </xf>
    <xf numFmtId="3" fontId="2" fillId="2" borderId="59" xfId="0" applyNumberFormat="1" applyFont="1" applyFill="1" applyBorder="1" applyAlignment="1">
      <alignment horizontal="center" wrapText="1"/>
    </xf>
    <xf numFmtId="3" fontId="8" fillId="3" borderId="31" xfId="1" applyNumberFormat="1" applyFont="1" applyFill="1" applyBorder="1" applyAlignment="1">
      <alignment horizontal="right"/>
    </xf>
    <xf numFmtId="3" fontId="0" fillId="3" borderId="17" xfId="1" applyNumberFormat="1" applyFont="1" applyFill="1" applyBorder="1"/>
    <xf numFmtId="3" fontId="0" fillId="3" borderId="10" xfId="1" applyNumberFormat="1" applyFont="1" applyFill="1" applyBorder="1"/>
    <xf numFmtId="3" fontId="8" fillId="3" borderId="60" xfId="0" applyNumberFormat="1" applyFont="1" applyFill="1" applyBorder="1" applyAlignment="1">
      <alignment horizontal="right"/>
    </xf>
    <xf numFmtId="3" fontId="0" fillId="3" borderId="26" xfId="1" applyNumberFormat="1" applyFont="1" applyFill="1" applyBorder="1"/>
    <xf numFmtId="3" fontId="3" fillId="3" borderId="80" xfId="1" applyNumberFormat="1" applyFont="1" applyFill="1" applyBorder="1" applyAlignment="1">
      <alignment horizontal="right"/>
    </xf>
    <xf numFmtId="3" fontId="8" fillId="3" borderId="60" xfId="1" applyNumberFormat="1" applyFont="1" applyFill="1" applyBorder="1" applyAlignment="1">
      <alignment horizontal="right"/>
    </xf>
    <xf numFmtId="3" fontId="0" fillId="3" borderId="26" xfId="1" applyNumberFormat="1" applyFont="1" applyFill="1" applyBorder="1" applyAlignment="1">
      <alignment vertical="center"/>
    </xf>
    <xf numFmtId="3" fontId="3" fillId="3" borderId="13" xfId="1" applyNumberFormat="1" applyFont="1" applyFill="1" applyBorder="1" applyAlignment="1">
      <alignment horizontal="right"/>
    </xf>
    <xf numFmtId="3" fontId="3" fillId="3" borderId="0" xfId="1" applyNumberFormat="1" applyFont="1" applyFill="1" applyBorder="1" applyAlignment="1">
      <alignment horizontal="right"/>
    </xf>
    <xf numFmtId="37" fontId="2" fillId="2" borderId="57" xfId="1" applyNumberFormat="1" applyFont="1" applyFill="1" applyBorder="1" applyAlignment="1">
      <alignment horizontal="right"/>
    </xf>
    <xf numFmtId="3" fontId="0" fillId="3" borderId="0" xfId="1" applyNumberFormat="1" applyFont="1" applyFill="1" applyBorder="1"/>
    <xf numFmtId="37" fontId="0" fillId="3" borderId="0" xfId="0" applyNumberFormat="1" applyFill="1"/>
    <xf numFmtId="37" fontId="2" fillId="2" borderId="40" xfId="0" applyNumberFormat="1" applyFont="1" applyFill="1" applyBorder="1" applyAlignment="1"/>
    <xf numFmtId="37" fontId="8" fillId="3" borderId="78" xfId="0" applyNumberFormat="1" applyFont="1" applyFill="1" applyBorder="1" applyAlignment="1">
      <alignment horizontal="right"/>
    </xf>
    <xf numFmtId="37" fontId="1" fillId="3" borderId="52" xfId="1" applyNumberFormat="1" applyFont="1" applyFill="1" applyBorder="1"/>
    <xf numFmtId="37" fontId="1" fillId="3" borderId="45" xfId="1" applyNumberFormat="1" applyFont="1" applyFill="1" applyBorder="1"/>
    <xf numFmtId="37" fontId="0" fillId="3" borderId="0" xfId="0" applyNumberFormat="1" applyFill="1" applyBorder="1"/>
    <xf numFmtId="37" fontId="8" fillId="3" borderId="2" xfId="0" applyNumberFormat="1" applyFont="1" applyFill="1" applyBorder="1" applyAlignment="1">
      <alignment horizontal="right"/>
    </xf>
    <xf numFmtId="37" fontId="3" fillId="3" borderId="52" xfId="1" applyNumberFormat="1" applyFont="1" applyFill="1" applyBorder="1"/>
    <xf numFmtId="37" fontId="0" fillId="3" borderId="52" xfId="1" applyNumberFormat="1" applyFont="1" applyFill="1" applyBorder="1" applyAlignment="1">
      <alignment horizontal="right"/>
    </xf>
    <xf numFmtId="37" fontId="3" fillId="3" borderId="55" xfId="1" applyNumberFormat="1" applyFont="1" applyFill="1" applyBorder="1"/>
    <xf numFmtId="37" fontId="2" fillId="2" borderId="40" xfId="1" applyNumberFormat="1" applyFont="1" applyFill="1" applyBorder="1" applyAlignment="1"/>
    <xf numFmtId="37" fontId="3" fillId="3" borderId="0" xfId="1" applyNumberFormat="1" applyFont="1" applyFill="1" applyBorder="1"/>
    <xf numFmtId="37" fontId="8" fillId="3" borderId="52" xfId="1" applyNumberFormat="1" applyFont="1" applyFill="1" applyBorder="1" applyAlignment="1">
      <alignment horizontal="right"/>
    </xf>
    <xf numFmtId="37" fontId="3" fillId="3" borderId="52" xfId="1" applyNumberFormat="1" applyFont="1" applyFill="1" applyBorder="1" applyAlignment="1">
      <alignment horizontal="right"/>
    </xf>
    <xf numFmtId="37" fontId="0" fillId="5" borderId="0" xfId="0" applyNumberFormat="1" applyFill="1"/>
    <xf numFmtId="37" fontId="2" fillId="2" borderId="47" xfId="0" applyNumberFormat="1" applyFont="1" applyFill="1" applyBorder="1" applyAlignment="1"/>
    <xf numFmtId="37" fontId="2" fillId="2" borderId="71" xfId="1" applyNumberFormat="1" applyFont="1" applyFill="1" applyBorder="1" applyAlignment="1"/>
    <xf numFmtId="37" fontId="2" fillId="2" borderId="68" xfId="0" applyNumberFormat="1" applyFont="1" applyFill="1" applyBorder="1" applyAlignment="1"/>
    <xf numFmtId="37" fontId="0" fillId="5" borderId="0" xfId="0" applyNumberFormat="1" applyFill="1" applyBorder="1"/>
    <xf numFmtId="39" fontId="0" fillId="3" borderId="0" xfId="0" applyNumberFormat="1" applyFill="1"/>
    <xf numFmtId="39" fontId="2" fillId="2" borderId="57" xfId="0" applyNumberFormat="1" applyFont="1" applyFill="1" applyBorder="1" applyAlignment="1">
      <alignment horizontal="center" vertical="center" wrapText="1"/>
    </xf>
    <xf numFmtId="39" fontId="8" fillId="10" borderId="8" xfId="0" applyNumberFormat="1" applyFont="1" applyFill="1" applyBorder="1" applyAlignment="1">
      <alignment horizontal="right"/>
    </xf>
    <xf numFmtId="39" fontId="1" fillId="10" borderId="10" xfId="1" applyNumberFormat="1" applyFont="1" applyFill="1" applyBorder="1"/>
    <xf numFmtId="39" fontId="1" fillId="10" borderId="44" xfId="1" applyNumberFormat="1" applyFont="1" applyFill="1" applyBorder="1"/>
    <xf numFmtId="39" fontId="8" fillId="3" borderId="61" xfId="0" applyNumberFormat="1" applyFont="1" applyFill="1" applyBorder="1" applyAlignment="1">
      <alignment horizontal="right"/>
    </xf>
    <xf numFmtId="39" fontId="3" fillId="3" borderId="10" xfId="1" applyNumberFormat="1" applyFont="1" applyFill="1" applyBorder="1"/>
    <xf numFmtId="39" fontId="8" fillId="3" borderId="61" xfId="1" applyNumberFormat="1" applyFont="1" applyFill="1" applyBorder="1" applyAlignment="1">
      <alignment horizontal="right"/>
    </xf>
    <xf numFmtId="39" fontId="2" fillId="2" borderId="57" xfId="0" applyNumberFormat="1" applyFont="1" applyFill="1" applyBorder="1" applyAlignment="1"/>
    <xf numFmtId="39" fontId="3" fillId="3" borderId="0" xfId="1" applyNumberFormat="1" applyFont="1" applyFill="1" applyBorder="1"/>
    <xf numFmtId="39" fontId="8" fillId="3" borderId="10" xfId="0" applyNumberFormat="1" applyFont="1" applyFill="1" applyBorder="1" applyAlignment="1">
      <alignment horizontal="right"/>
    </xf>
    <xf numFmtId="39" fontId="2" fillId="2" borderId="40" xfId="0" applyNumberFormat="1" applyFont="1" applyFill="1" applyBorder="1" applyAlignment="1"/>
    <xf numFmtId="39" fontId="0" fillId="5" borderId="0" xfId="0" applyNumberFormat="1" applyFill="1"/>
    <xf numFmtId="39" fontId="2" fillId="2" borderId="40" xfId="1" applyNumberFormat="1" applyFont="1" applyFill="1" applyBorder="1" applyAlignment="1"/>
    <xf numFmtId="39" fontId="2" fillId="2" borderId="59" xfId="0" applyNumberFormat="1" applyFont="1" applyFill="1" applyBorder="1" applyAlignment="1">
      <alignment horizontal="center" vertical="center" wrapText="1"/>
    </xf>
    <xf numFmtId="39" fontId="2" fillId="2" borderId="71" xfId="1" applyNumberFormat="1" applyFont="1" applyFill="1" applyBorder="1" applyAlignment="1"/>
    <xf numFmtId="39" fontId="2" fillId="2" borderId="67" xfId="0" applyNumberFormat="1" applyFont="1" applyFill="1" applyBorder="1" applyAlignment="1">
      <alignment horizontal="center" vertical="center" wrapText="1"/>
    </xf>
    <xf numFmtId="39" fontId="2" fillId="2" borderId="72" xfId="1" applyNumberFormat="1" applyFont="1" applyFill="1" applyBorder="1" applyAlignment="1"/>
    <xf numFmtId="39" fontId="0" fillId="5" borderId="10" xfId="0" applyNumberFormat="1" applyFill="1" applyBorder="1"/>
    <xf numFmtId="39" fontId="2" fillId="2" borderId="57" xfId="1" applyNumberFormat="1" applyFont="1" applyFill="1" applyBorder="1" applyAlignment="1"/>
    <xf numFmtId="37" fontId="2" fillId="2" borderId="24" xfId="1" applyNumberFormat="1" applyFont="1" applyFill="1" applyBorder="1" applyAlignment="1">
      <alignment horizontal="right"/>
    </xf>
    <xf numFmtId="37" fontId="2" fillId="2" borderId="57" xfId="0" applyNumberFormat="1" applyFont="1" applyFill="1" applyBorder="1" applyAlignment="1">
      <alignment horizontal="center"/>
    </xf>
    <xf numFmtId="37" fontId="8" fillId="3" borderId="8" xfId="0" applyNumberFormat="1" applyFont="1" applyFill="1" applyBorder="1" applyAlignment="1">
      <alignment horizontal="right"/>
    </xf>
    <xf numFmtId="37" fontId="1" fillId="3" borderId="10" xfId="1" applyNumberFormat="1" applyFont="1" applyFill="1" applyBorder="1"/>
    <xf numFmtId="37" fontId="1" fillId="3" borderId="26" xfId="1" applyNumberFormat="1" applyFont="1" applyFill="1" applyBorder="1"/>
    <xf numFmtId="37" fontId="0" fillId="3" borderId="10" xfId="0" applyNumberFormat="1" applyFill="1" applyBorder="1"/>
    <xf numFmtId="37" fontId="8" fillId="3" borderId="60" xfId="0" applyNumberFormat="1" applyFont="1" applyFill="1" applyBorder="1" applyAlignment="1">
      <alignment horizontal="right"/>
    </xf>
    <xf numFmtId="37" fontId="3" fillId="3" borderId="10" xfId="1" applyNumberFormat="1" applyFont="1" applyFill="1" applyBorder="1"/>
    <xf numFmtId="37" fontId="8" fillId="3" borderId="60" xfId="1" applyNumberFormat="1" applyFont="1" applyFill="1" applyBorder="1" applyAlignment="1">
      <alignment horizontal="right"/>
    </xf>
    <xf numFmtId="37" fontId="3" fillId="3" borderId="13" xfId="1" applyNumberFormat="1" applyFont="1" applyFill="1" applyBorder="1"/>
    <xf numFmtId="37" fontId="2" fillId="2" borderId="57" xfId="1" applyNumberFormat="1" applyFont="1" applyFill="1" applyBorder="1" applyAlignment="1"/>
    <xf numFmtId="37" fontId="8" fillId="3" borderId="10" xfId="1" applyNumberFormat="1" applyFont="1" applyFill="1" applyBorder="1" applyAlignment="1">
      <alignment horizontal="right"/>
    </xf>
    <xf numFmtId="37" fontId="3" fillId="3" borderId="10" xfId="1" applyNumberFormat="1" applyFont="1" applyFill="1" applyBorder="1" applyAlignment="1">
      <alignment horizontal="right"/>
    </xf>
    <xf numFmtId="37" fontId="3" fillId="3" borderId="13" xfId="1" applyNumberFormat="1" applyFont="1" applyFill="1" applyBorder="1" applyAlignment="1">
      <alignment horizontal="right"/>
    </xf>
    <xf numFmtId="37" fontId="2" fillId="2" borderId="72" xfId="1" applyNumberFormat="1" applyFont="1" applyFill="1" applyBorder="1" applyAlignment="1"/>
    <xf numFmtId="37" fontId="2" fillId="2" borderId="99" xfId="0" applyNumberFormat="1" applyFont="1" applyFill="1" applyBorder="1" applyAlignment="1">
      <alignment horizontal="center"/>
    </xf>
    <xf numFmtId="37" fontId="0" fillId="3" borderId="38" xfId="0" applyNumberFormat="1" applyFill="1" applyBorder="1"/>
    <xf numFmtId="37" fontId="0" fillId="3" borderId="38" xfId="1" applyNumberFormat="1" applyFont="1" applyFill="1" applyBorder="1"/>
    <xf numFmtId="39" fontId="0" fillId="3" borderId="38" xfId="1" applyNumberFormat="1" applyFont="1" applyFill="1" applyBorder="1"/>
    <xf numFmtId="39" fontId="0" fillId="3" borderId="38" xfId="0" applyNumberFormat="1" applyFill="1" applyBorder="1"/>
    <xf numFmtId="37" fontId="0" fillId="3" borderId="48" xfId="1" applyNumberFormat="1" applyFont="1" applyFill="1" applyBorder="1"/>
    <xf numFmtId="37" fontId="2" fillId="2" borderId="40" xfId="1" applyNumberFormat="1" applyFont="1" applyFill="1" applyBorder="1" applyAlignment="1">
      <alignment horizontal="center"/>
    </xf>
    <xf numFmtId="37" fontId="2" fillId="2" borderId="40" xfId="0" applyNumberFormat="1" applyFont="1" applyFill="1" applyBorder="1" applyAlignment="1">
      <alignment horizontal="center" vertical="center" wrapText="1"/>
    </xf>
    <xf numFmtId="37" fontId="8" fillId="3" borderId="32" xfId="0" applyNumberFormat="1" applyFont="1" applyFill="1" applyBorder="1" applyAlignment="1">
      <alignment horizontal="right"/>
    </xf>
    <xf numFmtId="37" fontId="1" fillId="3" borderId="0" xfId="1" applyNumberFormat="1" applyFont="1" applyFill="1" applyBorder="1"/>
    <xf numFmtId="37" fontId="3" fillId="3" borderId="12" xfId="0" applyNumberFormat="1" applyFont="1" applyFill="1" applyBorder="1" applyAlignment="1">
      <alignment horizontal="right"/>
    </xf>
    <xf numFmtId="37" fontId="3" fillId="3" borderId="0" xfId="0" applyNumberFormat="1" applyFont="1" applyFill="1" applyBorder="1" applyAlignment="1">
      <alignment horizontal="right"/>
    </xf>
    <xf numFmtId="37" fontId="2" fillId="2" borderId="68" xfId="0" applyNumberFormat="1" applyFont="1" applyFill="1" applyBorder="1" applyAlignment="1">
      <alignment horizontal="center" vertical="center" wrapText="1"/>
    </xf>
    <xf numFmtId="37" fontId="2" fillId="2" borderId="71" xfId="1" applyNumberFormat="1" applyFont="1" applyFill="1" applyBorder="1" applyAlignment="1">
      <alignment horizontal="center"/>
    </xf>
    <xf numFmtId="0" fontId="9" fillId="6" borderId="0" xfId="0" applyFont="1" applyFill="1" applyProtection="1"/>
    <xf numFmtId="0" fontId="14" fillId="6" borderId="0" xfId="0" applyFont="1" applyFill="1" applyProtection="1"/>
    <xf numFmtId="164" fontId="9" fillId="6" borderId="0" xfId="1" applyNumberFormat="1" applyFont="1" applyFill="1" applyProtection="1"/>
    <xf numFmtId="3" fontId="9" fillId="6" borderId="0" xfId="0" applyNumberFormat="1" applyFont="1" applyFill="1" applyProtection="1"/>
    <xf numFmtId="0" fontId="0" fillId="6" borderId="0" xfId="0" applyFill="1" applyProtection="1"/>
    <xf numFmtId="0" fontId="9" fillId="6" borderId="0" xfId="0" applyFont="1" applyFill="1" applyBorder="1" applyProtection="1"/>
    <xf numFmtId="0" fontId="9" fillId="6" borderId="0" xfId="0" applyFont="1" applyFill="1" applyBorder="1"/>
    <xf numFmtId="0" fontId="24" fillId="6" borderId="0" xfId="0" applyFont="1" applyFill="1" applyBorder="1" applyAlignment="1">
      <alignment horizontal="center" wrapText="1"/>
    </xf>
    <xf numFmtId="164" fontId="9" fillId="6" borderId="0" xfId="0" applyNumberFormat="1" applyFont="1" applyFill="1" applyBorder="1"/>
    <xf numFmtId="9" fontId="9" fillId="6" borderId="0" xfId="2" applyFont="1" applyFill="1" applyBorder="1"/>
    <xf numFmtId="10" fontId="9" fillId="6" borderId="0" xfId="0" applyNumberFormat="1" applyFont="1" applyFill="1" applyBorder="1" applyProtection="1"/>
    <xf numFmtId="10" fontId="9" fillId="6" borderId="0" xfId="0" applyNumberFormat="1" applyFont="1" applyFill="1" applyProtection="1"/>
    <xf numFmtId="168" fontId="9" fillId="6" borderId="0" xfId="0" applyNumberFormat="1" applyFont="1" applyFill="1" applyProtection="1"/>
    <xf numFmtId="0" fontId="9" fillId="6" borderId="0" xfId="0" applyFont="1" applyFill="1" applyAlignment="1" applyProtection="1">
      <alignment horizontal="right"/>
    </xf>
    <xf numFmtId="0" fontId="9" fillId="6" borderId="0" xfId="0" applyFont="1" applyFill="1" applyAlignment="1">
      <alignment horizontal="right"/>
    </xf>
    <xf numFmtId="10" fontId="9" fillId="6" borderId="0" xfId="2" applyNumberFormat="1" applyFont="1" applyFill="1" applyProtection="1"/>
    <xf numFmtId="9" fontId="9" fillId="6" borderId="0" xfId="0" applyNumberFormat="1" applyFont="1" applyFill="1"/>
    <xf numFmtId="43" fontId="9" fillId="6" borderId="0" xfId="1" applyFont="1" applyFill="1" applyProtection="1"/>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79" xfId="0" applyNumberFormat="1" applyFill="1" applyBorder="1" applyAlignment="1" applyProtection="1">
      <alignment horizontal="center"/>
      <protection locked="0"/>
    </xf>
    <xf numFmtId="9" fontId="0" fillId="4" borderId="4" xfId="2" applyFont="1" applyFill="1" applyBorder="1" applyAlignment="1" applyProtection="1">
      <alignment horizontal="center"/>
      <protection locked="0"/>
    </xf>
    <xf numFmtId="3" fontId="0" fillId="4" borderId="4" xfId="0" applyNumberFormat="1" applyFill="1" applyBorder="1" applyAlignment="1" applyProtection="1">
      <alignment horizontal="center"/>
      <protection locked="0"/>
    </xf>
    <xf numFmtId="3" fontId="0" fillId="4" borderId="4" xfId="2" applyNumberFormat="1" applyFont="1" applyFill="1" applyBorder="1" applyAlignment="1" applyProtection="1">
      <alignment horizontal="center"/>
      <protection locked="0"/>
    </xf>
    <xf numFmtId="3" fontId="0" fillId="4" borderId="1" xfId="2" applyNumberFormat="1" applyFont="1" applyFill="1" applyBorder="1" applyAlignment="1" applyProtection="1">
      <alignment horizontal="center" vertical="center"/>
      <protection locked="0"/>
    </xf>
    <xf numFmtId="3" fontId="0" fillId="4" borderId="62" xfId="0" applyNumberFormat="1" applyFill="1" applyBorder="1" applyAlignment="1" applyProtection="1">
      <alignment horizontal="center"/>
      <protection locked="0"/>
    </xf>
    <xf numFmtId="3" fontId="0" fillId="4" borderId="65"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3" fontId="0" fillId="4" borderId="21" xfId="0" applyNumberForma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3" fontId="0" fillId="4" borderId="3" xfId="0" applyNumberFormat="1" applyFill="1" applyBorder="1" applyAlignment="1" applyProtection="1">
      <alignment horizontal="center"/>
      <protection locked="0"/>
    </xf>
    <xf numFmtId="3" fontId="0" fillId="4" borderId="48" xfId="0" applyNumberFormat="1" applyFill="1" applyBorder="1" applyAlignment="1" applyProtection="1">
      <alignment horizontal="center"/>
      <protection locked="0"/>
    </xf>
    <xf numFmtId="0" fontId="0" fillId="4" borderId="19" xfId="0" applyFill="1" applyBorder="1" applyAlignment="1" applyProtection="1">
      <alignment horizontal="center"/>
      <protection locked="0"/>
    </xf>
    <xf numFmtId="2" fontId="0" fillId="4" borderId="3" xfId="0" applyNumberFormat="1" applyFill="1" applyBorder="1" applyProtection="1">
      <protection locked="0"/>
    </xf>
    <xf numFmtId="2" fontId="0" fillId="4" borderId="1" xfId="0" applyNumberFormat="1" applyFill="1" applyBorder="1" applyProtection="1">
      <protection locked="0"/>
    </xf>
    <xf numFmtId="2" fontId="0" fillId="4" borderId="2" xfId="0" applyNumberFormat="1" applyFill="1" applyBorder="1" applyProtection="1">
      <protection locked="0"/>
    </xf>
    <xf numFmtId="0" fontId="0" fillId="4" borderId="2" xfId="0" applyFill="1" applyBorder="1" applyAlignment="1" applyProtection="1">
      <alignment horizontal="center"/>
      <protection locked="0"/>
    </xf>
    <xf numFmtId="0" fontId="0" fillId="4" borderId="1" xfId="0" applyNumberFormat="1" applyFill="1" applyBorder="1" applyProtection="1">
      <protection locked="0"/>
    </xf>
    <xf numFmtId="0" fontId="0" fillId="4" borderId="2" xfId="0" applyNumberFormat="1" applyFill="1" applyBorder="1" applyProtection="1">
      <protection locked="0"/>
    </xf>
    <xf numFmtId="0" fontId="0" fillId="4" borderId="3" xfId="0" applyFill="1" applyBorder="1" applyAlignment="1" applyProtection="1">
      <alignment horizontal="center"/>
      <protection locked="0"/>
    </xf>
    <xf numFmtId="0" fontId="0" fillId="4" borderId="1" xfId="0" applyFill="1" applyBorder="1" applyAlignment="1" applyProtection="1">
      <alignment horizontal="center"/>
      <protection locked="0"/>
    </xf>
    <xf numFmtId="2" fontId="0" fillId="4" borderId="19" xfId="0" applyNumberFormat="1" applyFill="1" applyBorder="1" applyProtection="1">
      <protection locked="0"/>
    </xf>
    <xf numFmtId="0" fontId="0" fillId="4" borderId="19" xfId="0" applyNumberFormat="1" applyFill="1" applyBorder="1" applyProtection="1">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43" fontId="0" fillId="4" borderId="25" xfId="1" applyNumberFormat="1" applyFont="1" applyFill="1" applyBorder="1" applyProtection="1">
      <protection locked="0"/>
    </xf>
    <xf numFmtId="43" fontId="0" fillId="4" borderId="4" xfId="1" applyNumberFormat="1" applyFont="1" applyFill="1" applyBorder="1" applyProtection="1">
      <protection locked="0"/>
    </xf>
    <xf numFmtId="164" fontId="0" fillId="4" borderId="3" xfId="1" applyNumberFormat="1" applyFont="1" applyFill="1" applyBorder="1" applyProtection="1">
      <protection locked="0"/>
    </xf>
    <xf numFmtId="164" fontId="0" fillId="4" borderId="25" xfId="1" applyNumberFormat="1" applyFont="1" applyFill="1" applyBorder="1" applyProtection="1">
      <protection locked="0"/>
    </xf>
    <xf numFmtId="0" fontId="0" fillId="4" borderId="3" xfId="0" applyFill="1" applyBorder="1" applyAlignment="1" applyProtection="1">
      <alignment horizontal="center"/>
      <protection locked="0"/>
    </xf>
    <xf numFmtId="164" fontId="0" fillId="4" borderId="54" xfId="1" applyNumberFormat="1" applyFont="1" applyFill="1" applyBorder="1" applyProtection="1">
      <protection locked="0"/>
    </xf>
    <xf numFmtId="164" fontId="0" fillId="4" borderId="4" xfId="1" applyNumberFormat="1" applyFont="1" applyFill="1" applyBorder="1" applyProtection="1">
      <protection locked="0"/>
    </xf>
    <xf numFmtId="0" fontId="0" fillId="4" borderId="1" xfId="0" applyFill="1" applyBorder="1" applyAlignment="1" applyProtection="1">
      <alignment horizontal="center"/>
      <protection locked="0"/>
    </xf>
    <xf numFmtId="9" fontId="0" fillId="11" borderId="1" xfId="2" applyFont="1" applyFill="1" applyBorder="1" applyProtection="1">
      <protection locked="0"/>
    </xf>
    <xf numFmtId="9" fontId="0" fillId="4" borderId="89" xfId="2" applyFont="1" applyFill="1" applyBorder="1" applyAlignment="1" applyProtection="1">
      <alignment horizontal="center"/>
      <protection locked="0"/>
    </xf>
    <xf numFmtId="9" fontId="0" fillId="4" borderId="91" xfId="2" applyFont="1" applyFill="1" applyBorder="1" applyAlignment="1" applyProtection="1">
      <alignment horizontal="center"/>
      <protection locked="0"/>
    </xf>
    <xf numFmtId="164" fontId="0" fillId="4" borderId="3" xfId="1" applyNumberFormat="1" applyFont="1" applyFill="1" applyBorder="1" applyProtection="1">
      <protection locked="0"/>
    </xf>
    <xf numFmtId="164" fontId="0" fillId="4" borderId="1" xfId="1" applyNumberFormat="1" applyFont="1"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4" borderId="49" xfId="0" applyFill="1" applyBorder="1" applyProtection="1">
      <protection locked="0"/>
    </xf>
    <xf numFmtId="0" fontId="0" fillId="7" borderId="43" xfId="0" applyFill="1" applyBorder="1" applyProtection="1">
      <protection locked="0"/>
    </xf>
    <xf numFmtId="0" fontId="0" fillId="7" borderId="49" xfId="0" applyFill="1" applyBorder="1" applyAlignment="1" applyProtection="1">
      <alignment horizontal="center"/>
      <protection locked="0"/>
    </xf>
    <xf numFmtId="0" fontId="0" fillId="4" borderId="49" xfId="0" applyFill="1" applyBorder="1" applyProtection="1">
      <protection locked="0"/>
    </xf>
    <xf numFmtId="0" fontId="0" fillId="7" borderId="15" xfId="0" applyFill="1" applyBorder="1" applyAlignment="1" applyProtection="1">
      <alignment horizontal="left"/>
      <protection locked="0"/>
    </xf>
    <xf numFmtId="0" fontId="0" fillId="7" borderId="1" xfId="0" applyFill="1" applyBorder="1" applyAlignment="1" applyProtection="1">
      <alignment horizontal="center"/>
      <protection locked="0"/>
    </xf>
    <xf numFmtId="0" fontId="0" fillId="7" borderId="2"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0" fontId="0" fillId="7" borderId="43" xfId="0" applyFill="1" applyBorder="1" applyProtection="1">
      <protection locked="0"/>
    </xf>
    <xf numFmtId="0" fontId="0" fillId="7" borderId="63" xfId="0" applyFill="1" applyBorder="1" applyProtection="1">
      <protection locked="0"/>
    </xf>
    <xf numFmtId="0" fontId="0" fillId="4" borderId="49" xfId="0" applyFill="1" applyBorder="1" applyAlignment="1" applyProtection="1">
      <alignment horizontal="right"/>
      <protection locked="0"/>
    </xf>
    <xf numFmtId="0" fontId="0" fillId="4" borderId="64" xfId="0" applyFill="1" applyBorder="1" applyAlignment="1" applyProtection="1">
      <alignment horizontal="right"/>
      <protection locked="0"/>
    </xf>
    <xf numFmtId="0" fontId="0" fillId="7" borderId="49" xfId="0" applyFill="1" applyBorder="1" applyAlignment="1" applyProtection="1">
      <alignment horizontal="center"/>
      <protection locked="0"/>
    </xf>
    <xf numFmtId="0" fontId="0" fillId="7" borderId="64" xfId="0" applyFill="1" applyBorder="1" applyAlignment="1" applyProtection="1">
      <alignment horizontal="center"/>
      <protection locked="0"/>
    </xf>
    <xf numFmtId="39" fontId="1" fillId="3" borderId="39" xfId="1" applyNumberFormat="1" applyFont="1" applyFill="1" applyBorder="1"/>
    <xf numFmtId="39" fontId="1" fillId="3" borderId="26" xfId="1" applyNumberFormat="1" applyFont="1" applyFill="1" applyBorder="1"/>
    <xf numFmtId="39" fontId="3" fillId="3" borderId="10" xfId="1" applyNumberFormat="1" applyFont="1" applyFill="1" applyBorder="1" applyAlignment="1">
      <alignment horizontal="right"/>
    </xf>
    <xf numFmtId="39" fontId="3" fillId="3" borderId="13" xfId="1" applyNumberFormat="1" applyFont="1" applyFill="1" applyBorder="1" applyAlignment="1">
      <alignment horizontal="right"/>
    </xf>
    <xf numFmtId="39" fontId="1" fillId="3" borderId="26" xfId="1" applyNumberFormat="1" applyFont="1" applyFill="1" applyBorder="1" applyAlignment="1">
      <alignment vertical="center"/>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1" fontId="0" fillId="4" borderId="3" xfId="0" applyNumberFormat="1" applyFill="1" applyBorder="1" applyProtection="1">
      <protection locked="0"/>
    </xf>
    <xf numFmtId="3" fontId="9" fillId="4" borderId="25" xfId="0" applyNumberFormat="1" applyFont="1" applyFill="1" applyBorder="1" applyAlignment="1" applyProtection="1">
      <alignment horizontal="center"/>
      <protection locked="0"/>
    </xf>
    <xf numFmtId="3" fontId="9" fillId="4" borderId="1" xfId="2" applyNumberFormat="1" applyFont="1" applyFill="1" applyBorder="1" applyAlignment="1" applyProtection="1">
      <alignment horizontal="center" vertical="center"/>
      <protection locked="0"/>
    </xf>
    <xf numFmtId="3" fontId="9" fillId="4" borderId="4" xfId="0" applyNumberFormat="1" applyFont="1" applyFill="1" applyBorder="1" applyAlignment="1" applyProtection="1">
      <alignment horizontal="center"/>
      <protection locked="0"/>
    </xf>
    <xf numFmtId="0" fontId="3" fillId="3" borderId="18" xfId="0" applyFont="1" applyFill="1" applyBorder="1" applyAlignment="1" applyProtection="1">
      <alignment horizontal="center" vertical="center" textRotation="90"/>
    </xf>
    <xf numFmtId="0" fontId="3" fillId="3" borderId="37" xfId="0" applyFont="1" applyFill="1" applyBorder="1" applyAlignment="1" applyProtection="1">
      <alignment horizontal="center" vertical="center" textRotation="90"/>
    </xf>
    <xf numFmtId="0" fontId="3" fillId="3" borderId="82" xfId="0" applyFont="1" applyFill="1" applyBorder="1" applyAlignment="1" applyProtection="1">
      <alignment horizontal="center" vertical="center" textRotation="90"/>
    </xf>
    <xf numFmtId="0" fontId="23" fillId="3" borderId="83" xfId="0" applyFont="1" applyFill="1" applyBorder="1" applyAlignment="1" applyProtection="1">
      <alignment horizontal="right"/>
    </xf>
    <xf numFmtId="0" fontId="23" fillId="3" borderId="62" xfId="0" applyFont="1" applyFill="1" applyBorder="1" applyAlignment="1" applyProtection="1">
      <alignment horizontal="right"/>
    </xf>
    <xf numFmtId="0" fontId="24" fillId="3" borderId="18" xfId="0" applyFont="1" applyFill="1" applyBorder="1" applyAlignment="1" applyProtection="1">
      <alignment horizontal="center" vertical="center" textRotation="90"/>
    </xf>
    <xf numFmtId="0" fontId="24" fillId="3" borderId="37" xfId="0" applyFont="1" applyFill="1" applyBorder="1" applyAlignment="1" applyProtection="1">
      <alignment horizontal="center" vertical="center" textRotation="90"/>
    </xf>
    <xf numFmtId="0" fontId="24" fillId="3" borderId="16" xfId="0" applyFont="1" applyFill="1" applyBorder="1" applyAlignment="1" applyProtection="1">
      <alignment horizontal="center" vertical="center" textRotation="90"/>
    </xf>
    <xf numFmtId="0" fontId="9" fillId="4" borderId="88" xfId="0" applyFont="1" applyFill="1" applyBorder="1" applyAlignment="1" applyProtection="1">
      <alignment horizontal="left"/>
      <protection locked="0"/>
    </xf>
    <xf numFmtId="0" fontId="9" fillId="4" borderId="65" xfId="0" applyFont="1" applyFill="1" applyBorder="1" applyAlignment="1" applyProtection="1">
      <alignment horizontal="left"/>
      <protection locked="0"/>
    </xf>
    <xf numFmtId="0" fontId="9" fillId="4" borderId="87" xfId="0" applyFont="1" applyFill="1" applyBorder="1" applyAlignment="1" applyProtection="1">
      <alignment horizontal="left"/>
      <protection locked="0"/>
    </xf>
    <xf numFmtId="0" fontId="9" fillId="4" borderId="4" xfId="0" applyFont="1" applyFill="1" applyBorder="1" applyAlignment="1" applyProtection="1">
      <alignment horizontal="left"/>
      <protection locked="0"/>
    </xf>
    <xf numFmtId="0" fontId="9" fillId="4" borderId="96" xfId="0" applyFont="1" applyFill="1" applyBorder="1" applyAlignment="1" applyProtection="1">
      <alignment horizontal="left"/>
      <protection locked="0"/>
    </xf>
    <xf numFmtId="0" fontId="9" fillId="4" borderId="97" xfId="0" applyFont="1" applyFill="1" applyBorder="1" applyAlignment="1" applyProtection="1">
      <alignment horizontal="left"/>
      <protection locked="0"/>
    </xf>
    <xf numFmtId="0" fontId="16" fillId="3" borderId="33"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16" fillId="3" borderId="38"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52"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77" xfId="0" applyFont="1" applyFill="1" applyBorder="1" applyAlignment="1" applyProtection="1">
      <alignment horizontal="left" vertical="center" wrapText="1"/>
    </xf>
    <xf numFmtId="0" fontId="16" fillId="3" borderId="25" xfId="0" applyFont="1" applyFill="1" applyBorder="1" applyAlignment="1" applyProtection="1">
      <alignment horizontal="left" vertical="center" wrapText="1"/>
    </xf>
    <xf numFmtId="0" fontId="3" fillId="3" borderId="30" xfId="0" applyFont="1" applyFill="1" applyBorder="1" applyAlignment="1" applyProtection="1">
      <alignment horizontal="center" vertical="center" textRotation="90"/>
    </xf>
    <xf numFmtId="0" fontId="3" fillId="3" borderId="16" xfId="0" applyFont="1" applyFill="1" applyBorder="1" applyAlignment="1" applyProtection="1">
      <alignment horizontal="center" vertical="center" textRotation="90"/>
    </xf>
    <xf numFmtId="0" fontId="0" fillId="0" borderId="37" xfId="0" applyBorder="1"/>
    <xf numFmtId="0" fontId="0" fillId="0" borderId="82" xfId="0" applyBorder="1"/>
    <xf numFmtId="0" fontId="9" fillId="6" borderId="0" xfId="0" applyFont="1" applyFill="1" applyAlignment="1" applyProtection="1">
      <alignment horizontal="center" wrapText="1"/>
    </xf>
    <xf numFmtId="0" fontId="2" fillId="2" borderId="98" xfId="0" applyFont="1" applyFill="1" applyBorder="1" applyAlignment="1" applyProtection="1">
      <alignment horizontal="center"/>
    </xf>
    <xf numFmtId="0" fontId="2" fillId="2" borderId="0" xfId="0" applyFont="1" applyFill="1" applyBorder="1" applyAlignment="1" applyProtection="1">
      <alignment horizontal="center"/>
    </xf>
    <xf numFmtId="0" fontId="9" fillId="3" borderId="96" xfId="0" applyFont="1" applyFill="1" applyBorder="1" applyAlignment="1" applyProtection="1">
      <alignment horizontal="left"/>
    </xf>
    <xf numFmtId="0" fontId="9" fillId="3" borderId="97" xfId="0" applyFont="1" applyFill="1" applyBorder="1" applyAlignment="1" applyProtection="1">
      <alignment horizontal="left"/>
    </xf>
    <xf numFmtId="0" fontId="9" fillId="3" borderId="87" xfId="0" applyFont="1" applyFill="1" applyBorder="1" applyAlignment="1" applyProtection="1">
      <alignment horizontal="left"/>
    </xf>
    <xf numFmtId="0" fontId="9" fillId="3" borderId="4" xfId="0" applyFont="1" applyFill="1" applyBorder="1" applyAlignment="1" applyProtection="1">
      <alignment horizontal="left"/>
    </xf>
    <xf numFmtId="0" fontId="17" fillId="9" borderId="0" xfId="0" applyFont="1" applyFill="1" applyAlignment="1" applyProtection="1">
      <alignment horizontal="left" wrapText="1"/>
    </xf>
    <xf numFmtId="0" fontId="0" fillId="3" borderId="38" xfId="0" applyFill="1" applyBorder="1" applyAlignment="1">
      <alignment horizontal="left" wrapText="1"/>
    </xf>
    <xf numFmtId="0" fontId="0" fillId="3" borderId="0" xfId="0" applyFill="1" applyBorder="1" applyAlignment="1">
      <alignment horizontal="left" wrapText="1"/>
    </xf>
    <xf numFmtId="0" fontId="0" fillId="3" borderId="52" xfId="0" applyFill="1" applyBorder="1" applyAlignment="1">
      <alignment horizontal="left" wrapText="1"/>
    </xf>
    <xf numFmtId="2" fontId="0" fillId="3" borderId="58" xfId="0" applyNumberFormat="1" applyFill="1" applyBorder="1" applyAlignment="1">
      <alignment horizontal="center"/>
    </xf>
    <xf numFmtId="2" fontId="0" fillId="3" borderId="0" xfId="0" applyNumberFormat="1" applyFill="1" applyBorder="1" applyAlignment="1">
      <alignment horizontal="center"/>
    </xf>
    <xf numFmtId="0" fontId="3" fillId="3" borderId="38" xfId="0" applyFont="1" applyFill="1" applyBorder="1" applyAlignment="1">
      <alignment horizontal="center" wrapText="1"/>
    </xf>
    <xf numFmtId="0" fontId="3" fillId="3" borderId="50" xfId="0" applyFont="1" applyFill="1" applyBorder="1" applyAlignment="1">
      <alignment horizontal="center" wrapText="1"/>
    </xf>
    <xf numFmtId="0" fontId="3" fillId="3" borderId="0" xfId="0" applyFont="1" applyFill="1" applyBorder="1" applyAlignment="1">
      <alignment horizontal="center" wrapText="1"/>
    </xf>
    <xf numFmtId="0" fontId="15" fillId="6" borderId="0" xfId="0" applyFont="1" applyFill="1" applyBorder="1" applyAlignment="1">
      <alignment horizontal="center" wrapText="1"/>
    </xf>
    <xf numFmtId="0" fontId="8" fillId="3" borderId="0" xfId="0" applyFont="1" applyFill="1" applyBorder="1" applyAlignment="1">
      <alignment horizontal="center"/>
    </xf>
    <xf numFmtId="0" fontId="8" fillId="3" borderId="52" xfId="0" applyFont="1" applyFill="1" applyBorder="1" applyAlignment="1">
      <alignment horizontal="center"/>
    </xf>
    <xf numFmtId="0" fontId="0" fillId="3" borderId="0" xfId="1" applyNumberFormat="1" applyFont="1" applyFill="1" applyBorder="1" applyAlignment="1">
      <alignment horizontal="center"/>
    </xf>
    <xf numFmtId="2" fontId="0" fillId="3" borderId="38" xfId="0" applyNumberFormat="1" applyFill="1" applyBorder="1" applyAlignment="1">
      <alignment horizontal="left"/>
    </xf>
    <xf numFmtId="2" fontId="0" fillId="3" borderId="52" xfId="0" applyNumberFormat="1" applyFill="1" applyBorder="1" applyAlignment="1">
      <alignment horizontal="left"/>
    </xf>
    <xf numFmtId="0" fontId="0" fillId="3" borderId="38" xfId="0" applyFill="1" applyBorder="1" applyAlignment="1">
      <alignment horizontal="center"/>
    </xf>
    <xf numFmtId="0" fontId="0" fillId="3" borderId="0" xfId="0" applyFill="1" applyBorder="1" applyAlignment="1">
      <alignment horizontal="center"/>
    </xf>
    <xf numFmtId="0" fontId="0" fillId="3" borderId="52" xfId="0" applyFill="1" applyBorder="1" applyAlignment="1">
      <alignment horizontal="center"/>
    </xf>
    <xf numFmtId="164" fontId="0" fillId="3" borderId="0" xfId="1" applyNumberFormat="1" applyFont="1" applyFill="1" applyBorder="1" applyAlignment="1">
      <alignment horizontal="center"/>
    </xf>
    <xf numFmtId="0" fontId="8" fillId="3" borderId="0" xfId="0" applyFont="1" applyFill="1" applyBorder="1" applyAlignment="1">
      <alignment horizontal="center" wrapText="1"/>
    </xf>
    <xf numFmtId="0" fontId="8" fillId="3" borderId="33" xfId="0" applyFont="1" applyFill="1" applyBorder="1" applyAlignment="1">
      <alignment horizontal="right"/>
    </xf>
    <xf numFmtId="0" fontId="8" fillId="3" borderId="7" xfId="0" applyFont="1" applyFill="1" applyBorder="1" applyAlignment="1">
      <alignment horizontal="right"/>
    </xf>
    <xf numFmtId="0" fontId="0" fillId="3" borderId="38" xfId="0" applyFill="1" applyBorder="1" applyAlignment="1">
      <alignment horizontal="left" wrapText="1" indent="1"/>
    </xf>
    <xf numFmtId="0" fontId="0" fillId="3" borderId="0" xfId="0" applyFill="1" applyBorder="1" applyAlignment="1">
      <alignment horizontal="left" wrapText="1" indent="1"/>
    </xf>
    <xf numFmtId="0" fontId="0" fillId="3" borderId="52" xfId="0" applyFill="1" applyBorder="1" applyAlignment="1">
      <alignment horizontal="left" wrapText="1" indent="1"/>
    </xf>
    <xf numFmtId="164" fontId="0" fillId="3" borderId="38" xfId="1" applyNumberFormat="1" applyFont="1" applyFill="1" applyBorder="1" applyAlignment="1">
      <alignment horizontal="center" wrapText="1"/>
    </xf>
    <xf numFmtId="164" fontId="0" fillId="3" borderId="0" xfId="1" applyNumberFormat="1" applyFont="1" applyFill="1" applyBorder="1" applyAlignment="1">
      <alignment horizontal="center" wrapText="1"/>
    </xf>
    <xf numFmtId="0" fontId="8" fillId="3" borderId="38" xfId="0" applyFont="1" applyFill="1" applyBorder="1" applyAlignment="1">
      <alignment horizontal="right"/>
    </xf>
    <xf numFmtId="0" fontId="8" fillId="3" borderId="0" xfId="0" applyFont="1" applyFill="1" applyBorder="1" applyAlignment="1">
      <alignment horizontal="right"/>
    </xf>
    <xf numFmtId="0" fontId="8" fillId="3" borderId="38" xfId="0" applyFont="1" applyFill="1" applyBorder="1" applyAlignment="1">
      <alignment horizontal="center" wrapText="1"/>
    </xf>
    <xf numFmtId="0" fontId="0" fillId="3" borderId="38" xfId="0" applyFill="1" applyBorder="1" applyAlignment="1">
      <alignment horizontal="left" vertical="center" wrapText="1"/>
    </xf>
    <xf numFmtId="0" fontId="0" fillId="3" borderId="0" xfId="0" applyFill="1" applyBorder="1" applyAlignment="1">
      <alignment horizontal="left" vertical="center" wrapText="1"/>
    </xf>
    <xf numFmtId="0" fontId="0" fillId="3" borderId="52" xfId="0" applyFill="1" applyBorder="1" applyAlignment="1">
      <alignment horizontal="left" vertical="center" wrapText="1"/>
    </xf>
  </cellXfs>
  <cellStyles count="6">
    <cellStyle name="Comma" xfId="1" builtinId="3"/>
    <cellStyle name="Currency" xfId="3" builtinId="4"/>
    <cellStyle name="Normal" xfId="0" builtinId="0"/>
    <cellStyle name="Normal 2" xfId="5" xr:uid="{00000000-0005-0000-0000-000003000000}"/>
    <cellStyle name="Normal 3" xfId="4" xr:uid="{00000000-0005-0000-0000-000004000000}"/>
    <cellStyle name="Percent" xfId="2" builtinId="5"/>
  </cellStyles>
  <dxfs count="0"/>
  <tableStyles count="1" defaultTableStyle="TableStyleMedium9" defaultPivotStyle="PivotStyleLight16">
    <tableStyle name="Table Style 1" pivot="0" count="0" xr9:uid="{00000000-0011-0000-FFFF-FFFF00000000}"/>
  </tableStyles>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91027</xdr:rowOff>
    </xdr:from>
    <xdr:ext cx="9544050" cy="1090073"/>
    <xdr:sp macro="" textlink="">
      <xdr:nvSpPr>
        <xdr:cNvPr id="2" name="Rectangle 1">
          <a:extLst>
            <a:ext uri="{FF2B5EF4-FFF2-40B4-BE49-F238E27FC236}">
              <a16:creationId xmlns:a16="http://schemas.microsoft.com/office/drawing/2014/main" id="{00000000-0008-0000-0000-000002000000}"/>
            </a:ext>
          </a:extLst>
        </xdr:cNvPr>
        <xdr:cNvSpPr/>
      </xdr:nvSpPr>
      <xdr:spPr>
        <a:xfrm>
          <a:off x="0" y="1386427"/>
          <a:ext cx="9544050" cy="1090073"/>
        </a:xfrm>
        <a:prstGeom prst="rect">
          <a:avLst/>
        </a:prstGeom>
        <a:noFill/>
      </xdr:spPr>
      <xdr:txBody>
        <a:bodyPr wrap="square" lIns="91440" tIns="45720" rIns="91440" bIns="45720">
          <a:noAutofit/>
        </a:bodyPr>
        <a:lstStyle/>
        <a:p>
          <a:pPr algn="ctr"/>
          <a:r>
            <a:rPr lang="en-US" sz="6600" b="1" cap="none" spc="0">
              <a:ln w="18000">
                <a:solidFill>
                  <a:schemeClr val="tx1"/>
                </a:solidFill>
                <a:prstDash val="solid"/>
                <a:miter lim="800000"/>
              </a:ln>
              <a:solidFill>
                <a:schemeClr val="tx1"/>
              </a:solidFill>
              <a:effectLst>
                <a:outerShdw blurRad="25500" dist="23000" dir="7020000" algn="tl">
                  <a:srgbClr val="000000">
                    <a:alpha val="50000"/>
                  </a:srgbClr>
                </a:outerShdw>
              </a:effectLst>
            </a:rPr>
            <a:t>Cow Herd System Budget</a:t>
          </a:r>
        </a:p>
      </xdr:txBody>
    </xdr:sp>
    <xdr:clientData/>
  </xdr:oneCellAnchor>
  <xdr:oneCellAnchor>
    <xdr:from>
      <xdr:col>0</xdr:col>
      <xdr:colOff>9526</xdr:colOff>
      <xdr:row>19</xdr:row>
      <xdr:rowOff>91027</xdr:rowOff>
    </xdr:from>
    <xdr:ext cx="9391650" cy="518573"/>
    <xdr:sp macro="" textlink="">
      <xdr:nvSpPr>
        <xdr:cNvPr id="3" name="Rectangle 2">
          <a:extLst>
            <a:ext uri="{FF2B5EF4-FFF2-40B4-BE49-F238E27FC236}">
              <a16:creationId xmlns:a16="http://schemas.microsoft.com/office/drawing/2014/main" id="{00000000-0008-0000-0000-000003000000}"/>
            </a:ext>
          </a:extLst>
        </xdr:cNvPr>
        <xdr:cNvSpPr/>
      </xdr:nvSpPr>
      <xdr:spPr>
        <a:xfrm>
          <a:off x="9526" y="3167602"/>
          <a:ext cx="9391650" cy="518573"/>
        </a:xfrm>
        <a:prstGeom prst="rect">
          <a:avLst/>
        </a:prstGeom>
        <a:noFill/>
      </xdr:spPr>
      <xdr:txBody>
        <a:bodyPr wrap="square" lIns="91440" tIns="45720" rIns="91440" bIns="45720">
          <a:noAutofit/>
        </a:bodyPr>
        <a:lstStyle/>
        <a:p>
          <a:pPr algn="ctr"/>
          <a:r>
            <a:rPr lang="en-US" sz="2000" b="1" cap="none" spc="0">
              <a:ln w="10541" cmpd="sng">
                <a:solidFill>
                  <a:schemeClr val="accent1">
                    <a:shade val="88000"/>
                    <a:satMod val="110000"/>
                  </a:schemeClr>
                </a:solidFill>
                <a:prstDash val="solid"/>
              </a:ln>
              <a:solidFill>
                <a:schemeClr val="tx1"/>
              </a:solidFill>
              <a:effectLst/>
            </a:rPr>
            <a:t>Glennis</a:t>
          </a:r>
          <a:r>
            <a:rPr lang="en-US" sz="2000" b="1" cap="none" spc="0" baseline="0">
              <a:ln w="10541" cmpd="sng">
                <a:solidFill>
                  <a:schemeClr val="accent1">
                    <a:shade val="88000"/>
                    <a:satMod val="110000"/>
                  </a:schemeClr>
                </a:solidFill>
                <a:prstDash val="solid"/>
              </a:ln>
              <a:solidFill>
                <a:schemeClr val="tx1"/>
              </a:solidFill>
              <a:effectLst/>
            </a:rPr>
            <a:t> McClure</a:t>
          </a:r>
          <a:r>
            <a:rPr lang="en-US" sz="2000" b="1" cap="none" spc="0">
              <a:ln w="10541" cmpd="sng">
                <a:solidFill>
                  <a:schemeClr val="accent1">
                    <a:shade val="88000"/>
                    <a:satMod val="110000"/>
                  </a:schemeClr>
                </a:solidFill>
                <a:prstDash val="solid"/>
              </a:ln>
              <a:solidFill>
                <a:schemeClr val="tx1"/>
              </a:solidFill>
              <a:effectLst/>
            </a:rPr>
            <a:t>, Extension</a:t>
          </a:r>
          <a:r>
            <a:rPr lang="en-US" sz="2000" b="1" cap="none" spc="0" baseline="0">
              <a:ln w="10541" cmpd="sng">
                <a:solidFill>
                  <a:schemeClr val="accent1">
                    <a:shade val="88000"/>
                    <a:satMod val="110000"/>
                  </a:schemeClr>
                </a:solidFill>
                <a:prstDash val="solid"/>
              </a:ln>
              <a:solidFill>
                <a:schemeClr val="tx1"/>
              </a:solidFill>
              <a:effectLst/>
            </a:rPr>
            <a:t> Educator -</a:t>
          </a:r>
          <a:r>
            <a:rPr lang="en-US" sz="2000" b="1" cap="none" spc="0">
              <a:ln w="10541" cmpd="sng">
                <a:solidFill>
                  <a:schemeClr val="accent1">
                    <a:shade val="88000"/>
                    <a:satMod val="110000"/>
                  </a:schemeClr>
                </a:solidFill>
                <a:prstDash val="solid"/>
              </a:ln>
              <a:solidFill>
                <a:schemeClr val="tx1"/>
              </a:solidFill>
              <a:effectLst/>
            </a:rPr>
            <a:t>Farm &amp; Ranch Management Analyst</a:t>
          </a:r>
        </a:p>
        <a:p>
          <a:pPr algn="ctr"/>
          <a:endParaRPr lang="en-US" sz="2800" b="1" cap="none" spc="0">
            <a:ln w="10541" cmpd="sng">
              <a:solidFill>
                <a:schemeClr val="accent1">
                  <a:shade val="88000"/>
                  <a:satMod val="110000"/>
                </a:schemeClr>
              </a:solidFill>
              <a:prstDash val="solid"/>
            </a:ln>
            <a:solidFill>
              <a:schemeClr val="tx1"/>
            </a:solidFill>
            <a:effectLst/>
          </a:endParaRPr>
        </a:p>
      </xdr:txBody>
    </xdr:sp>
    <xdr:clientData/>
  </xdr:oneCellAnchor>
  <xdr:twoCellAnchor>
    <xdr:from>
      <xdr:col>1</xdr:col>
      <xdr:colOff>342900</xdr:colOff>
      <xdr:row>25</xdr:row>
      <xdr:rowOff>57150</xdr:rowOff>
    </xdr:from>
    <xdr:to>
      <xdr:col>14</xdr:col>
      <xdr:colOff>200025</xdr:colOff>
      <xdr:row>36</xdr:row>
      <xdr:rowOff>76201</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52500" y="4105275"/>
          <a:ext cx="7781925" cy="180022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600" b="1">
              <a:solidFill>
                <a:srgbClr val="002060"/>
              </a:solidFill>
            </a:rPr>
            <a:t>This budgeting workbook is designed to provide analysis of the components of a beef production system.  This template provides</a:t>
          </a:r>
          <a:r>
            <a:rPr lang="en-US" sz="1600" b="1" baseline="0">
              <a:solidFill>
                <a:srgbClr val="002060"/>
              </a:solidFill>
            </a:rPr>
            <a:t> an example of a 200 head cow herd based in Northeast Nebraska.  It may be modified for current values, various herd sizes, management practices, and locations.  </a:t>
          </a:r>
        </a:p>
        <a:p>
          <a:pPr algn="l"/>
          <a:endParaRPr lang="en-US" sz="1600" b="1" baseline="0">
            <a:solidFill>
              <a:srgbClr val="002060"/>
            </a:solidFill>
          </a:endParaRPr>
        </a:p>
        <a:p>
          <a:pPr algn="l"/>
          <a:r>
            <a:rPr lang="en-US" sz="1600" b="1" baseline="0">
              <a:solidFill>
                <a:srgbClr val="002060"/>
              </a:solidFill>
            </a:rPr>
            <a:t>Budget template designed by Roger Wilson, retired Farm &amp; Ranch Management Analyst. </a:t>
          </a:r>
          <a:endParaRPr lang="en-US" sz="1600" b="1">
            <a:solidFill>
              <a:srgbClr val="002060"/>
            </a:solidFill>
          </a:endParaRPr>
        </a:p>
      </xdr:txBody>
    </xdr:sp>
    <xdr:clientData/>
  </xdr:twoCellAnchor>
  <xdr:twoCellAnchor editAs="oneCell">
    <xdr:from>
      <xdr:col>7</xdr:col>
      <xdr:colOff>314325</xdr:colOff>
      <xdr:row>1</xdr:row>
      <xdr:rowOff>85725</xdr:rowOff>
    </xdr:from>
    <xdr:to>
      <xdr:col>14</xdr:col>
      <xdr:colOff>276225</xdr:colOff>
      <xdr:row>6</xdr:row>
      <xdr:rowOff>99256</xdr:rowOff>
    </xdr:to>
    <xdr:pic>
      <xdr:nvPicPr>
        <xdr:cNvPr id="6" name="Picture 5" descr="ExtBanner.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4581525" y="247650"/>
          <a:ext cx="4229100" cy="823156"/>
        </a:xfrm>
        <a:prstGeom prst="rect">
          <a:avLst/>
        </a:prstGeom>
      </xdr:spPr>
    </xdr:pic>
    <xdr:clientData/>
  </xdr:twoCellAnchor>
  <xdr:twoCellAnchor editAs="oneCell">
    <xdr:from>
      <xdr:col>1</xdr:col>
      <xdr:colOff>0</xdr:colOff>
      <xdr:row>42</xdr:row>
      <xdr:rowOff>146856</xdr:rowOff>
    </xdr:from>
    <xdr:to>
      <xdr:col>2</xdr:col>
      <xdr:colOff>314325</xdr:colOff>
      <xdr:row>50</xdr:row>
      <xdr:rowOff>99444</xdr:rowOff>
    </xdr:to>
    <xdr:pic>
      <xdr:nvPicPr>
        <xdr:cNvPr id="7" name="Picture 6" descr="ianr-n.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609600" y="6947706"/>
          <a:ext cx="923925" cy="1247988"/>
        </a:xfrm>
        <a:prstGeom prst="rect">
          <a:avLst/>
        </a:prstGeom>
      </xdr:spPr>
    </xdr:pic>
    <xdr:clientData/>
  </xdr:twoCellAnchor>
  <xdr:twoCellAnchor>
    <xdr:from>
      <xdr:col>3</xdr:col>
      <xdr:colOff>28575</xdr:colOff>
      <xdr:row>42</xdr:row>
      <xdr:rowOff>152399</xdr:rowOff>
    </xdr:from>
    <xdr:to>
      <xdr:col>14</xdr:col>
      <xdr:colOff>304800</xdr:colOff>
      <xdr:row>51</xdr:row>
      <xdr:rowOff>19049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857375" y="6953249"/>
          <a:ext cx="6981825"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Extension is a Division of the Institute of Agriculture</a:t>
          </a:r>
          <a:r>
            <a:rPr lang="en-US" sz="1100" baseline="0"/>
            <a:t> and Natural Resources at the University of Nebraska - Lincoln cooperating with the Counties and the United States Department of Agriculture. University of Nebraska - Lincoln Extension programs abide with the nondiscrimination policies of the University of Nebraska - Lincoln and the United States Department of Agriculture.</a:t>
          </a:r>
        </a:p>
        <a:p>
          <a:endParaRPr lang="en-US" sz="1100" baseline="0">
            <a:latin typeface="+mj-lt"/>
          </a:endParaRPr>
        </a:p>
        <a:p>
          <a:r>
            <a:rPr lang="en-US" sz="1100">
              <a:latin typeface="+mn-lt"/>
              <a:cs typeface="Arial"/>
            </a:rPr>
            <a:t>© The Board of Regents of the University</a:t>
          </a:r>
          <a:r>
            <a:rPr lang="en-US" sz="1100" baseline="0">
              <a:latin typeface="+mn-lt"/>
              <a:cs typeface="Arial"/>
            </a:rPr>
            <a:t> of Nebraska on behalf of the University of Nebraska - Lincoln Extension. All rights reserved.</a:t>
          </a:r>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28574</xdr:rowOff>
    </xdr:from>
    <xdr:to>
      <xdr:col>6</xdr:col>
      <xdr:colOff>542925</xdr:colOff>
      <xdr:row>21</xdr:row>
      <xdr:rowOff>76200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638550" y="2905124"/>
          <a:ext cx="4238625" cy="1181101"/>
        </a:xfrm>
        <a:prstGeom prst="rect">
          <a:avLst/>
        </a:prstGeom>
        <a:solidFill>
          <a:srgbClr val="00B05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Include only feed fed to develop</a:t>
          </a:r>
          <a:r>
            <a:rPr lang="en-US" sz="1400" b="1" baseline="0"/>
            <a:t> heifers from weaning until the following crop of replacement heifers are weaned.  These feed costs are carried forward to the "Breeding Herd" spreadsheet. Other expenses are included as part of that analysis.</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
  <sheetViews>
    <sheetView tabSelected="1" topLeftCell="A13" zoomScaleNormal="100" workbookViewId="0"/>
  </sheetViews>
  <sheetFormatPr defaultColWidth="9.140625" defaultRowHeight="12.75"/>
  <cols>
    <col min="1" max="16384" width="9.140625" style="43"/>
  </cols>
  <sheetData>
    <row r="1" spans="1:1">
      <c r="A1" s="43" t="s">
        <v>258</v>
      </c>
    </row>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AC104"/>
  <sheetViews>
    <sheetView showZeros="0" zoomScaleNormal="100" workbookViewId="0">
      <selection activeCell="D12" sqref="D12"/>
    </sheetView>
  </sheetViews>
  <sheetFormatPr defaultColWidth="9.140625" defaultRowHeight="12.75"/>
  <cols>
    <col min="1" max="1" width="15.28515625" style="152" customWidth="1"/>
    <col min="2" max="2" width="26.7109375" style="152" customWidth="1"/>
    <col min="3" max="6" width="12.28515625" style="152" customWidth="1"/>
    <col min="7" max="7" width="13.42578125" style="152" customWidth="1"/>
    <col min="8" max="8" width="4.42578125" style="153" customWidth="1"/>
    <col min="9" max="9" width="0" style="222" hidden="1" customWidth="1"/>
    <col min="10" max="12" width="0" style="153" hidden="1" customWidth="1"/>
    <col min="13" max="25" width="9.140625" style="153"/>
    <col min="26" max="29" width="9.140625" style="152"/>
    <col min="30" max="16384" width="9.140625" style="150"/>
  </cols>
  <sheetData>
    <row r="1" spans="1:29" s="152" customFormat="1" ht="18.75" thickBot="1">
      <c r="B1" s="44" t="s">
        <v>242</v>
      </c>
      <c r="C1" s="100"/>
      <c r="D1" s="100"/>
      <c r="E1" s="100"/>
      <c r="F1" s="100"/>
      <c r="G1" s="100"/>
      <c r="H1" s="153"/>
      <c r="I1" s="417"/>
      <c r="J1" s="216"/>
      <c r="K1" s="216"/>
      <c r="L1" s="216"/>
      <c r="S1" s="153"/>
      <c r="T1" s="153"/>
      <c r="U1" s="153"/>
      <c r="V1" s="153"/>
      <c r="W1" s="153"/>
      <c r="X1" s="153"/>
      <c r="Y1" s="153"/>
    </row>
    <row r="2" spans="1:29" ht="16.5" thickBot="1">
      <c r="B2" s="66" t="s">
        <v>97</v>
      </c>
      <c r="C2" s="108"/>
      <c r="D2" s="109"/>
      <c r="E2" s="109"/>
      <c r="F2" s="109"/>
      <c r="G2" s="118" t="s">
        <v>74</v>
      </c>
      <c r="I2" s="417"/>
      <c r="J2" s="217"/>
      <c r="K2" s="217"/>
      <c r="L2" s="217"/>
    </row>
    <row r="3" spans="1:29">
      <c r="B3" s="71"/>
      <c r="C3" s="36" t="s">
        <v>44</v>
      </c>
      <c r="D3" s="69" t="s">
        <v>30</v>
      </c>
      <c r="E3" s="69" t="s">
        <v>5</v>
      </c>
      <c r="F3" s="69"/>
      <c r="G3" s="72" t="s">
        <v>31</v>
      </c>
      <c r="I3" s="417"/>
      <c r="J3" s="463"/>
      <c r="K3" s="217"/>
      <c r="L3" s="217"/>
    </row>
    <row r="4" spans="1:29">
      <c r="B4" s="250" t="s">
        <v>180</v>
      </c>
      <c r="C4" s="647">
        <f>ROUND(Inputs!G23/2,0)-Inputs!G32</f>
        <v>1</v>
      </c>
      <c r="D4" s="49">
        <f>IF(C4=0,0,Inputs!G24)</f>
        <v>575</v>
      </c>
      <c r="E4" s="49">
        <f>IF(C4=0,0,Inputs!G26)</f>
        <v>183</v>
      </c>
      <c r="F4" s="49" t="str">
        <f>IF(C4=0,0,"$ / cwt")</f>
        <v>$ / cwt</v>
      </c>
      <c r="G4" s="446">
        <f t="shared" ref="G4:G15" si="0">C4*D4*E4/100</f>
        <v>1052.25</v>
      </c>
      <c r="I4" s="417"/>
      <c r="J4" s="217"/>
      <c r="K4" s="217"/>
      <c r="L4" s="217"/>
    </row>
    <row r="5" spans="1:29">
      <c r="B5" s="250" t="s">
        <v>181</v>
      </c>
      <c r="C5" s="647">
        <f>ROUND(Inputs!G23/2,0)-Inputs!G7-Inputs!G9+Inputs!G13-Inputs!G35</f>
        <v>1</v>
      </c>
      <c r="D5" s="251">
        <f>IF(C5=0,0,Inputs!G25)</f>
        <v>525</v>
      </c>
      <c r="E5" s="251">
        <f>IF(C5=0,0,Inputs!G27)</f>
        <v>170</v>
      </c>
      <c r="F5" s="251" t="str">
        <f t="shared" ref="F5:F15" si="1">IF(C5=0,0,"$ / cwt")</f>
        <v>$ / cwt</v>
      </c>
      <c r="G5" s="446">
        <f t="shared" si="0"/>
        <v>892.5</v>
      </c>
      <c r="I5" s="417"/>
      <c r="J5" s="217"/>
      <c r="K5" s="217"/>
      <c r="L5" s="217"/>
    </row>
    <row r="6" spans="1:29" s="219" customFormat="1">
      <c r="A6" s="277"/>
      <c r="B6" s="250" t="s">
        <v>272</v>
      </c>
      <c r="C6" s="647">
        <f>Inputs!G32-Inputs!O32-Inputs!G42</f>
        <v>91</v>
      </c>
      <c r="D6" s="189">
        <f>IF(C6=0,0,Inputs!G33)</f>
        <v>675</v>
      </c>
      <c r="E6" s="189">
        <f>IF(C6=0,0,Inputs!G34)</f>
        <v>170</v>
      </c>
      <c r="F6" s="251" t="str">
        <f t="shared" si="1"/>
        <v>$ / cwt</v>
      </c>
      <c r="G6" s="446">
        <f t="shared" si="0"/>
        <v>104422.5</v>
      </c>
      <c r="H6" s="221"/>
      <c r="I6" s="417"/>
      <c r="J6" s="217"/>
      <c r="K6" s="217"/>
      <c r="L6" s="217"/>
      <c r="M6" s="221"/>
      <c r="N6" s="221"/>
      <c r="O6" s="221"/>
      <c r="P6" s="221"/>
      <c r="Q6" s="221"/>
      <c r="R6" s="221"/>
      <c r="S6" s="221"/>
      <c r="T6" s="221"/>
      <c r="U6" s="221"/>
      <c r="V6" s="221"/>
      <c r="W6" s="221"/>
      <c r="X6" s="221"/>
      <c r="Y6" s="221"/>
      <c r="Z6" s="277"/>
      <c r="AA6" s="277"/>
      <c r="AB6" s="277"/>
      <c r="AC6" s="277"/>
    </row>
    <row r="7" spans="1:29" s="219" customFormat="1">
      <c r="A7" s="277"/>
      <c r="B7" s="250" t="s">
        <v>273</v>
      </c>
      <c r="C7" s="647">
        <f>Inputs!G35-Inputs!O35-Inputs!G45</f>
        <v>91</v>
      </c>
      <c r="D7" s="189">
        <f>IF(C7=0,0,Inputs!G36)</f>
        <v>625</v>
      </c>
      <c r="E7" s="189">
        <f>IF(C7=0,0,Inputs!G37)</f>
        <v>160</v>
      </c>
      <c r="F7" s="251" t="str">
        <f t="shared" si="1"/>
        <v>$ / cwt</v>
      </c>
      <c r="G7" s="446">
        <f t="shared" si="0"/>
        <v>91000</v>
      </c>
      <c r="H7" s="221"/>
      <c r="I7" s="417"/>
      <c r="J7" s="217"/>
      <c r="K7" s="217"/>
      <c r="L7" s="217"/>
      <c r="M7" s="221"/>
      <c r="N7" s="221"/>
      <c r="O7" s="221"/>
      <c r="P7" s="221"/>
      <c r="Q7" s="221"/>
      <c r="R7" s="221"/>
      <c r="S7" s="221"/>
      <c r="T7" s="221"/>
      <c r="U7" s="221"/>
      <c r="V7" s="221"/>
      <c r="W7" s="221"/>
      <c r="X7" s="221"/>
      <c r="Y7" s="221"/>
      <c r="Z7" s="277"/>
      <c r="AA7" s="277"/>
      <c r="AB7" s="277"/>
      <c r="AC7" s="277"/>
    </row>
    <row r="8" spans="1:29" s="219" customFormat="1">
      <c r="A8" s="277"/>
      <c r="B8" s="250" t="s">
        <v>182</v>
      </c>
      <c r="C8" s="647">
        <f>Inputs!G42-Inputs!O42-Inputs!G52</f>
        <v>0</v>
      </c>
      <c r="D8" s="189">
        <f>IF(C8=0,0,Inputs!G43)</f>
        <v>0</v>
      </c>
      <c r="E8" s="189">
        <f>IF(C8=0,0,Inputs!G44)</f>
        <v>0</v>
      </c>
      <c r="F8" s="251">
        <f t="shared" si="1"/>
        <v>0</v>
      </c>
      <c r="G8" s="446">
        <f t="shared" si="0"/>
        <v>0</v>
      </c>
      <c r="H8" s="221"/>
      <c r="I8" s="417"/>
      <c r="J8" s="217"/>
      <c r="K8" s="217"/>
      <c r="L8" s="217"/>
      <c r="M8" s="221"/>
      <c r="N8" s="221"/>
      <c r="O8" s="221"/>
      <c r="P8" s="221"/>
      <c r="Q8" s="221"/>
      <c r="R8" s="221"/>
      <c r="S8" s="221"/>
      <c r="T8" s="221"/>
      <c r="U8" s="221"/>
      <c r="V8" s="221"/>
      <c r="W8" s="221"/>
      <c r="X8" s="221"/>
      <c r="Y8" s="221"/>
      <c r="Z8" s="277"/>
      <c r="AA8" s="277"/>
      <c r="AB8" s="277"/>
      <c r="AC8" s="277"/>
    </row>
    <row r="9" spans="1:29" s="219" customFormat="1">
      <c r="A9" s="277"/>
      <c r="B9" s="250" t="s">
        <v>183</v>
      </c>
      <c r="C9" s="647">
        <f>Inputs!G45-Inputs!O45-Inputs!G55</f>
        <v>0</v>
      </c>
      <c r="D9" s="189">
        <f>IF(C9=0,0,Inputs!G46)</f>
        <v>0</v>
      </c>
      <c r="E9" s="189">
        <f>IF(C9=0,0,Inputs!G47)</f>
        <v>0</v>
      </c>
      <c r="F9" s="251">
        <f t="shared" si="1"/>
        <v>0</v>
      </c>
      <c r="G9" s="446">
        <f t="shared" si="0"/>
        <v>0</v>
      </c>
      <c r="H9" s="221"/>
      <c r="I9" s="417"/>
      <c r="J9" s="217"/>
      <c r="K9" s="217"/>
      <c r="L9" s="217"/>
      <c r="M9" s="221"/>
      <c r="N9" s="221"/>
      <c r="O9" s="221"/>
      <c r="P9" s="221"/>
      <c r="Q9" s="221"/>
      <c r="R9" s="221"/>
      <c r="S9" s="221"/>
      <c r="T9" s="221"/>
      <c r="U9" s="221"/>
      <c r="V9" s="221"/>
      <c r="W9" s="221"/>
      <c r="X9" s="221"/>
      <c r="Y9" s="221"/>
      <c r="Z9" s="277"/>
      <c r="AA9" s="277"/>
      <c r="AB9" s="277"/>
      <c r="AC9" s="277"/>
    </row>
    <row r="10" spans="1:29" s="219" customFormat="1">
      <c r="A10" s="277"/>
      <c r="B10" s="250" t="s">
        <v>184</v>
      </c>
      <c r="C10" s="647">
        <f>Inputs!G52-Inputs!O52</f>
        <v>0</v>
      </c>
      <c r="D10" s="189">
        <f>IF(C10=0,0,Inputs!G53)</f>
        <v>0</v>
      </c>
      <c r="E10" s="189">
        <f>IF(C10=0,0,Inputs!G54)</f>
        <v>0</v>
      </c>
      <c r="F10" s="251">
        <f t="shared" si="1"/>
        <v>0</v>
      </c>
      <c r="G10" s="446">
        <f t="shared" si="0"/>
        <v>0</v>
      </c>
      <c r="H10" s="221"/>
      <c r="I10" s="417"/>
      <c r="J10" s="217"/>
      <c r="K10" s="217"/>
      <c r="L10" s="217"/>
      <c r="M10" s="221"/>
      <c r="N10" s="221"/>
      <c r="O10" s="221"/>
      <c r="P10" s="221"/>
      <c r="Q10" s="221"/>
      <c r="R10" s="221"/>
      <c r="S10" s="221"/>
      <c r="T10" s="221"/>
      <c r="U10" s="221"/>
      <c r="V10" s="221"/>
      <c r="W10" s="221"/>
      <c r="X10" s="221"/>
      <c r="Y10" s="221"/>
      <c r="Z10" s="277"/>
      <c r="AA10" s="277"/>
      <c r="AB10" s="277"/>
      <c r="AC10" s="277"/>
    </row>
    <row r="11" spans="1:29">
      <c r="B11" s="250" t="s">
        <v>185</v>
      </c>
      <c r="C11" s="648">
        <f>Inputs!G55-Inputs!O55</f>
        <v>0</v>
      </c>
      <c r="D11" s="189">
        <f>IF(C11=0,0,Inputs!G56)</f>
        <v>0</v>
      </c>
      <c r="E11" s="189">
        <f>IF(C11=0,0,Inputs!G57)</f>
        <v>0</v>
      </c>
      <c r="F11" s="251">
        <f t="shared" si="1"/>
        <v>0</v>
      </c>
      <c r="G11" s="446">
        <f t="shared" si="0"/>
        <v>0</v>
      </c>
      <c r="I11" s="417"/>
      <c r="J11" s="217"/>
      <c r="K11" s="217"/>
      <c r="L11" s="217"/>
    </row>
    <row r="12" spans="1:29">
      <c r="B12" s="27" t="s">
        <v>85</v>
      </c>
      <c r="C12" s="648">
        <f>Inputs!G5-Inputs!G62</f>
        <v>20</v>
      </c>
      <c r="D12" s="189">
        <f>IF(C12=0,0,Inputs!G15)</f>
        <v>1400</v>
      </c>
      <c r="E12" s="49">
        <f>IF(C12=0,0,Inputs!G16)</f>
        <v>60</v>
      </c>
      <c r="F12" s="251" t="str">
        <f t="shared" si="1"/>
        <v>$ / cwt</v>
      </c>
      <c r="G12" s="446">
        <f t="shared" si="0"/>
        <v>16800</v>
      </c>
      <c r="I12" s="417"/>
      <c r="J12" s="217"/>
      <c r="K12" s="217"/>
      <c r="L12" s="217"/>
    </row>
    <row r="13" spans="1:29" s="219" customFormat="1">
      <c r="A13" s="277"/>
      <c r="B13" s="250" t="s">
        <v>238</v>
      </c>
      <c r="C13" s="648">
        <f>Inputs!O63</f>
        <v>0</v>
      </c>
      <c r="D13" s="189">
        <f>IF(C13=0,0,Inputs!G63)</f>
        <v>0</v>
      </c>
      <c r="E13" s="251">
        <f>IF(C13=0,0,Inputs!G64)</f>
        <v>0</v>
      </c>
      <c r="F13" s="251">
        <f>IF(C13=0,0,"$ / cwt")</f>
        <v>0</v>
      </c>
      <c r="G13" s="446">
        <f t="shared" si="0"/>
        <v>0</v>
      </c>
      <c r="H13" s="221"/>
      <c r="I13" s="417"/>
      <c r="J13" s="217"/>
      <c r="K13" s="217"/>
      <c r="L13" s="217"/>
      <c r="M13" s="221"/>
      <c r="N13" s="221"/>
      <c r="O13" s="221"/>
      <c r="P13" s="221"/>
      <c r="Q13" s="221"/>
      <c r="R13" s="221"/>
      <c r="S13" s="221"/>
      <c r="T13" s="221"/>
      <c r="U13" s="221"/>
      <c r="V13" s="221"/>
      <c r="W13" s="221"/>
      <c r="X13" s="221"/>
      <c r="Y13" s="221"/>
      <c r="Z13" s="277"/>
      <c r="AA13" s="277"/>
      <c r="AB13" s="277"/>
      <c r="AC13" s="277"/>
    </row>
    <row r="14" spans="1:29">
      <c r="B14" s="27" t="s">
        <v>75</v>
      </c>
      <c r="C14" s="647">
        <f>Bulls!C4</f>
        <v>2.5</v>
      </c>
      <c r="D14" s="189">
        <f>IF(C14=0,0,Inputs!G22)</f>
        <v>1800</v>
      </c>
      <c r="E14" s="225">
        <f>IF(C14=0,0,Bulls!F4)</f>
        <v>85</v>
      </c>
      <c r="F14" s="251" t="str">
        <f t="shared" si="1"/>
        <v>$ / cwt</v>
      </c>
      <c r="G14" s="446">
        <f t="shared" si="0"/>
        <v>3825</v>
      </c>
      <c r="I14" s="417"/>
      <c r="J14" s="217"/>
      <c r="K14" s="217"/>
      <c r="L14" s="217"/>
    </row>
    <row r="15" spans="1:29">
      <c r="B15" s="48" t="s">
        <v>140</v>
      </c>
      <c r="C15" s="647">
        <f>'Breeding Herd'!C7</f>
        <v>0</v>
      </c>
      <c r="D15" s="189">
        <f>IF(C15=0,0,'Breeding Herd'!E7)</f>
        <v>0</v>
      </c>
      <c r="E15" s="225">
        <f>IF(C15=0,0,'Breeding Herd'!F7)</f>
        <v>0</v>
      </c>
      <c r="F15" s="251">
        <f t="shared" si="1"/>
        <v>0</v>
      </c>
      <c r="G15" s="446">
        <f t="shared" si="0"/>
        <v>0</v>
      </c>
      <c r="I15" s="417"/>
      <c r="J15" s="217"/>
      <c r="K15" s="217"/>
      <c r="L15" s="217"/>
    </row>
    <row r="16" spans="1:29" ht="13.5" thickBot="1">
      <c r="B16" s="48"/>
      <c r="C16" s="647"/>
      <c r="D16" s="49"/>
      <c r="E16" s="49"/>
      <c r="F16" s="49"/>
      <c r="G16" s="651"/>
      <c r="I16" s="417"/>
      <c r="J16" s="217"/>
      <c r="K16" s="217"/>
      <c r="L16" s="217"/>
    </row>
    <row r="17" spans="2:21" ht="16.5" thickBot="1">
      <c r="B17" s="66"/>
      <c r="C17" s="42"/>
      <c r="D17" s="38"/>
      <c r="E17" s="38"/>
      <c r="F17" s="21" t="s">
        <v>33</v>
      </c>
      <c r="G17" s="652">
        <f>SUM(G4:G16)</f>
        <v>217992.25</v>
      </c>
      <c r="I17" s="417"/>
      <c r="J17" s="217"/>
      <c r="K17" s="217"/>
      <c r="L17" s="217"/>
    </row>
    <row r="18" spans="2:21" ht="13.5" thickBot="1">
      <c r="B18" s="151"/>
      <c r="C18" s="49"/>
      <c r="D18" s="49"/>
      <c r="E18" s="49"/>
      <c r="F18" s="49"/>
      <c r="G18" s="597"/>
      <c r="I18" s="417"/>
      <c r="J18" s="217"/>
      <c r="K18" s="217"/>
      <c r="L18" s="217"/>
    </row>
    <row r="19" spans="2:21" ht="16.5" thickBot="1">
      <c r="B19" s="66" t="s">
        <v>34</v>
      </c>
      <c r="C19" s="108"/>
      <c r="D19" s="109"/>
      <c r="E19" s="109"/>
      <c r="F19" s="109"/>
      <c r="G19" s="653" t="s">
        <v>74</v>
      </c>
      <c r="I19" s="417"/>
      <c r="J19" s="217"/>
      <c r="K19" s="217"/>
      <c r="L19" s="217"/>
    </row>
    <row r="20" spans="2:21">
      <c r="B20" s="78" t="s">
        <v>69</v>
      </c>
      <c r="C20" s="36" t="s">
        <v>44</v>
      </c>
      <c r="D20" s="69" t="s">
        <v>5</v>
      </c>
      <c r="E20" s="45"/>
      <c r="F20" s="45"/>
      <c r="G20" s="654" t="s">
        <v>31</v>
      </c>
      <c r="I20" s="417"/>
      <c r="J20" s="217"/>
      <c r="K20" s="217"/>
      <c r="L20" s="217"/>
    </row>
    <row r="21" spans="2:21">
      <c r="B21" s="250" t="s">
        <v>186</v>
      </c>
      <c r="C21" s="73">
        <f>'Breeding Herd'!C14</f>
        <v>24</v>
      </c>
      <c r="D21" s="366">
        <f>Inputs!G14</f>
        <v>1800</v>
      </c>
      <c r="E21" s="49" t="s">
        <v>35</v>
      </c>
      <c r="F21" s="49"/>
      <c r="G21" s="446">
        <f>C21*D21</f>
        <v>43200</v>
      </c>
      <c r="I21" s="417"/>
      <c r="J21" s="217"/>
      <c r="K21" s="217"/>
      <c r="L21" s="217"/>
    </row>
    <row r="22" spans="2:21" ht="13.5" thickBot="1">
      <c r="B22" s="48" t="s">
        <v>76</v>
      </c>
      <c r="C22" s="74">
        <f>IF(Inputs!G19=0,0,Inputs!G17/Inputs!G19)</f>
        <v>2.5</v>
      </c>
      <c r="D22" s="366">
        <f>Inputs!G18</f>
        <v>3000</v>
      </c>
      <c r="E22" s="49" t="s">
        <v>35</v>
      </c>
      <c r="F22" s="49"/>
      <c r="G22" s="451">
        <f>C22*D22</f>
        <v>7500</v>
      </c>
      <c r="I22" s="417"/>
      <c r="J22" s="217"/>
      <c r="K22" s="217"/>
      <c r="L22" s="217"/>
    </row>
    <row r="23" spans="2:21" ht="13.5" thickTop="1">
      <c r="B23" s="27"/>
      <c r="C23" s="94"/>
      <c r="D23" s="49"/>
      <c r="E23" s="49"/>
      <c r="F23" s="58" t="s">
        <v>57</v>
      </c>
      <c r="G23" s="655">
        <f>SUM(G21:G22)</f>
        <v>50700</v>
      </c>
      <c r="I23" s="417"/>
      <c r="J23" s="217"/>
      <c r="K23" s="217"/>
      <c r="L23" s="217"/>
    </row>
    <row r="24" spans="2:21">
      <c r="B24" s="48"/>
      <c r="C24" s="32"/>
      <c r="D24" s="58"/>
      <c r="E24" s="49"/>
      <c r="F24" s="49"/>
      <c r="G24" s="597"/>
      <c r="I24" s="417"/>
      <c r="J24" s="217"/>
      <c r="K24" s="217"/>
      <c r="L24" s="217"/>
    </row>
    <row r="25" spans="2:21" ht="12.75" customHeight="1">
      <c r="B25" s="48"/>
      <c r="C25" s="836" t="s">
        <v>56</v>
      </c>
      <c r="D25" s="55"/>
      <c r="E25" s="49"/>
      <c r="F25" s="49"/>
      <c r="G25" s="597"/>
      <c r="I25" s="417"/>
      <c r="J25" s="217"/>
      <c r="K25" s="217"/>
      <c r="L25" s="217"/>
    </row>
    <row r="26" spans="2:21" ht="14.25" customHeight="1">
      <c r="B26" s="79" t="s">
        <v>7</v>
      </c>
      <c r="C26" s="836"/>
      <c r="D26" s="49"/>
      <c r="E26" s="39" t="s">
        <v>5</v>
      </c>
      <c r="F26" s="49"/>
      <c r="G26" s="598" t="s">
        <v>31</v>
      </c>
      <c r="I26" s="417"/>
      <c r="J26" s="421"/>
      <c r="K26" s="421"/>
      <c r="L26" s="421"/>
      <c r="M26" s="413"/>
      <c r="N26" s="413"/>
      <c r="O26" s="413"/>
      <c r="P26" s="413"/>
      <c r="Q26" s="413"/>
    </row>
    <row r="27" spans="2:21" ht="12.75" customHeight="1">
      <c r="B27" s="48" t="str">
        <f>IF(Inputs!B68="","",Inputs!B68)</f>
        <v xml:space="preserve">Pasture  </v>
      </c>
      <c r="C27" s="649">
        <f>IF(Inputs!G68=0,0,I27/Inputs!G68)</f>
        <v>1035.6164383561643</v>
      </c>
      <c r="D27" s="373" t="str">
        <f t="shared" ref="D27:D35" si="2">IFERROR(VLOOKUP(B27,Feed, 4,FALSE)&amp;"  @","")</f>
        <v>month  @</v>
      </c>
      <c r="E27" s="50">
        <f t="shared" ref="E27:E35" si="3">IF(B27="","",VLOOKUP($B27,Feed,3,FALSE))</f>
        <v>80</v>
      </c>
      <c r="F27" s="49" t="str">
        <f t="shared" ref="F27:F35" si="4">IF(B27="","",CONCATENATE("per ",VLOOKUP(B27,Feed,4,FALSE)))</f>
        <v>per month</v>
      </c>
      <c r="G27" s="446">
        <f>IFERROR(C27*E27,0)</f>
        <v>82849.315068493146</v>
      </c>
      <c r="I27" s="417">
        <f>SUM('Bulls:Fed Cull Cow'!M8)</f>
        <v>31500</v>
      </c>
      <c r="J27" s="421"/>
      <c r="K27" s="217"/>
      <c r="L27" s="417">
        <f>SUM('Bulls:Fed Cull Cow'!P8)</f>
        <v>149800</v>
      </c>
      <c r="S27" s="413">
        <f>SUM('Bulls:Fed Cull Cow'!W8)</f>
        <v>0</v>
      </c>
      <c r="U27" s="413">
        <f>SUM('Bulls:Fed Cull Cow'!Y8)</f>
        <v>0</v>
      </c>
    </row>
    <row r="28" spans="2:21" ht="14.25" customHeight="1">
      <c r="B28" s="48" t="str">
        <f>IF(Inputs!B69="","",Inputs!B69)</f>
        <v>Grain mix (distillers &amp; corn)</v>
      </c>
      <c r="C28" s="649">
        <f>IF(Inputs!G69=0,0,I28/Inputs!G69)</f>
        <v>1</v>
      </c>
      <c r="D28" s="373" t="str">
        <f t="shared" si="2"/>
        <v>ton  @</v>
      </c>
      <c r="E28" s="252">
        <f t="shared" si="3"/>
        <v>195</v>
      </c>
      <c r="F28" s="251" t="str">
        <f t="shared" si="4"/>
        <v>per ton</v>
      </c>
      <c r="G28" s="446">
        <f t="shared" ref="G28:G36" si="5">IFERROR(C28*E28,0)</f>
        <v>195</v>
      </c>
      <c r="I28" s="417">
        <f>SUM('Bulls:Fed Cull Cow'!N8)</f>
        <v>2000</v>
      </c>
      <c r="J28" s="421"/>
      <c r="K28" s="421"/>
      <c r="L28" s="417"/>
      <c r="M28" s="413"/>
      <c r="N28" s="413"/>
      <c r="O28" s="413"/>
      <c r="P28" s="413"/>
      <c r="Q28" s="413"/>
    </row>
    <row r="29" spans="2:21">
      <c r="B29" s="48" t="str">
        <f>IF(Inputs!B70="","",Inputs!B70)</f>
        <v>Prairie Hay</v>
      </c>
      <c r="C29" s="649">
        <f>IF(Inputs!G70=0,0,I29/Inputs!G70)</f>
        <v>335</v>
      </c>
      <c r="D29" s="373" t="str">
        <f t="shared" si="2"/>
        <v>ton  @</v>
      </c>
      <c r="E29" s="252">
        <f t="shared" si="3"/>
        <v>130</v>
      </c>
      <c r="F29" s="251" t="str">
        <f t="shared" si="4"/>
        <v>per ton</v>
      </c>
      <c r="G29" s="446">
        <f t="shared" si="5"/>
        <v>43550</v>
      </c>
      <c r="I29" s="417">
        <f>SUM('Bulls:Fed Cull Cow'!O8)</f>
        <v>670000</v>
      </c>
      <c r="J29" s="421"/>
      <c r="K29" s="421"/>
      <c r="L29" s="417"/>
      <c r="M29" s="413"/>
      <c r="N29" s="413"/>
      <c r="O29" s="413"/>
      <c r="P29" s="413"/>
      <c r="Q29" s="413"/>
    </row>
    <row r="30" spans="2:21">
      <c r="B30" s="48" t="str">
        <f>IF(Inputs!B71="","",Inputs!B71)</f>
        <v>Alfalfa</v>
      </c>
      <c r="C30" s="649">
        <f>IF(Inputs!G71=0,0,I30/Inputs!G71)</f>
        <v>74.900000000000006</v>
      </c>
      <c r="D30" s="373" t="str">
        <f t="shared" si="2"/>
        <v>ton  @</v>
      </c>
      <c r="E30" s="252">
        <f t="shared" si="3"/>
        <v>150</v>
      </c>
      <c r="F30" s="251" t="str">
        <f t="shared" si="4"/>
        <v>per ton</v>
      </c>
      <c r="G30" s="446">
        <f t="shared" si="5"/>
        <v>11235</v>
      </c>
      <c r="I30" s="417">
        <f>SUM('Bulls:Fed Cull Cow'!P8)</f>
        <v>149800</v>
      </c>
      <c r="J30" s="421"/>
      <c r="K30" s="421"/>
      <c r="L30" s="417"/>
      <c r="M30" s="413"/>
      <c r="N30" s="413"/>
      <c r="O30" s="413"/>
      <c r="P30" s="413"/>
      <c r="Q30" s="413"/>
    </row>
    <row r="31" spans="2:21">
      <c r="B31" s="48" t="str">
        <f>IF(Inputs!B72="","",Inputs!B72)</f>
        <v>Distiller's Grain - modified wet</v>
      </c>
      <c r="C31" s="649">
        <f>IF(Inputs!G72=0,0,I31/Inputs!G72)</f>
        <v>32.024999999999999</v>
      </c>
      <c r="D31" s="373" t="str">
        <f t="shared" si="2"/>
        <v>ton  @</v>
      </c>
      <c r="E31" s="252">
        <f t="shared" si="3"/>
        <v>100</v>
      </c>
      <c r="F31" s="251" t="str">
        <f t="shared" si="4"/>
        <v>per ton</v>
      </c>
      <c r="G31" s="446">
        <f t="shared" si="5"/>
        <v>3202.5</v>
      </c>
      <c r="I31" s="417">
        <f>SUM('Bulls:Fed Cull Cow'!Q8)</f>
        <v>64050</v>
      </c>
      <c r="J31" s="421"/>
      <c r="K31" s="421"/>
      <c r="L31" s="417"/>
      <c r="M31" s="413"/>
      <c r="N31" s="413"/>
      <c r="O31" s="413"/>
      <c r="P31" s="413"/>
      <c r="Q31" s="413"/>
    </row>
    <row r="32" spans="2:21">
      <c r="B32" s="48" t="str">
        <f>IF(Inputs!B73="","",Inputs!B73)</f>
        <v>Salt and Mineral</v>
      </c>
      <c r="C32" s="649">
        <f>IF(Inputs!G73=0,0,I32/Inputs!G73)</f>
        <v>8.3625000000000007</v>
      </c>
      <c r="D32" s="373" t="str">
        <f t="shared" si="2"/>
        <v>ton  @</v>
      </c>
      <c r="E32" s="252">
        <f t="shared" si="3"/>
        <v>1200</v>
      </c>
      <c r="F32" s="251" t="str">
        <f t="shared" si="4"/>
        <v>per ton</v>
      </c>
      <c r="G32" s="446">
        <f t="shared" si="5"/>
        <v>10035</v>
      </c>
      <c r="I32" s="417">
        <f>SUM('Bulls:Fed Cull Cow'!R8)</f>
        <v>267600</v>
      </c>
      <c r="J32" s="421"/>
      <c r="K32" s="421"/>
      <c r="L32" s="417"/>
      <c r="M32" s="413"/>
      <c r="N32" s="413"/>
      <c r="O32" s="413"/>
      <c r="P32" s="413"/>
      <c r="Q32" s="413"/>
    </row>
    <row r="33" spans="1:29">
      <c r="B33" s="48" t="str">
        <f>IF(Inputs!B74="","",Inputs!B74)</f>
        <v>Dried Distiller's Cubes - bulk</v>
      </c>
      <c r="C33" s="649">
        <f>IF(Inputs!G74=0,0,I33/Inputs!G74)</f>
        <v>20</v>
      </c>
      <c r="D33" s="373" t="str">
        <f t="shared" si="2"/>
        <v>ton  @</v>
      </c>
      <c r="E33" s="252">
        <f t="shared" si="3"/>
        <v>300</v>
      </c>
      <c r="F33" s="251" t="str">
        <f t="shared" si="4"/>
        <v>per ton</v>
      </c>
      <c r="G33" s="446">
        <f t="shared" si="5"/>
        <v>6000</v>
      </c>
      <c r="I33" s="417">
        <f>SUM('Bulls:Fed Cull Cow'!S8)</f>
        <v>40000</v>
      </c>
      <c r="J33" s="421"/>
      <c r="K33" s="421"/>
      <c r="L33" s="417"/>
      <c r="M33" s="413"/>
      <c r="N33" s="413"/>
      <c r="O33" s="413"/>
      <c r="P33" s="413"/>
      <c r="Q33" s="413"/>
    </row>
    <row r="34" spans="1:29">
      <c r="B34" s="48" t="str">
        <f>IF(Inputs!B75="","",Inputs!B75)</f>
        <v>Corn</v>
      </c>
      <c r="C34" s="649">
        <f>IF(Inputs!G75=0,0,I34/Inputs!G75)</f>
        <v>0</v>
      </c>
      <c r="D34" s="373" t="str">
        <f t="shared" si="2"/>
        <v>bu  @</v>
      </c>
      <c r="E34" s="252">
        <f t="shared" si="3"/>
        <v>5.25</v>
      </c>
      <c r="F34" s="251" t="str">
        <f t="shared" si="4"/>
        <v>per bu</v>
      </c>
      <c r="G34" s="446">
        <f t="shared" si="5"/>
        <v>0</v>
      </c>
      <c r="I34" s="417">
        <f>SUM('Bulls:Fed Cull Cow'!T8)</f>
        <v>0</v>
      </c>
      <c r="J34" s="421"/>
      <c r="K34" s="421"/>
      <c r="L34" s="417"/>
      <c r="M34" s="413"/>
      <c r="N34" s="413"/>
      <c r="O34" s="413"/>
      <c r="P34" s="413"/>
      <c r="Q34" s="413"/>
    </row>
    <row r="35" spans="1:29">
      <c r="B35" s="48" t="str">
        <f>IF(Inputs!B76="","",Inputs!B76)</f>
        <v>Dried Rolled Corn</v>
      </c>
      <c r="C35" s="649">
        <f>IF(Inputs!G76=0,0,I35/Inputs!G76)</f>
        <v>980.35714285714289</v>
      </c>
      <c r="D35" s="373" t="str">
        <f t="shared" si="2"/>
        <v>bu  @</v>
      </c>
      <c r="E35" s="252">
        <f t="shared" si="3"/>
        <v>5.4</v>
      </c>
      <c r="F35" s="251" t="str">
        <f t="shared" si="4"/>
        <v>per bu</v>
      </c>
      <c r="G35" s="446">
        <f t="shared" si="5"/>
        <v>5293.9285714285716</v>
      </c>
      <c r="I35" s="417">
        <f>SUM('Bulls:Fed Cull Cow'!U8)</f>
        <v>54900</v>
      </c>
      <c r="J35" s="421"/>
      <c r="K35" s="421"/>
      <c r="L35" s="417"/>
      <c r="M35" s="413"/>
      <c r="N35" s="413"/>
      <c r="O35" s="413"/>
      <c r="P35" s="413"/>
      <c r="Q35" s="413"/>
    </row>
    <row r="36" spans="1:29" ht="13.5" thickBot="1">
      <c r="B36" s="48" t="str">
        <f>IF(Inputs!B77="","",Inputs!B77)</f>
        <v>Corn Stalks</v>
      </c>
      <c r="C36" s="649">
        <f>IF(Inputs!G77=0,0,I36/Inputs!G77)</f>
        <v>18000</v>
      </c>
      <c r="D36" s="412" t="str">
        <f>IFERROR(VLOOKUP(B36,Feed, 4,FALSE)&amp;"s  @","")</f>
        <v>days  @</v>
      </c>
      <c r="E36" s="252">
        <f>IF(B36="","",VLOOKUP($B36,Feed,3,FALSE))</f>
        <v>0.75</v>
      </c>
      <c r="F36" s="49" t="str">
        <f>IF(B36="","",CONCATENATE("per ",VLOOKUP(B36,Feed,4,FALSE)))</f>
        <v>per day</v>
      </c>
      <c r="G36" s="451">
        <f t="shared" si="5"/>
        <v>13500</v>
      </c>
      <c r="I36" s="417">
        <f>SUM('Bulls:Fed Cull Cow'!V8)</f>
        <v>18000</v>
      </c>
      <c r="J36" s="421"/>
      <c r="K36" s="421"/>
      <c r="L36" s="417"/>
      <c r="M36" s="413"/>
      <c r="N36" s="413"/>
      <c r="O36" s="413"/>
      <c r="P36" s="413"/>
      <c r="Q36" s="413"/>
    </row>
    <row r="37" spans="1:29" ht="13.5" thickTop="1">
      <c r="B37" s="48"/>
      <c r="C37" s="650"/>
      <c r="D37" s="49"/>
      <c r="E37" s="49"/>
      <c r="F37" s="28" t="s">
        <v>36</v>
      </c>
      <c r="G37" s="526">
        <f>SUM(G27:G36)</f>
        <v>175860.74363992171</v>
      </c>
    </row>
    <row r="38" spans="1:29">
      <c r="B38" s="48"/>
      <c r="C38" s="31"/>
      <c r="D38" s="49"/>
      <c r="E38" s="49"/>
      <c r="F38" s="49"/>
      <c r="G38" s="597"/>
    </row>
    <row r="39" spans="1:29">
      <c r="B39" s="79" t="s">
        <v>47</v>
      </c>
      <c r="C39" s="31"/>
      <c r="D39" s="83"/>
      <c r="E39" s="39"/>
      <c r="F39" s="39"/>
      <c r="G39" s="598" t="s">
        <v>31</v>
      </c>
    </row>
    <row r="40" spans="1:29">
      <c r="B40" s="211" t="str">
        <f>Inputs!B81</f>
        <v>Labor</v>
      </c>
      <c r="C40" s="31"/>
      <c r="D40" s="80"/>
      <c r="E40" s="57"/>
      <c r="F40" s="57"/>
      <c r="G40" s="446">
        <f>'Breeding Herd'!H28+'Background Calf'!H25+Stocker!H25+Feedlot!H25+'Fed Cull Cow'!H24</f>
        <v>5985.3904605865191</v>
      </c>
    </row>
    <row r="41" spans="1:29">
      <c r="B41" s="250" t="str">
        <f>Inputs!B82</f>
        <v>Fuel</v>
      </c>
      <c r="C41" s="31"/>
      <c r="D41" s="80"/>
      <c r="E41" s="57"/>
      <c r="F41" s="57"/>
      <c r="G41" s="446">
        <f>'Breeding Herd'!H29+'Background Calf'!H26+Stocker!H26+Feedlot!H26+'Fed Cull Cow'!H25</f>
        <v>3990.2603070576797</v>
      </c>
    </row>
    <row r="42" spans="1:29">
      <c r="B42" s="250" t="str">
        <f>Inputs!B83</f>
        <v>Veterinary and Medical</v>
      </c>
      <c r="C42" s="31"/>
      <c r="D42" s="80"/>
      <c r="E42" s="57"/>
      <c r="F42" s="57"/>
      <c r="G42" s="446">
        <f>'Fed Cull Cow'!H26+Feedlot!H27+Stocker!H27+'Background Calf'!H27+'Breeding Herd'!H30</f>
        <v>4987.8253838220999</v>
      </c>
    </row>
    <row r="43" spans="1:29">
      <c r="B43" s="250" t="str">
        <f>Inputs!B84</f>
        <v>Cull Cow Marketing</v>
      </c>
      <c r="C43" s="31"/>
      <c r="D43" s="80"/>
      <c r="E43" s="57"/>
      <c r="F43" s="57"/>
      <c r="G43" s="446">
        <f>'Fed Cull Cow'!H27+'Breeding Herd'!H31</f>
        <v>500</v>
      </c>
    </row>
    <row r="44" spans="1:29">
      <c r="B44" s="250" t="str">
        <f>Inputs!B85</f>
        <v>Cull Bull Marketing</v>
      </c>
      <c r="C44" s="31"/>
      <c r="D44" s="80"/>
      <c r="E44" s="57"/>
      <c r="F44" s="57"/>
      <c r="G44" s="446">
        <f>Bulls!H23</f>
        <v>62.5</v>
      </c>
    </row>
    <row r="45" spans="1:29" s="219" customFormat="1">
      <c r="A45" s="277"/>
      <c r="B45" s="250" t="str">
        <f>Inputs!B86</f>
        <v>Cull Replacement Marketing</v>
      </c>
      <c r="C45" s="243"/>
      <c r="D45" s="264"/>
      <c r="E45" s="257"/>
      <c r="F45" s="257"/>
      <c r="G45" s="446">
        <f>'Breeding Herd'!H32</f>
        <v>0</v>
      </c>
      <c r="H45" s="221"/>
      <c r="I45" s="222"/>
      <c r="J45" s="221"/>
      <c r="K45" s="221"/>
      <c r="L45" s="221"/>
      <c r="M45" s="221"/>
      <c r="N45" s="221"/>
      <c r="O45" s="221"/>
      <c r="P45" s="221"/>
      <c r="Q45" s="221"/>
      <c r="R45" s="221"/>
      <c r="S45" s="221"/>
      <c r="T45" s="221"/>
      <c r="U45" s="221"/>
      <c r="V45" s="221"/>
      <c r="W45" s="221"/>
      <c r="X45" s="221"/>
      <c r="Y45" s="221"/>
      <c r="Z45" s="277"/>
      <c r="AA45" s="277"/>
      <c r="AB45" s="277"/>
      <c r="AC45" s="277"/>
    </row>
    <row r="46" spans="1:29" s="219" customFormat="1">
      <c r="A46" s="277"/>
      <c r="B46" s="250" t="str">
        <f>Inputs!B87</f>
        <v>Weaned Calf Marketing</v>
      </c>
      <c r="C46" s="243"/>
      <c r="D46" s="264"/>
      <c r="E46" s="257"/>
      <c r="F46" s="257"/>
      <c r="G46" s="446">
        <f>'Breeding Herd'!H33</f>
        <v>50</v>
      </c>
      <c r="H46" s="221"/>
      <c r="I46" s="222"/>
      <c r="J46" s="221"/>
      <c r="K46" s="221"/>
      <c r="L46" s="221"/>
      <c r="M46" s="221"/>
      <c r="N46" s="221"/>
      <c r="O46" s="221"/>
      <c r="P46" s="221"/>
      <c r="Q46" s="221"/>
      <c r="R46" s="221"/>
      <c r="S46" s="221"/>
      <c r="T46" s="221"/>
      <c r="U46" s="221"/>
      <c r="V46" s="221"/>
      <c r="W46" s="221"/>
      <c r="X46" s="221"/>
      <c r="Y46" s="221"/>
      <c r="Z46" s="277"/>
      <c r="AA46" s="277"/>
      <c r="AB46" s="277"/>
      <c r="AC46" s="277"/>
    </row>
    <row r="47" spans="1:29" s="219" customFormat="1">
      <c r="A47" s="277"/>
      <c r="B47" s="250" t="str">
        <f>Inputs!B88</f>
        <v>Backgrounded Calf Marketing</v>
      </c>
      <c r="C47" s="243"/>
      <c r="D47" s="264"/>
      <c r="E47" s="257"/>
      <c r="F47" s="257"/>
      <c r="G47" s="446">
        <f>'Background Calf'!H28</f>
        <v>4550</v>
      </c>
      <c r="H47" s="221"/>
      <c r="I47" s="222"/>
      <c r="J47" s="221"/>
      <c r="K47" s="221"/>
      <c r="L47" s="221"/>
      <c r="M47" s="221"/>
      <c r="N47" s="221"/>
      <c r="O47" s="221"/>
      <c r="P47" s="221"/>
      <c r="Q47" s="221"/>
      <c r="R47" s="221"/>
      <c r="S47" s="221"/>
      <c r="T47" s="221"/>
      <c r="U47" s="221"/>
      <c r="V47" s="221"/>
      <c r="W47" s="221"/>
      <c r="X47" s="221"/>
      <c r="Y47" s="221"/>
      <c r="Z47" s="277"/>
      <c r="AA47" s="277"/>
      <c r="AB47" s="277"/>
      <c r="AC47" s="277"/>
    </row>
    <row r="48" spans="1:29">
      <c r="B48" s="250" t="str">
        <f>Inputs!B89</f>
        <v>Stocker Marketing</v>
      </c>
      <c r="C48" s="31"/>
      <c r="D48" s="80"/>
      <c r="E48" s="57"/>
      <c r="F48" s="57"/>
      <c r="G48" s="446">
        <f>Stocker!H28</f>
        <v>0</v>
      </c>
    </row>
    <row r="49" spans="1:29" s="219" customFormat="1">
      <c r="A49" s="277"/>
      <c r="B49" s="250" t="str">
        <f>Inputs!B90</f>
        <v>Feedlot Marketing</v>
      </c>
      <c r="C49" s="243"/>
      <c r="D49" s="264"/>
      <c r="E49" s="257"/>
      <c r="F49" s="257"/>
      <c r="G49" s="446">
        <f>Feedlot!H28</f>
        <v>0</v>
      </c>
      <c r="H49" s="221"/>
      <c r="I49" s="222"/>
      <c r="J49" s="221"/>
      <c r="K49" s="221"/>
      <c r="L49" s="221"/>
      <c r="M49" s="221"/>
      <c r="N49" s="221"/>
      <c r="O49" s="221"/>
      <c r="P49" s="221"/>
      <c r="Q49" s="221"/>
      <c r="R49" s="221"/>
      <c r="S49" s="221"/>
      <c r="T49" s="221"/>
      <c r="U49" s="221"/>
      <c r="V49" s="221"/>
      <c r="W49" s="221"/>
      <c r="X49" s="221"/>
      <c r="Y49" s="221"/>
      <c r="Z49" s="277"/>
      <c r="AA49" s="277"/>
      <c r="AB49" s="277"/>
      <c r="AC49" s="277"/>
    </row>
    <row r="50" spans="1:29" s="219" customFormat="1">
      <c r="A50" s="277"/>
      <c r="B50" s="250">
        <f>Inputs!B91</f>
        <v>0</v>
      </c>
      <c r="C50" s="243"/>
      <c r="D50" s="264"/>
      <c r="E50" s="257"/>
      <c r="F50" s="257"/>
      <c r="G50" s="446">
        <f>'Breeding Herd'!H34+'Background Calf'!H29+Stocker!H29+Feedlot!H29+'Fed Cull Cow'!H28</f>
        <v>0</v>
      </c>
      <c r="H50" s="221"/>
      <c r="I50" s="222"/>
      <c r="J50" s="221"/>
      <c r="K50" s="221"/>
      <c r="L50" s="221"/>
      <c r="M50" s="221"/>
      <c r="N50" s="221"/>
      <c r="O50" s="221"/>
      <c r="P50" s="221"/>
      <c r="Q50" s="221"/>
      <c r="R50" s="221"/>
      <c r="S50" s="221"/>
      <c r="T50" s="221"/>
      <c r="U50" s="221"/>
      <c r="V50" s="221"/>
      <c r="W50" s="221"/>
      <c r="X50" s="221"/>
      <c r="Y50" s="221"/>
      <c r="Z50" s="277"/>
      <c r="AA50" s="277"/>
      <c r="AB50" s="277"/>
      <c r="AC50" s="277"/>
    </row>
    <row r="51" spans="1:29" s="219" customFormat="1">
      <c r="A51" s="277"/>
      <c r="B51" s="250" t="str">
        <f>Inputs!B92</f>
        <v xml:space="preserve">Horse maintenance /feed </v>
      </c>
      <c r="C51" s="243"/>
      <c r="D51" s="264"/>
      <c r="E51" s="257"/>
      <c r="F51" s="257"/>
      <c r="G51" s="446">
        <f>'Breeding Herd'!H35+'Background Calf'!H30+Stocker!H30+Feedlot!H30+'Fed Cull Cow'!H29</f>
        <v>2000</v>
      </c>
      <c r="H51" s="221"/>
      <c r="I51" s="222"/>
      <c r="J51" s="221"/>
      <c r="K51" s="221"/>
      <c r="L51" s="221"/>
      <c r="M51" s="221"/>
      <c r="N51" s="221"/>
      <c r="O51" s="221"/>
      <c r="P51" s="221"/>
      <c r="Q51" s="221"/>
      <c r="R51" s="221"/>
      <c r="S51" s="221"/>
      <c r="T51" s="221"/>
      <c r="U51" s="221"/>
      <c r="V51" s="221"/>
      <c r="W51" s="221"/>
      <c r="X51" s="221"/>
      <c r="Y51" s="221"/>
      <c r="Z51" s="277"/>
      <c r="AA51" s="277"/>
      <c r="AB51" s="277"/>
      <c r="AC51" s="277"/>
    </row>
    <row r="52" spans="1:29" s="219" customFormat="1">
      <c r="A52" s="277"/>
      <c r="B52" s="250">
        <f>Inputs!B93</f>
        <v>0</v>
      </c>
      <c r="C52" s="243"/>
      <c r="D52" s="264"/>
      <c r="E52" s="257"/>
      <c r="F52" s="257"/>
      <c r="G52" s="446">
        <f>'Breeding Herd'!H36+'Background Calf'!H31+Stocker!H31+Feedlot!H31+'Fed Cull Cow'!H30</f>
        <v>0</v>
      </c>
      <c r="H52" s="221"/>
      <c r="I52" s="222"/>
      <c r="J52" s="221"/>
      <c r="K52" s="221"/>
      <c r="L52" s="221"/>
      <c r="M52" s="221"/>
      <c r="N52" s="221"/>
      <c r="O52" s="221"/>
      <c r="P52" s="221"/>
      <c r="Q52" s="221"/>
      <c r="R52" s="221"/>
      <c r="S52" s="221"/>
      <c r="T52" s="221"/>
      <c r="U52" s="221"/>
      <c r="V52" s="221"/>
      <c r="W52" s="221"/>
      <c r="X52" s="221"/>
      <c r="Y52" s="221"/>
      <c r="Z52" s="277"/>
      <c r="AA52" s="277"/>
      <c r="AB52" s="277"/>
      <c r="AC52" s="277"/>
    </row>
    <row r="53" spans="1:29" s="219" customFormat="1">
      <c r="A53" s="277"/>
      <c r="B53" s="250">
        <f>Inputs!B94</f>
        <v>0</v>
      </c>
      <c r="C53" s="243"/>
      <c r="D53" s="264"/>
      <c r="E53" s="257"/>
      <c r="F53" s="257"/>
      <c r="G53" s="446">
        <f>'Breeding Herd'!H37+'Background Calf'!H32+Stocker!H32+Feedlot!H32+'Fed Cull Cow'!H31</f>
        <v>0</v>
      </c>
      <c r="H53" s="221"/>
      <c r="I53" s="222"/>
      <c r="J53" s="221"/>
      <c r="K53" s="221"/>
      <c r="L53" s="221"/>
      <c r="M53" s="221"/>
      <c r="N53" s="221"/>
      <c r="O53" s="221"/>
      <c r="P53" s="221"/>
      <c r="Q53" s="221"/>
      <c r="R53" s="221"/>
      <c r="S53" s="221"/>
      <c r="T53" s="221"/>
      <c r="U53" s="221"/>
      <c r="V53" s="221"/>
      <c r="W53" s="221"/>
      <c r="X53" s="221"/>
      <c r="Y53" s="221"/>
      <c r="Z53" s="277"/>
      <c r="AA53" s="277"/>
      <c r="AB53" s="277"/>
      <c r="AC53" s="277"/>
    </row>
    <row r="54" spans="1:29" s="219" customFormat="1">
      <c r="A54" s="277"/>
      <c r="B54" s="250">
        <f>Inputs!B95</f>
        <v>0</v>
      </c>
      <c r="C54" s="243"/>
      <c r="D54" s="264"/>
      <c r="E54" s="257"/>
      <c r="F54" s="257"/>
      <c r="G54" s="446">
        <f>'Breeding Herd'!H38+'Background Calf'!H33+Stocker!H33+Feedlot!H33+'Fed Cull Cow'!H32</f>
        <v>0</v>
      </c>
      <c r="H54" s="221"/>
      <c r="I54" s="222"/>
      <c r="J54" s="221"/>
      <c r="K54" s="221"/>
      <c r="L54" s="221"/>
      <c r="M54" s="221"/>
      <c r="N54" s="221"/>
      <c r="O54" s="221"/>
      <c r="P54" s="221"/>
      <c r="Q54" s="221"/>
      <c r="R54" s="221"/>
      <c r="S54" s="221"/>
      <c r="T54" s="221"/>
      <c r="U54" s="221"/>
      <c r="V54" s="221"/>
      <c r="W54" s="221"/>
      <c r="X54" s="221"/>
      <c r="Y54" s="221"/>
      <c r="Z54" s="277"/>
      <c r="AA54" s="277"/>
      <c r="AB54" s="277"/>
      <c r="AC54" s="277"/>
    </row>
    <row r="55" spans="1:29" ht="42.75" customHeight="1" thickBot="1">
      <c r="B55" s="173" t="s">
        <v>37</v>
      </c>
      <c r="C55" s="837" t="s">
        <v>118</v>
      </c>
      <c r="D55" s="838"/>
      <c r="E55" s="838"/>
      <c r="F55" s="839"/>
      <c r="G55" s="458">
        <f>'Breeding Herd'!H39+Bulls!H24+'Background Calf'!H34+Stocker!H34+Feedlot!H34+'Fed Cull Cow'!H33</f>
        <v>7249.6194018173474</v>
      </c>
    </row>
    <row r="56" spans="1:29" ht="14.25" thickTop="1" thickBot="1">
      <c r="B56" s="51"/>
      <c r="C56" s="34"/>
      <c r="D56" s="52"/>
      <c r="E56" s="49"/>
      <c r="F56" s="59" t="s">
        <v>49</v>
      </c>
      <c r="G56" s="656">
        <f>SUM(G40:G55)</f>
        <v>29375.595553283645</v>
      </c>
    </row>
    <row r="57" spans="1:29" ht="16.5" thickBot="1">
      <c r="B57" s="66"/>
      <c r="C57" s="38"/>
      <c r="D57" s="38"/>
      <c r="E57" s="38"/>
      <c r="F57" s="21" t="s">
        <v>38</v>
      </c>
      <c r="G57" s="652">
        <f>G23+G37+G56</f>
        <v>255936.33919320535</v>
      </c>
    </row>
    <row r="58" spans="1:29" ht="13.5" thickBot="1">
      <c r="B58" s="48"/>
      <c r="C58" s="49"/>
      <c r="D58" s="49"/>
      <c r="E58" s="58"/>
      <c r="F58" s="58"/>
      <c r="G58" s="657"/>
    </row>
    <row r="59" spans="1:29" ht="16.5" thickBot="1">
      <c r="B59" s="66" t="s">
        <v>109</v>
      </c>
      <c r="C59" s="108"/>
      <c r="D59" s="109"/>
      <c r="E59" s="109"/>
      <c r="F59" s="109"/>
      <c r="G59" s="653" t="s">
        <v>74</v>
      </c>
    </row>
    <row r="60" spans="1:29">
      <c r="B60" s="78" t="s">
        <v>39</v>
      </c>
      <c r="C60" s="102"/>
      <c r="D60" s="69" t="s">
        <v>15</v>
      </c>
      <c r="E60" s="49"/>
      <c r="F60" s="47"/>
      <c r="G60" s="654" t="s">
        <v>31</v>
      </c>
    </row>
    <row r="61" spans="1:29">
      <c r="B61" s="48" t="str">
        <f>IF(Inputs!B99="","",Inputs!B99)</f>
        <v>Buildings /Barn /Fencing</v>
      </c>
      <c r="C61" s="77"/>
      <c r="D61" s="459">
        <f>Inputs!G99</f>
        <v>1000</v>
      </c>
      <c r="E61" s="49"/>
      <c r="F61" s="56"/>
      <c r="G61" s="446">
        <f>D61</f>
        <v>1000</v>
      </c>
    </row>
    <row r="62" spans="1:29">
      <c r="B62" s="48" t="str">
        <f>IF(Inputs!B100="","",Inputs!B100)</f>
        <v>General machinery &amp; equipment</v>
      </c>
      <c r="C62" s="77"/>
      <c r="D62" s="459">
        <f>Inputs!G100</f>
        <v>1000</v>
      </c>
      <c r="E62" s="49"/>
      <c r="F62" s="56"/>
      <c r="G62" s="446">
        <f t="shared" ref="G62:G69" si="6">D62</f>
        <v>1000</v>
      </c>
    </row>
    <row r="63" spans="1:29">
      <c r="B63" s="48" t="str">
        <f>IF(Inputs!B101="","",Inputs!B101)</f>
        <v>Vehicles</v>
      </c>
      <c r="C63" s="77"/>
      <c r="D63" s="459">
        <f>Inputs!G101</f>
        <v>1200</v>
      </c>
      <c r="E63" s="49"/>
      <c r="F63" s="56"/>
      <c r="G63" s="446">
        <f t="shared" si="6"/>
        <v>1200</v>
      </c>
    </row>
    <row r="64" spans="1:29">
      <c r="B64" s="48" t="str">
        <f>IF(Inputs!B102="","",Inputs!B102)</f>
        <v>2 Horses ($5,000 value each)</v>
      </c>
      <c r="C64" s="77"/>
      <c r="D64" s="459">
        <f>Inputs!G102</f>
        <v>0</v>
      </c>
      <c r="E64" s="49"/>
      <c r="F64" s="56"/>
      <c r="G64" s="446">
        <f t="shared" si="6"/>
        <v>0</v>
      </c>
    </row>
    <row r="65" spans="2:7">
      <c r="B65" s="48">
        <f>Inputs!B104</f>
        <v>0</v>
      </c>
      <c r="C65" s="77"/>
      <c r="D65" s="459">
        <f>Inputs!G103</f>
        <v>0</v>
      </c>
      <c r="E65" s="49"/>
      <c r="F65" s="56"/>
      <c r="G65" s="446">
        <f t="shared" si="6"/>
        <v>0</v>
      </c>
    </row>
    <row r="66" spans="2:7">
      <c r="B66" s="211">
        <f>Inputs!B105</f>
        <v>0</v>
      </c>
      <c r="C66" s="77"/>
      <c r="D66" s="459">
        <f>Inputs!G104</f>
        <v>0</v>
      </c>
      <c r="E66" s="49"/>
      <c r="F66" s="56"/>
      <c r="G66" s="446">
        <f t="shared" si="6"/>
        <v>0</v>
      </c>
    </row>
    <row r="67" spans="2:7">
      <c r="B67" s="211">
        <f>Inputs!B106</f>
        <v>0</v>
      </c>
      <c r="C67" s="77"/>
      <c r="D67" s="459">
        <f>Inputs!G105</f>
        <v>0</v>
      </c>
      <c r="E67" s="49"/>
      <c r="F67" s="56"/>
      <c r="G67" s="446">
        <f t="shared" si="6"/>
        <v>0</v>
      </c>
    </row>
    <row r="68" spans="2:7">
      <c r="B68" s="211">
        <f>Inputs!B107</f>
        <v>0</v>
      </c>
      <c r="C68" s="77"/>
      <c r="D68" s="459">
        <f>Inputs!G106</f>
        <v>0</v>
      </c>
      <c r="E68" s="49"/>
      <c r="F68" s="56"/>
      <c r="G68" s="446">
        <f t="shared" si="6"/>
        <v>0</v>
      </c>
    </row>
    <row r="69" spans="2:7" ht="13.5" thickBot="1">
      <c r="B69" s="211">
        <f>Inputs!B108</f>
        <v>0</v>
      </c>
      <c r="C69" s="77"/>
      <c r="D69" s="459">
        <f>Inputs!G107</f>
        <v>0</v>
      </c>
      <c r="E69" s="49"/>
      <c r="F69" s="56"/>
      <c r="G69" s="451">
        <f t="shared" si="6"/>
        <v>0</v>
      </c>
    </row>
    <row r="70" spans="2:7" ht="13.5" thickTop="1">
      <c r="B70" s="48"/>
      <c r="C70" s="33"/>
      <c r="D70" s="57"/>
      <c r="E70" s="57"/>
      <c r="F70" s="29" t="s">
        <v>50</v>
      </c>
      <c r="G70" s="526">
        <f>SUM(G61:G69)</f>
        <v>3200</v>
      </c>
    </row>
    <row r="71" spans="2:7">
      <c r="B71" s="48"/>
      <c r="C71" s="31"/>
      <c r="D71" s="49"/>
      <c r="E71" s="49"/>
      <c r="F71" s="58"/>
      <c r="G71" s="657"/>
    </row>
    <row r="72" spans="2:7">
      <c r="B72" s="79" t="s">
        <v>54</v>
      </c>
      <c r="C72" s="31"/>
      <c r="D72" s="83"/>
      <c r="E72" s="83"/>
      <c r="F72" s="49"/>
      <c r="G72" s="598" t="s">
        <v>31</v>
      </c>
    </row>
    <row r="73" spans="2:7">
      <c r="B73" s="48" t="s">
        <v>19</v>
      </c>
      <c r="C73" s="31"/>
      <c r="D73" s="84"/>
      <c r="E73" s="84"/>
      <c r="F73" s="49"/>
      <c r="G73" s="446">
        <f>Inputs!E117</f>
        <v>540</v>
      </c>
    </row>
    <row r="74" spans="2:7">
      <c r="B74" s="48" t="s">
        <v>41</v>
      </c>
      <c r="C74" s="31"/>
      <c r="D74" s="84"/>
      <c r="E74" s="84"/>
      <c r="F74" s="49"/>
      <c r="G74" s="446">
        <f>Inputs!E118</f>
        <v>2500</v>
      </c>
    </row>
    <row r="75" spans="2:7">
      <c r="B75" s="48" t="s">
        <v>22</v>
      </c>
      <c r="C75" s="31"/>
      <c r="D75" s="84"/>
      <c r="E75" s="84"/>
      <c r="F75" s="49"/>
      <c r="G75" s="446">
        <f>Inputs!E119</f>
        <v>1000</v>
      </c>
    </row>
    <row r="76" spans="2:7">
      <c r="B76" s="48" t="s">
        <v>42</v>
      </c>
      <c r="C76" s="31"/>
      <c r="D76" s="84"/>
      <c r="E76" s="84"/>
      <c r="F76" s="49"/>
      <c r="G76" s="446">
        <f>Inputs!E120</f>
        <v>0</v>
      </c>
    </row>
    <row r="77" spans="2:7" ht="13.5" thickBot="1">
      <c r="B77" s="48" t="s">
        <v>24</v>
      </c>
      <c r="C77" s="31"/>
      <c r="D77" s="84"/>
      <c r="E77" s="84"/>
      <c r="F77" s="49"/>
      <c r="G77" s="458">
        <f>Inputs!E121</f>
        <v>750</v>
      </c>
    </row>
    <row r="78" spans="2:7" ht="14.25" thickTop="1" thickBot="1">
      <c r="B78" s="51"/>
      <c r="C78" s="34"/>
      <c r="D78" s="52"/>
      <c r="E78" s="52"/>
      <c r="F78" s="59" t="s">
        <v>51</v>
      </c>
      <c r="G78" s="656">
        <f>SUM(G73:G77)</f>
        <v>4790</v>
      </c>
    </row>
    <row r="79" spans="2:7" ht="16.5" thickBot="1">
      <c r="B79" s="66"/>
      <c r="C79" s="67"/>
      <c r="D79" s="67"/>
      <c r="E79" s="67"/>
      <c r="F79" s="21" t="s">
        <v>103</v>
      </c>
      <c r="G79" s="652">
        <f>G70+G78</f>
        <v>7990</v>
      </c>
    </row>
    <row r="80" spans="2:7" ht="13.5" thickBot="1">
      <c r="B80" s="48"/>
      <c r="C80" s="49"/>
      <c r="D80" s="49"/>
      <c r="E80" s="49"/>
      <c r="F80" s="49"/>
      <c r="G80" s="597"/>
    </row>
    <row r="81" spans="2:10" ht="16.5" thickBot="1">
      <c r="B81" s="66"/>
      <c r="C81" s="67"/>
      <c r="D81" s="67"/>
      <c r="E81" s="67"/>
      <c r="F81" s="21" t="s">
        <v>111</v>
      </c>
      <c r="G81" s="652">
        <f>G57+G79</f>
        <v>263926.33919320535</v>
      </c>
    </row>
    <row r="82" spans="2:10" ht="13.5" thickBot="1">
      <c r="B82" s="48"/>
      <c r="C82" s="49"/>
      <c r="D82" s="49"/>
      <c r="E82" s="49"/>
      <c r="F82" s="49"/>
      <c r="G82" s="597"/>
    </row>
    <row r="83" spans="2:10" ht="16.5" thickBot="1">
      <c r="B83" s="66"/>
      <c r="C83" s="67"/>
      <c r="D83" s="67"/>
      <c r="E83" s="67"/>
      <c r="F83" s="21" t="s">
        <v>105</v>
      </c>
      <c r="G83" s="652">
        <f>G17-G81</f>
        <v>-45934.089193205349</v>
      </c>
    </row>
    <row r="84" spans="2:10" ht="13.5" thickBot="1">
      <c r="B84" s="43" t="s">
        <v>9</v>
      </c>
      <c r="C84" s="43"/>
      <c r="D84" s="43"/>
      <c r="E84" s="43"/>
      <c r="F84" s="43"/>
      <c r="G84" s="592"/>
    </row>
    <row r="85" spans="2:10" ht="16.5" thickBot="1">
      <c r="B85" s="41" t="s">
        <v>98</v>
      </c>
      <c r="C85" s="376"/>
      <c r="D85" s="109"/>
      <c r="E85" s="109"/>
      <c r="F85" s="109"/>
      <c r="G85" s="653" t="s">
        <v>74</v>
      </c>
    </row>
    <row r="86" spans="2:10" ht="25.5">
      <c r="B86" s="375" t="s">
        <v>115</v>
      </c>
      <c r="C86" s="251"/>
      <c r="D86" s="276" t="s">
        <v>151</v>
      </c>
      <c r="E86" s="367" t="s">
        <v>113</v>
      </c>
      <c r="F86" s="47"/>
      <c r="G86" s="654" t="s">
        <v>31</v>
      </c>
    </row>
    <row r="87" spans="2:10">
      <c r="B87" s="284" t="str">
        <f>IF(Inputs!B99="","",Inputs!B99)</f>
        <v>Buildings /Barn /Fencing</v>
      </c>
      <c r="C87" s="251"/>
      <c r="D87" s="366">
        <f>IF(Inputs!F99=0,0,(Inputs!D99-Inputs!E99)/Inputs!F99)</f>
        <v>2800</v>
      </c>
      <c r="E87" s="366">
        <f>IF(Inputs!B99=0,0,Inputs!D99*Inputs!$E$112)</f>
        <v>3000</v>
      </c>
      <c r="F87" s="56"/>
      <c r="G87" s="446">
        <f t="shared" ref="G87:G95" si="7">SUM(D87:E87)</f>
        <v>5800</v>
      </c>
    </row>
    <row r="88" spans="2:10">
      <c r="B88" s="284" t="str">
        <f>IF(Inputs!B100="","",Inputs!B100)</f>
        <v>General machinery &amp; equipment</v>
      </c>
      <c r="C88" s="251"/>
      <c r="D88" s="366">
        <f>IF(Inputs!F100=0,0,(Inputs!D100-Inputs!E100)/Inputs!F100)</f>
        <v>7500</v>
      </c>
      <c r="E88" s="366">
        <f>IF(Inputs!B100=0,0,Inputs!D100*Inputs!$E$112)</f>
        <v>3000</v>
      </c>
      <c r="F88" s="56"/>
      <c r="G88" s="446">
        <f t="shared" si="7"/>
        <v>10500</v>
      </c>
    </row>
    <row r="89" spans="2:10">
      <c r="B89" s="284" t="str">
        <f>IF(Inputs!B101="","",Inputs!B101)</f>
        <v>Vehicles</v>
      </c>
      <c r="C89" s="251"/>
      <c r="D89" s="366">
        <f>IF(Inputs!F101=0,0,(Inputs!D101-Inputs!E101)/Inputs!F101)</f>
        <v>3571.4285714285716</v>
      </c>
      <c r="E89" s="366">
        <f>IF(Inputs!B101=0,0,Inputs!D101*Inputs!$E$112)</f>
        <v>1050</v>
      </c>
      <c r="F89" s="56"/>
      <c r="G89" s="446">
        <f t="shared" si="7"/>
        <v>4621.4285714285716</v>
      </c>
    </row>
    <row r="90" spans="2:10">
      <c r="B90" s="284" t="str">
        <f>IF(Inputs!B102="","",Inputs!B102)</f>
        <v>2 Horses ($5,000 value each)</v>
      </c>
      <c r="C90" s="251"/>
      <c r="D90" s="366">
        <f>IF(Inputs!F102=0,0,(Inputs!D102-Inputs!E102)/Inputs!F102)</f>
        <v>1000</v>
      </c>
      <c r="E90" s="366">
        <f>IF(Inputs!B102=0,0,Inputs!D102*Inputs!$E$112)</f>
        <v>300</v>
      </c>
      <c r="F90" s="56"/>
      <c r="G90" s="446">
        <f t="shared" si="7"/>
        <v>1300</v>
      </c>
    </row>
    <row r="91" spans="2:10">
      <c r="B91" s="284" t="str">
        <f>IF(Inputs!B104="","",Inputs!B104)</f>
        <v/>
      </c>
      <c r="C91" s="251"/>
      <c r="D91" s="366">
        <f>IF(Inputs!F103=0,0,(Inputs!D103-Inputs!E103)/Inputs!F103)</f>
        <v>0</v>
      </c>
      <c r="E91" s="366">
        <f>IF(Inputs!B103=0,0,Inputs!D103*Inputs!$E$112)</f>
        <v>0</v>
      </c>
      <c r="F91" s="56"/>
      <c r="G91" s="446">
        <f t="shared" si="7"/>
        <v>0</v>
      </c>
    </row>
    <row r="92" spans="2:10">
      <c r="B92" s="284" t="str">
        <f>IF(Inputs!B105="","",Inputs!B105)</f>
        <v/>
      </c>
      <c r="C92" s="251"/>
      <c r="D92" s="366">
        <f>IF(Inputs!F104=0,0,(Inputs!D104-Inputs!E104)/Inputs!F104)</f>
        <v>0</v>
      </c>
      <c r="E92" s="366">
        <f>IF(Inputs!B104=0,0,Inputs!D104*Inputs!$E$112)</f>
        <v>0</v>
      </c>
      <c r="F92" s="56"/>
      <c r="G92" s="446">
        <f t="shared" si="7"/>
        <v>0</v>
      </c>
    </row>
    <row r="93" spans="2:10">
      <c r="B93" s="284" t="str">
        <f>IF(Inputs!B106="","",Inputs!B106)</f>
        <v/>
      </c>
      <c r="C93" s="251"/>
      <c r="D93" s="366">
        <f>IF(Inputs!F105=0,0,(Inputs!D105-Inputs!E105)/Inputs!F105)</f>
        <v>0</v>
      </c>
      <c r="E93" s="366">
        <f>IF(Inputs!B105=0,0,Inputs!D105*Inputs!$E$112)</f>
        <v>0</v>
      </c>
      <c r="F93" s="56"/>
      <c r="G93" s="446">
        <f t="shared" si="7"/>
        <v>0</v>
      </c>
    </row>
    <row r="94" spans="2:10">
      <c r="B94" s="284" t="str">
        <f>IF(Inputs!B107="","",Inputs!B107)</f>
        <v/>
      </c>
      <c r="C94" s="251"/>
      <c r="D94" s="366">
        <f>IF(Inputs!F106=0,0,(Inputs!D106-Inputs!E106)/Inputs!F106)</f>
        <v>0</v>
      </c>
      <c r="E94" s="366">
        <f>IF(Inputs!B106=0,0,Inputs!D106*Inputs!$E$112)</f>
        <v>0</v>
      </c>
      <c r="F94" s="56"/>
      <c r="G94" s="446">
        <f t="shared" si="7"/>
        <v>0</v>
      </c>
      <c r="J94" s="154"/>
    </row>
    <row r="95" spans="2:10">
      <c r="B95" s="284" t="str">
        <f>IF(Inputs!B108="","",Inputs!B108)</f>
        <v/>
      </c>
      <c r="C95" s="251"/>
      <c r="D95" s="366">
        <f>IF(Inputs!F107=0,0,(Inputs!D107-Inputs!E107)/Inputs!F107)</f>
        <v>0</v>
      </c>
      <c r="E95" s="366">
        <f>IF(Inputs!B107=0,0,Inputs!D107*Inputs!$E$112)</f>
        <v>0</v>
      </c>
      <c r="F95" s="56"/>
      <c r="G95" s="446">
        <f t="shared" si="7"/>
        <v>0</v>
      </c>
    </row>
    <row r="96" spans="2:10">
      <c r="B96" s="79" t="s">
        <v>113</v>
      </c>
      <c r="C96" s="31"/>
      <c r="D96" s="83"/>
      <c r="E96" s="83"/>
      <c r="F96" s="49"/>
      <c r="G96" s="446"/>
    </row>
    <row r="97" spans="2:7">
      <c r="B97" s="48" t="s">
        <v>40</v>
      </c>
      <c r="C97" s="31" t="s">
        <v>121</v>
      </c>
      <c r="D97" s="84"/>
      <c r="E97" s="84"/>
      <c r="F97" s="49"/>
      <c r="G97" s="446">
        <f>Inputs!E116*Inputs!E112</f>
        <v>0</v>
      </c>
    </row>
    <row r="98" spans="2:7" ht="13.5" thickBot="1">
      <c r="B98" s="48" t="s">
        <v>101</v>
      </c>
      <c r="C98" s="31" t="s">
        <v>120</v>
      </c>
      <c r="D98" s="84"/>
      <c r="E98" s="84"/>
      <c r="F98" s="49"/>
      <c r="G98" s="458">
        <f>'Breeding Herd'!H84</f>
        <v>9079.5</v>
      </c>
    </row>
    <row r="99" spans="2:7" ht="17.25" thickTop="1" thickBot="1">
      <c r="B99" s="66"/>
      <c r="C99" s="67"/>
      <c r="D99" s="67"/>
      <c r="E99" s="67"/>
      <c r="F99" s="21" t="s">
        <v>106</v>
      </c>
      <c r="G99" s="652">
        <f>SUM(G87:G98)</f>
        <v>31300.928571428572</v>
      </c>
    </row>
    <row r="100" spans="2:7" ht="13.5" thickBot="1">
      <c r="B100" s="378"/>
      <c r="C100" s="378"/>
      <c r="D100" s="378"/>
      <c r="E100" s="378"/>
      <c r="F100" s="378"/>
      <c r="G100" s="534"/>
    </row>
    <row r="101" spans="2:7" ht="15.75">
      <c r="B101" s="142" t="s">
        <v>108</v>
      </c>
      <c r="C101" s="139"/>
      <c r="D101" s="143"/>
      <c r="E101" s="143"/>
      <c r="F101" s="143"/>
      <c r="G101" s="658" t="s">
        <v>74</v>
      </c>
    </row>
    <row r="102" spans="2:7" ht="16.5" thickBot="1">
      <c r="B102" s="148"/>
      <c r="C102" s="136"/>
      <c r="D102" s="136"/>
      <c r="E102" s="136"/>
      <c r="F102" s="137" t="s">
        <v>71</v>
      </c>
      <c r="G102" s="659">
        <f>G81+G99</f>
        <v>295227.26776463393</v>
      </c>
    </row>
    <row r="103" spans="2:7" ht="13.5" thickBot="1">
      <c r="B103" s="378"/>
      <c r="C103" s="378"/>
      <c r="D103" s="378"/>
      <c r="E103" s="378"/>
      <c r="F103" s="378"/>
      <c r="G103" s="534"/>
    </row>
    <row r="104" spans="2:7" ht="16.5" thickBot="1">
      <c r="B104" s="41"/>
      <c r="C104" s="149"/>
      <c r="D104" s="67"/>
      <c r="E104" s="67"/>
      <c r="F104" s="21" t="s">
        <v>107</v>
      </c>
      <c r="G104" s="652">
        <f>G17-G102</f>
        <v>-77235.017764633929</v>
      </c>
    </row>
  </sheetData>
  <mergeCells count="2">
    <mergeCell ref="C25:C26"/>
    <mergeCell ref="C55:F55"/>
  </mergeCells>
  <printOptions horizontalCentered="1"/>
  <pageMargins left="1" right="1" top="0.75" bottom="0.75" header="0.3" footer="0.3"/>
  <pageSetup scale="9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B1:AE126"/>
  <sheetViews>
    <sheetView topLeftCell="A61" zoomScaleNormal="100" workbookViewId="0">
      <selection activeCell="H9" sqref="H9"/>
    </sheetView>
  </sheetViews>
  <sheetFormatPr defaultColWidth="9.140625" defaultRowHeight="12.75"/>
  <cols>
    <col min="1" max="1" width="12.28515625" style="166" customWidth="1"/>
    <col min="2" max="2" width="5.140625" style="166" customWidth="1"/>
    <col min="3" max="3" width="25" style="166" customWidth="1"/>
    <col min="4" max="4" width="12.7109375" style="166" customWidth="1"/>
    <col min="5" max="5" width="13.28515625" style="166" customWidth="1"/>
    <col min="6" max="6" width="11.140625" style="166" customWidth="1"/>
    <col min="7" max="7" width="12.7109375" style="166" customWidth="1"/>
    <col min="8" max="8" width="12.42578125" style="166" customWidth="1"/>
    <col min="9" max="9" width="11.85546875" style="166" customWidth="1"/>
    <col min="10" max="10" width="10.140625" style="167" customWidth="1"/>
    <col min="11" max="12" width="10" style="167" customWidth="1"/>
    <col min="13" max="13" width="12.28515625" style="167" customWidth="1"/>
    <col min="14" max="14" width="19.7109375" style="313" customWidth="1"/>
    <col min="15" max="15" width="10.28515625" style="313" hidden="1" customWidth="1"/>
    <col min="16" max="16" width="8.85546875" style="313" hidden="1" customWidth="1"/>
    <col min="17" max="17" width="10.42578125" style="313" hidden="1" customWidth="1"/>
    <col min="18" max="18" width="12" style="313" hidden="1" customWidth="1"/>
    <col min="19" max="19" width="9.28515625" style="313" hidden="1" customWidth="1"/>
    <col min="20" max="20" width="12.42578125" style="313" hidden="1" customWidth="1"/>
    <col min="21" max="23" width="9.140625" style="313" hidden="1" customWidth="1"/>
    <col min="24" max="24" width="10.7109375" style="313" hidden="1" customWidth="1"/>
    <col min="25" max="25" width="9.140625" style="167" hidden="1" customWidth="1"/>
    <col min="26" max="26" width="9.28515625" style="167" hidden="1" customWidth="1"/>
    <col min="27" max="27" width="9.140625" style="167" customWidth="1"/>
    <col min="28" max="31" width="9.140625" style="167"/>
    <col min="32" max="16384" width="9.140625" style="166"/>
  </cols>
  <sheetData>
    <row r="1" spans="2:26" ht="30.75" thickBot="1">
      <c r="B1" s="106" t="s">
        <v>58</v>
      </c>
      <c r="C1" s="106"/>
      <c r="D1" s="5"/>
      <c r="E1" s="5"/>
      <c r="F1" s="5"/>
      <c r="G1" s="5" t="s">
        <v>278</v>
      </c>
      <c r="H1" s="5"/>
      <c r="I1" s="5"/>
      <c r="J1" s="325"/>
      <c r="K1" s="325"/>
      <c r="L1" s="325"/>
      <c r="M1" s="325"/>
      <c r="O1" s="660"/>
      <c r="P1" s="660"/>
      <c r="Q1" s="660"/>
      <c r="R1" s="660"/>
      <c r="S1" s="660"/>
      <c r="T1" s="660"/>
      <c r="U1" s="660"/>
      <c r="V1" s="660"/>
      <c r="W1" s="660"/>
      <c r="X1" s="660"/>
      <c r="Y1" s="661"/>
      <c r="Z1" s="661"/>
    </row>
    <row r="2" spans="2:26" ht="18.75" thickBot="1">
      <c r="B2" s="4" t="s">
        <v>72</v>
      </c>
      <c r="C2" s="288"/>
      <c r="D2" s="178"/>
      <c r="E2" s="178"/>
      <c r="F2" s="178"/>
      <c r="G2" s="178"/>
      <c r="H2" s="230"/>
      <c r="I2" s="200"/>
      <c r="J2" s="325"/>
      <c r="K2" s="325"/>
      <c r="L2" s="325"/>
      <c r="M2" s="325"/>
      <c r="O2" s="660"/>
      <c r="P2" s="660"/>
      <c r="Q2" s="660"/>
      <c r="R2" s="660"/>
      <c r="S2" s="660"/>
      <c r="T2" s="660"/>
      <c r="U2" s="660"/>
      <c r="V2" s="660"/>
      <c r="W2" s="660"/>
      <c r="X2" s="660"/>
      <c r="Y2" s="661"/>
      <c r="Z2" s="661"/>
    </row>
    <row r="3" spans="2:26" ht="15" customHeight="1">
      <c r="B3" s="796" t="s">
        <v>157</v>
      </c>
      <c r="C3" s="305" t="s">
        <v>73</v>
      </c>
      <c r="D3" s="787" t="s">
        <v>172</v>
      </c>
      <c r="E3" s="788"/>
      <c r="F3" s="789"/>
      <c r="G3" s="680">
        <v>200</v>
      </c>
      <c r="H3" s="306" t="s">
        <v>86</v>
      </c>
      <c r="I3" s="200"/>
      <c r="J3" s="325"/>
      <c r="K3" s="325"/>
      <c r="L3" s="325"/>
      <c r="M3" s="325"/>
      <c r="O3" s="660"/>
      <c r="P3" s="660"/>
      <c r="Q3" s="660"/>
      <c r="R3" s="660"/>
      <c r="S3" s="660"/>
      <c r="T3" s="660"/>
      <c r="U3" s="660"/>
      <c r="V3" s="660"/>
      <c r="W3" s="660"/>
      <c r="X3" s="660"/>
      <c r="Y3" s="661"/>
      <c r="Z3" s="661"/>
    </row>
    <row r="4" spans="2:26">
      <c r="B4" s="774"/>
      <c r="C4" s="294" t="s">
        <v>102</v>
      </c>
      <c r="D4" s="790"/>
      <c r="E4" s="791"/>
      <c r="F4" s="792"/>
      <c r="G4" s="770">
        <v>1400</v>
      </c>
      <c r="H4" s="307" t="s">
        <v>2</v>
      </c>
      <c r="I4" s="200"/>
      <c r="J4" s="325"/>
      <c r="K4" s="325"/>
      <c r="L4" s="325"/>
      <c r="M4" s="325"/>
      <c r="O4" s="660"/>
      <c r="P4" s="660"/>
      <c r="Q4" s="660"/>
      <c r="R4" s="660"/>
      <c r="S4" s="660"/>
      <c r="T4" s="660"/>
      <c r="U4" s="660"/>
      <c r="V4" s="660"/>
      <c r="W4" s="660"/>
      <c r="X4" s="660"/>
      <c r="Y4" s="661"/>
      <c r="Z4" s="661"/>
    </row>
    <row r="5" spans="2:26" ht="12.75" customHeight="1">
      <c r="B5" s="774"/>
      <c r="C5" s="294" t="s">
        <v>87</v>
      </c>
      <c r="D5" s="790"/>
      <c r="E5" s="791"/>
      <c r="F5" s="792"/>
      <c r="G5" s="678">
        <v>20</v>
      </c>
      <c r="H5" s="307" t="s">
        <v>86</v>
      </c>
      <c r="I5" s="200"/>
      <c r="J5" s="325"/>
      <c r="K5" s="325"/>
      <c r="L5" s="325"/>
      <c r="M5" s="325"/>
      <c r="O5" s="660"/>
      <c r="P5" s="660"/>
      <c r="Q5" s="660"/>
      <c r="R5" s="660"/>
      <c r="S5" s="660"/>
      <c r="T5" s="660"/>
      <c r="U5" s="660"/>
      <c r="V5" s="660"/>
      <c r="W5" s="660"/>
      <c r="X5" s="660"/>
      <c r="Y5" s="661"/>
      <c r="Z5" s="661"/>
    </row>
    <row r="6" spans="2:26">
      <c r="B6" s="774"/>
      <c r="C6" s="294" t="s">
        <v>88</v>
      </c>
      <c r="D6" s="793"/>
      <c r="E6" s="794"/>
      <c r="F6" s="795"/>
      <c r="G6" s="679">
        <v>4</v>
      </c>
      <c r="H6" s="377" t="s">
        <v>6</v>
      </c>
      <c r="I6" s="200"/>
      <c r="J6" s="325"/>
      <c r="K6" s="325"/>
      <c r="L6" s="325"/>
      <c r="M6" s="325"/>
      <c r="O6" s="660">
        <f>IF(H6="head",G6,IF(H6="percent",ROUND(HerdSize*G6/100,0),0))</f>
        <v>4</v>
      </c>
      <c r="P6" s="660"/>
      <c r="Q6" s="660"/>
      <c r="R6" s="660"/>
      <c r="S6" s="660"/>
      <c r="T6" s="660"/>
      <c r="U6" s="660"/>
      <c r="V6" s="660"/>
      <c r="W6" s="660"/>
      <c r="X6" s="660"/>
      <c r="Y6" s="661"/>
      <c r="Z6" s="661"/>
    </row>
    <row r="7" spans="2:26">
      <c r="B7" s="774"/>
      <c r="C7" s="294" t="s">
        <v>148</v>
      </c>
      <c r="D7" s="406"/>
      <c r="E7" s="406"/>
      <c r="F7" s="407"/>
      <c r="G7" s="229">
        <v>24</v>
      </c>
      <c r="H7" s="307"/>
      <c r="I7" s="200"/>
      <c r="J7" s="325"/>
      <c r="K7" s="325"/>
      <c r="L7" s="325"/>
      <c r="M7" s="325"/>
      <c r="O7" s="662">
        <f>(G7-G13+G9)*G25*G27/100</f>
        <v>0</v>
      </c>
      <c r="P7" s="660" t="s">
        <v>197</v>
      </c>
      <c r="Q7" s="660"/>
      <c r="R7" s="660"/>
      <c r="S7" s="660"/>
      <c r="T7" s="660"/>
      <c r="U7" s="660"/>
      <c r="V7" s="660"/>
      <c r="W7" s="660"/>
      <c r="X7" s="660"/>
      <c r="Y7" s="661"/>
      <c r="Z7" s="661"/>
    </row>
    <row r="8" spans="2:26">
      <c r="B8" s="774"/>
      <c r="C8" s="294" t="s">
        <v>191</v>
      </c>
      <c r="D8" s="406"/>
      <c r="E8" s="406"/>
      <c r="F8" s="381"/>
      <c r="G8" s="683">
        <v>93</v>
      </c>
      <c r="H8" s="307" t="s">
        <v>163</v>
      </c>
      <c r="I8" s="200"/>
      <c r="J8" s="325"/>
      <c r="K8" s="325"/>
      <c r="L8" s="325"/>
      <c r="M8" s="325"/>
      <c r="O8" s="660">
        <f>ROUND(HerdSize*G8/100,0)</f>
        <v>186</v>
      </c>
      <c r="P8" s="660" t="s">
        <v>193</v>
      </c>
      <c r="Q8" s="660">
        <f>ROUND(O8/2,0)</f>
        <v>93</v>
      </c>
      <c r="R8" s="660" t="s">
        <v>246</v>
      </c>
      <c r="S8" s="660"/>
      <c r="T8" s="660"/>
      <c r="U8" s="660"/>
      <c r="V8" s="660"/>
      <c r="W8" s="660"/>
      <c r="X8" s="660"/>
      <c r="Y8" s="661"/>
      <c r="Z8" s="661"/>
    </row>
    <row r="9" spans="2:26" ht="13.5" customHeight="1">
      <c r="B9" s="774"/>
      <c r="C9" s="294" t="s">
        <v>147</v>
      </c>
      <c r="D9" s="406"/>
      <c r="E9" s="406"/>
      <c r="F9" s="380"/>
      <c r="G9" s="683"/>
      <c r="H9" s="307" t="s">
        <v>6</v>
      </c>
      <c r="I9" s="200"/>
      <c r="J9" s="325"/>
      <c r="K9" s="325"/>
      <c r="L9" s="325"/>
      <c r="M9" s="325"/>
      <c r="O9" s="663">
        <f>Q8-G7+G13</f>
        <v>93</v>
      </c>
      <c r="P9" s="660" t="s">
        <v>194</v>
      </c>
      <c r="Q9" s="660"/>
      <c r="R9" s="660"/>
      <c r="S9" s="660"/>
      <c r="T9" s="660"/>
      <c r="U9" s="660"/>
      <c r="V9" s="660"/>
      <c r="W9" s="660"/>
      <c r="X9" s="660"/>
      <c r="Y9" s="661"/>
      <c r="Z9" s="661"/>
    </row>
    <row r="10" spans="2:26">
      <c r="B10" s="774"/>
      <c r="C10" s="294" t="s">
        <v>217</v>
      </c>
      <c r="D10" s="406"/>
      <c r="E10" s="406"/>
      <c r="F10" s="407"/>
      <c r="G10" s="683"/>
      <c r="H10" s="307" t="s">
        <v>0</v>
      </c>
      <c r="I10" s="200"/>
      <c r="J10" s="325"/>
      <c r="K10" s="325"/>
      <c r="L10" s="325"/>
      <c r="M10" s="325"/>
      <c r="O10" s="662">
        <f>G9*G10*G11/100</f>
        <v>0</v>
      </c>
      <c r="P10" s="660" t="s">
        <v>198</v>
      </c>
      <c r="Q10" s="660"/>
      <c r="R10" s="660"/>
      <c r="S10" s="660"/>
      <c r="T10" s="660"/>
      <c r="U10" s="660"/>
      <c r="V10" s="660"/>
      <c r="W10" s="660"/>
      <c r="X10" s="660"/>
      <c r="Y10" s="661"/>
      <c r="Z10" s="661"/>
    </row>
    <row r="11" spans="2:26">
      <c r="B11" s="774"/>
      <c r="C11" s="294" t="s">
        <v>218</v>
      </c>
      <c r="D11" s="406"/>
      <c r="E11" s="406"/>
      <c r="F11" s="407"/>
      <c r="G11" s="683"/>
      <c r="H11" s="307" t="s">
        <v>1</v>
      </c>
      <c r="I11" s="200"/>
      <c r="J11" s="325"/>
      <c r="K11" s="325"/>
      <c r="L11" s="325"/>
      <c r="M11" s="325"/>
      <c r="O11" s="660"/>
      <c r="P11" s="660"/>
      <c r="Q11" s="660"/>
      <c r="R11" s="660" t="s">
        <v>2</v>
      </c>
      <c r="S11" s="660"/>
      <c r="T11" s="660"/>
      <c r="U11" s="660"/>
      <c r="V11" s="660"/>
      <c r="W11" s="660"/>
      <c r="X11" s="660"/>
      <c r="Y11" s="661"/>
      <c r="Z11" s="661"/>
    </row>
    <row r="12" spans="2:26">
      <c r="B12" s="774"/>
      <c r="C12" s="294" t="s">
        <v>219</v>
      </c>
      <c r="D12" s="406"/>
      <c r="E12" s="406"/>
      <c r="F12" s="407"/>
      <c r="G12" s="683"/>
      <c r="H12" s="377" t="s">
        <v>2</v>
      </c>
      <c r="I12" s="200"/>
      <c r="J12" s="325"/>
      <c r="K12" s="325"/>
      <c r="L12" s="325"/>
      <c r="M12" s="325"/>
      <c r="O12" s="660"/>
      <c r="P12" s="660"/>
      <c r="Q12" s="660"/>
      <c r="R12" s="660" t="s">
        <v>188</v>
      </c>
      <c r="S12" s="660"/>
      <c r="T12" s="660"/>
      <c r="U12" s="660"/>
      <c r="V12" s="660"/>
      <c r="W12" s="660"/>
      <c r="X12" s="660"/>
      <c r="Y12" s="661"/>
      <c r="Z12" s="661"/>
    </row>
    <row r="13" spans="2:26" ht="14.25" customHeight="1">
      <c r="B13" s="774"/>
      <c r="C13" s="295" t="s">
        <v>155</v>
      </c>
      <c r="D13" s="340"/>
      <c r="E13" s="340"/>
      <c r="F13" s="231" t="str">
        <f>CONCATENATE("(&lt;=",G7,")")</f>
        <v>(&lt;=24)</v>
      </c>
      <c r="G13" s="684">
        <v>24</v>
      </c>
      <c r="H13" s="307" t="s">
        <v>6</v>
      </c>
      <c r="I13" s="200"/>
      <c r="J13" s="325"/>
      <c r="K13" s="325"/>
      <c r="L13" s="325"/>
      <c r="M13" s="325"/>
      <c r="O13" s="660">
        <f>G13*G14</f>
        <v>43200</v>
      </c>
      <c r="P13" s="660" t="s">
        <v>199</v>
      </c>
      <c r="Q13" s="660"/>
      <c r="R13" s="660"/>
      <c r="S13" s="660"/>
      <c r="T13" s="660"/>
      <c r="U13" s="660"/>
      <c r="V13" s="660"/>
      <c r="W13" s="660"/>
      <c r="X13" s="660"/>
      <c r="Y13" s="661"/>
      <c r="Z13" s="661"/>
    </row>
    <row r="14" spans="2:26" ht="14.25" customHeight="1">
      <c r="B14" s="774"/>
      <c r="C14" s="295" t="s">
        <v>156</v>
      </c>
      <c r="D14" s="341"/>
      <c r="E14" s="341"/>
      <c r="F14" s="342"/>
      <c r="G14" s="771">
        <v>1800</v>
      </c>
      <c r="H14" s="307" t="s">
        <v>2</v>
      </c>
      <c r="I14" s="200"/>
      <c r="J14" s="325"/>
      <c r="K14" s="325"/>
      <c r="L14" s="325"/>
      <c r="M14" s="325"/>
      <c r="O14" s="660"/>
      <c r="P14" s="660"/>
      <c r="Q14" s="660"/>
      <c r="R14" s="660"/>
      <c r="S14" s="660"/>
      <c r="T14" s="660"/>
      <c r="U14" s="660"/>
      <c r="V14" s="660"/>
      <c r="W14" s="660"/>
      <c r="X14" s="660"/>
      <c r="Y14" s="661"/>
      <c r="Z14" s="661"/>
    </row>
    <row r="15" spans="2:26">
      <c r="B15" s="774"/>
      <c r="C15" s="296" t="s">
        <v>225</v>
      </c>
      <c r="D15" s="200"/>
      <c r="E15" s="200"/>
      <c r="F15" s="132"/>
      <c r="G15" s="682">
        <v>1400</v>
      </c>
      <c r="H15" s="307" t="s">
        <v>0</v>
      </c>
      <c r="I15" s="200"/>
      <c r="J15" s="325"/>
      <c r="K15" s="325"/>
      <c r="L15" s="325"/>
      <c r="M15" s="325"/>
      <c r="O15" s="662">
        <f>G5*G15*G16/100</f>
        <v>16800</v>
      </c>
      <c r="P15" s="660" t="s">
        <v>196</v>
      </c>
      <c r="Q15" s="660"/>
      <c r="R15" s="660"/>
      <c r="S15" s="660"/>
      <c r="T15" s="660"/>
      <c r="U15" s="660"/>
      <c r="V15" s="660"/>
      <c r="W15" s="660"/>
      <c r="X15" s="660"/>
      <c r="Y15" s="661"/>
      <c r="Z15" s="661"/>
    </row>
    <row r="16" spans="2:26">
      <c r="B16" s="797"/>
      <c r="C16" s="297" t="s">
        <v>226</v>
      </c>
      <c r="D16" s="298"/>
      <c r="E16" s="298"/>
      <c r="F16" s="299"/>
      <c r="G16" s="682">
        <v>60</v>
      </c>
      <c r="H16" s="308" t="s">
        <v>1</v>
      </c>
      <c r="I16" s="5"/>
      <c r="J16" s="325"/>
      <c r="K16" s="325"/>
      <c r="L16" s="325"/>
      <c r="M16" s="325"/>
      <c r="O16" s="660"/>
      <c r="P16" s="660"/>
      <c r="Q16" s="660"/>
      <c r="R16" s="660"/>
      <c r="S16" s="660"/>
      <c r="T16" s="660"/>
      <c r="U16" s="660"/>
      <c r="V16" s="660"/>
      <c r="W16" s="660"/>
      <c r="X16" s="660"/>
      <c r="Y16" s="661"/>
      <c r="Z16" s="661"/>
    </row>
    <row r="17" spans="2:26" ht="12.75" customHeight="1">
      <c r="B17" s="773" t="s">
        <v>76</v>
      </c>
      <c r="C17" s="293" t="s">
        <v>77</v>
      </c>
      <c r="D17" s="300"/>
      <c r="E17" s="301"/>
      <c r="F17" s="302"/>
      <c r="G17" s="682">
        <v>10</v>
      </c>
      <c r="H17" s="309" t="s">
        <v>78</v>
      </c>
      <c r="I17" s="5"/>
      <c r="J17" s="325"/>
      <c r="K17" s="325"/>
      <c r="L17" s="325"/>
      <c r="M17" s="325"/>
      <c r="O17" s="660"/>
      <c r="P17" s="660"/>
      <c r="Q17" s="660"/>
      <c r="R17" s="660"/>
      <c r="S17" s="660"/>
      <c r="T17" s="660"/>
      <c r="U17" s="660"/>
      <c r="V17" s="660"/>
      <c r="W17" s="660"/>
      <c r="X17" s="660"/>
      <c r="Y17" s="661"/>
      <c r="Z17" s="661"/>
    </row>
    <row r="18" spans="2:26">
      <c r="B18" s="774"/>
      <c r="C18" s="296" t="s">
        <v>79</v>
      </c>
      <c r="D18" s="200"/>
      <c r="E18" s="200"/>
      <c r="F18" s="132"/>
      <c r="G18" s="772">
        <v>3000</v>
      </c>
      <c r="H18" s="307" t="s">
        <v>2</v>
      </c>
      <c r="I18" s="200"/>
      <c r="J18" s="325"/>
      <c r="K18" s="325"/>
      <c r="L18" s="325"/>
      <c r="M18" s="325"/>
      <c r="O18" s="662">
        <f>IF(G19=0,0,G17/G19*G18)</f>
        <v>7500</v>
      </c>
      <c r="P18" s="660" t="s">
        <v>173</v>
      </c>
      <c r="Q18" s="660"/>
      <c r="R18" s="660"/>
      <c r="S18" s="660"/>
      <c r="T18" s="660"/>
      <c r="U18" s="660"/>
      <c r="V18" s="660"/>
      <c r="W18" s="660"/>
      <c r="X18" s="660"/>
      <c r="Y18" s="661"/>
      <c r="Z18" s="661"/>
    </row>
    <row r="19" spans="2:26">
      <c r="B19" s="774"/>
      <c r="C19" s="294" t="s">
        <v>80</v>
      </c>
      <c r="D19" s="350"/>
      <c r="E19" s="200"/>
      <c r="F19" s="231" t="s">
        <v>214</v>
      </c>
      <c r="G19" s="682">
        <v>4</v>
      </c>
      <c r="H19" s="307" t="s">
        <v>3</v>
      </c>
      <c r="I19" s="200"/>
      <c r="J19" s="325"/>
      <c r="K19" s="325"/>
      <c r="L19" s="325"/>
      <c r="M19" s="325"/>
      <c r="O19" s="660"/>
      <c r="P19" s="660"/>
      <c r="Q19" s="660"/>
      <c r="R19" s="660"/>
      <c r="S19" s="660"/>
      <c r="T19" s="660"/>
      <c r="U19" s="660"/>
      <c r="V19" s="660"/>
      <c r="W19" s="660"/>
      <c r="X19" s="660"/>
      <c r="Y19" s="661"/>
      <c r="Z19" s="661"/>
    </row>
    <row r="20" spans="2:26">
      <c r="B20" s="774"/>
      <c r="C20" s="294" t="s">
        <v>81</v>
      </c>
      <c r="D20" s="350"/>
      <c r="E20" s="200"/>
      <c r="F20" s="132"/>
      <c r="G20" s="681">
        <v>0</v>
      </c>
      <c r="H20" s="307"/>
      <c r="I20" s="200"/>
      <c r="J20" s="325"/>
      <c r="K20" s="325"/>
      <c r="L20" s="325"/>
      <c r="M20" s="325"/>
      <c r="O20" s="660"/>
      <c r="P20" s="660"/>
      <c r="Q20" s="660"/>
      <c r="R20" s="660"/>
      <c r="S20" s="660"/>
      <c r="T20" s="660"/>
      <c r="U20" s="660"/>
      <c r="V20" s="660"/>
      <c r="W20" s="660"/>
      <c r="X20" s="660"/>
      <c r="Y20" s="661"/>
      <c r="Z20" s="661"/>
    </row>
    <row r="21" spans="2:26">
      <c r="B21" s="774"/>
      <c r="C21" s="294" t="s">
        <v>136</v>
      </c>
      <c r="D21" s="350"/>
      <c r="E21" s="200"/>
      <c r="F21" s="132"/>
      <c r="G21" s="682">
        <v>85</v>
      </c>
      <c r="H21" s="307" t="s">
        <v>1</v>
      </c>
      <c r="I21" s="200"/>
      <c r="J21" s="325"/>
      <c r="K21" s="325"/>
      <c r="L21" s="325"/>
      <c r="M21" s="325"/>
      <c r="O21" s="662">
        <f>IF(G19=0,0,G17/G19*(1-G20)*G21*G22/100)</f>
        <v>3825</v>
      </c>
      <c r="P21" s="660" t="s">
        <v>200</v>
      </c>
      <c r="Q21" s="660"/>
      <c r="R21" s="660"/>
      <c r="S21" s="660"/>
      <c r="T21" s="660"/>
      <c r="U21" s="660"/>
      <c r="V21" s="660"/>
      <c r="W21" s="660"/>
      <c r="X21" s="660"/>
      <c r="Y21" s="661"/>
      <c r="Z21" s="661"/>
    </row>
    <row r="22" spans="2:26">
      <c r="B22" s="797"/>
      <c r="C22" s="303" t="s">
        <v>137</v>
      </c>
      <c r="D22" s="304"/>
      <c r="E22" s="298"/>
      <c r="F22" s="299"/>
      <c r="G22" s="682">
        <v>1800</v>
      </c>
      <c r="H22" s="308" t="s">
        <v>0</v>
      </c>
      <c r="I22" s="200"/>
      <c r="J22" s="325"/>
      <c r="K22" s="325"/>
      <c r="L22" s="325"/>
      <c r="M22" s="325"/>
      <c r="O22" s="660"/>
      <c r="P22" s="660"/>
      <c r="Q22" s="660"/>
      <c r="R22" s="660"/>
      <c r="S22" s="660"/>
      <c r="T22" s="660"/>
      <c r="U22" s="660"/>
      <c r="V22" s="660"/>
      <c r="W22" s="660"/>
      <c r="X22" s="660"/>
      <c r="Y22" s="661"/>
      <c r="Z22" s="661"/>
    </row>
    <row r="23" spans="2:26" ht="12.75" customHeight="1">
      <c r="B23" s="773" t="s">
        <v>158</v>
      </c>
      <c r="C23" s="350" t="s">
        <v>95</v>
      </c>
      <c r="D23" s="350"/>
      <c r="E23" s="200"/>
      <c r="F23" s="231" t="str">
        <f>CONCATENATE("(&lt;=",Q8*2,")")</f>
        <v>(&lt;=186)</v>
      </c>
      <c r="G23" s="682">
        <v>186</v>
      </c>
      <c r="H23" s="9" t="s">
        <v>25</v>
      </c>
      <c r="I23" s="200"/>
      <c r="J23" s="325"/>
      <c r="K23" s="325"/>
      <c r="L23" s="325"/>
      <c r="M23" s="325"/>
      <c r="O23" s="662">
        <f>IF(G19=0,0,(G24*G26+G25*G27)/200*G23-G17/G19*G18+G17/G19*(1-G20)*G21*G22)</f>
        <v>555861.75</v>
      </c>
      <c r="P23" s="660" t="s">
        <v>195</v>
      </c>
      <c r="Q23" s="660"/>
      <c r="R23" s="660"/>
      <c r="S23" s="660"/>
      <c r="T23" s="660"/>
      <c r="U23" s="660"/>
      <c r="V23" s="660"/>
      <c r="W23" s="660"/>
      <c r="X23" s="660"/>
      <c r="Y23" s="661"/>
      <c r="Z23" s="661"/>
    </row>
    <row r="24" spans="2:26">
      <c r="B24" s="798"/>
      <c r="C24" s="350" t="s">
        <v>130</v>
      </c>
      <c r="D24" s="350"/>
      <c r="E24" s="200"/>
      <c r="F24" s="132"/>
      <c r="G24" s="682">
        <v>575</v>
      </c>
      <c r="H24" s="9"/>
      <c r="I24" s="200"/>
      <c r="J24" s="325"/>
      <c r="K24" s="325"/>
      <c r="L24" s="325"/>
      <c r="M24" s="325"/>
      <c r="O24" s="663"/>
      <c r="P24" s="660"/>
      <c r="Q24" s="660"/>
      <c r="R24" s="660"/>
      <c r="S24" s="660"/>
      <c r="T24" s="660"/>
      <c r="U24" s="660"/>
      <c r="V24" s="660"/>
      <c r="W24" s="660"/>
      <c r="X24" s="660"/>
      <c r="Y24" s="661"/>
      <c r="Z24" s="661"/>
    </row>
    <row r="25" spans="2:26">
      <c r="B25" s="798"/>
      <c r="C25" s="350" t="s">
        <v>131</v>
      </c>
      <c r="D25" s="350"/>
      <c r="E25" s="200"/>
      <c r="F25" s="132"/>
      <c r="G25" s="682">
        <v>525</v>
      </c>
      <c r="H25" s="9" t="s">
        <v>0</v>
      </c>
      <c r="I25" s="5"/>
      <c r="J25" s="325"/>
      <c r="K25" s="325"/>
      <c r="L25" s="325"/>
      <c r="M25" s="325"/>
      <c r="O25" s="663"/>
      <c r="P25" s="660"/>
      <c r="Q25" s="660"/>
      <c r="R25" s="660"/>
      <c r="S25" s="660"/>
      <c r="T25" s="660"/>
      <c r="U25" s="660"/>
      <c r="V25" s="660"/>
      <c r="W25" s="660"/>
      <c r="X25" s="660"/>
      <c r="Y25" s="661"/>
      <c r="Z25" s="661"/>
    </row>
    <row r="26" spans="2:26">
      <c r="B26" s="798"/>
      <c r="C26" s="350" t="s">
        <v>128</v>
      </c>
      <c r="D26" s="350"/>
      <c r="E26" s="200"/>
      <c r="F26" s="231" t="s">
        <v>215</v>
      </c>
      <c r="G26" s="685">
        <v>183</v>
      </c>
      <c r="H26" s="9" t="s">
        <v>1</v>
      </c>
      <c r="I26" s="5"/>
      <c r="J26" s="325"/>
      <c r="K26" s="325"/>
      <c r="L26" s="325"/>
      <c r="M26" s="325"/>
      <c r="O26" s="660"/>
      <c r="P26" s="660"/>
      <c r="Q26" s="660"/>
      <c r="R26" s="660"/>
      <c r="S26" s="660"/>
      <c r="T26" s="660"/>
      <c r="U26" s="660"/>
      <c r="V26" s="660"/>
      <c r="W26" s="660"/>
      <c r="X26" s="660"/>
      <c r="Y26" s="661"/>
      <c r="Z26" s="661"/>
    </row>
    <row r="27" spans="2:26" ht="13.5" thickBot="1">
      <c r="B27" s="799"/>
      <c r="C27" s="352" t="s">
        <v>129</v>
      </c>
      <c r="D27" s="352"/>
      <c r="E27" s="202"/>
      <c r="F27" s="384" t="s">
        <v>215</v>
      </c>
      <c r="G27" s="686">
        <v>170</v>
      </c>
      <c r="H27" s="10" t="s">
        <v>1</v>
      </c>
      <c r="I27" s="5"/>
      <c r="J27" s="325"/>
      <c r="K27" s="325"/>
      <c r="L27" s="325"/>
      <c r="M27" s="325"/>
      <c r="O27" s="662">
        <f>O23+O21-O18+O15-O13-O7+O10</f>
        <v>525786.75</v>
      </c>
      <c r="P27" s="660" t="s">
        <v>201</v>
      </c>
      <c r="Q27" s="660"/>
      <c r="R27" s="660"/>
      <c r="S27" s="660"/>
      <c r="T27" s="660"/>
      <c r="U27" s="660"/>
      <c r="V27" s="660"/>
      <c r="W27" s="660"/>
      <c r="X27" s="660"/>
      <c r="Y27" s="661"/>
      <c r="Z27" s="661"/>
    </row>
    <row r="28" spans="2:26" ht="13.5" thickBot="1">
      <c r="B28" s="5"/>
      <c r="C28" s="5"/>
      <c r="D28" s="5"/>
      <c r="E28" s="5"/>
      <c r="F28" s="5"/>
      <c r="G28" s="5"/>
      <c r="H28" s="5"/>
      <c r="I28" s="5"/>
      <c r="J28" s="325"/>
      <c r="K28" s="325"/>
      <c r="L28" s="325"/>
      <c r="M28" s="325"/>
      <c r="O28" s="660"/>
      <c r="P28" s="660"/>
      <c r="Q28" s="660"/>
      <c r="R28" s="660"/>
      <c r="S28" s="660"/>
      <c r="T28" s="660"/>
      <c r="U28" s="660"/>
      <c r="V28" s="660"/>
      <c r="W28" s="660"/>
      <c r="X28" s="660"/>
      <c r="Y28" s="661"/>
      <c r="Z28" s="661"/>
    </row>
    <row r="29" spans="2:26" ht="18.75" thickBot="1">
      <c r="B29" s="4" t="s">
        <v>268</v>
      </c>
      <c r="C29" s="4"/>
      <c r="D29" s="4"/>
      <c r="E29" s="4"/>
      <c r="F29" s="4"/>
      <c r="G29" s="4"/>
      <c r="H29" s="312"/>
      <c r="I29" s="200"/>
      <c r="J29" s="324"/>
      <c r="K29" s="325"/>
      <c r="L29" s="325"/>
      <c r="M29" s="325"/>
      <c r="O29" s="660"/>
      <c r="P29" s="660"/>
      <c r="Q29" s="660"/>
      <c r="R29" s="660"/>
      <c r="S29" s="660"/>
      <c r="T29" s="660"/>
      <c r="U29" s="660"/>
      <c r="V29" s="660"/>
      <c r="W29" s="660"/>
      <c r="X29" s="660"/>
      <c r="Y29" s="661"/>
      <c r="Z29" s="661"/>
    </row>
    <row r="30" spans="2:26">
      <c r="B30" s="344"/>
      <c r="C30" s="201" t="s">
        <v>127</v>
      </c>
      <c r="D30" s="201"/>
      <c r="E30" s="201"/>
      <c r="F30" s="201"/>
      <c r="G30" s="687">
        <v>60</v>
      </c>
      <c r="H30" s="182" t="s">
        <v>53</v>
      </c>
      <c r="I30" s="200"/>
      <c r="J30" s="324"/>
      <c r="K30" s="325"/>
      <c r="L30" s="325"/>
      <c r="M30" s="325"/>
      <c r="O30" s="664"/>
      <c r="P30" s="660"/>
      <c r="Q30" s="660"/>
      <c r="R30" s="660" t="s">
        <v>6</v>
      </c>
      <c r="S30" s="660"/>
      <c r="T30" s="660"/>
      <c r="U30" s="660"/>
      <c r="V30" s="660"/>
      <c r="W30" s="660"/>
      <c r="X30" s="660"/>
      <c r="Y30" s="661"/>
      <c r="Z30" s="661"/>
    </row>
    <row r="31" spans="2:26">
      <c r="B31" s="345"/>
      <c r="C31" s="297" t="s">
        <v>162</v>
      </c>
      <c r="D31" s="298"/>
      <c r="E31" s="298"/>
      <c r="F31" s="386" t="s">
        <v>216</v>
      </c>
      <c r="G31" s="688">
        <v>1</v>
      </c>
      <c r="H31" s="377" t="s">
        <v>163</v>
      </c>
      <c r="I31" s="200"/>
      <c r="J31" s="324"/>
      <c r="K31" s="325"/>
      <c r="L31" s="325"/>
      <c r="M31" s="325"/>
      <c r="O31" s="664"/>
      <c r="P31" s="660"/>
      <c r="Q31" s="660"/>
      <c r="R31" s="660" t="s">
        <v>163</v>
      </c>
      <c r="S31" s="660"/>
      <c r="T31" s="660"/>
      <c r="U31" s="660"/>
      <c r="V31" s="660"/>
      <c r="W31" s="660"/>
      <c r="X31" s="660"/>
      <c r="Y31" s="661"/>
      <c r="Z31" s="661"/>
    </row>
    <row r="32" spans="2:26" ht="12.75" customHeight="1">
      <c r="B32" s="778" t="s">
        <v>159</v>
      </c>
      <c r="C32" s="350" t="s">
        <v>160</v>
      </c>
      <c r="D32" s="5"/>
      <c r="E32" s="382"/>
      <c r="F32" s="408" t="str">
        <f>CONCATENATE("(&lt;=",Q8,")")</f>
        <v>(&lt;=93)</v>
      </c>
      <c r="G32" s="689">
        <v>92</v>
      </c>
      <c r="H32" s="9" t="s">
        <v>6</v>
      </c>
      <c r="I32" s="6"/>
      <c r="J32" s="326"/>
      <c r="K32" s="325"/>
      <c r="L32" s="325"/>
      <c r="M32" s="325"/>
      <c r="O32" s="660">
        <f>IF($H$31="head",ROUND($G$31/2,0),IF($H$31="percent",ROUND(G32*$G$31/100,0),""))</f>
        <v>1</v>
      </c>
      <c r="P32" s="660" t="s">
        <v>203</v>
      </c>
      <c r="Q32" s="660"/>
      <c r="R32" s="660"/>
      <c r="S32" s="660"/>
      <c r="T32" s="660"/>
      <c r="U32" s="660"/>
      <c r="V32" s="660"/>
      <c r="W32" s="660"/>
      <c r="X32" s="660"/>
      <c r="Y32" s="661"/>
      <c r="Z32" s="661"/>
    </row>
    <row r="33" spans="2:26">
      <c r="B33" s="779"/>
      <c r="C33" s="350" t="s">
        <v>161</v>
      </c>
      <c r="D33" s="200"/>
      <c r="E33" s="310"/>
      <c r="F33" s="311"/>
      <c r="G33" s="689">
        <v>675</v>
      </c>
      <c r="H33" s="9" t="s">
        <v>0</v>
      </c>
      <c r="I33" s="350"/>
      <c r="J33" s="326"/>
      <c r="K33" s="325"/>
      <c r="L33" s="325"/>
      <c r="M33" s="325"/>
      <c r="O33" s="664">
        <f>IF(H31="head",G32-G31,IF(H31="percent",ROUND(G32*(1-G31/100),0),""))</f>
        <v>91</v>
      </c>
      <c r="P33" s="664" t="s">
        <v>205</v>
      </c>
      <c r="Q33" s="660"/>
      <c r="R33" s="660"/>
      <c r="S33" s="660"/>
      <c r="T33" s="660"/>
      <c r="U33" s="660"/>
      <c r="V33" s="660"/>
      <c r="W33" s="660"/>
      <c r="X33" s="660"/>
      <c r="Y33" s="661"/>
      <c r="Z33" s="661"/>
    </row>
    <row r="34" spans="2:26">
      <c r="B34" s="780"/>
      <c r="C34" s="303" t="s">
        <v>164</v>
      </c>
      <c r="D34" s="298"/>
      <c r="E34" s="316"/>
      <c r="F34" s="385" t="s">
        <v>215</v>
      </c>
      <c r="G34" s="689">
        <v>170</v>
      </c>
      <c r="H34" s="315" t="s">
        <v>171</v>
      </c>
      <c r="I34" s="350"/>
      <c r="J34" s="326"/>
      <c r="K34" s="325"/>
      <c r="L34" s="325"/>
      <c r="M34" s="325"/>
      <c r="O34" s="660"/>
      <c r="P34" s="660"/>
      <c r="Q34" s="660"/>
      <c r="R34" s="660"/>
      <c r="S34" s="660"/>
      <c r="T34" s="660"/>
      <c r="U34" s="660"/>
      <c r="V34" s="660"/>
      <c r="W34" s="660"/>
      <c r="X34" s="660"/>
      <c r="Y34" s="661"/>
      <c r="Z34" s="661"/>
    </row>
    <row r="35" spans="2:26" ht="12.75" customHeight="1">
      <c r="B35" s="773" t="s">
        <v>165</v>
      </c>
      <c r="C35" s="350" t="s">
        <v>160</v>
      </c>
      <c r="D35" s="5"/>
      <c r="E35" s="382"/>
      <c r="F35" s="408" t="str">
        <f>CONCATENATE("(&lt;=",Q8-(G7+G9-G13),")")</f>
        <v>(&lt;=93)</v>
      </c>
      <c r="G35" s="689">
        <v>92</v>
      </c>
      <c r="H35" s="181" t="s">
        <v>6</v>
      </c>
      <c r="I35" s="6"/>
      <c r="J35" s="326"/>
      <c r="K35" s="325"/>
      <c r="L35" s="325"/>
      <c r="M35" s="325"/>
      <c r="O35" s="660">
        <f>IF($H$31="head",$G$31-O32,IF($H$31="percent",ROUND(G35*$G$31/100,0),""))</f>
        <v>1</v>
      </c>
      <c r="P35" s="660" t="s">
        <v>204</v>
      </c>
      <c r="Q35" s="660"/>
      <c r="R35" s="660"/>
      <c r="S35" s="660"/>
      <c r="T35" s="660"/>
      <c r="U35" s="660"/>
      <c r="V35" s="660"/>
      <c r="W35" s="660"/>
      <c r="X35" s="660"/>
      <c r="Y35" s="661"/>
      <c r="Z35" s="661"/>
    </row>
    <row r="36" spans="2:26">
      <c r="B36" s="774"/>
      <c r="C36" s="350" t="s">
        <v>161</v>
      </c>
      <c r="D36" s="200"/>
      <c r="E36" s="310"/>
      <c r="F36" s="311"/>
      <c r="G36" s="689">
        <v>625</v>
      </c>
      <c r="H36" s="9" t="s">
        <v>0</v>
      </c>
      <c r="I36" s="350"/>
      <c r="J36" s="326"/>
      <c r="K36" s="325"/>
      <c r="L36" s="325"/>
      <c r="M36" s="325"/>
      <c r="O36" s="663">
        <f>G35-O35</f>
        <v>91</v>
      </c>
      <c r="P36" s="664" t="s">
        <v>206</v>
      </c>
      <c r="Q36" s="660"/>
      <c r="R36" s="660"/>
      <c r="S36" s="660"/>
      <c r="T36" s="660"/>
      <c r="U36" s="660"/>
      <c r="V36" s="660"/>
      <c r="W36" s="660"/>
      <c r="X36" s="660"/>
      <c r="Y36" s="661"/>
      <c r="Z36" s="661"/>
    </row>
    <row r="37" spans="2:26" ht="13.5" thickBot="1">
      <c r="B37" s="775"/>
      <c r="C37" s="352" t="s">
        <v>164</v>
      </c>
      <c r="D37" s="202"/>
      <c r="E37" s="314"/>
      <c r="F37" s="384" t="s">
        <v>215</v>
      </c>
      <c r="G37" s="690">
        <v>160</v>
      </c>
      <c r="H37" s="10" t="s">
        <v>171</v>
      </c>
      <c r="I37" s="350"/>
      <c r="J37" s="326"/>
      <c r="K37" s="325"/>
      <c r="L37" s="325"/>
      <c r="M37" s="325"/>
      <c r="O37" s="662">
        <f>(G32-O32)*G33*G34/100-G32*G24*G26/100+(G35-O35)*G36*G37/100-G35*G25*G27/100</f>
        <v>16505.5</v>
      </c>
      <c r="P37" s="660" t="s">
        <v>233</v>
      </c>
      <c r="Q37" s="660"/>
      <c r="R37" s="660"/>
      <c r="S37" s="660"/>
      <c r="T37" s="660"/>
      <c r="U37" s="660"/>
      <c r="V37" s="660"/>
      <c r="W37" s="660"/>
      <c r="X37" s="660"/>
      <c r="Y37" s="661"/>
      <c r="Z37" s="661"/>
    </row>
    <row r="38" spans="2:26" ht="13.5" thickBot="1">
      <c r="B38" s="5"/>
      <c r="C38" s="5"/>
      <c r="D38" s="5"/>
      <c r="E38" s="5"/>
      <c r="F38" s="5"/>
      <c r="G38" s="5"/>
      <c r="H38" s="5"/>
      <c r="I38" s="5"/>
      <c r="J38" s="324"/>
      <c r="K38" s="325"/>
      <c r="L38" s="325"/>
      <c r="M38" s="325"/>
      <c r="O38" s="660"/>
      <c r="P38" s="660"/>
      <c r="Q38" s="660"/>
      <c r="R38" s="660"/>
      <c r="S38" s="660"/>
      <c r="T38" s="660"/>
      <c r="U38" s="660"/>
      <c r="V38" s="660"/>
      <c r="W38" s="660"/>
      <c r="X38" s="660"/>
      <c r="Y38" s="661"/>
      <c r="Z38" s="661"/>
    </row>
    <row r="39" spans="2:26" ht="18.75" thickBot="1">
      <c r="B39" s="4" t="s">
        <v>175</v>
      </c>
      <c r="C39" s="4"/>
      <c r="D39" s="4"/>
      <c r="E39" s="4"/>
      <c r="F39" s="4"/>
      <c r="G39" s="4"/>
      <c r="H39" s="312"/>
      <c r="I39" s="5"/>
      <c r="J39" s="324"/>
      <c r="K39" s="325"/>
      <c r="L39" s="325"/>
      <c r="M39" s="325"/>
      <c r="O39" s="660"/>
      <c r="P39" s="660"/>
      <c r="Q39" s="660"/>
      <c r="R39" s="660"/>
      <c r="S39" s="660"/>
      <c r="T39" s="660"/>
      <c r="U39" s="660"/>
      <c r="V39" s="660"/>
      <c r="W39" s="660"/>
      <c r="X39" s="660"/>
      <c r="Y39" s="661"/>
      <c r="Z39" s="661"/>
    </row>
    <row r="40" spans="2:26">
      <c r="B40" s="344"/>
      <c r="C40" s="201" t="s">
        <v>127</v>
      </c>
      <c r="D40" s="201"/>
      <c r="E40" s="201"/>
      <c r="F40" s="201"/>
      <c r="G40" s="691"/>
      <c r="H40" s="182" t="s">
        <v>53</v>
      </c>
      <c r="I40" s="5"/>
      <c r="J40" s="324"/>
      <c r="K40" s="325"/>
      <c r="L40" s="325"/>
      <c r="M40" s="325"/>
      <c r="O40" s="660"/>
      <c r="P40" s="660"/>
      <c r="Q40" s="660"/>
      <c r="R40" s="660"/>
      <c r="S40" s="660"/>
      <c r="T40" s="660"/>
      <c r="U40" s="660"/>
      <c r="V40" s="660"/>
      <c r="W40" s="660"/>
      <c r="X40" s="660"/>
      <c r="Y40" s="661"/>
      <c r="Z40" s="661"/>
    </row>
    <row r="41" spans="2:26">
      <c r="B41" s="345"/>
      <c r="C41" s="297" t="s">
        <v>162</v>
      </c>
      <c r="D41" s="298"/>
      <c r="E41" s="298"/>
      <c r="F41" s="386" t="s">
        <v>216</v>
      </c>
      <c r="G41" s="692"/>
      <c r="H41" s="377" t="s">
        <v>163</v>
      </c>
      <c r="I41" s="5"/>
      <c r="J41" s="324"/>
      <c r="K41" s="325"/>
      <c r="L41" s="325"/>
      <c r="M41" s="325"/>
      <c r="O41" s="660"/>
      <c r="P41" s="660"/>
      <c r="Q41" s="660"/>
      <c r="R41" s="660"/>
      <c r="S41" s="660"/>
      <c r="T41" s="660"/>
      <c r="U41" s="660"/>
      <c r="V41" s="660"/>
      <c r="W41" s="660"/>
      <c r="X41" s="660"/>
      <c r="Y41" s="661"/>
      <c r="Z41" s="661"/>
    </row>
    <row r="42" spans="2:26" ht="12.75" customHeight="1">
      <c r="B42" s="778" t="s">
        <v>159</v>
      </c>
      <c r="C42" s="350" t="s">
        <v>166</v>
      </c>
      <c r="D42" s="383"/>
      <c r="E42" s="383"/>
      <c r="F42" s="409" t="str">
        <f>CONCATENATE("(&lt;=",O33,")")</f>
        <v>(&lt;=91)</v>
      </c>
      <c r="G42" s="693"/>
      <c r="H42" s="9" t="s">
        <v>6</v>
      </c>
      <c r="I42" s="5"/>
      <c r="J42" s="324"/>
      <c r="K42" s="325"/>
      <c r="L42" s="325"/>
      <c r="M42" s="325"/>
      <c r="O42" s="660">
        <f>IF(H41="head",ROUND(G41/2,0),IF(H41="percent",ROUND(G42*G41/100,0)))</f>
        <v>0</v>
      </c>
      <c r="P42" s="660" t="s">
        <v>207</v>
      </c>
      <c r="Q42" s="660"/>
      <c r="R42" s="660"/>
      <c r="S42" s="660"/>
      <c r="T42" s="660"/>
      <c r="U42" s="660"/>
      <c r="V42" s="660"/>
      <c r="W42" s="660"/>
      <c r="X42" s="660"/>
      <c r="Y42" s="661"/>
      <c r="Z42" s="661"/>
    </row>
    <row r="43" spans="2:26">
      <c r="B43" s="779"/>
      <c r="C43" s="350" t="s">
        <v>161</v>
      </c>
      <c r="D43" s="200"/>
      <c r="E43" s="310"/>
      <c r="F43" s="311"/>
      <c r="G43" s="693"/>
      <c r="H43" s="9" t="s">
        <v>0</v>
      </c>
      <c r="I43" s="5"/>
      <c r="J43" s="324"/>
      <c r="K43" s="325"/>
      <c r="L43" s="325"/>
      <c r="M43" s="325"/>
      <c r="O43" s="663">
        <f>G42-O42</f>
        <v>0</v>
      </c>
      <c r="P43" s="660" t="s">
        <v>202</v>
      </c>
      <c r="Q43" s="660"/>
      <c r="R43" s="660"/>
      <c r="S43" s="660"/>
      <c r="T43" s="660"/>
      <c r="U43" s="660"/>
      <c r="V43" s="660"/>
      <c r="W43" s="660"/>
      <c r="X43" s="660"/>
      <c r="Y43" s="661"/>
      <c r="Z43" s="661"/>
    </row>
    <row r="44" spans="2:26">
      <c r="B44" s="780"/>
      <c r="C44" s="303" t="s">
        <v>164</v>
      </c>
      <c r="D44" s="298"/>
      <c r="E44" s="316"/>
      <c r="F44" s="385" t="s">
        <v>215</v>
      </c>
      <c r="G44" s="693"/>
      <c r="H44" s="315" t="s">
        <v>171</v>
      </c>
      <c r="I44" s="5"/>
      <c r="J44" s="324"/>
      <c r="K44" s="325"/>
      <c r="L44" s="325"/>
      <c r="M44" s="325"/>
      <c r="O44" s="660"/>
      <c r="P44" s="660"/>
      <c r="Q44" s="660"/>
      <c r="R44" s="660"/>
      <c r="S44" s="660"/>
      <c r="T44" s="660"/>
      <c r="U44" s="660"/>
      <c r="V44" s="660"/>
      <c r="W44" s="660"/>
      <c r="X44" s="660"/>
      <c r="Y44" s="661"/>
      <c r="Z44" s="661"/>
    </row>
    <row r="45" spans="2:26" ht="12.75" customHeight="1">
      <c r="B45" s="773" t="s">
        <v>165</v>
      </c>
      <c r="C45" s="350" t="s">
        <v>166</v>
      </c>
      <c r="D45" s="776" t="str">
        <f>CONCATENATE("(&lt;=",O36,")")</f>
        <v>(&lt;=91)</v>
      </c>
      <c r="E45" s="776"/>
      <c r="F45" s="777"/>
      <c r="G45" s="693"/>
      <c r="H45" s="181" t="s">
        <v>6</v>
      </c>
      <c r="I45" s="5"/>
      <c r="J45" s="324"/>
      <c r="K45" s="325"/>
      <c r="L45" s="325"/>
      <c r="M45" s="325"/>
      <c r="O45" s="660">
        <f>IF($H$41="head",$G$41-O42,IF($H$41="percent",ROUND(G45*$G$41/100,0),""))</f>
        <v>0</v>
      </c>
      <c r="P45" s="660" t="s">
        <v>208</v>
      </c>
      <c r="Q45" s="660"/>
      <c r="R45" s="660"/>
      <c r="S45" s="660"/>
      <c r="T45" s="660"/>
      <c r="U45" s="660"/>
      <c r="V45" s="660"/>
      <c r="W45" s="660"/>
      <c r="X45" s="660"/>
      <c r="Y45" s="661"/>
      <c r="Z45" s="661"/>
    </row>
    <row r="46" spans="2:26">
      <c r="B46" s="774"/>
      <c r="C46" s="350" t="s">
        <v>161</v>
      </c>
      <c r="D46" s="200"/>
      <c r="E46" s="310"/>
      <c r="F46" s="311"/>
      <c r="G46" s="693"/>
      <c r="H46" s="9" t="s">
        <v>0</v>
      </c>
      <c r="I46" s="5"/>
      <c r="J46" s="324"/>
      <c r="K46" s="325"/>
      <c r="L46" s="325"/>
      <c r="M46" s="325"/>
      <c r="O46" s="663">
        <f>G45-O45</f>
        <v>0</v>
      </c>
      <c r="P46" s="660" t="s">
        <v>209</v>
      </c>
      <c r="Q46" s="660"/>
      <c r="R46" s="660"/>
      <c r="S46" s="660"/>
      <c r="T46" s="660"/>
      <c r="U46" s="660"/>
      <c r="V46" s="660"/>
      <c r="W46" s="660"/>
      <c r="X46" s="660"/>
      <c r="Y46" s="661"/>
      <c r="Z46" s="661"/>
    </row>
    <row r="47" spans="2:26" ht="13.5" thickBot="1">
      <c r="B47" s="775"/>
      <c r="C47" s="352" t="s">
        <v>164</v>
      </c>
      <c r="D47" s="202"/>
      <c r="E47" s="314"/>
      <c r="F47" s="384" t="s">
        <v>215</v>
      </c>
      <c r="G47" s="694"/>
      <c r="H47" s="343" t="s">
        <v>171</v>
      </c>
      <c r="I47" s="5"/>
      <c r="J47" s="324"/>
      <c r="K47" s="325"/>
      <c r="L47" s="325"/>
      <c r="M47" s="325"/>
      <c r="O47" s="662">
        <f>(G42-O42)*G43*G44/100-G42*G33*G34/100+(G45-O45)*G46*G47/100-G45*G36*G37/100</f>
        <v>0</v>
      </c>
      <c r="P47" s="660" t="s">
        <v>232</v>
      </c>
      <c r="Q47" s="660"/>
      <c r="R47" s="660"/>
      <c r="S47" s="660"/>
      <c r="T47" s="660"/>
      <c r="U47" s="660"/>
      <c r="V47" s="660"/>
      <c r="W47" s="660"/>
      <c r="X47" s="660"/>
      <c r="Y47" s="661"/>
      <c r="Z47" s="661"/>
    </row>
    <row r="48" spans="2:26" ht="13.5" thickBot="1">
      <c r="B48" s="5"/>
      <c r="C48" s="5"/>
      <c r="D48" s="5"/>
      <c r="E48" s="5"/>
      <c r="F48" s="5"/>
      <c r="G48" s="5"/>
      <c r="H48" s="5"/>
      <c r="I48" s="5"/>
      <c r="J48" s="324"/>
      <c r="K48" s="325"/>
      <c r="L48" s="325"/>
      <c r="M48" s="325"/>
      <c r="O48" s="660"/>
      <c r="P48" s="660"/>
      <c r="Q48" s="660"/>
      <c r="R48" s="660"/>
      <c r="S48" s="660"/>
      <c r="T48" s="660"/>
      <c r="U48" s="660"/>
      <c r="V48" s="660"/>
      <c r="W48" s="660"/>
      <c r="X48" s="660"/>
      <c r="Y48" s="661"/>
      <c r="Z48" s="661"/>
    </row>
    <row r="49" spans="2:26" ht="18.75" thickBot="1">
      <c r="B49" s="4" t="s">
        <v>190</v>
      </c>
      <c r="C49" s="4"/>
      <c r="D49" s="4"/>
      <c r="E49" s="4"/>
      <c r="F49" s="4"/>
      <c r="G49" s="4"/>
      <c r="H49" s="312"/>
      <c r="I49" s="5"/>
      <c r="J49" s="324"/>
      <c r="K49" s="325"/>
      <c r="L49" s="325"/>
      <c r="M49" s="325"/>
      <c r="O49" s="660"/>
      <c r="P49" s="660"/>
      <c r="Q49" s="660"/>
      <c r="R49" s="660"/>
      <c r="S49" s="660"/>
      <c r="T49" s="660"/>
      <c r="U49" s="660"/>
      <c r="V49" s="660"/>
      <c r="W49" s="660"/>
      <c r="X49" s="660"/>
      <c r="Y49" s="661"/>
      <c r="Z49" s="661"/>
    </row>
    <row r="50" spans="2:26">
      <c r="B50" s="344"/>
      <c r="C50" s="201" t="s">
        <v>127</v>
      </c>
      <c r="D50" s="201"/>
      <c r="E50" s="201"/>
      <c r="F50" s="201"/>
      <c r="G50" s="695"/>
      <c r="H50" s="182" t="s">
        <v>53</v>
      </c>
      <c r="I50" s="5"/>
      <c r="J50" s="324"/>
      <c r="K50" s="325"/>
      <c r="L50" s="325"/>
      <c r="M50" s="325"/>
      <c r="O50" s="660"/>
      <c r="P50" s="660"/>
      <c r="Q50" s="660"/>
      <c r="R50" s="660"/>
      <c r="S50" s="660"/>
      <c r="T50" s="660"/>
      <c r="U50" s="660"/>
      <c r="V50" s="660"/>
      <c r="W50" s="660"/>
      <c r="X50" s="660"/>
      <c r="Y50" s="661"/>
      <c r="Z50" s="661"/>
    </row>
    <row r="51" spans="2:26">
      <c r="B51" s="345"/>
      <c r="C51" s="297" t="s">
        <v>162</v>
      </c>
      <c r="D51" s="298"/>
      <c r="E51" s="298"/>
      <c r="F51" s="386" t="s">
        <v>216</v>
      </c>
      <c r="G51" s="696"/>
      <c r="H51" s="377" t="s">
        <v>163</v>
      </c>
      <c r="I51" s="5"/>
      <c r="J51" s="324"/>
      <c r="K51" s="325"/>
      <c r="L51" s="325"/>
      <c r="M51" s="325"/>
      <c r="O51" s="660"/>
      <c r="P51" s="660"/>
      <c r="Q51" s="660"/>
      <c r="R51" s="660"/>
      <c r="S51" s="660"/>
      <c r="T51" s="660"/>
      <c r="U51" s="660"/>
      <c r="V51" s="660"/>
      <c r="W51" s="660"/>
      <c r="X51" s="660"/>
      <c r="Y51" s="661"/>
      <c r="Z51" s="661"/>
    </row>
    <row r="52" spans="2:26" ht="12.75" customHeight="1">
      <c r="B52" s="778" t="s">
        <v>159</v>
      </c>
      <c r="C52" s="350" t="s">
        <v>167</v>
      </c>
      <c r="D52" s="383"/>
      <c r="E52" s="383"/>
      <c r="F52" s="409" t="str">
        <f>CONCATENATE("(&lt;=",O43,")")</f>
        <v>(&lt;=0)</v>
      </c>
      <c r="G52" s="697"/>
      <c r="H52" s="9" t="s">
        <v>6</v>
      </c>
      <c r="I52" s="5"/>
      <c r="J52" s="324"/>
      <c r="K52" s="325"/>
      <c r="L52" s="325"/>
      <c r="M52" s="325"/>
      <c r="O52" s="660">
        <f>IF(H51="head",ROUND(G51/2,0),IF(H51="percent",ROUND(G52*G51/100,0)))</f>
        <v>0</v>
      </c>
      <c r="P52" s="660" t="s">
        <v>210</v>
      </c>
      <c r="Q52" s="660"/>
      <c r="R52" s="660"/>
      <c r="S52" s="660"/>
      <c r="T52" s="660"/>
      <c r="U52" s="660"/>
      <c r="V52" s="660"/>
      <c r="W52" s="660"/>
      <c r="X52" s="660"/>
      <c r="Y52" s="661"/>
      <c r="Z52" s="661"/>
    </row>
    <row r="53" spans="2:26">
      <c r="B53" s="779"/>
      <c r="C53" s="350" t="s">
        <v>161</v>
      </c>
      <c r="D53" s="200"/>
      <c r="E53" s="310"/>
      <c r="F53" s="311"/>
      <c r="G53" s="697"/>
      <c r="H53" s="9" t="s">
        <v>0</v>
      </c>
      <c r="I53" s="5"/>
      <c r="J53" s="324"/>
      <c r="K53" s="325"/>
      <c r="L53" s="325"/>
      <c r="M53" s="325"/>
      <c r="O53" s="663">
        <f>G52-O52</f>
        <v>0</v>
      </c>
      <c r="P53" s="660" t="s">
        <v>213</v>
      </c>
      <c r="Q53" s="660"/>
      <c r="R53" s="660"/>
      <c r="S53" s="660"/>
      <c r="T53" s="660"/>
      <c r="U53" s="660"/>
      <c r="V53" s="660"/>
      <c r="W53" s="660"/>
      <c r="X53" s="660"/>
      <c r="Y53" s="661"/>
      <c r="Z53" s="661"/>
    </row>
    <row r="54" spans="2:26">
      <c r="B54" s="780"/>
      <c r="C54" s="303" t="s">
        <v>164</v>
      </c>
      <c r="D54" s="298"/>
      <c r="E54" s="316"/>
      <c r="F54" s="385" t="s">
        <v>215</v>
      </c>
      <c r="G54" s="697"/>
      <c r="H54" s="315" t="s">
        <v>171</v>
      </c>
      <c r="I54" s="5"/>
      <c r="J54" s="324"/>
      <c r="K54" s="325"/>
      <c r="L54" s="325"/>
      <c r="M54" s="325"/>
      <c r="O54" s="660"/>
      <c r="P54" s="660"/>
      <c r="Q54" s="660"/>
      <c r="R54" s="660"/>
      <c r="S54" s="660"/>
      <c r="T54" s="660"/>
      <c r="U54" s="660"/>
      <c r="V54" s="660"/>
      <c r="W54" s="660"/>
      <c r="X54" s="660"/>
      <c r="Y54" s="661"/>
      <c r="Z54" s="661"/>
    </row>
    <row r="55" spans="2:26" ht="12.75" customHeight="1">
      <c r="B55" s="773" t="s">
        <v>165</v>
      </c>
      <c r="C55" s="350" t="s">
        <v>167</v>
      </c>
      <c r="D55" s="383"/>
      <c r="E55" s="383"/>
      <c r="F55" s="409" t="str">
        <f>CONCATENATE("(&lt;=",O46,")")</f>
        <v>(&lt;=0)</v>
      </c>
      <c r="G55" s="697"/>
      <c r="H55" s="181" t="s">
        <v>6</v>
      </c>
      <c r="I55" s="5"/>
      <c r="J55" s="324"/>
      <c r="K55" s="325"/>
      <c r="L55" s="325"/>
      <c r="M55" s="325"/>
      <c r="O55" s="660">
        <f>IF($H$51="head",$G$51-O52,IF($H$51="percent",ROUND(G55*$G$51/100,0),""))</f>
        <v>0</v>
      </c>
      <c r="P55" s="660" t="s">
        <v>211</v>
      </c>
      <c r="Q55" s="660"/>
      <c r="R55" s="660"/>
      <c r="S55" s="660"/>
      <c r="T55" s="660"/>
      <c r="U55" s="660"/>
      <c r="V55" s="660"/>
      <c r="W55" s="660"/>
      <c r="X55" s="660"/>
      <c r="Y55" s="661"/>
      <c r="Z55" s="661"/>
    </row>
    <row r="56" spans="2:26">
      <c r="B56" s="774"/>
      <c r="C56" s="350" t="s">
        <v>161</v>
      </c>
      <c r="D56" s="200"/>
      <c r="E56" s="310"/>
      <c r="F56" s="311"/>
      <c r="G56" s="697"/>
      <c r="H56" s="9" t="s">
        <v>0</v>
      </c>
      <c r="I56" s="5"/>
      <c r="J56" s="324"/>
      <c r="K56" s="325"/>
      <c r="L56" s="325"/>
      <c r="M56" s="325"/>
      <c r="O56" s="663">
        <f>G55-O55</f>
        <v>0</v>
      </c>
      <c r="P56" s="660" t="s">
        <v>212</v>
      </c>
      <c r="Q56" s="660"/>
      <c r="R56" s="660"/>
      <c r="S56" s="660"/>
      <c r="T56" s="660"/>
      <c r="U56" s="660"/>
      <c r="V56" s="660"/>
      <c r="W56" s="660"/>
      <c r="X56" s="660"/>
      <c r="Y56" s="661"/>
      <c r="Z56" s="661"/>
    </row>
    <row r="57" spans="2:26" ht="13.5" thickBot="1">
      <c r="B57" s="775"/>
      <c r="C57" s="352" t="s">
        <v>164</v>
      </c>
      <c r="D57" s="202"/>
      <c r="E57" s="314"/>
      <c r="F57" s="384" t="s">
        <v>215</v>
      </c>
      <c r="G57" s="698"/>
      <c r="H57" s="343" t="s">
        <v>171</v>
      </c>
      <c r="I57" s="5"/>
      <c r="J57" s="324"/>
      <c r="K57" s="325"/>
      <c r="L57" s="325"/>
      <c r="M57" s="325"/>
      <c r="O57" s="662">
        <f>(G52-O52)*G53*G54/100-G52*G43*G44/100+(G55-O55)*G56*G57/100-G55*G46*G47/100</f>
        <v>0</v>
      </c>
      <c r="P57" s="660" t="s">
        <v>231</v>
      </c>
      <c r="Q57" s="660"/>
      <c r="R57" s="660"/>
      <c r="S57" s="660"/>
      <c r="T57" s="660"/>
      <c r="U57" s="660"/>
      <c r="V57" s="660"/>
      <c r="W57" s="660"/>
      <c r="X57" s="660"/>
      <c r="Y57" s="661"/>
      <c r="Z57" s="661"/>
    </row>
    <row r="58" spans="2:26" ht="13.5" thickBot="1">
      <c r="B58" s="5"/>
      <c r="C58" s="5"/>
      <c r="D58" s="5"/>
      <c r="E58" s="5"/>
      <c r="F58" s="5"/>
      <c r="G58" s="5"/>
      <c r="H58" s="5"/>
      <c r="I58" s="5"/>
      <c r="J58" s="324"/>
      <c r="K58" s="325"/>
      <c r="L58" s="325"/>
      <c r="M58" s="325"/>
      <c r="O58" s="660"/>
      <c r="P58" s="660"/>
      <c r="Q58" s="660"/>
      <c r="R58" s="660"/>
      <c r="S58" s="660"/>
      <c r="T58" s="660"/>
      <c r="U58" s="660"/>
      <c r="V58" s="660"/>
      <c r="W58" s="660"/>
      <c r="X58" s="660"/>
      <c r="Y58" s="661"/>
      <c r="Z58" s="661"/>
    </row>
    <row r="59" spans="2:26" ht="18.75" thickBot="1">
      <c r="B59" s="4" t="s">
        <v>236</v>
      </c>
      <c r="C59" s="4"/>
      <c r="D59" s="4"/>
      <c r="E59" s="4"/>
      <c r="F59" s="4"/>
      <c r="G59" s="4"/>
      <c r="H59" s="312"/>
      <c r="I59" s="5"/>
      <c r="J59" s="324"/>
      <c r="K59" s="325"/>
      <c r="L59" s="325"/>
      <c r="M59" s="325"/>
      <c r="O59" s="660"/>
      <c r="P59" s="660"/>
      <c r="Q59" s="660"/>
      <c r="R59" s="660"/>
      <c r="S59" s="660"/>
      <c r="T59" s="660"/>
      <c r="U59" s="660"/>
      <c r="V59" s="660"/>
      <c r="W59" s="660"/>
      <c r="X59" s="660"/>
      <c r="Y59" s="661"/>
      <c r="Z59" s="661"/>
    </row>
    <row r="60" spans="2:26">
      <c r="B60" s="344"/>
      <c r="C60" s="201" t="s">
        <v>127</v>
      </c>
      <c r="D60" s="201"/>
      <c r="E60" s="201"/>
      <c r="F60" s="201"/>
      <c r="G60" s="699"/>
      <c r="H60" s="182" t="s">
        <v>53</v>
      </c>
      <c r="I60" s="5"/>
      <c r="J60" s="324"/>
      <c r="K60" s="325"/>
      <c r="L60" s="325"/>
      <c r="M60" s="325"/>
      <c r="O60" s="660"/>
      <c r="P60" s="660"/>
      <c r="Q60" s="660"/>
      <c r="R60" s="660"/>
      <c r="S60" s="660"/>
      <c r="T60" s="660"/>
      <c r="U60" s="660"/>
      <c r="V60" s="660"/>
      <c r="W60" s="660"/>
      <c r="X60" s="660"/>
      <c r="Y60" s="661"/>
      <c r="Z60" s="661"/>
    </row>
    <row r="61" spans="2:26">
      <c r="B61" s="398"/>
      <c r="C61" s="298" t="s">
        <v>162</v>
      </c>
      <c r="D61" s="298"/>
      <c r="E61" s="298"/>
      <c r="F61" s="386" t="s">
        <v>216</v>
      </c>
      <c r="G61" s="700"/>
      <c r="H61" s="377" t="s">
        <v>163</v>
      </c>
      <c r="I61" s="5"/>
      <c r="J61" s="324"/>
      <c r="K61" s="325"/>
      <c r="L61" s="325"/>
      <c r="M61" s="325"/>
      <c r="O61" s="660"/>
      <c r="P61" s="660"/>
      <c r="Q61" s="660"/>
      <c r="R61" s="660"/>
      <c r="S61" s="660"/>
      <c r="T61" s="660"/>
      <c r="U61" s="660"/>
      <c r="V61" s="660"/>
      <c r="W61" s="660"/>
      <c r="X61" s="660"/>
      <c r="Y61" s="661"/>
      <c r="Z61" s="661"/>
    </row>
    <row r="62" spans="2:26" ht="12.75" customHeight="1">
      <c r="B62" s="398"/>
      <c r="C62" s="350" t="s">
        <v>167</v>
      </c>
      <c r="D62" s="383"/>
      <c r="E62" s="383"/>
      <c r="F62" s="409" t="str">
        <f>CONCATENATE("(&lt;=",G5,")")</f>
        <v>(&lt;=20)</v>
      </c>
      <c r="G62" s="701"/>
      <c r="H62" s="9" t="s">
        <v>6</v>
      </c>
      <c r="I62" s="5"/>
      <c r="J62" s="324"/>
      <c r="K62" s="325"/>
      <c r="L62" s="325"/>
      <c r="M62" s="325"/>
      <c r="O62" s="660">
        <f>IF(H61="head",G61,IF(H61="percent",ROUND(G62*G61/100,0)))</f>
        <v>0</v>
      </c>
      <c r="P62" s="660" t="s">
        <v>227</v>
      </c>
      <c r="Q62" s="660"/>
      <c r="R62" s="660"/>
      <c r="S62" s="660"/>
      <c r="T62" s="660"/>
      <c r="U62" s="660"/>
      <c r="V62" s="660"/>
      <c r="W62" s="660"/>
      <c r="X62" s="660"/>
      <c r="Y62" s="661"/>
      <c r="Z62" s="661"/>
    </row>
    <row r="63" spans="2:26">
      <c r="B63" s="398"/>
      <c r="C63" s="350" t="s">
        <v>161</v>
      </c>
      <c r="D63" s="200"/>
      <c r="E63" s="310"/>
      <c r="F63" s="311"/>
      <c r="G63" s="701"/>
      <c r="H63" s="9" t="s">
        <v>0</v>
      </c>
      <c r="I63" s="5"/>
      <c r="J63" s="324"/>
      <c r="K63" s="325"/>
      <c r="L63" s="325"/>
      <c r="M63" s="325"/>
      <c r="O63" s="663">
        <f>G62-O62</f>
        <v>0</v>
      </c>
      <c r="P63" s="660" t="s">
        <v>228</v>
      </c>
      <c r="Q63" s="660"/>
      <c r="R63" s="660"/>
      <c r="S63" s="660"/>
      <c r="T63" s="660"/>
      <c r="U63" s="660"/>
      <c r="V63" s="660"/>
      <c r="W63" s="660"/>
      <c r="X63" s="660"/>
      <c r="Y63" s="661"/>
      <c r="Z63" s="661"/>
    </row>
    <row r="64" spans="2:26" ht="13.5" thickBot="1">
      <c r="B64" s="399"/>
      <c r="C64" s="352" t="s">
        <v>164</v>
      </c>
      <c r="D64" s="202"/>
      <c r="E64" s="314"/>
      <c r="F64" s="384" t="s">
        <v>215</v>
      </c>
      <c r="G64" s="702"/>
      <c r="H64" s="10" t="s">
        <v>171</v>
      </c>
      <c r="I64" s="5"/>
      <c r="J64" s="324"/>
      <c r="K64" s="325"/>
      <c r="L64" s="325"/>
      <c r="M64" s="325"/>
      <c r="O64" s="662">
        <f>O63*G63*G64/100-G62*G15*G16/100</f>
        <v>0</v>
      </c>
      <c r="P64" s="660" t="s">
        <v>230</v>
      </c>
      <c r="Q64" s="660"/>
      <c r="R64" s="660"/>
      <c r="S64" s="660"/>
      <c r="T64" s="660"/>
      <c r="U64" s="660"/>
      <c r="V64" s="660"/>
      <c r="W64" s="660"/>
      <c r="X64" s="660"/>
      <c r="Y64" s="661"/>
      <c r="Z64" s="661"/>
    </row>
    <row r="65" spans="2:26" ht="13.5" thickBot="1">
      <c r="B65" s="5"/>
      <c r="C65" s="5"/>
      <c r="D65" s="5"/>
      <c r="E65" s="5"/>
      <c r="F65" s="5"/>
      <c r="G65" s="5"/>
      <c r="H65" s="5"/>
      <c r="I65" s="5"/>
      <c r="J65" s="324"/>
      <c r="K65" s="325"/>
      <c r="L65" s="325"/>
      <c r="M65" s="325"/>
      <c r="O65" s="665"/>
      <c r="P65" s="660"/>
      <c r="Q65" s="660"/>
      <c r="R65" s="660"/>
      <c r="S65" s="660"/>
      <c r="T65" s="660"/>
      <c r="U65" s="660"/>
      <c r="V65" s="660"/>
      <c r="W65" s="660"/>
      <c r="X65" s="660"/>
      <c r="Y65" s="661"/>
      <c r="Z65" s="661"/>
    </row>
    <row r="66" spans="2:26" ht="18" customHeight="1" thickBot="1">
      <c r="B66" s="4" t="s">
        <v>7</v>
      </c>
      <c r="C66" s="288"/>
      <c r="D66" s="178"/>
      <c r="E66" s="178"/>
      <c r="F66" s="178"/>
      <c r="G66" s="178"/>
      <c r="H66" s="230"/>
      <c r="I66" s="5"/>
      <c r="J66" s="327"/>
      <c r="K66" s="327"/>
      <c r="L66" s="327"/>
      <c r="M66" s="327"/>
      <c r="N66" s="379"/>
      <c r="O66" s="666"/>
      <c r="P66" s="665"/>
      <c r="Q66" s="660"/>
      <c r="R66" s="660"/>
      <c r="S66" s="660"/>
      <c r="T66" s="660"/>
      <c r="U66" s="660"/>
      <c r="V66" s="660"/>
      <c r="W66" s="660"/>
      <c r="X66" s="660"/>
      <c r="Y66" s="661"/>
      <c r="Z66" s="661"/>
    </row>
    <row r="67" spans="2:26" ht="40.5" customHeight="1" thickBot="1">
      <c r="B67" s="318" t="s">
        <v>146</v>
      </c>
      <c r="C67" s="290"/>
      <c r="D67" s="317" t="s">
        <v>8</v>
      </c>
      <c r="E67" s="11" t="s">
        <v>168</v>
      </c>
      <c r="F67" s="11" t="s">
        <v>59</v>
      </c>
      <c r="G67" s="11" t="s">
        <v>169</v>
      </c>
      <c r="H67" s="12" t="s">
        <v>28</v>
      </c>
      <c r="I67" s="101"/>
      <c r="J67" s="328"/>
      <c r="K67" s="328"/>
      <c r="L67" s="328"/>
      <c r="M67" s="328"/>
      <c r="N67" s="347"/>
      <c r="O67" s="667"/>
      <c r="P67" s="665"/>
      <c r="Q67" s="660"/>
      <c r="R67" s="660"/>
      <c r="S67" s="660"/>
      <c r="T67" s="660"/>
      <c r="U67" s="660"/>
      <c r="V67" s="660"/>
      <c r="W67" s="660"/>
      <c r="X67" s="660"/>
      <c r="Y67" s="661"/>
      <c r="Z67" s="661"/>
    </row>
    <row r="68" spans="2:26" ht="13.5" thickTop="1">
      <c r="B68" s="785" t="s">
        <v>261</v>
      </c>
      <c r="C68" s="786"/>
      <c r="D68" s="704">
        <v>80</v>
      </c>
      <c r="E68" s="710" t="s">
        <v>259</v>
      </c>
      <c r="F68" s="710" t="s">
        <v>254</v>
      </c>
      <c r="G68" s="769">
        <f>365/12</f>
        <v>30.416666666666668</v>
      </c>
      <c r="H68" s="37">
        <f>IF(G68=0,"",D68/G68)</f>
        <v>2.6301369863013697</v>
      </c>
      <c r="I68" s="5"/>
      <c r="J68" s="329"/>
      <c r="K68" s="330"/>
      <c r="L68" s="330"/>
      <c r="M68" s="330"/>
      <c r="N68" s="346"/>
      <c r="O68" s="668"/>
      <c r="P68" s="665"/>
      <c r="Q68" s="660"/>
      <c r="R68" s="660"/>
      <c r="S68" s="660"/>
      <c r="T68" s="660"/>
      <c r="U68" s="660"/>
      <c r="V68" s="660"/>
      <c r="W68" s="660"/>
      <c r="X68" s="660"/>
      <c r="Y68" s="661"/>
      <c r="Z68" s="661"/>
    </row>
    <row r="69" spans="2:26">
      <c r="B69" s="783" t="s">
        <v>265</v>
      </c>
      <c r="C69" s="784"/>
      <c r="D69" s="705">
        <v>195</v>
      </c>
      <c r="E69" s="711" t="s">
        <v>248</v>
      </c>
      <c r="F69" s="711" t="s">
        <v>249</v>
      </c>
      <c r="G69" s="769">
        <v>2000</v>
      </c>
      <c r="H69" s="37">
        <f t="shared" ref="H69:H77" si="0">IF(G69=0,"",D69/G69)</f>
        <v>9.7500000000000003E-2</v>
      </c>
      <c r="I69" s="5"/>
      <c r="J69" s="329"/>
      <c r="K69" s="330"/>
      <c r="L69" s="330"/>
      <c r="M69" s="330"/>
      <c r="N69" s="346"/>
      <c r="O69" s="668"/>
      <c r="P69" s="665"/>
      <c r="Q69" s="660"/>
      <c r="R69" s="660"/>
      <c r="S69" s="660"/>
      <c r="T69" s="660"/>
      <c r="U69" s="660"/>
      <c r="V69" s="660"/>
      <c r="W69" s="660"/>
      <c r="X69" s="660"/>
      <c r="Y69" s="661"/>
      <c r="Z69" s="661"/>
    </row>
    <row r="70" spans="2:26">
      <c r="B70" s="783" t="s">
        <v>247</v>
      </c>
      <c r="C70" s="784"/>
      <c r="D70" s="705">
        <v>130</v>
      </c>
      <c r="E70" s="711" t="s">
        <v>248</v>
      </c>
      <c r="F70" s="711" t="s">
        <v>249</v>
      </c>
      <c r="G70" s="708">
        <v>2000</v>
      </c>
      <c r="H70" s="37">
        <f t="shared" si="0"/>
        <v>6.5000000000000002E-2</v>
      </c>
      <c r="I70" s="5"/>
      <c r="J70" s="329"/>
      <c r="K70" s="330"/>
      <c r="L70" s="330"/>
      <c r="M70" s="330"/>
      <c r="N70" s="346"/>
      <c r="O70" s="668"/>
      <c r="P70" s="665"/>
      <c r="Q70" s="660"/>
      <c r="R70" s="660"/>
      <c r="S70" s="660"/>
      <c r="T70" s="660"/>
      <c r="U70" s="660"/>
      <c r="V70" s="660"/>
      <c r="W70" s="660"/>
      <c r="X70" s="660"/>
      <c r="Y70" s="661"/>
      <c r="Z70" s="661"/>
    </row>
    <row r="71" spans="2:26">
      <c r="B71" s="783" t="s">
        <v>250</v>
      </c>
      <c r="C71" s="784"/>
      <c r="D71" s="706">
        <v>150</v>
      </c>
      <c r="E71" s="707" t="s">
        <v>248</v>
      </c>
      <c r="F71" s="707" t="s">
        <v>249</v>
      </c>
      <c r="G71" s="709">
        <v>2000</v>
      </c>
      <c r="H71" s="37">
        <f t="shared" si="0"/>
        <v>7.4999999999999997E-2</v>
      </c>
      <c r="I71" s="5"/>
      <c r="J71" s="329"/>
      <c r="K71" s="330"/>
      <c r="L71" s="330"/>
      <c r="M71" s="330"/>
      <c r="N71" s="346"/>
      <c r="O71" s="668"/>
      <c r="P71" s="665"/>
      <c r="Q71" s="660"/>
      <c r="R71" s="660"/>
      <c r="S71" s="660"/>
      <c r="T71" s="660"/>
      <c r="U71" s="660"/>
      <c r="V71" s="660"/>
      <c r="W71" s="660"/>
      <c r="X71" s="660"/>
      <c r="Y71" s="661"/>
      <c r="Z71" s="661"/>
    </row>
    <row r="72" spans="2:26">
      <c r="B72" s="783" t="s">
        <v>263</v>
      </c>
      <c r="C72" s="784"/>
      <c r="D72" s="705">
        <v>100</v>
      </c>
      <c r="E72" s="711" t="s">
        <v>248</v>
      </c>
      <c r="F72" s="711" t="s">
        <v>249</v>
      </c>
      <c r="G72" s="708">
        <v>2000</v>
      </c>
      <c r="H72" s="37">
        <f t="shared" si="0"/>
        <v>0.05</v>
      </c>
      <c r="I72" s="5"/>
      <c r="J72" s="329"/>
      <c r="K72" s="330"/>
      <c r="L72" s="330"/>
      <c r="M72" s="330"/>
      <c r="N72" s="346"/>
      <c r="O72" s="668"/>
      <c r="P72" s="665"/>
      <c r="Q72" s="660"/>
      <c r="R72" s="660"/>
      <c r="S72" s="660"/>
      <c r="T72" s="660"/>
      <c r="U72" s="660"/>
      <c r="V72" s="660"/>
      <c r="W72" s="660"/>
      <c r="X72" s="660"/>
      <c r="Y72" s="661"/>
      <c r="Z72" s="661"/>
    </row>
    <row r="73" spans="2:26">
      <c r="B73" s="783" t="s">
        <v>251</v>
      </c>
      <c r="C73" s="784"/>
      <c r="D73" s="705">
        <v>1200</v>
      </c>
      <c r="E73" s="711" t="s">
        <v>248</v>
      </c>
      <c r="F73" s="711" t="s">
        <v>260</v>
      </c>
      <c r="G73" s="708">
        <v>32000</v>
      </c>
      <c r="H73" s="37">
        <f t="shared" si="0"/>
        <v>3.7499999999999999E-2</v>
      </c>
      <c r="I73" s="5"/>
      <c r="J73" s="329"/>
      <c r="K73" s="330"/>
      <c r="L73" s="330"/>
      <c r="M73" s="330"/>
      <c r="N73" s="346"/>
      <c r="O73" s="660"/>
      <c r="P73" s="668" t="s">
        <v>31</v>
      </c>
      <c r="Q73" s="660" t="s">
        <v>174</v>
      </c>
      <c r="R73" s="463" t="s">
        <v>178</v>
      </c>
      <c r="S73" s="463" t="s">
        <v>175</v>
      </c>
      <c r="T73" s="463" t="s">
        <v>190</v>
      </c>
      <c r="U73" s="463" t="s">
        <v>229</v>
      </c>
      <c r="V73" s="660"/>
      <c r="W73" s="660"/>
      <c r="X73" s="660"/>
      <c r="Y73" s="661"/>
      <c r="Z73" s="661"/>
    </row>
    <row r="74" spans="2:26">
      <c r="B74" s="714" t="s">
        <v>264</v>
      </c>
      <c r="C74" s="715"/>
      <c r="D74" s="705">
        <v>300</v>
      </c>
      <c r="E74" s="711" t="s">
        <v>248</v>
      </c>
      <c r="F74" s="711" t="s">
        <v>249</v>
      </c>
      <c r="G74" s="708">
        <v>2000</v>
      </c>
      <c r="H74" s="37">
        <f t="shared" si="0"/>
        <v>0.15</v>
      </c>
      <c r="I74" s="5"/>
      <c r="J74" s="329"/>
      <c r="K74" s="330"/>
      <c r="L74" s="330"/>
      <c r="M74" s="330"/>
      <c r="N74" s="346"/>
      <c r="O74" s="660"/>
      <c r="P74" s="668">
        <f>SUM(Q74:U74)</f>
        <v>542292.25</v>
      </c>
      <c r="Q74" s="668">
        <f>O27</f>
        <v>525786.75</v>
      </c>
      <c r="R74" s="668">
        <f>O37</f>
        <v>16505.5</v>
      </c>
      <c r="S74" s="668">
        <f>O47</f>
        <v>0</v>
      </c>
      <c r="T74" s="668">
        <f>O57</f>
        <v>0</v>
      </c>
      <c r="U74" s="668">
        <f>O64</f>
        <v>0</v>
      </c>
      <c r="V74" s="660"/>
      <c r="W74" s="660"/>
      <c r="X74" s="660"/>
      <c r="Y74" s="661"/>
      <c r="Z74" s="661"/>
    </row>
    <row r="75" spans="2:26">
      <c r="B75" s="714" t="s">
        <v>252</v>
      </c>
      <c r="C75" s="715"/>
      <c r="D75" s="705">
        <v>5.25</v>
      </c>
      <c r="E75" s="711" t="s">
        <v>253</v>
      </c>
      <c r="F75" s="711" t="s">
        <v>249</v>
      </c>
      <c r="G75" s="708">
        <v>56</v>
      </c>
      <c r="H75" s="37">
        <f t="shared" si="0"/>
        <v>9.375E-2</v>
      </c>
      <c r="I75" s="5"/>
      <c r="J75" s="329"/>
      <c r="K75" s="330"/>
      <c r="L75" s="330"/>
      <c r="M75" s="330"/>
      <c r="N75" s="346"/>
      <c r="O75" s="660"/>
      <c r="P75" s="669">
        <f>SUM(Q75:U75)</f>
        <v>1</v>
      </c>
      <c r="Q75" s="670">
        <f>IF(P74=0,0,Q74/$P$74)</f>
        <v>0.96956345955524903</v>
      </c>
      <c r="R75" s="670">
        <f>IF(Q74=0,0,R74/$P$74)</f>
        <v>3.0436540444750963E-2</v>
      </c>
      <c r="S75" s="670">
        <f>IF(R74=0,0,S74/$P$74)</f>
        <v>0</v>
      </c>
      <c r="T75" s="670">
        <f>IF(S74=0,0,T74/$P$74)</f>
        <v>0</v>
      </c>
      <c r="U75" s="670">
        <f>IF(T74=0,0,U74/$P$74)</f>
        <v>0</v>
      </c>
      <c r="V75" s="671"/>
      <c r="W75" s="660"/>
      <c r="X75" s="660"/>
      <c r="Y75" s="661"/>
      <c r="Z75" s="661"/>
    </row>
    <row r="76" spans="2:26">
      <c r="B76" s="714" t="s">
        <v>262</v>
      </c>
      <c r="C76" s="715"/>
      <c r="D76" s="705">
        <v>5.4</v>
      </c>
      <c r="E76" s="711" t="s">
        <v>253</v>
      </c>
      <c r="F76" s="711" t="s">
        <v>249</v>
      </c>
      <c r="G76" s="708">
        <v>56</v>
      </c>
      <c r="H76" s="37">
        <f t="shared" si="0"/>
        <v>9.6428571428571433E-2</v>
      </c>
      <c r="I76" s="5"/>
      <c r="J76" s="329"/>
      <c r="K76" s="330"/>
      <c r="L76" s="330"/>
      <c r="M76" s="330"/>
      <c r="N76" s="346"/>
      <c r="O76" s="660"/>
      <c r="P76" s="668"/>
      <c r="Q76" s="665"/>
      <c r="R76" s="660"/>
      <c r="S76" s="660"/>
      <c r="T76" s="660"/>
      <c r="U76" s="660"/>
      <c r="V76" s="660"/>
      <c r="W76" s="660"/>
      <c r="X76" s="660"/>
      <c r="Y76" s="661"/>
      <c r="Z76" s="661"/>
    </row>
    <row r="77" spans="2:26" ht="13.5" thickBot="1">
      <c r="B77" s="781" t="s">
        <v>256</v>
      </c>
      <c r="C77" s="782"/>
      <c r="D77" s="712">
        <v>0.75</v>
      </c>
      <c r="E77" s="703" t="s">
        <v>254</v>
      </c>
      <c r="F77" s="703" t="s">
        <v>254</v>
      </c>
      <c r="G77" s="713">
        <v>1</v>
      </c>
      <c r="H77" s="319">
        <f t="shared" si="0"/>
        <v>0.75</v>
      </c>
      <c r="I77" s="5"/>
      <c r="J77" s="329"/>
      <c r="K77" s="330"/>
      <c r="L77" s="330"/>
      <c r="M77" s="330"/>
      <c r="N77" s="346"/>
      <c r="O77" s="660"/>
      <c r="P77" s="668"/>
      <c r="Q77" s="660"/>
      <c r="R77" s="660"/>
      <c r="S77" s="660"/>
      <c r="T77" s="660"/>
      <c r="U77" s="660"/>
      <c r="V77" s="660"/>
      <c r="W77" s="660"/>
      <c r="X77" s="660"/>
      <c r="Y77" s="661"/>
      <c r="Z77" s="661"/>
    </row>
    <row r="78" spans="2:26" ht="13.5" thickBot="1">
      <c r="B78" s="200"/>
      <c r="C78" s="200"/>
      <c r="D78" s="200"/>
      <c r="E78" s="200"/>
      <c r="F78" s="200"/>
      <c r="G78" s="200"/>
      <c r="H78" s="200"/>
      <c r="I78" s="5"/>
      <c r="J78" s="324"/>
      <c r="K78" s="325"/>
      <c r="L78" s="325"/>
      <c r="M78" s="325"/>
      <c r="O78" s="660"/>
      <c r="P78" s="660" t="s">
        <v>61</v>
      </c>
      <c r="Q78" s="670"/>
      <c r="R78" s="670"/>
      <c r="S78" s="670"/>
      <c r="T78" s="670"/>
      <c r="U78" s="672"/>
      <c r="V78" s="660"/>
      <c r="W78" s="660"/>
      <c r="X78" s="660"/>
      <c r="Y78" s="661"/>
      <c r="Z78" s="661"/>
    </row>
    <row r="79" spans="2:26" ht="18.75" thickBot="1">
      <c r="B79" s="4" t="s">
        <v>26</v>
      </c>
      <c r="C79" s="288"/>
      <c r="D79" s="7"/>
      <c r="E79" s="19"/>
      <c r="F79" s="801" t="s">
        <v>221</v>
      </c>
      <c r="G79" s="802"/>
      <c r="H79" s="802"/>
      <c r="I79" s="802"/>
      <c r="J79" s="802"/>
      <c r="K79" s="325"/>
      <c r="L79" s="325"/>
      <c r="M79" s="325"/>
      <c r="O79" s="660"/>
      <c r="P79" s="660" t="s">
        <v>60</v>
      </c>
      <c r="Q79" s="670"/>
      <c r="R79" s="670"/>
      <c r="S79" s="670"/>
      <c r="T79" s="670"/>
      <c r="U79" s="660"/>
      <c r="V79" s="660"/>
      <c r="W79" s="660"/>
      <c r="X79" s="660"/>
      <c r="Y79" s="661"/>
      <c r="Z79" s="661"/>
    </row>
    <row r="80" spans="2:26" ht="55.5" customHeight="1" thickBot="1">
      <c r="B80" s="318" t="s">
        <v>146</v>
      </c>
      <c r="C80" s="290"/>
      <c r="D80" s="11" t="s">
        <v>27</v>
      </c>
      <c r="E80" s="11" t="s">
        <v>220</v>
      </c>
      <c r="F80" s="387" t="s">
        <v>222</v>
      </c>
      <c r="G80" s="387" t="s">
        <v>274</v>
      </c>
      <c r="H80" s="387" t="s">
        <v>223</v>
      </c>
      <c r="I80" s="387" t="s">
        <v>224</v>
      </c>
      <c r="J80" s="388" t="s">
        <v>237</v>
      </c>
      <c r="K80" s="331"/>
      <c r="L80" s="331"/>
      <c r="M80" s="325"/>
      <c r="O80" s="660"/>
      <c r="P80" s="660"/>
      <c r="Q80" s="673" t="s">
        <v>174</v>
      </c>
      <c r="R80" s="674" t="s">
        <v>178</v>
      </c>
      <c r="S80" s="674" t="s">
        <v>175</v>
      </c>
      <c r="T80" s="674" t="s">
        <v>176</v>
      </c>
      <c r="U80" s="674" t="s">
        <v>229</v>
      </c>
      <c r="V80" s="660" t="s">
        <v>31</v>
      </c>
      <c r="W80" s="674"/>
      <c r="X80" s="660"/>
      <c r="Y80" s="661"/>
      <c r="Z80" s="661"/>
    </row>
    <row r="81" spans="2:26" ht="13.5" thickTop="1">
      <c r="B81" s="803" t="s">
        <v>10</v>
      </c>
      <c r="C81" s="804"/>
      <c r="D81" s="716">
        <v>30</v>
      </c>
      <c r="E81" s="228" t="s">
        <v>61</v>
      </c>
      <c r="F81" s="321"/>
      <c r="G81" s="321"/>
      <c r="H81" s="321"/>
      <c r="I81" s="321"/>
      <c r="J81" s="464"/>
      <c r="K81" s="405" t="str">
        <f>IF(SUM(F81:J81)&gt;1,"This expense has been overallocated.","")</f>
        <v/>
      </c>
      <c r="L81" s="324"/>
      <c r="M81" s="325"/>
      <c r="O81" s="660"/>
      <c r="P81" s="675">
        <f>SUM(F81:J81)</f>
        <v>0</v>
      </c>
      <c r="Q81" s="675">
        <f>IF($D81=0,0,IF(F81="",Q$75/(IF($F81="",$Q$75,0)+IF($G81="",$R$75,0)+IF($H81="",$S$75,0)+IF($I81="",$T$75,0)+IF($J81="",$U$75,0))*(1-$P81),F81))</f>
        <v>0.96956345955524903</v>
      </c>
      <c r="R81" s="675">
        <f>IF($D81=0,0,IF(G81="",R$75/(IF($F81="",$Q$75,0)+IF($G81="",$R$75,0)+IF($H81="",$S$75,0)+IF($I81="",$T$75,0)+IF($J81="",$U$75,0))*(1-$P81),G81))</f>
        <v>3.0436540444750963E-2</v>
      </c>
      <c r="S81" s="675">
        <f>IF($D81=0,0,IF(H81="",S$75/(IF($F81="",$Q$75,0)+IF($G81="",$R$75,0)+IF($H81="",$S$75,0)+IF($I81="",$T$75,0)+IF($J81="",$U$75,0))*(1-$P81),H81))</f>
        <v>0</v>
      </c>
      <c r="T81" s="675">
        <f>IF($D81=0,0,IF(I81="",T$75/(IF($F81="",$Q$75,0)+IF($G81="",$R$75,0)+IF($H81="",$S$75,0)+IF($I81="",$T$75,0)+IF($J81="",$U$75,0))*(1-$P81),I81))</f>
        <v>0</v>
      </c>
      <c r="U81" s="675">
        <f>IF($D81=0,0,IF(J81="",U$75/(IF($F81="",$Q$75,0)+IF($G81="",$R$75,0)+IF($H81="",$S$75,0)+IF($I81="",$T$75,0)+IF($J81="",$U$75,0))*(1-$P81),J81))</f>
        <v>0</v>
      </c>
      <c r="V81" s="676">
        <f>SUM(Q81:U81)</f>
        <v>1</v>
      </c>
      <c r="W81" s="671"/>
      <c r="X81" s="671"/>
      <c r="Y81" s="661"/>
      <c r="Z81" s="661"/>
    </row>
    <row r="82" spans="2:26">
      <c r="B82" s="805" t="s">
        <v>11</v>
      </c>
      <c r="C82" s="806"/>
      <c r="D82" s="717">
        <v>20</v>
      </c>
      <c r="E82" s="227" t="s">
        <v>61</v>
      </c>
      <c r="F82" s="322"/>
      <c r="G82" s="322"/>
      <c r="H82" s="322"/>
      <c r="I82" s="322"/>
      <c r="J82" s="465"/>
      <c r="K82" s="405" t="str">
        <f t="shared" ref="K82:K95" si="1">IF(SUM(F82:J82)&gt;1,"This expense has been overallocated.","")</f>
        <v/>
      </c>
      <c r="L82" s="324"/>
      <c r="M82" s="325"/>
      <c r="O82" s="660"/>
      <c r="P82" s="675">
        <f t="shared" ref="P82:P95" si="2">SUM(F82:J82)</f>
        <v>0</v>
      </c>
      <c r="Q82" s="675">
        <f t="shared" ref="Q82:Q95" si="3">IF($D82=0,0,IF(F82="",Q$75/(IF($F82="",$Q$75,0)+IF($G82="",$R$75,0)+IF($H82="",$S$75,0)+IF($I82="",$T$75,0)+IF($J82="",$U$75,0))*(1-$P82),F82))</f>
        <v>0.96956345955524903</v>
      </c>
      <c r="R82" s="675">
        <f t="shared" ref="R82:R95" si="4">IF($D82=0,0,IF(G82="",R$75/(IF($F82="",$Q$75,0)+IF($G82="",$R$75,0)+IF($H82="",$S$75,0)+IF($I82="",$T$75,0)+IF($J82="",$U$75,0))*(1-$P82),G82))</f>
        <v>3.0436540444750963E-2</v>
      </c>
      <c r="S82" s="675">
        <f t="shared" ref="S82:S95" si="5">IF($D82=0,0,IF(H82="",S$75/(IF($F82="",$Q$75,0)+IF($G82="",$R$75,0)+IF($H82="",$S$75,0)+IF($I82="",$T$75,0)+IF($J82="",$U$75,0))*(1-$P82),H82))</f>
        <v>0</v>
      </c>
      <c r="T82" s="675">
        <f t="shared" ref="T82:T95" si="6">IF($D82=0,0,IF(I82="",T$75/(IF($F82="",$Q$75,0)+IF($G82="",$R$75,0)+IF($H82="",$S$75,0)+IF($I82="",$T$75,0)+IF($J82="",$U$75,0))*(1-$P82),I82))</f>
        <v>0</v>
      </c>
      <c r="U82" s="675">
        <f t="shared" ref="U82:U95" si="7">IF($D82=0,0,IF(J82="",U$75/(IF($F82="",$Q$75,0)+IF($G82="",$R$75,0)+IF($H82="",$S$75,0)+IF($I82="",$T$75,0)+IF($J82="",$U$75,0))*(1-$P82),J82))</f>
        <v>0</v>
      </c>
      <c r="V82" s="676">
        <f t="shared" ref="V82:V95" si="8">SUM(Q82:U82)</f>
        <v>1</v>
      </c>
      <c r="W82" s="660"/>
      <c r="X82" s="800" t="s">
        <v>241</v>
      </c>
      <c r="Y82" s="800" t="s">
        <v>239</v>
      </c>
      <c r="Z82" s="800" t="s">
        <v>240</v>
      </c>
    </row>
    <row r="83" spans="2:26">
      <c r="B83" s="805" t="s">
        <v>12</v>
      </c>
      <c r="C83" s="806"/>
      <c r="D83" s="717">
        <v>25</v>
      </c>
      <c r="E83" s="227" t="s">
        <v>61</v>
      </c>
      <c r="F83" s="322"/>
      <c r="G83" s="322"/>
      <c r="H83" s="322"/>
      <c r="I83" s="322"/>
      <c r="J83" s="465"/>
      <c r="K83" s="405" t="str">
        <f t="shared" si="1"/>
        <v/>
      </c>
      <c r="L83" s="324"/>
      <c r="M83" s="325"/>
      <c r="O83" s="660"/>
      <c r="P83" s="675">
        <f t="shared" si="2"/>
        <v>0</v>
      </c>
      <c r="Q83" s="675">
        <f t="shared" si="3"/>
        <v>0.96956345955524903</v>
      </c>
      <c r="R83" s="675">
        <f t="shared" si="4"/>
        <v>3.0436540444750963E-2</v>
      </c>
      <c r="S83" s="675">
        <f t="shared" si="5"/>
        <v>0</v>
      </c>
      <c r="T83" s="675">
        <f t="shared" si="6"/>
        <v>0</v>
      </c>
      <c r="U83" s="675">
        <f t="shared" si="7"/>
        <v>0</v>
      </c>
      <c r="V83" s="676">
        <f t="shared" si="8"/>
        <v>1</v>
      </c>
      <c r="W83" s="660"/>
      <c r="X83" s="800"/>
      <c r="Y83" s="800"/>
      <c r="Z83" s="800"/>
    </row>
    <row r="84" spans="2:26">
      <c r="B84" s="805" t="s">
        <v>89</v>
      </c>
      <c r="C84" s="806"/>
      <c r="D84" s="717">
        <v>25</v>
      </c>
      <c r="E84" s="227" t="s">
        <v>61</v>
      </c>
      <c r="F84" s="13">
        <v>0</v>
      </c>
      <c r="G84" s="13">
        <v>0</v>
      </c>
      <c r="H84" s="13">
        <v>0</v>
      </c>
      <c r="I84" s="13">
        <v>0</v>
      </c>
      <c r="J84" s="320">
        <v>0</v>
      </c>
      <c r="K84" s="405"/>
      <c r="L84" s="324"/>
      <c r="M84" s="325"/>
      <c r="O84" s="660"/>
      <c r="P84" s="675">
        <f t="shared" si="2"/>
        <v>0</v>
      </c>
      <c r="Q84" s="675">
        <f t="shared" si="3"/>
        <v>0</v>
      </c>
      <c r="R84" s="675">
        <f t="shared" si="4"/>
        <v>0</v>
      </c>
      <c r="S84" s="675">
        <f t="shared" si="5"/>
        <v>0</v>
      </c>
      <c r="T84" s="675">
        <f t="shared" si="6"/>
        <v>0</v>
      </c>
      <c r="U84" s="675">
        <f t="shared" si="7"/>
        <v>0</v>
      </c>
      <c r="V84" s="676">
        <f t="shared" si="8"/>
        <v>0</v>
      </c>
      <c r="W84" s="660"/>
      <c r="X84" s="660">
        <f>IF(E84="per animal",D84,D84/G5)</f>
        <v>25</v>
      </c>
      <c r="Y84" s="663">
        <f>G5-G62+O63-O62</f>
        <v>20</v>
      </c>
      <c r="Z84" s="660">
        <f>X84*Y84</f>
        <v>500</v>
      </c>
    </row>
    <row r="85" spans="2:26">
      <c r="B85" s="805" t="s">
        <v>82</v>
      </c>
      <c r="C85" s="806"/>
      <c r="D85" s="717">
        <v>25</v>
      </c>
      <c r="E85" s="227" t="s">
        <v>61</v>
      </c>
      <c r="F85" s="13">
        <v>0</v>
      </c>
      <c r="G85" s="13">
        <v>0</v>
      </c>
      <c r="H85" s="13">
        <v>0</v>
      </c>
      <c r="I85" s="13">
        <v>0</v>
      </c>
      <c r="J85" s="320">
        <v>0</v>
      </c>
      <c r="K85" s="405"/>
      <c r="L85" s="324"/>
      <c r="M85" s="325"/>
      <c r="O85" s="660"/>
      <c r="P85" s="675">
        <f t="shared" si="2"/>
        <v>0</v>
      </c>
      <c r="Q85" s="675">
        <f t="shared" si="3"/>
        <v>0</v>
      </c>
      <c r="R85" s="675">
        <f t="shared" si="4"/>
        <v>0</v>
      </c>
      <c r="S85" s="675">
        <f t="shared" si="5"/>
        <v>0</v>
      </c>
      <c r="T85" s="675">
        <f t="shared" si="6"/>
        <v>0</v>
      </c>
      <c r="U85" s="675">
        <f t="shared" si="7"/>
        <v>0</v>
      </c>
      <c r="V85" s="676">
        <f t="shared" si="8"/>
        <v>0</v>
      </c>
      <c r="W85" s="660"/>
      <c r="X85" s="660">
        <f>IF(E85="per animal",D85,D85/(G17/G19*(1-G20)))</f>
        <v>25</v>
      </c>
      <c r="Y85" s="660">
        <f>IF(G19=0,0,G17/G19*(1-G20))</f>
        <v>2.5</v>
      </c>
      <c r="Z85" s="660">
        <f t="shared" ref="Z85:Z90" si="9">X85*Y85</f>
        <v>62.5</v>
      </c>
    </row>
    <row r="86" spans="2:26">
      <c r="B86" s="805" t="s">
        <v>189</v>
      </c>
      <c r="C86" s="806"/>
      <c r="D86" s="717">
        <v>25</v>
      </c>
      <c r="E86" s="227" t="s">
        <v>61</v>
      </c>
      <c r="F86" s="13">
        <v>0</v>
      </c>
      <c r="G86" s="13">
        <v>0</v>
      </c>
      <c r="H86" s="13">
        <v>0</v>
      </c>
      <c r="I86" s="13">
        <v>0</v>
      </c>
      <c r="J86" s="320">
        <v>0</v>
      </c>
      <c r="K86" s="405"/>
      <c r="L86" s="324"/>
      <c r="M86" s="325"/>
      <c r="O86" s="660"/>
      <c r="P86" s="675">
        <f t="shared" si="2"/>
        <v>0</v>
      </c>
      <c r="Q86" s="675">
        <f t="shared" si="3"/>
        <v>0</v>
      </c>
      <c r="R86" s="675">
        <f t="shared" si="4"/>
        <v>0</v>
      </c>
      <c r="S86" s="675">
        <f t="shared" si="5"/>
        <v>0</v>
      </c>
      <c r="T86" s="675">
        <f t="shared" si="6"/>
        <v>0</v>
      </c>
      <c r="U86" s="675">
        <f t="shared" si="7"/>
        <v>0</v>
      </c>
      <c r="V86" s="676">
        <f t="shared" si="8"/>
        <v>0</v>
      </c>
      <c r="W86" s="660"/>
      <c r="X86" s="660">
        <f>IF(E86="per animal",D86,D86/G9)</f>
        <v>25</v>
      </c>
      <c r="Y86" s="663">
        <f>G9</f>
        <v>0</v>
      </c>
      <c r="Z86" s="660">
        <f t="shared" si="9"/>
        <v>0</v>
      </c>
    </row>
    <row r="87" spans="2:26">
      <c r="B87" s="805" t="s">
        <v>93</v>
      </c>
      <c r="C87" s="806"/>
      <c r="D87" s="717">
        <v>25</v>
      </c>
      <c r="E87" s="227" t="s">
        <v>61</v>
      </c>
      <c r="F87" s="13">
        <v>0</v>
      </c>
      <c r="G87" s="13">
        <v>0</v>
      </c>
      <c r="H87" s="13">
        <v>0</v>
      </c>
      <c r="I87" s="13">
        <v>0</v>
      </c>
      <c r="J87" s="320">
        <v>0</v>
      </c>
      <c r="K87" s="405"/>
      <c r="L87" s="324"/>
      <c r="M87" s="325"/>
      <c r="O87" s="660"/>
      <c r="P87" s="675">
        <f t="shared" si="2"/>
        <v>0</v>
      </c>
      <c r="Q87" s="675">
        <f t="shared" si="3"/>
        <v>0</v>
      </c>
      <c r="R87" s="675">
        <f t="shared" si="4"/>
        <v>0</v>
      </c>
      <c r="S87" s="675">
        <f t="shared" si="5"/>
        <v>0</v>
      </c>
      <c r="T87" s="675">
        <f t="shared" si="6"/>
        <v>0</v>
      </c>
      <c r="U87" s="675">
        <f t="shared" si="7"/>
        <v>0</v>
      </c>
      <c r="V87" s="676">
        <f t="shared" si="8"/>
        <v>0</v>
      </c>
      <c r="W87" s="660"/>
      <c r="X87" s="660">
        <f>IF(E87="per animal",D87,D87/(G23))</f>
        <v>25</v>
      </c>
      <c r="Y87" s="663">
        <f>Q8+O9-G32-G35-G9</f>
        <v>2</v>
      </c>
      <c r="Z87" s="660">
        <f t="shared" si="9"/>
        <v>50</v>
      </c>
    </row>
    <row r="88" spans="2:26">
      <c r="B88" s="805" t="s">
        <v>269</v>
      </c>
      <c r="C88" s="806"/>
      <c r="D88" s="717">
        <v>25</v>
      </c>
      <c r="E88" s="227" t="s">
        <v>61</v>
      </c>
      <c r="F88" s="13">
        <v>0</v>
      </c>
      <c r="G88" s="13">
        <v>0</v>
      </c>
      <c r="H88" s="13">
        <v>0</v>
      </c>
      <c r="I88" s="13">
        <v>0</v>
      </c>
      <c r="J88" s="320">
        <v>0</v>
      </c>
      <c r="K88" s="405"/>
      <c r="L88" s="324"/>
      <c r="M88" s="325"/>
      <c r="O88" s="660"/>
      <c r="P88" s="675">
        <f t="shared" si="2"/>
        <v>0</v>
      </c>
      <c r="Q88" s="675">
        <f t="shared" si="3"/>
        <v>0</v>
      </c>
      <c r="R88" s="675">
        <f t="shared" si="4"/>
        <v>0</v>
      </c>
      <c r="S88" s="675">
        <f t="shared" si="5"/>
        <v>0</v>
      </c>
      <c r="T88" s="675">
        <f t="shared" si="6"/>
        <v>0</v>
      </c>
      <c r="U88" s="675">
        <f t="shared" si="7"/>
        <v>0</v>
      </c>
      <c r="V88" s="676">
        <f t="shared" si="8"/>
        <v>0</v>
      </c>
      <c r="W88" s="660"/>
      <c r="X88" s="660">
        <f>IF(E88="per animal",D88,D88/(O36+O33))</f>
        <v>25</v>
      </c>
      <c r="Y88" s="663">
        <f>O33+O36-G42-G45</f>
        <v>182</v>
      </c>
      <c r="Z88" s="660">
        <f t="shared" si="9"/>
        <v>4550</v>
      </c>
    </row>
    <row r="89" spans="2:26">
      <c r="B89" s="805" t="s">
        <v>245</v>
      </c>
      <c r="C89" s="806"/>
      <c r="D89" s="717">
        <v>0</v>
      </c>
      <c r="E89" s="227" t="s">
        <v>61</v>
      </c>
      <c r="F89" s="13">
        <v>0</v>
      </c>
      <c r="G89" s="13">
        <v>0</v>
      </c>
      <c r="H89" s="13">
        <v>0</v>
      </c>
      <c r="I89" s="13">
        <v>0</v>
      </c>
      <c r="J89" s="320">
        <v>0</v>
      </c>
      <c r="K89" s="405"/>
      <c r="L89" s="324"/>
      <c r="M89" s="325"/>
      <c r="O89" s="660"/>
      <c r="P89" s="675">
        <f t="shared" si="2"/>
        <v>0</v>
      </c>
      <c r="Q89" s="675">
        <f t="shared" si="3"/>
        <v>0</v>
      </c>
      <c r="R89" s="675">
        <f t="shared" si="4"/>
        <v>0</v>
      </c>
      <c r="S89" s="675">
        <f t="shared" si="5"/>
        <v>0</v>
      </c>
      <c r="T89" s="675">
        <f t="shared" si="6"/>
        <v>0</v>
      </c>
      <c r="U89" s="675">
        <f t="shared" si="7"/>
        <v>0</v>
      </c>
      <c r="V89" s="676">
        <f t="shared" si="8"/>
        <v>0</v>
      </c>
      <c r="W89" s="660"/>
      <c r="X89" s="660">
        <f>IF(E89="per animal",D89,D89/(O46+O43))</f>
        <v>0</v>
      </c>
      <c r="Y89" s="663">
        <f>O43+O46-G52-G55</f>
        <v>0</v>
      </c>
      <c r="Z89" s="660">
        <f t="shared" si="9"/>
        <v>0</v>
      </c>
    </row>
    <row r="90" spans="2:26">
      <c r="B90" s="805" t="s">
        <v>170</v>
      </c>
      <c r="C90" s="806"/>
      <c r="D90" s="717">
        <v>0</v>
      </c>
      <c r="E90" s="227" t="s">
        <v>61</v>
      </c>
      <c r="F90" s="13">
        <v>0</v>
      </c>
      <c r="G90" s="13">
        <v>0</v>
      </c>
      <c r="H90" s="13">
        <v>0</v>
      </c>
      <c r="I90" s="13">
        <v>0</v>
      </c>
      <c r="J90" s="320">
        <v>0</v>
      </c>
      <c r="K90" s="405"/>
      <c r="L90" s="324"/>
      <c r="M90" s="325"/>
      <c r="O90" s="660"/>
      <c r="P90" s="675">
        <f t="shared" si="2"/>
        <v>0</v>
      </c>
      <c r="Q90" s="675">
        <f t="shared" si="3"/>
        <v>0</v>
      </c>
      <c r="R90" s="675">
        <f t="shared" si="4"/>
        <v>0</v>
      </c>
      <c r="S90" s="675">
        <f t="shared" si="5"/>
        <v>0</v>
      </c>
      <c r="T90" s="675">
        <f t="shared" si="6"/>
        <v>0</v>
      </c>
      <c r="U90" s="675">
        <f t="shared" si="7"/>
        <v>0</v>
      </c>
      <c r="V90" s="676">
        <f t="shared" si="8"/>
        <v>0</v>
      </c>
      <c r="W90" s="660"/>
      <c r="X90" s="660">
        <f>IF(E90="per animal",D90,D90/(O56+O53))</f>
        <v>0</v>
      </c>
      <c r="Y90" s="663">
        <f>O53+O56</f>
        <v>0</v>
      </c>
      <c r="Z90" s="660">
        <f t="shared" si="9"/>
        <v>0</v>
      </c>
    </row>
    <row r="91" spans="2:26">
      <c r="B91" s="783"/>
      <c r="C91" s="784"/>
      <c r="D91" s="717"/>
      <c r="E91" s="227"/>
      <c r="F91" s="322"/>
      <c r="G91" s="322"/>
      <c r="H91" s="322"/>
      <c r="I91" s="322"/>
      <c r="J91" s="465"/>
      <c r="K91" s="405" t="str">
        <f t="shared" si="1"/>
        <v/>
      </c>
      <c r="L91" s="324"/>
      <c r="M91" s="325"/>
      <c r="O91" s="660"/>
      <c r="P91" s="675">
        <f t="shared" si="2"/>
        <v>0</v>
      </c>
      <c r="Q91" s="675">
        <f t="shared" si="3"/>
        <v>0</v>
      </c>
      <c r="R91" s="675">
        <f t="shared" si="4"/>
        <v>0</v>
      </c>
      <c r="S91" s="675">
        <f t="shared" si="5"/>
        <v>0</v>
      </c>
      <c r="T91" s="675">
        <f t="shared" si="6"/>
        <v>0</v>
      </c>
      <c r="U91" s="675">
        <f>IF($D91=0,0,IF(J91="",U$75/(IF($F91="",$Q$75,0)+IF($G91="",$R$75,0)+IF($H91="",$S$75,0)+IF($I91="",$T$75,0)+IF($J91="",$U$75,0))*(1-$P91),J91))</f>
        <v>0</v>
      </c>
      <c r="V91" s="676">
        <f t="shared" si="8"/>
        <v>0</v>
      </c>
      <c r="W91" s="660"/>
      <c r="X91" s="660"/>
      <c r="Y91" s="661"/>
      <c r="Z91" s="677">
        <f>SUM(Z84:Z90)</f>
        <v>5162.5</v>
      </c>
    </row>
    <row r="92" spans="2:26">
      <c r="B92" s="783" t="s">
        <v>267</v>
      </c>
      <c r="C92" s="784"/>
      <c r="D92" s="402">
        <v>2000</v>
      </c>
      <c r="E92" s="227" t="s">
        <v>60</v>
      </c>
      <c r="F92" s="322"/>
      <c r="G92" s="322"/>
      <c r="H92" s="322"/>
      <c r="I92" s="322"/>
      <c r="J92" s="465"/>
      <c r="K92" s="405" t="str">
        <f t="shared" si="1"/>
        <v/>
      </c>
      <c r="L92" s="324"/>
      <c r="M92" s="325"/>
      <c r="O92" s="660"/>
      <c r="P92" s="675">
        <f t="shared" si="2"/>
        <v>0</v>
      </c>
      <c r="Q92" s="675">
        <f t="shared" si="3"/>
        <v>0.96956345955524903</v>
      </c>
      <c r="R92" s="675">
        <f t="shared" si="4"/>
        <v>3.0436540444750963E-2</v>
      </c>
      <c r="S92" s="675">
        <f t="shared" si="5"/>
        <v>0</v>
      </c>
      <c r="T92" s="675">
        <f t="shared" si="6"/>
        <v>0</v>
      </c>
      <c r="U92" s="675">
        <f t="shared" si="7"/>
        <v>0</v>
      </c>
      <c r="V92" s="676">
        <f t="shared" si="8"/>
        <v>1</v>
      </c>
      <c r="W92" s="660"/>
      <c r="X92" s="660"/>
      <c r="Y92" s="661"/>
      <c r="Z92" s="661"/>
    </row>
    <row r="93" spans="2:26">
      <c r="B93" s="783"/>
      <c r="C93" s="784"/>
      <c r="D93" s="402"/>
      <c r="E93" s="227"/>
      <c r="F93" s="322"/>
      <c r="G93" s="322"/>
      <c r="H93" s="322"/>
      <c r="I93" s="322"/>
      <c r="J93" s="465"/>
      <c r="K93" s="405" t="str">
        <f t="shared" si="1"/>
        <v/>
      </c>
      <c r="L93" s="324"/>
      <c r="M93" s="325"/>
      <c r="O93" s="660"/>
      <c r="P93" s="675">
        <f t="shared" si="2"/>
        <v>0</v>
      </c>
      <c r="Q93" s="675">
        <f t="shared" si="3"/>
        <v>0</v>
      </c>
      <c r="R93" s="675">
        <f t="shared" si="4"/>
        <v>0</v>
      </c>
      <c r="S93" s="675">
        <f t="shared" si="5"/>
        <v>0</v>
      </c>
      <c r="T93" s="675">
        <f t="shared" si="6"/>
        <v>0</v>
      </c>
      <c r="U93" s="675">
        <f t="shared" si="7"/>
        <v>0</v>
      </c>
      <c r="V93" s="676">
        <f t="shared" si="8"/>
        <v>0</v>
      </c>
      <c r="W93" s="660"/>
      <c r="X93" s="660"/>
      <c r="Y93" s="661"/>
      <c r="Z93" s="661"/>
    </row>
    <row r="94" spans="2:26">
      <c r="B94" s="783"/>
      <c r="C94" s="784"/>
      <c r="D94" s="402"/>
      <c r="E94" s="227"/>
      <c r="F94" s="322"/>
      <c r="G94" s="322"/>
      <c r="H94" s="322"/>
      <c r="I94" s="322"/>
      <c r="J94" s="465"/>
      <c r="K94" s="405" t="str">
        <f t="shared" si="1"/>
        <v/>
      </c>
      <c r="L94" s="324"/>
      <c r="M94" s="325"/>
      <c r="O94" s="660"/>
      <c r="P94" s="675">
        <f t="shared" si="2"/>
        <v>0</v>
      </c>
      <c r="Q94" s="675">
        <f t="shared" si="3"/>
        <v>0</v>
      </c>
      <c r="R94" s="675">
        <f t="shared" si="4"/>
        <v>0</v>
      </c>
      <c r="S94" s="675">
        <f t="shared" si="5"/>
        <v>0</v>
      </c>
      <c r="T94" s="675">
        <f t="shared" si="6"/>
        <v>0</v>
      </c>
      <c r="U94" s="675">
        <f t="shared" si="7"/>
        <v>0</v>
      </c>
      <c r="V94" s="676">
        <f t="shared" si="8"/>
        <v>0</v>
      </c>
      <c r="W94" s="660"/>
      <c r="X94" s="660"/>
      <c r="Y94" s="661"/>
      <c r="Z94" s="661"/>
    </row>
    <row r="95" spans="2:26" ht="13.5" thickBot="1">
      <c r="B95" s="781"/>
      <c r="C95" s="782"/>
      <c r="D95" s="403"/>
      <c r="E95" s="466"/>
      <c r="F95" s="323"/>
      <c r="G95" s="323"/>
      <c r="H95" s="323"/>
      <c r="I95" s="323"/>
      <c r="J95" s="467"/>
      <c r="K95" s="405" t="str">
        <f t="shared" si="1"/>
        <v/>
      </c>
      <c r="L95" s="324"/>
      <c r="M95" s="325"/>
      <c r="O95" s="660"/>
      <c r="P95" s="675">
        <f t="shared" si="2"/>
        <v>0</v>
      </c>
      <c r="Q95" s="675">
        <f t="shared" si="3"/>
        <v>0</v>
      </c>
      <c r="R95" s="675">
        <f t="shared" si="4"/>
        <v>0</v>
      </c>
      <c r="S95" s="675">
        <f t="shared" si="5"/>
        <v>0</v>
      </c>
      <c r="T95" s="675">
        <f t="shared" si="6"/>
        <v>0</v>
      </c>
      <c r="U95" s="675">
        <f t="shared" si="7"/>
        <v>0</v>
      </c>
      <c r="V95" s="676">
        <f t="shared" si="8"/>
        <v>0</v>
      </c>
      <c r="W95" s="660"/>
      <c r="X95" s="660"/>
      <c r="Y95" s="661"/>
      <c r="Z95" s="661"/>
    </row>
    <row r="96" spans="2:26" ht="13.5" thickBot="1">
      <c r="B96" s="5"/>
      <c r="C96" s="5"/>
      <c r="D96" s="5"/>
      <c r="E96" s="5"/>
      <c r="F96" s="5"/>
      <c r="G96" s="5"/>
      <c r="H96" s="5"/>
      <c r="I96" s="5"/>
      <c r="J96" s="324"/>
      <c r="K96" s="325"/>
      <c r="L96" s="325"/>
      <c r="M96" s="325"/>
      <c r="O96" s="660"/>
      <c r="P96" s="665"/>
      <c r="Q96" s="665"/>
      <c r="R96" s="665"/>
      <c r="S96" s="660"/>
      <c r="T96" s="660"/>
      <c r="U96" s="660"/>
      <c r="V96" s="660"/>
      <c r="W96" s="660"/>
      <c r="X96" s="660"/>
      <c r="Y96" s="661"/>
      <c r="Z96" s="661"/>
    </row>
    <row r="97" spans="2:26" ht="24" customHeight="1" thickBot="1">
      <c r="B97" s="14" t="s">
        <v>13</v>
      </c>
      <c r="C97" s="291"/>
      <c r="D97" s="15"/>
      <c r="E97" s="15"/>
      <c r="F97" s="15"/>
      <c r="G97" s="16"/>
      <c r="H97" s="801" t="s">
        <v>221</v>
      </c>
      <c r="I97" s="802"/>
      <c r="J97" s="802"/>
      <c r="K97" s="802"/>
      <c r="L97" s="802"/>
      <c r="M97" s="325"/>
      <c r="O97" s="660"/>
      <c r="P97" s="660"/>
      <c r="Q97" s="660"/>
      <c r="R97" s="660"/>
      <c r="S97" s="660"/>
      <c r="T97" s="660"/>
      <c r="U97" s="660"/>
      <c r="V97" s="660"/>
      <c r="W97" s="660"/>
      <c r="X97" s="660"/>
      <c r="Y97" s="661"/>
      <c r="Z97" s="661"/>
    </row>
    <row r="98" spans="2:26" ht="51.75" thickBot="1">
      <c r="B98" s="318" t="s">
        <v>146</v>
      </c>
      <c r="C98" s="290"/>
      <c r="D98" s="11" t="s">
        <v>123</v>
      </c>
      <c r="E98" s="11" t="s">
        <v>124</v>
      </c>
      <c r="F98" s="11" t="s">
        <v>277</v>
      </c>
      <c r="G98" s="17" t="s">
        <v>14</v>
      </c>
      <c r="H98" s="11" t="s">
        <v>222</v>
      </c>
      <c r="I98" s="11" t="s">
        <v>275</v>
      </c>
      <c r="J98" s="11" t="s">
        <v>223</v>
      </c>
      <c r="K98" s="11" t="s">
        <v>224</v>
      </c>
      <c r="L98" s="12" t="s">
        <v>237</v>
      </c>
      <c r="M98" s="325"/>
      <c r="O98" s="660"/>
      <c r="P98" s="660"/>
      <c r="Q98" s="673" t="s">
        <v>174</v>
      </c>
      <c r="R98" s="674" t="s">
        <v>178</v>
      </c>
      <c r="S98" s="674" t="s">
        <v>175</v>
      </c>
      <c r="T98" s="674" t="s">
        <v>176</v>
      </c>
      <c r="U98" s="660" t="s">
        <v>229</v>
      </c>
      <c r="V98" s="673" t="s">
        <v>31</v>
      </c>
      <c r="W98" s="660"/>
      <c r="X98" s="660"/>
      <c r="Y98" s="661"/>
      <c r="Z98" s="661"/>
    </row>
    <row r="99" spans="2:26" ht="13.5" thickTop="1">
      <c r="B99" s="803" t="s">
        <v>279</v>
      </c>
      <c r="C99" s="804"/>
      <c r="D99" s="719">
        <v>100000</v>
      </c>
      <c r="E99" s="718">
        <v>30000</v>
      </c>
      <c r="F99" s="720">
        <v>25</v>
      </c>
      <c r="G99" s="721">
        <v>1000</v>
      </c>
      <c r="H99" s="13"/>
      <c r="I99" s="13"/>
      <c r="J99" s="13"/>
      <c r="K99" s="13"/>
      <c r="L99" s="320"/>
      <c r="M99" s="348" t="str">
        <f t="shared" ref="M99:M108" si="10">IF(SUM(H99:K99)&gt;1,"Totals over 100%",IF(COUNTBLANK(H99:K99)=0,IF(SUM(H99:K99)&lt;1,"Totals less than 100%",""),""))</f>
        <v/>
      </c>
      <c r="O99" s="660"/>
      <c r="P99" s="675">
        <f>SUM(H99:L99)</f>
        <v>0</v>
      </c>
      <c r="Q99" s="675">
        <f>IFERROR(IF(H99="",Q$75/(IF($H99="",$Q$75,0)+IF($I99="",$R$75,0)+IF($J99="",$S$75,0)+IF($K99="",$T$75,0)+IF($L99="",$U$75,0))*(1-$P99),H99),0)</f>
        <v>0.96956345955524903</v>
      </c>
      <c r="R99" s="675">
        <f t="shared" ref="R99:V99" si="11">IFERROR(IF(I99="",R$75/(IF($H99="",$Q$75,0)+IF($I99="",$R$75,0)+IF($J99="",$S$75,0)+IF($K99="",$T$75,0)+IF($L99="",$U$75,0))*(1-$P99),I99),0)</f>
        <v>3.0436540444750963E-2</v>
      </c>
      <c r="S99" s="675">
        <f t="shared" si="11"/>
        <v>0</v>
      </c>
      <c r="T99" s="675">
        <f t="shared" si="11"/>
        <v>0</v>
      </c>
      <c r="U99" s="675">
        <f t="shared" si="11"/>
        <v>0</v>
      </c>
      <c r="V99" s="675">
        <f t="shared" si="11"/>
        <v>0</v>
      </c>
      <c r="W99" s="660"/>
      <c r="X99" s="660"/>
      <c r="Y99" s="661"/>
      <c r="Z99" s="661"/>
    </row>
    <row r="100" spans="2:26">
      <c r="B100" s="767" t="s">
        <v>270</v>
      </c>
      <c r="C100" s="768"/>
      <c r="D100" s="722">
        <v>100000</v>
      </c>
      <c r="E100" s="728">
        <v>25000</v>
      </c>
      <c r="F100" s="723">
        <v>10</v>
      </c>
      <c r="G100" s="728">
        <v>1000</v>
      </c>
      <c r="H100" s="724"/>
      <c r="I100" s="724"/>
      <c r="J100" s="724"/>
      <c r="K100" s="724"/>
      <c r="L100" s="465"/>
      <c r="M100" s="348" t="str">
        <f t="shared" si="10"/>
        <v/>
      </c>
      <c r="O100" s="660"/>
      <c r="P100" s="675">
        <f t="shared" ref="P100:P108" si="12">SUM(H100:L100)</f>
        <v>0</v>
      </c>
      <c r="Q100" s="675">
        <f t="shared" ref="Q100:Q108" si="13">IFERROR(IF(H100="",Q$75/(IF($H100="",$Q$75,0)+IF($I100="",$R$75,0)+IF($J100="",$S$75,0)+IF($K100="",$T$75,0)+IF($L100="",$U$75,0))*(1-$P100),H100),0)</f>
        <v>0.96956345955524903</v>
      </c>
      <c r="R100" s="675">
        <f t="shared" ref="R100:R108" si="14">IFERROR(IF(I100="",R$75/(IF($H100="",$Q$75,0)+IF($I100="",$R$75,0)+IF($J100="",$S$75,0)+IF($K100="",$T$75,0)+IF($L100="",$U$75,0))*(1-$P100),I100),0)</f>
        <v>3.0436540444750963E-2</v>
      </c>
      <c r="S100" s="675">
        <f t="shared" ref="S100:S108" si="15">IFERROR(IF(J100="",S$75/(IF($H100="",$Q$75,0)+IF($I100="",$R$75,0)+IF($J100="",$S$75,0)+IF($K100="",$T$75,0)+IF($L100="",$U$75,0))*(1-$P100),J100),0)</f>
        <v>0</v>
      </c>
      <c r="T100" s="675">
        <f t="shared" ref="T100:T108" si="16">IFERROR(IF(K100="",T$75/(IF($H100="",$Q$75,0)+IF($I100="",$R$75,0)+IF($J100="",$S$75,0)+IF($K100="",$T$75,0)+IF($L100="",$U$75,0))*(1-$P100),K100),0)</f>
        <v>0</v>
      </c>
      <c r="U100" s="675">
        <f t="shared" ref="U100:U108" si="17">IFERROR(IF(L100="",U$75/(IF($H100="",$Q$75,0)+IF($I100="",$R$75,0)+IF($J100="",$S$75,0)+IF($K100="",$T$75,0)+IF($L100="",$U$75,0))*(1-$P100),L100),0)</f>
        <v>0</v>
      </c>
      <c r="V100" s="675">
        <f t="shared" ref="V100:V108" si="18">IFERROR(IF(M100="",V$75/(IF($H100="",$Q$75,0)+IF($I100="",$R$75,0)+IF($J100="",$S$75,0)+IF($K100="",$T$75,0)+IF($L100="",$U$75,0))*(1-$P100),M100),0)</f>
        <v>0</v>
      </c>
      <c r="W100" s="660"/>
      <c r="X100" s="660"/>
      <c r="Y100" s="661"/>
      <c r="Z100" s="661"/>
    </row>
    <row r="101" spans="2:26">
      <c r="B101" s="783" t="s">
        <v>257</v>
      </c>
      <c r="C101" s="784"/>
      <c r="D101" s="722">
        <v>35000</v>
      </c>
      <c r="E101" s="728">
        <v>10000</v>
      </c>
      <c r="F101" s="723">
        <v>7</v>
      </c>
      <c r="G101" s="728">
        <v>1200</v>
      </c>
      <c r="H101" s="724"/>
      <c r="I101" s="724"/>
      <c r="J101" s="724"/>
      <c r="K101" s="724"/>
      <c r="L101" s="465"/>
      <c r="M101" s="348" t="str">
        <f t="shared" si="10"/>
        <v/>
      </c>
      <c r="O101" s="660"/>
      <c r="P101" s="675">
        <f t="shared" si="12"/>
        <v>0</v>
      </c>
      <c r="Q101" s="675">
        <f t="shared" si="13"/>
        <v>0.96956345955524903</v>
      </c>
      <c r="R101" s="675">
        <f t="shared" si="14"/>
        <v>3.0436540444750963E-2</v>
      </c>
      <c r="S101" s="675">
        <f t="shared" si="15"/>
        <v>0</v>
      </c>
      <c r="T101" s="675">
        <f t="shared" si="16"/>
        <v>0</v>
      </c>
      <c r="U101" s="675">
        <f t="shared" si="17"/>
        <v>0</v>
      </c>
      <c r="V101" s="675">
        <f t="shared" si="18"/>
        <v>0</v>
      </c>
      <c r="W101" s="660"/>
      <c r="X101" s="660"/>
      <c r="Y101" s="661"/>
      <c r="Z101" s="661"/>
    </row>
    <row r="102" spans="2:26">
      <c r="B102" s="783" t="s">
        <v>266</v>
      </c>
      <c r="C102" s="784"/>
      <c r="D102" s="722">
        <v>10000</v>
      </c>
      <c r="E102" s="728">
        <v>0</v>
      </c>
      <c r="F102" s="723">
        <v>10</v>
      </c>
      <c r="G102" s="728"/>
      <c r="H102" s="322"/>
      <c r="I102" s="322"/>
      <c r="J102" s="322"/>
      <c r="K102" s="322"/>
      <c r="L102" s="465"/>
      <c r="M102" s="348" t="str">
        <f t="shared" si="10"/>
        <v/>
      </c>
      <c r="O102" s="660"/>
      <c r="P102" s="675">
        <f t="shared" si="12"/>
        <v>0</v>
      </c>
      <c r="Q102" s="675">
        <f t="shared" si="13"/>
        <v>0.96956345955524903</v>
      </c>
      <c r="R102" s="675">
        <f t="shared" si="14"/>
        <v>3.0436540444750963E-2</v>
      </c>
      <c r="S102" s="675">
        <f t="shared" si="15"/>
        <v>0</v>
      </c>
      <c r="T102" s="675">
        <f t="shared" si="16"/>
        <v>0</v>
      </c>
      <c r="U102" s="675">
        <f t="shared" si="17"/>
        <v>0</v>
      </c>
      <c r="V102" s="675">
        <f t="shared" si="18"/>
        <v>0</v>
      </c>
      <c r="W102" s="660"/>
      <c r="X102" s="660"/>
      <c r="Y102" s="661"/>
      <c r="Z102" s="661"/>
    </row>
    <row r="103" spans="2:26">
      <c r="B103" s="783"/>
      <c r="C103" s="784"/>
      <c r="D103" s="197"/>
      <c r="E103" s="198"/>
      <c r="F103" s="206"/>
      <c r="G103" s="198"/>
      <c r="H103" s="322"/>
      <c r="I103" s="322"/>
      <c r="J103" s="322"/>
      <c r="K103" s="322"/>
      <c r="L103" s="465"/>
      <c r="M103" s="348" t="str">
        <f t="shared" si="10"/>
        <v/>
      </c>
      <c r="O103" s="660"/>
      <c r="P103" s="675">
        <f t="shared" si="12"/>
        <v>0</v>
      </c>
      <c r="Q103" s="675">
        <f t="shared" si="13"/>
        <v>0.96956345955524903</v>
      </c>
      <c r="R103" s="675">
        <f t="shared" si="14"/>
        <v>3.0436540444750963E-2</v>
      </c>
      <c r="S103" s="675">
        <f t="shared" si="15"/>
        <v>0</v>
      </c>
      <c r="T103" s="675">
        <f t="shared" si="16"/>
        <v>0</v>
      </c>
      <c r="U103" s="675">
        <f t="shared" si="17"/>
        <v>0</v>
      </c>
      <c r="V103" s="675">
        <f t="shared" si="18"/>
        <v>0</v>
      </c>
      <c r="W103" s="660"/>
      <c r="X103" s="660"/>
      <c r="Y103" s="661"/>
      <c r="Z103" s="661"/>
    </row>
    <row r="104" spans="2:26">
      <c r="B104" s="783"/>
      <c r="C104" s="784"/>
      <c r="D104" s="198"/>
      <c r="E104" s="198"/>
      <c r="F104" s="206"/>
      <c r="G104" s="198"/>
      <c r="H104" s="322"/>
      <c r="I104" s="322"/>
      <c r="J104" s="322"/>
      <c r="K104" s="322"/>
      <c r="L104" s="465"/>
      <c r="M104" s="348" t="str">
        <f t="shared" si="10"/>
        <v/>
      </c>
      <c r="O104" s="660"/>
      <c r="P104" s="675">
        <f t="shared" si="12"/>
        <v>0</v>
      </c>
      <c r="Q104" s="675">
        <f t="shared" si="13"/>
        <v>0.96956345955524903</v>
      </c>
      <c r="R104" s="675">
        <f t="shared" si="14"/>
        <v>3.0436540444750963E-2</v>
      </c>
      <c r="S104" s="675">
        <f t="shared" si="15"/>
        <v>0</v>
      </c>
      <c r="T104" s="675">
        <f t="shared" si="16"/>
        <v>0</v>
      </c>
      <c r="U104" s="675">
        <f t="shared" si="17"/>
        <v>0</v>
      </c>
      <c r="V104" s="675">
        <f t="shared" si="18"/>
        <v>0</v>
      </c>
      <c r="W104" s="660"/>
      <c r="X104" s="660"/>
      <c r="Y104" s="661"/>
      <c r="Z104" s="661"/>
    </row>
    <row r="105" spans="2:26">
      <c r="B105" s="783"/>
      <c r="C105" s="784"/>
      <c r="D105" s="198"/>
      <c r="E105" s="198"/>
      <c r="F105" s="206"/>
      <c r="G105" s="2"/>
      <c r="H105" s="322"/>
      <c r="I105" s="322"/>
      <c r="J105" s="322"/>
      <c r="K105" s="322"/>
      <c r="L105" s="465"/>
      <c r="M105" s="348" t="str">
        <f t="shared" si="10"/>
        <v/>
      </c>
      <c r="O105" s="660"/>
      <c r="P105" s="675">
        <f t="shared" si="12"/>
        <v>0</v>
      </c>
      <c r="Q105" s="675">
        <f t="shared" si="13"/>
        <v>0.96956345955524903</v>
      </c>
      <c r="R105" s="675">
        <f t="shared" si="14"/>
        <v>3.0436540444750963E-2</v>
      </c>
      <c r="S105" s="675">
        <f t="shared" si="15"/>
        <v>0</v>
      </c>
      <c r="T105" s="675">
        <f t="shared" si="16"/>
        <v>0</v>
      </c>
      <c r="U105" s="675">
        <f t="shared" si="17"/>
        <v>0</v>
      </c>
      <c r="V105" s="675">
        <f t="shared" si="18"/>
        <v>0</v>
      </c>
      <c r="W105" s="660"/>
      <c r="X105" s="660"/>
      <c r="Y105" s="661"/>
      <c r="Z105" s="661"/>
    </row>
    <row r="106" spans="2:26">
      <c r="B106" s="783"/>
      <c r="C106" s="784"/>
      <c r="D106" s="198"/>
      <c r="E106" s="198"/>
      <c r="F106" s="206"/>
      <c r="G106" s="2"/>
      <c r="H106" s="322"/>
      <c r="I106" s="322"/>
      <c r="J106" s="322"/>
      <c r="K106" s="322"/>
      <c r="L106" s="465"/>
      <c r="M106" s="348" t="str">
        <f t="shared" si="10"/>
        <v/>
      </c>
      <c r="O106" s="660"/>
      <c r="P106" s="675">
        <f t="shared" si="12"/>
        <v>0</v>
      </c>
      <c r="Q106" s="675">
        <f t="shared" si="13"/>
        <v>0.96956345955524903</v>
      </c>
      <c r="R106" s="675">
        <f t="shared" si="14"/>
        <v>3.0436540444750963E-2</v>
      </c>
      <c r="S106" s="675">
        <f t="shared" si="15"/>
        <v>0</v>
      </c>
      <c r="T106" s="675">
        <f t="shared" si="16"/>
        <v>0</v>
      </c>
      <c r="U106" s="675">
        <f t="shared" si="17"/>
        <v>0</v>
      </c>
      <c r="V106" s="675">
        <f t="shared" si="18"/>
        <v>0</v>
      </c>
      <c r="W106" s="660"/>
      <c r="X106" s="660"/>
      <c r="Y106" s="661"/>
      <c r="Z106" s="661"/>
    </row>
    <row r="107" spans="2:26">
      <c r="B107" s="783"/>
      <c r="C107" s="784"/>
      <c r="D107" s="198"/>
      <c r="E107" s="198"/>
      <c r="F107" s="206"/>
      <c r="G107" s="2"/>
      <c r="H107" s="322"/>
      <c r="I107" s="322"/>
      <c r="J107" s="322"/>
      <c r="K107" s="322"/>
      <c r="L107" s="465"/>
      <c r="M107" s="348" t="str">
        <f t="shared" si="10"/>
        <v/>
      </c>
      <c r="O107" s="660"/>
      <c r="P107" s="675">
        <f t="shared" si="12"/>
        <v>0</v>
      </c>
      <c r="Q107" s="675">
        <f t="shared" si="13"/>
        <v>0.96956345955524903</v>
      </c>
      <c r="R107" s="675">
        <f t="shared" si="14"/>
        <v>3.0436540444750963E-2</v>
      </c>
      <c r="S107" s="675">
        <f t="shared" si="15"/>
        <v>0</v>
      </c>
      <c r="T107" s="675">
        <f t="shared" si="16"/>
        <v>0</v>
      </c>
      <c r="U107" s="675">
        <f t="shared" si="17"/>
        <v>0</v>
      </c>
      <c r="V107" s="675">
        <f t="shared" si="18"/>
        <v>0</v>
      </c>
      <c r="W107" s="660"/>
      <c r="X107" s="660"/>
      <c r="Y107" s="661"/>
      <c r="Z107" s="661"/>
    </row>
    <row r="108" spans="2:26" ht="13.5" thickBot="1">
      <c r="B108" s="781"/>
      <c r="C108" s="782"/>
      <c r="D108" s="199"/>
      <c r="E108" s="199"/>
      <c r="F108" s="1"/>
      <c r="G108" s="3"/>
      <c r="H108" s="323"/>
      <c r="I108" s="323"/>
      <c r="J108" s="323"/>
      <c r="K108" s="323"/>
      <c r="L108" s="467"/>
      <c r="M108" s="348" t="str">
        <f t="shared" si="10"/>
        <v/>
      </c>
      <c r="O108" s="660"/>
      <c r="P108" s="675">
        <f t="shared" si="12"/>
        <v>0</v>
      </c>
      <c r="Q108" s="675">
        <f t="shared" si="13"/>
        <v>0.96956345955524903</v>
      </c>
      <c r="R108" s="675">
        <f t="shared" si="14"/>
        <v>3.0436540444750963E-2</v>
      </c>
      <c r="S108" s="675">
        <f t="shared" si="15"/>
        <v>0</v>
      </c>
      <c r="T108" s="675">
        <f t="shared" si="16"/>
        <v>0</v>
      </c>
      <c r="U108" s="675">
        <f t="shared" si="17"/>
        <v>0</v>
      </c>
      <c r="V108" s="675">
        <f t="shared" si="18"/>
        <v>0</v>
      </c>
      <c r="W108" s="660"/>
      <c r="X108" s="660"/>
      <c r="Y108" s="661"/>
      <c r="Z108" s="661"/>
    </row>
    <row r="109" spans="2:26" ht="18.75" customHeight="1" thickBot="1">
      <c r="B109" s="5"/>
      <c r="C109" s="5"/>
      <c r="D109" s="5"/>
      <c r="E109" s="5"/>
      <c r="F109" s="5"/>
      <c r="G109" s="5"/>
      <c r="H109" s="200"/>
      <c r="I109" s="200"/>
      <c r="J109" s="324"/>
      <c r="K109" s="325"/>
      <c r="L109" s="325"/>
      <c r="M109" s="325"/>
      <c r="O109" s="660"/>
      <c r="P109" s="660"/>
      <c r="Q109" s="660"/>
      <c r="R109" s="660"/>
      <c r="S109" s="660"/>
      <c r="T109" s="660"/>
      <c r="U109" s="660"/>
      <c r="V109" s="660"/>
      <c r="W109" s="660"/>
      <c r="X109" s="660"/>
      <c r="Y109" s="661"/>
      <c r="Z109" s="661"/>
    </row>
    <row r="110" spans="2:26" ht="17.25" customHeight="1" thickBot="1">
      <c r="B110" s="18" t="s">
        <v>16</v>
      </c>
      <c r="C110" s="289"/>
      <c r="D110" s="19"/>
      <c r="E110" s="20"/>
      <c r="F110" s="353"/>
      <c r="G110" s="354"/>
      <c r="H110" s="354"/>
      <c r="I110" s="354"/>
      <c r="J110" s="354"/>
      <c r="K110" s="354"/>
      <c r="L110" s="354"/>
      <c r="M110" s="325"/>
      <c r="O110" s="660"/>
      <c r="P110" s="660"/>
      <c r="Q110" s="660"/>
      <c r="R110" s="660"/>
      <c r="S110" s="660"/>
      <c r="T110" s="660"/>
      <c r="U110" s="660"/>
      <c r="V110" s="660"/>
      <c r="W110" s="660"/>
      <c r="X110" s="660"/>
      <c r="Y110" s="661"/>
      <c r="Z110" s="661"/>
    </row>
    <row r="111" spans="2:26">
      <c r="B111" s="349" t="s">
        <v>17</v>
      </c>
      <c r="C111" s="350"/>
      <c r="D111" s="350"/>
      <c r="E111" s="725">
        <v>0.06</v>
      </c>
      <c r="F111" s="353"/>
      <c r="G111" s="354"/>
      <c r="H111" s="354"/>
      <c r="I111" s="354"/>
      <c r="J111" s="354"/>
      <c r="K111" s="354"/>
      <c r="L111" s="354"/>
      <c r="M111" s="325"/>
      <c r="O111" s="660"/>
      <c r="P111" s="660"/>
      <c r="Q111" s="660"/>
      <c r="R111" s="660"/>
      <c r="S111" s="660"/>
      <c r="T111" s="660"/>
      <c r="U111" s="660"/>
      <c r="V111" s="660"/>
      <c r="W111" s="660"/>
      <c r="X111" s="660"/>
      <c r="Y111" s="661"/>
      <c r="Z111" s="661"/>
    </row>
    <row r="112" spans="2:26" ht="13.5" thickBot="1">
      <c r="B112" s="351" t="s">
        <v>18</v>
      </c>
      <c r="C112" s="352"/>
      <c r="D112" s="352"/>
      <c r="E112" s="726">
        <v>0.03</v>
      </c>
      <c r="F112" s="353"/>
      <c r="G112" s="354"/>
      <c r="H112" s="354"/>
      <c r="I112" s="354"/>
      <c r="J112" s="354"/>
      <c r="K112" s="354"/>
      <c r="L112" s="354"/>
      <c r="M112" s="325"/>
      <c r="O112" s="660"/>
      <c r="P112" s="660"/>
      <c r="Q112" s="660"/>
      <c r="R112" s="660"/>
      <c r="S112" s="660"/>
      <c r="T112" s="660"/>
      <c r="U112" s="660"/>
      <c r="V112" s="660"/>
      <c r="W112" s="660"/>
      <c r="X112" s="660"/>
      <c r="Y112" s="661"/>
      <c r="Z112" s="661"/>
    </row>
    <row r="113" spans="2:26" ht="13.5" thickBot="1">
      <c r="B113" s="5"/>
      <c r="C113" s="5"/>
      <c r="D113" s="5"/>
      <c r="E113" s="5"/>
      <c r="F113" s="5"/>
      <c r="G113" s="5"/>
      <c r="H113" s="5"/>
      <c r="I113" s="5"/>
      <c r="J113" s="324"/>
      <c r="K113" s="325"/>
      <c r="L113" s="325"/>
      <c r="M113" s="325"/>
      <c r="O113" s="660"/>
      <c r="P113" s="660"/>
      <c r="Q113" s="660"/>
      <c r="R113" s="660"/>
      <c r="S113" s="660"/>
      <c r="T113" s="660"/>
      <c r="U113" s="660"/>
      <c r="V113" s="660"/>
      <c r="W113" s="660"/>
      <c r="X113" s="660"/>
      <c r="Y113" s="661"/>
      <c r="Z113" s="661"/>
    </row>
    <row r="114" spans="2:26" ht="21.75" customHeight="1" thickBot="1">
      <c r="B114" s="4" t="s">
        <v>52</v>
      </c>
      <c r="C114" s="288"/>
      <c r="D114" s="7"/>
      <c r="E114" s="7"/>
      <c r="F114" s="8"/>
      <c r="G114" s="801" t="s">
        <v>221</v>
      </c>
      <c r="H114" s="802"/>
      <c r="I114" s="802"/>
      <c r="J114" s="802"/>
      <c r="K114" s="802"/>
      <c r="L114" s="325"/>
      <c r="M114" s="325"/>
      <c r="O114" s="660"/>
      <c r="P114" s="660"/>
      <c r="Q114" s="660"/>
      <c r="R114" s="660"/>
      <c r="S114" s="660"/>
      <c r="T114" s="660"/>
      <c r="U114" s="660"/>
      <c r="V114" s="660"/>
      <c r="W114" s="660"/>
      <c r="X114" s="660"/>
      <c r="Y114" s="661"/>
      <c r="Z114" s="661"/>
    </row>
    <row r="115" spans="2:26" ht="61.5" customHeight="1" thickBot="1">
      <c r="B115" s="334" t="s">
        <v>52</v>
      </c>
      <c r="C115" s="335"/>
      <c r="D115" s="336"/>
      <c r="E115" s="339" t="s">
        <v>56</v>
      </c>
      <c r="F115" s="337"/>
      <c r="G115" s="11" t="s">
        <v>222</v>
      </c>
      <c r="H115" s="11" t="s">
        <v>276</v>
      </c>
      <c r="I115" s="11" t="s">
        <v>223</v>
      </c>
      <c r="J115" s="11" t="s">
        <v>224</v>
      </c>
      <c r="K115" s="12" t="s">
        <v>237</v>
      </c>
      <c r="L115" s="325"/>
      <c r="M115" s="325"/>
      <c r="O115" s="660"/>
      <c r="P115" s="660"/>
      <c r="Q115" s="673" t="s">
        <v>174</v>
      </c>
      <c r="R115" s="674" t="s">
        <v>178</v>
      </c>
      <c r="S115" s="674" t="s">
        <v>175</v>
      </c>
      <c r="T115" s="674" t="s">
        <v>176</v>
      </c>
      <c r="U115" s="660" t="s">
        <v>229</v>
      </c>
      <c r="V115" s="673" t="s">
        <v>31</v>
      </c>
      <c r="W115" s="660"/>
      <c r="X115" s="660"/>
      <c r="Y115" s="661"/>
      <c r="Z115" s="661"/>
    </row>
    <row r="116" spans="2:26" ht="13.5" thickTop="1">
      <c r="B116" s="349" t="s">
        <v>116</v>
      </c>
      <c r="C116" s="350"/>
      <c r="D116" s="350"/>
      <c r="E116" s="727"/>
      <c r="F116" s="333"/>
      <c r="G116" s="332"/>
      <c r="H116" s="322"/>
      <c r="I116" s="322"/>
      <c r="J116" s="322"/>
      <c r="K116" s="465"/>
      <c r="L116" s="348"/>
      <c r="M116" s="325"/>
      <c r="O116" s="660"/>
      <c r="P116" s="675">
        <f t="shared" ref="P116:P121" si="19">SUM(G116:J116)</f>
        <v>0</v>
      </c>
      <c r="Q116" s="675">
        <f>IFERROR(IF(G116="",Q$75/(IF($G116="",$Q$75,0)+IF($H116="",$R$75,0)+IF($I116="",$S$75,0)+IF($J116="",$T$75,0)+IF($K116="",$U$75,0))*(1-$P116),G116),0)</f>
        <v>0.96956345955524903</v>
      </c>
      <c r="R116" s="675">
        <f t="shared" ref="R116:V116" si="20">IFERROR(IF(H116="",R$75/(IF($G116="",$Q$75,0)+IF($H116="",$R$75,0)+IF($I116="",$S$75,0)+IF($J116="",$T$75,0)+IF($K116="",$U$75,0))*(1-$P116),H116),0)</f>
        <v>3.0436540444750963E-2</v>
      </c>
      <c r="S116" s="675">
        <f t="shared" si="20"/>
        <v>0</v>
      </c>
      <c r="T116" s="675">
        <f t="shared" si="20"/>
        <v>0</v>
      </c>
      <c r="U116" s="675">
        <f t="shared" si="20"/>
        <v>0</v>
      </c>
      <c r="V116" s="675">
        <f t="shared" si="20"/>
        <v>0</v>
      </c>
      <c r="W116" s="660"/>
      <c r="X116" s="660"/>
      <c r="Y116" s="661"/>
      <c r="Z116" s="661"/>
    </row>
    <row r="117" spans="2:26">
      <c r="B117" s="349" t="s">
        <v>19</v>
      </c>
      <c r="C117" s="350"/>
      <c r="D117" s="350"/>
      <c r="E117" s="728">
        <v>540</v>
      </c>
      <c r="F117" s="292" t="s">
        <v>20</v>
      </c>
      <c r="G117" s="332"/>
      <c r="H117" s="322"/>
      <c r="I117" s="322"/>
      <c r="J117" s="322"/>
      <c r="K117" s="465"/>
      <c r="L117" s="348"/>
      <c r="M117" s="325"/>
      <c r="O117" s="660"/>
      <c r="P117" s="675">
        <f t="shared" si="19"/>
        <v>0</v>
      </c>
      <c r="Q117" s="675">
        <f t="shared" ref="Q117:Q121" si="21">IFERROR(IF(G117="",Q$75/(IF($G117="",$Q$75,0)+IF($H117="",$R$75,0)+IF($I117="",$S$75,0)+IF($J117="",$T$75,0)+IF($K117="",$U$75,0))*(1-$P117),G117),0)</f>
        <v>0.96956345955524903</v>
      </c>
      <c r="R117" s="675">
        <f t="shared" ref="R117:R121" si="22">IFERROR(IF(H117="",R$75/(IF($G117="",$Q$75,0)+IF($H117="",$R$75,0)+IF($I117="",$S$75,0)+IF($J117="",$T$75,0)+IF($K117="",$U$75,0))*(1-$P117),H117),0)</f>
        <v>3.0436540444750963E-2</v>
      </c>
      <c r="S117" s="675">
        <f t="shared" ref="S117:S121" si="23">IFERROR(IF(I117="",S$75/(IF($G117="",$Q$75,0)+IF($H117="",$R$75,0)+IF($I117="",$S$75,0)+IF($J117="",$T$75,0)+IF($K117="",$U$75,0))*(1-$P117),I117),0)</f>
        <v>0</v>
      </c>
      <c r="T117" s="675">
        <f t="shared" ref="T117:T121" si="24">IFERROR(IF(J117="",T$75/(IF($G117="",$Q$75,0)+IF($H117="",$R$75,0)+IF($I117="",$S$75,0)+IF($J117="",$T$75,0)+IF($K117="",$U$75,0))*(1-$P117),J117),0)</f>
        <v>0</v>
      </c>
      <c r="U117" s="675">
        <f t="shared" ref="U117:U121" si="25">IFERROR(IF(K117="",U$75/(IF($G117="",$Q$75,0)+IF($H117="",$R$75,0)+IF($I117="",$S$75,0)+IF($J117="",$T$75,0)+IF($K117="",$U$75,0))*(1-$P117),K117),0)</f>
        <v>0</v>
      </c>
      <c r="V117" s="675">
        <f t="shared" ref="V117:V121" si="26">IFERROR(IF(L117="",V$75/(IF($G117="",$Q$75,0)+IF($H117="",$R$75,0)+IF($I117="",$S$75,0)+IF($J117="",$T$75,0)+IF($K117="",$U$75,0))*(1-$P117),L117),0)</f>
        <v>0</v>
      </c>
      <c r="W117" s="660"/>
      <c r="X117" s="660"/>
      <c r="Y117" s="661"/>
      <c r="Z117" s="661"/>
    </row>
    <row r="118" spans="2:26">
      <c r="B118" s="349" t="s">
        <v>21</v>
      </c>
      <c r="C118" s="350"/>
      <c r="D118" s="350"/>
      <c r="E118" s="728">
        <v>2500</v>
      </c>
      <c r="F118" s="292" t="s">
        <v>20</v>
      </c>
      <c r="G118" s="332"/>
      <c r="H118" s="322"/>
      <c r="I118" s="322"/>
      <c r="J118" s="322"/>
      <c r="K118" s="465"/>
      <c r="L118" s="348"/>
      <c r="M118" s="325"/>
      <c r="O118" s="660"/>
      <c r="P118" s="675">
        <f t="shared" si="19"/>
        <v>0</v>
      </c>
      <c r="Q118" s="675">
        <f t="shared" si="21"/>
        <v>0.96956345955524903</v>
      </c>
      <c r="R118" s="675">
        <f t="shared" si="22"/>
        <v>3.0436540444750963E-2</v>
      </c>
      <c r="S118" s="675">
        <f t="shared" si="23"/>
        <v>0</v>
      </c>
      <c r="T118" s="675">
        <f t="shared" si="24"/>
        <v>0</v>
      </c>
      <c r="U118" s="675">
        <f t="shared" si="25"/>
        <v>0</v>
      </c>
      <c r="V118" s="675">
        <f t="shared" si="26"/>
        <v>0</v>
      </c>
      <c r="W118" s="660"/>
      <c r="X118" s="660"/>
      <c r="Y118" s="661"/>
      <c r="Z118" s="661"/>
    </row>
    <row r="119" spans="2:26">
      <c r="B119" s="349" t="s">
        <v>22</v>
      </c>
      <c r="C119" s="350"/>
      <c r="D119" s="350"/>
      <c r="E119" s="728">
        <v>1000</v>
      </c>
      <c r="F119" s="292" t="s">
        <v>20</v>
      </c>
      <c r="G119" s="332"/>
      <c r="H119" s="322"/>
      <c r="I119" s="322"/>
      <c r="J119" s="322"/>
      <c r="K119" s="465"/>
      <c r="L119" s="348"/>
      <c r="M119" s="325"/>
      <c r="O119" s="660"/>
      <c r="P119" s="675">
        <f t="shared" si="19"/>
        <v>0</v>
      </c>
      <c r="Q119" s="675">
        <f t="shared" si="21"/>
        <v>0.96956345955524903</v>
      </c>
      <c r="R119" s="675">
        <f t="shared" si="22"/>
        <v>3.0436540444750963E-2</v>
      </c>
      <c r="S119" s="675">
        <f t="shared" si="23"/>
        <v>0</v>
      </c>
      <c r="T119" s="675">
        <f t="shared" si="24"/>
        <v>0</v>
      </c>
      <c r="U119" s="675">
        <f t="shared" si="25"/>
        <v>0</v>
      </c>
      <c r="V119" s="675">
        <f t="shared" si="26"/>
        <v>0</v>
      </c>
      <c r="W119" s="660"/>
      <c r="X119" s="660"/>
      <c r="Y119" s="661"/>
      <c r="Z119" s="661"/>
    </row>
    <row r="120" spans="2:26">
      <c r="B120" s="349" t="s">
        <v>23</v>
      </c>
      <c r="C120" s="350"/>
      <c r="D120" s="350"/>
      <c r="E120" s="728"/>
      <c r="F120" s="292" t="s">
        <v>20</v>
      </c>
      <c r="G120" s="332"/>
      <c r="H120" s="322"/>
      <c r="I120" s="322"/>
      <c r="J120" s="322"/>
      <c r="K120" s="465"/>
      <c r="L120" s="348"/>
      <c r="M120" s="325"/>
      <c r="O120" s="660"/>
      <c r="P120" s="675">
        <f t="shared" si="19"/>
        <v>0</v>
      </c>
      <c r="Q120" s="675">
        <f t="shared" si="21"/>
        <v>0.96956345955524903</v>
      </c>
      <c r="R120" s="675">
        <f t="shared" si="22"/>
        <v>3.0436540444750963E-2</v>
      </c>
      <c r="S120" s="675">
        <f t="shared" si="23"/>
        <v>0</v>
      </c>
      <c r="T120" s="675">
        <f t="shared" si="24"/>
        <v>0</v>
      </c>
      <c r="U120" s="675">
        <f t="shared" si="25"/>
        <v>0</v>
      </c>
      <c r="V120" s="675">
        <f t="shared" si="26"/>
        <v>0</v>
      </c>
      <c r="W120" s="660"/>
      <c r="X120" s="660"/>
      <c r="Y120" s="661"/>
      <c r="Z120" s="661"/>
    </row>
    <row r="121" spans="2:26" ht="12.75" customHeight="1" thickBot="1">
      <c r="B121" s="351" t="s">
        <v>24</v>
      </c>
      <c r="C121" s="352"/>
      <c r="D121" s="352"/>
      <c r="E121" s="199">
        <v>750</v>
      </c>
      <c r="F121" s="338" t="s">
        <v>20</v>
      </c>
      <c r="G121" s="468"/>
      <c r="H121" s="323"/>
      <c r="I121" s="323"/>
      <c r="J121" s="323"/>
      <c r="K121" s="467"/>
      <c r="L121" s="348"/>
      <c r="M121" s="325"/>
      <c r="O121" s="660"/>
      <c r="P121" s="675">
        <f t="shared" si="19"/>
        <v>0</v>
      </c>
      <c r="Q121" s="675">
        <f t="shared" si="21"/>
        <v>0.96956345955524903</v>
      </c>
      <c r="R121" s="675">
        <f t="shared" si="22"/>
        <v>3.0436540444750963E-2</v>
      </c>
      <c r="S121" s="675">
        <f t="shared" si="23"/>
        <v>0</v>
      </c>
      <c r="T121" s="675">
        <f t="shared" si="24"/>
        <v>0</v>
      </c>
      <c r="U121" s="675">
        <f t="shared" si="25"/>
        <v>0</v>
      </c>
      <c r="V121" s="675">
        <f t="shared" si="26"/>
        <v>0</v>
      </c>
      <c r="W121" s="660"/>
      <c r="X121" s="660"/>
      <c r="Y121" s="661"/>
      <c r="Z121" s="661"/>
    </row>
    <row r="122" spans="2:26" ht="43.5" customHeight="1">
      <c r="B122" s="807" t="s">
        <v>117</v>
      </c>
      <c r="C122" s="807"/>
      <c r="D122" s="807"/>
      <c r="E122" s="807"/>
      <c r="F122" s="807"/>
      <c r="G122" s="807"/>
      <c r="H122" s="807"/>
      <c r="I122" s="807"/>
      <c r="J122" s="807"/>
      <c r="K122" s="807"/>
      <c r="L122" s="807"/>
      <c r="M122" s="807"/>
      <c r="N122" s="400"/>
    </row>
    <row r="123" spans="2:26" ht="12.75" customHeight="1">
      <c r="B123" s="410"/>
      <c r="C123" s="410"/>
      <c r="D123" s="410"/>
      <c r="E123" s="410"/>
      <c r="F123" s="410"/>
      <c r="G123" s="410"/>
      <c r="H123" s="410"/>
      <c r="I123" s="410"/>
    </row>
    <row r="124" spans="2:26" ht="12.75" customHeight="1">
      <c r="B124" s="410"/>
      <c r="C124" s="410"/>
      <c r="D124" s="410"/>
      <c r="E124" s="410"/>
      <c r="F124" s="410"/>
      <c r="G124" s="410"/>
      <c r="H124" s="410"/>
      <c r="I124" s="410"/>
    </row>
    <row r="125" spans="2:26">
      <c r="B125" s="410"/>
      <c r="C125" s="410"/>
      <c r="D125" s="410"/>
      <c r="E125" s="410"/>
      <c r="F125" s="410"/>
      <c r="G125" s="410"/>
      <c r="H125" s="410"/>
      <c r="I125" s="410"/>
    </row>
    <row r="126" spans="2:26">
      <c r="B126" s="410"/>
      <c r="C126" s="410"/>
      <c r="D126" s="410"/>
      <c r="E126" s="410"/>
      <c r="F126" s="410"/>
      <c r="G126" s="410"/>
      <c r="H126" s="410"/>
      <c r="I126" s="410"/>
    </row>
  </sheetData>
  <mergeCells count="49">
    <mergeCell ref="B84:C84"/>
    <mergeCell ref="B85:C85"/>
    <mergeCell ref="B94:C94"/>
    <mergeCell ref="B95:C95"/>
    <mergeCell ref="B89:C89"/>
    <mergeCell ref="B90:C90"/>
    <mergeCell ref="B91:C91"/>
    <mergeCell ref="B92:C92"/>
    <mergeCell ref="B93:C93"/>
    <mergeCell ref="B86:C86"/>
    <mergeCell ref="B87:C87"/>
    <mergeCell ref="B88:C88"/>
    <mergeCell ref="B122:M122"/>
    <mergeCell ref="H97:L97"/>
    <mergeCell ref="G114:K114"/>
    <mergeCell ref="B107:C107"/>
    <mergeCell ref="B108:C108"/>
    <mergeCell ref="B102:C102"/>
    <mergeCell ref="B103:C103"/>
    <mergeCell ref="B104:C104"/>
    <mergeCell ref="B105:C105"/>
    <mergeCell ref="B106:C106"/>
    <mergeCell ref="B101:C101"/>
    <mergeCell ref="B99:C99"/>
    <mergeCell ref="Z82:Z83"/>
    <mergeCell ref="X82:X83"/>
    <mergeCell ref="F79:J79"/>
    <mergeCell ref="Y82:Y83"/>
    <mergeCell ref="B81:C81"/>
    <mergeCell ref="B82:C82"/>
    <mergeCell ref="B83:C83"/>
    <mergeCell ref="B35:B37"/>
    <mergeCell ref="B42:B44"/>
    <mergeCell ref="D3:F6"/>
    <mergeCell ref="B3:B16"/>
    <mergeCell ref="B17:B22"/>
    <mergeCell ref="B23:B27"/>
    <mergeCell ref="B32:B34"/>
    <mergeCell ref="B45:B47"/>
    <mergeCell ref="D45:F45"/>
    <mergeCell ref="B52:B54"/>
    <mergeCell ref="B55:B57"/>
    <mergeCell ref="B77:C77"/>
    <mergeCell ref="B72:C72"/>
    <mergeCell ref="B68:C68"/>
    <mergeCell ref="B69:C69"/>
    <mergeCell ref="B70:C70"/>
    <mergeCell ref="B71:C71"/>
    <mergeCell ref="B73:C73"/>
  </mergeCells>
  <dataValidations count="19">
    <dataValidation type="whole" operator="lessThanOrEqual" allowBlank="1" showInputMessage="1" showErrorMessage="1" sqref="G9" xr:uid="{00000000-0002-0000-0100-000000000000}">
      <formula1>O9</formula1>
    </dataValidation>
    <dataValidation type="whole" allowBlank="1" showInputMessage="1" showErrorMessage="1" sqref="G23" xr:uid="{00000000-0002-0000-0100-000001000000}">
      <formula1>0</formula1>
      <formula2>Q8*2</formula2>
    </dataValidation>
    <dataValidation type="whole" allowBlank="1" showInputMessage="1" showErrorMessage="1" sqref="G32" xr:uid="{00000000-0002-0000-0100-000002000000}">
      <formula1>0</formula1>
      <formula2>Q8</formula2>
    </dataValidation>
    <dataValidation type="whole" allowBlank="1" showInputMessage="1" showErrorMessage="1" sqref="G45 G52 G55 G42" xr:uid="{00000000-0002-0000-0100-000003000000}">
      <formula1>0</formula1>
      <formula2>O33</formula2>
    </dataValidation>
    <dataValidation type="whole" allowBlank="1" showInputMessage="1" showErrorMessage="1" sqref="G13" xr:uid="{00000000-0002-0000-0100-000004000000}">
      <formula1>0</formula1>
      <formula2>G7</formula2>
    </dataValidation>
    <dataValidation type="whole" allowBlank="1" showInputMessage="1" showErrorMessage="1" sqref="G35" xr:uid="{00000000-0002-0000-0100-000005000000}">
      <formula1>0</formula1>
      <formula2>Q8-G7-G9+G13</formula2>
    </dataValidation>
    <dataValidation type="whole" allowBlank="1" showInputMessage="1" showErrorMessage="1" sqref="G62" xr:uid="{00000000-0002-0000-0100-000006000000}">
      <formula1>0</formula1>
      <formula2>G5</formula2>
    </dataValidation>
    <dataValidation type="list" allowBlank="1" showInputMessage="1" showErrorMessage="1" sqref="H51 H31 H41 H6 H61" xr:uid="{00000000-0002-0000-0100-000007000000}">
      <formula1>$R$30:$R$31</formula1>
    </dataValidation>
    <dataValidation type="list" allowBlank="1" showInputMessage="1" showErrorMessage="1" sqref="E81:E95" xr:uid="{00000000-0002-0000-0100-000008000000}">
      <formula1>$P$78:$P$79</formula1>
    </dataValidation>
    <dataValidation type="list" allowBlank="1" showInputMessage="1" showErrorMessage="1" sqref="H12" xr:uid="{00000000-0002-0000-0100-000009000000}">
      <formula1>$R$11:$R$12</formula1>
    </dataValidation>
    <dataValidation type="whole" operator="greaterThanOrEqual" allowBlank="1" showInputMessage="1" showErrorMessage="1" sqref="G3 G60 E116:E121 G5 G50 G30 G22 G17:G18 G15 G40 D99:G108" xr:uid="{00000000-0002-0000-0100-00000A000000}">
      <formula1>0</formula1>
    </dataValidation>
    <dataValidation type="decimal" allowBlank="1" showInputMessage="1" showErrorMessage="1" errorTitle="Boundary Warning" error="This value must be from 0 to 100" sqref="G8" xr:uid="{00000000-0002-0000-0100-00000B000000}">
      <formula1>0</formula1>
      <formula2>100</formula2>
    </dataValidation>
    <dataValidation type="decimal" operator="greaterThanOrEqual" allowBlank="1" showInputMessage="1" showErrorMessage="1" sqref="G6 D68:D77 D81:D95 G68:G77 G24:G25 G21 G14 G12" xr:uid="{00000000-0002-0000-0100-00000C000000}">
      <formula1>0</formula1>
    </dataValidation>
    <dataValidation type="decimal" operator="greaterThan" allowBlank="1" showInputMessage="1" showErrorMessage="1" sqref="G11" xr:uid="{00000000-0002-0000-0100-00000D000000}">
      <formula1>10</formula1>
    </dataValidation>
    <dataValidation type="decimal" operator="greaterThanOrEqual" allowBlank="1" showInputMessage="1" showErrorMessage="1" sqref="G16 G64 G57 G54 G47 G44 G37 G34 G26:G27" xr:uid="{00000000-0002-0000-0100-00000E000000}">
      <formula1>10</formula1>
    </dataValidation>
    <dataValidation type="whole" allowBlank="1" showInputMessage="1" showErrorMessage="1" sqref="G19" xr:uid="{00000000-0002-0000-0100-00000F000000}">
      <formula1>0</formula1>
      <formula2>9</formula2>
    </dataValidation>
    <dataValidation type="decimal" allowBlank="1" showInputMessage="1" showErrorMessage="1" sqref="G20 E111:E112 G116:K121 H100:L108 F81:J95" xr:uid="{00000000-0002-0000-0100-000010000000}">
      <formula1>0</formula1>
      <formula2>1</formula2>
    </dataValidation>
    <dataValidation type="decimal" allowBlank="1" showInputMessage="1" showErrorMessage="1" sqref="G31 G61 G51" xr:uid="{00000000-0002-0000-0100-000011000000}">
      <formula1>0</formula1>
      <formula2>100</formula2>
    </dataValidation>
    <dataValidation type="whole" allowBlank="1" showInputMessage="1" showErrorMessage="1" sqref="G41" xr:uid="{00000000-0002-0000-0100-000012000000}">
      <formula1>0</formula1>
      <formula2>100</formula2>
    </dataValidation>
  </dataValidations>
  <printOptions horizontalCentered="1"/>
  <pageMargins left="0.25" right="0.25" top="0.75" bottom="0.75" header="0.3" footer="0.3"/>
  <pageSetup scale="99" fitToHeight="4" orientation="portrait" r:id="rId1"/>
  <rowBreaks count="1" manualBreakCount="1">
    <brk id="78"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AQ28"/>
  <sheetViews>
    <sheetView showZeros="0" zoomScaleNormal="100" workbookViewId="0"/>
  </sheetViews>
  <sheetFormatPr defaultColWidth="9.140625" defaultRowHeight="12.75"/>
  <cols>
    <col min="1" max="1" width="28.42578125" style="152" customWidth="1"/>
    <col min="2" max="2" width="26.7109375" style="152" customWidth="1"/>
    <col min="3" max="3" width="10.42578125" style="152" customWidth="1"/>
    <col min="4" max="4" width="9.85546875" style="152" customWidth="1"/>
    <col min="5" max="5" width="11.42578125" style="152" customWidth="1"/>
    <col min="6" max="6" width="10.42578125" style="152" customWidth="1"/>
    <col min="7" max="7" width="9.140625" style="152"/>
    <col min="8" max="8" width="10.28515625" style="152" customWidth="1"/>
    <col min="9" max="9" width="4.42578125" style="157" customWidth="1"/>
    <col min="10" max="10" width="11" style="222" hidden="1" customWidth="1"/>
    <col min="11" max="11" width="10.42578125" style="222" hidden="1" customWidth="1"/>
    <col min="12" max="12" width="21" style="222" hidden="1" customWidth="1"/>
    <col min="13" max="13" width="10.42578125" style="222" hidden="1" customWidth="1"/>
    <col min="14" max="26" width="9.140625" style="222" hidden="1" customWidth="1"/>
    <col min="27" max="28" width="9.140625" style="222"/>
    <col min="29" max="43" width="9.140625" style="277"/>
    <col min="44" max="16384" width="9.140625" style="40"/>
  </cols>
  <sheetData>
    <row r="1" spans="1:43" ht="52.5" thickBot="1">
      <c r="B1" s="63" t="s">
        <v>142</v>
      </c>
      <c r="C1" s="100" t="str">
        <f>CONCATENATE("(",Inputs!G17," Bulls)")</f>
        <v>(10 Bulls)</v>
      </c>
      <c r="D1" s="100"/>
      <c r="E1" s="100"/>
      <c r="F1" s="100"/>
      <c r="G1" s="100"/>
      <c r="H1" s="100"/>
      <c r="J1" s="417"/>
      <c r="K1" s="417"/>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c r="X1" s="417"/>
      <c r="Y1" s="417"/>
      <c r="Z1" s="417"/>
    </row>
    <row r="2" spans="1:43" ht="27" thickBot="1">
      <c r="B2" s="35" t="s">
        <v>29</v>
      </c>
      <c r="C2" s="108"/>
      <c r="D2" s="109"/>
      <c r="E2" s="109"/>
      <c r="F2" s="109"/>
      <c r="G2" s="109"/>
      <c r="H2" s="113" t="s">
        <v>74</v>
      </c>
      <c r="J2" s="417"/>
      <c r="K2" s="417"/>
      <c r="L2" s="419" t="str">
        <f t="shared" ref="L2:L7" si="0">B14</f>
        <v>Prairie Hay</v>
      </c>
      <c r="M2" s="419">
        <f>IF(M$1=$L2,$J14,0)</f>
        <v>0</v>
      </c>
      <c r="N2" s="419">
        <f t="shared" ref="N2:V2" si="1">IF(N$1=$L2,$J14,0)</f>
        <v>0</v>
      </c>
      <c r="O2" s="419">
        <f t="shared" si="1"/>
        <v>40000</v>
      </c>
      <c r="P2" s="419">
        <f t="shared" si="1"/>
        <v>0</v>
      </c>
      <c r="Q2" s="419">
        <f t="shared" si="1"/>
        <v>0</v>
      </c>
      <c r="R2" s="419">
        <f t="shared" si="1"/>
        <v>0</v>
      </c>
      <c r="S2" s="419">
        <f t="shared" si="1"/>
        <v>0</v>
      </c>
      <c r="T2" s="419">
        <f t="shared" si="1"/>
        <v>0</v>
      </c>
      <c r="U2" s="419">
        <f t="shared" si="1"/>
        <v>0</v>
      </c>
      <c r="V2" s="419">
        <f t="shared" si="1"/>
        <v>0</v>
      </c>
      <c r="W2" s="419">
        <f t="shared" ref="W2:W7" si="2">SUM(M2:V2)</f>
        <v>40000</v>
      </c>
      <c r="X2" s="417"/>
      <c r="Y2" s="417"/>
      <c r="Z2" s="417"/>
    </row>
    <row r="3" spans="1:43">
      <c r="B3" s="71"/>
      <c r="C3" s="36" t="s">
        <v>56</v>
      </c>
      <c r="D3" s="39"/>
      <c r="E3" s="180" t="s">
        <v>30</v>
      </c>
      <c r="F3" s="69" t="s">
        <v>5</v>
      </c>
      <c r="G3" s="49"/>
      <c r="H3" s="89" t="s">
        <v>31</v>
      </c>
      <c r="J3" s="417"/>
      <c r="K3" s="417"/>
      <c r="L3" s="419" t="str">
        <f t="shared" si="0"/>
        <v xml:space="preserve">Pasture  </v>
      </c>
      <c r="M3" s="419">
        <f t="shared" ref="M3:V7" si="3">IF(M$1=$L3,$J15,0)</f>
        <v>1500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1500</v>
      </c>
      <c r="X3" s="417"/>
      <c r="Y3" s="417"/>
      <c r="Z3" s="417"/>
    </row>
    <row r="4" spans="1:43">
      <c r="B4" s="27" t="s">
        <v>75</v>
      </c>
      <c r="C4" s="111">
        <f>IF(Inputs!G19=0,0,Inputs!G17/Inputs!G19)*(1-Inputs!G20)</f>
        <v>2.5</v>
      </c>
      <c r="D4" s="49" t="s">
        <v>66</v>
      </c>
      <c r="E4" s="175">
        <f>Inputs!G22</f>
        <v>1800</v>
      </c>
      <c r="F4" s="175">
        <f>Inputs!G21</f>
        <v>85</v>
      </c>
      <c r="G4" s="49"/>
      <c r="H4" s="577">
        <f>C4*E4*F4/100</f>
        <v>3825</v>
      </c>
      <c r="J4" s="417"/>
      <c r="K4" s="417"/>
      <c r="L4" s="419" t="str">
        <f t="shared" si="0"/>
        <v>Salt and Mineral</v>
      </c>
      <c r="M4" s="419">
        <f t="shared" si="3"/>
        <v>0</v>
      </c>
      <c r="N4" s="419">
        <f t="shared" si="3"/>
        <v>0</v>
      </c>
      <c r="O4" s="419">
        <f t="shared" si="3"/>
        <v>0</v>
      </c>
      <c r="P4" s="419">
        <f t="shared" si="3"/>
        <v>0</v>
      </c>
      <c r="Q4" s="419">
        <f t="shared" si="3"/>
        <v>0</v>
      </c>
      <c r="R4" s="419">
        <f t="shared" si="3"/>
        <v>11000</v>
      </c>
      <c r="S4" s="419">
        <f t="shared" si="3"/>
        <v>0</v>
      </c>
      <c r="T4" s="419">
        <f t="shared" si="3"/>
        <v>0</v>
      </c>
      <c r="U4" s="419">
        <f t="shared" si="3"/>
        <v>0</v>
      </c>
      <c r="V4" s="419">
        <f t="shared" si="3"/>
        <v>0</v>
      </c>
      <c r="W4" s="419">
        <f t="shared" si="2"/>
        <v>11000</v>
      </c>
      <c r="X4" s="417"/>
      <c r="Y4" s="417"/>
      <c r="Z4" s="417"/>
    </row>
    <row r="5" spans="1:43" ht="13.5" thickBot="1">
      <c r="B5" s="48"/>
      <c r="C5" s="31"/>
      <c r="D5" s="49"/>
      <c r="E5" s="49"/>
      <c r="F5" s="68"/>
      <c r="G5" s="49"/>
      <c r="H5" s="577"/>
      <c r="J5" s="419"/>
      <c r="K5" s="417"/>
      <c r="L5" s="419" t="str">
        <f t="shared" si="0"/>
        <v>Grain mix (distillers &amp; corn)</v>
      </c>
      <c r="M5" s="419">
        <f t="shared" si="3"/>
        <v>0</v>
      </c>
      <c r="N5" s="419">
        <f t="shared" si="3"/>
        <v>2000</v>
      </c>
      <c r="O5" s="419">
        <f t="shared" si="3"/>
        <v>0</v>
      </c>
      <c r="P5" s="419">
        <f t="shared" si="3"/>
        <v>0</v>
      </c>
      <c r="Q5" s="419">
        <f t="shared" si="3"/>
        <v>0</v>
      </c>
      <c r="R5" s="419">
        <f t="shared" si="3"/>
        <v>0</v>
      </c>
      <c r="S5" s="419">
        <f t="shared" si="3"/>
        <v>0</v>
      </c>
      <c r="T5" s="419">
        <f t="shared" si="3"/>
        <v>0</v>
      </c>
      <c r="U5" s="419">
        <f t="shared" si="3"/>
        <v>0</v>
      </c>
      <c r="V5" s="419">
        <f t="shared" si="3"/>
        <v>0</v>
      </c>
      <c r="W5" s="419">
        <f t="shared" si="2"/>
        <v>2000</v>
      </c>
      <c r="X5" s="417"/>
      <c r="Y5" s="417"/>
      <c r="Z5" s="417"/>
    </row>
    <row r="6" spans="1:43" ht="16.5" thickBot="1">
      <c r="B6" s="66"/>
      <c r="C6" s="42"/>
      <c r="D6" s="42"/>
      <c r="E6" s="38"/>
      <c r="F6" s="60"/>
      <c r="G6" s="21" t="s">
        <v>33</v>
      </c>
      <c r="H6" s="578">
        <f>SUM(H4:H5)</f>
        <v>3825</v>
      </c>
      <c r="J6" s="41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417"/>
      <c r="Z6" s="417"/>
    </row>
    <row r="7" spans="1:43" ht="13.5" thickBot="1">
      <c r="B7" s="64"/>
      <c r="C7" s="43"/>
      <c r="D7" s="43"/>
      <c r="E7" s="43"/>
      <c r="F7" s="43"/>
      <c r="G7" s="43"/>
      <c r="H7" s="491"/>
      <c r="J7" s="417"/>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c r="Y7" s="417"/>
      <c r="Z7" s="417"/>
    </row>
    <row r="8" spans="1:43" ht="27" thickBot="1">
      <c r="B8" s="66" t="s">
        <v>34</v>
      </c>
      <c r="C8" s="108"/>
      <c r="D8" s="109"/>
      <c r="E8" s="109"/>
      <c r="F8" s="109"/>
      <c r="G8" s="109"/>
      <c r="H8" s="579" t="s">
        <v>74</v>
      </c>
      <c r="J8" s="417"/>
      <c r="K8" s="417"/>
      <c r="L8" s="419" t="s">
        <v>31</v>
      </c>
      <c r="M8" s="419">
        <f>SUM(M2:M7)</f>
        <v>1500</v>
      </c>
      <c r="N8" s="419">
        <f t="shared" ref="N8:V8" si="4">SUM(N2:N7)</f>
        <v>2000</v>
      </c>
      <c r="O8" s="419">
        <f t="shared" si="4"/>
        <v>40000</v>
      </c>
      <c r="P8" s="419">
        <f t="shared" si="4"/>
        <v>0</v>
      </c>
      <c r="Q8" s="419">
        <f t="shared" si="4"/>
        <v>0</v>
      </c>
      <c r="R8" s="419">
        <f t="shared" si="4"/>
        <v>11000</v>
      </c>
      <c r="S8" s="419">
        <f t="shared" si="4"/>
        <v>0</v>
      </c>
      <c r="T8" s="419">
        <f t="shared" si="4"/>
        <v>0</v>
      </c>
      <c r="U8" s="419">
        <f t="shared" si="4"/>
        <v>0</v>
      </c>
      <c r="V8" s="419">
        <f t="shared" si="4"/>
        <v>0</v>
      </c>
      <c r="W8" s="419"/>
      <c r="X8" s="417"/>
      <c r="Y8" s="417"/>
      <c r="Z8" s="417"/>
    </row>
    <row r="9" spans="1:43">
      <c r="B9" s="78" t="s">
        <v>62</v>
      </c>
      <c r="C9" s="36" t="s">
        <v>44</v>
      </c>
      <c r="D9" s="69"/>
      <c r="E9" s="69" t="s">
        <v>5</v>
      </c>
      <c r="F9" s="45"/>
      <c r="G9" s="45"/>
      <c r="H9" s="580" t="s">
        <v>31</v>
      </c>
      <c r="J9" s="417" t="s">
        <v>61</v>
      </c>
      <c r="K9" s="417"/>
      <c r="L9" s="417"/>
      <c r="M9" s="417"/>
      <c r="N9" s="417"/>
      <c r="O9" s="417"/>
      <c r="P9" s="417"/>
      <c r="Q9" s="417"/>
      <c r="R9" s="417"/>
      <c r="S9" s="417"/>
      <c r="T9" s="417"/>
      <c r="U9" s="417"/>
      <c r="V9" s="417"/>
      <c r="W9" s="417"/>
      <c r="X9" s="417"/>
      <c r="Y9" s="417"/>
      <c r="Z9" s="417"/>
    </row>
    <row r="10" spans="1:43">
      <c r="B10" s="48" t="s">
        <v>76</v>
      </c>
      <c r="C10" s="30">
        <f>IF(Inputs!G19=0,0,Inputs!G17/Inputs!G19)</f>
        <v>2.5</v>
      </c>
      <c r="D10" s="112"/>
      <c r="E10" s="176">
        <f>Inputs!G18</f>
        <v>3000</v>
      </c>
      <c r="F10" s="49" t="s">
        <v>4</v>
      </c>
      <c r="G10" s="49"/>
      <c r="H10" s="581">
        <f>C10*E10</f>
        <v>7500</v>
      </c>
      <c r="J10" s="417" t="s">
        <v>64</v>
      </c>
      <c r="K10" s="417"/>
      <c r="L10" s="417"/>
      <c r="M10" s="417"/>
      <c r="N10" s="417"/>
      <c r="O10" s="417"/>
      <c r="P10" s="417"/>
      <c r="Q10" s="417"/>
      <c r="R10" s="417"/>
      <c r="S10" s="417"/>
      <c r="T10" s="417"/>
      <c r="U10" s="417"/>
      <c r="V10" s="417"/>
      <c r="W10" s="417"/>
      <c r="X10" s="417"/>
      <c r="Y10" s="417"/>
      <c r="Z10" s="417"/>
    </row>
    <row r="11" spans="1:43">
      <c r="B11" s="48"/>
      <c r="C11" s="32"/>
      <c r="D11" s="58"/>
      <c r="E11" s="58"/>
      <c r="F11" s="49"/>
      <c r="G11" s="208"/>
      <c r="H11" s="582"/>
      <c r="J11" s="417"/>
      <c r="K11" s="417"/>
      <c r="L11" s="417"/>
      <c r="M11" s="417"/>
      <c r="N11" s="417"/>
      <c r="O11" s="417"/>
      <c r="P11" s="417"/>
      <c r="Q11" s="417"/>
      <c r="R11" s="417"/>
      <c r="S11" s="417"/>
      <c r="T11" s="417"/>
      <c r="U11" s="417"/>
      <c r="V11" s="417"/>
      <c r="W11" s="417"/>
      <c r="X11" s="417"/>
      <c r="Y11" s="417"/>
      <c r="Z11" s="417"/>
    </row>
    <row r="12" spans="1:43" s="61" customFormat="1" ht="12.75" customHeight="1">
      <c r="A12" s="152"/>
      <c r="B12" s="48"/>
      <c r="C12" s="813" t="s">
        <v>153</v>
      </c>
      <c r="D12" s="107"/>
      <c r="E12" s="815" t="s">
        <v>154</v>
      </c>
      <c r="F12" s="49"/>
      <c r="G12" s="208"/>
      <c r="H12" s="582"/>
      <c r="I12" s="157"/>
      <c r="J12" s="419"/>
      <c r="K12" s="816"/>
      <c r="L12" s="816"/>
      <c r="M12" s="816"/>
      <c r="N12" s="417"/>
      <c r="O12" s="461"/>
      <c r="P12" s="461"/>
      <c r="Q12" s="417"/>
      <c r="R12" s="419"/>
      <c r="S12" s="461"/>
      <c r="T12" s="461"/>
      <c r="U12" s="461"/>
      <c r="V12" s="461"/>
      <c r="W12" s="461"/>
      <c r="X12" s="461"/>
      <c r="Y12" s="461"/>
      <c r="Z12" s="417"/>
      <c r="AA12" s="222"/>
      <c r="AB12" s="222"/>
      <c r="AC12" s="277"/>
      <c r="AD12" s="277"/>
      <c r="AE12" s="277"/>
      <c r="AF12" s="277"/>
      <c r="AG12" s="277"/>
      <c r="AH12" s="277"/>
      <c r="AI12" s="277"/>
      <c r="AJ12" s="277"/>
      <c r="AK12" s="277"/>
      <c r="AL12" s="277"/>
      <c r="AM12" s="277"/>
      <c r="AN12" s="277"/>
      <c r="AO12" s="277"/>
      <c r="AP12" s="277"/>
      <c r="AQ12" s="277"/>
    </row>
    <row r="13" spans="1:43" s="61" customFormat="1" ht="14.25" customHeight="1">
      <c r="A13" s="152"/>
      <c r="B13" s="79" t="s">
        <v>84</v>
      </c>
      <c r="C13" s="814"/>
      <c r="D13" s="107"/>
      <c r="E13" s="815"/>
      <c r="F13" s="817" t="s">
        <v>5</v>
      </c>
      <c r="G13" s="817"/>
      <c r="H13" s="583" t="s">
        <v>31</v>
      </c>
      <c r="I13" s="157"/>
      <c r="J13" s="430"/>
      <c r="K13" s="460"/>
      <c r="L13" s="460"/>
      <c r="M13" s="460"/>
      <c r="N13" s="469"/>
      <c r="O13" s="461"/>
      <c r="P13" s="461"/>
      <c r="Q13" s="417"/>
      <c r="R13" s="417"/>
      <c r="S13" s="461"/>
      <c r="T13" s="461"/>
      <c r="U13" s="461"/>
      <c r="V13" s="461"/>
      <c r="W13" s="461"/>
      <c r="X13" s="461"/>
      <c r="Y13" s="461"/>
      <c r="Z13" s="417"/>
      <c r="AA13" s="222"/>
      <c r="AB13" s="222"/>
      <c r="AC13" s="277"/>
      <c r="AD13" s="277"/>
      <c r="AE13" s="277"/>
      <c r="AF13" s="277"/>
      <c r="AG13" s="277"/>
      <c r="AH13" s="277"/>
      <c r="AI13" s="277"/>
      <c r="AJ13" s="277"/>
      <c r="AK13" s="277"/>
      <c r="AL13" s="277"/>
      <c r="AM13" s="277"/>
      <c r="AN13" s="277"/>
      <c r="AO13" s="277"/>
      <c r="AP13" s="277"/>
      <c r="AQ13" s="277"/>
    </row>
    <row r="14" spans="1:43" ht="12.75" customHeight="1">
      <c r="B14" s="730" t="s">
        <v>247</v>
      </c>
      <c r="C14" s="729">
        <v>4000</v>
      </c>
      <c r="D14" s="86" t="str">
        <f t="shared" ref="D14:D19" si="5">IF(B14="","",CONCATENATE(VLOOKUP(B14,Feed,5,FALSE)))</f>
        <v>lbs</v>
      </c>
      <c r="E14" s="218" t="s">
        <v>61</v>
      </c>
      <c r="F14" s="811" t="str">
        <f t="shared" ref="F14:F19" si="6">IF(B14="","",CONCATENATE("@ ",TEXT(VLOOKUP($B14,Feed,7,FALSE),"0.00")," per ",VLOOKUP(B14,Feed,5,FALSE)))</f>
        <v>@ 0.07 per lbs</v>
      </c>
      <c r="G14" s="812"/>
      <c r="H14" s="577">
        <f>IF(B14=0,"",IF(E14="","",C14*VLOOKUP(B14,Feed,7,FALSE)*IF(E14="total",1,Inputs!$G$17)))</f>
        <v>2600</v>
      </c>
      <c r="J14" s="417">
        <f>C14*IF(E14="total",1,IF(E14="per animal",Inputs!$G$17,0))</f>
        <v>40000</v>
      </c>
      <c r="K14" s="470"/>
      <c r="L14" s="417"/>
      <c r="M14" s="419"/>
      <c r="N14" s="419"/>
      <c r="O14" s="419"/>
      <c r="P14" s="462"/>
      <c r="Q14" s="417"/>
      <c r="R14" s="419"/>
      <c r="S14" s="417"/>
      <c r="T14" s="417"/>
      <c r="U14" s="417"/>
      <c r="V14" s="417"/>
      <c r="W14" s="417"/>
      <c r="X14" s="417"/>
      <c r="Y14" s="417"/>
      <c r="Z14" s="417"/>
    </row>
    <row r="15" spans="1:43" ht="14.25" customHeight="1">
      <c r="B15" s="730" t="s">
        <v>261</v>
      </c>
      <c r="C15" s="729">
        <v>150</v>
      </c>
      <c r="D15" s="278" t="str">
        <f t="shared" si="5"/>
        <v>day</v>
      </c>
      <c r="E15" s="218" t="s">
        <v>61</v>
      </c>
      <c r="F15" s="811" t="str">
        <f t="shared" si="6"/>
        <v>@ 2.63 per day</v>
      </c>
      <c r="G15" s="812"/>
      <c r="H15" s="577">
        <f>IF(B15=0,"",IF(E15="","",C15*VLOOKUP(B15,Feed,7,FALSE)*IF(E15="total",1,Inputs!$G$17)))</f>
        <v>3945.2054794520545</v>
      </c>
      <c r="J15" s="417">
        <f>C15*IF(E15="total",1,IF(E15="per animal",Inputs!$G$17,0))</f>
        <v>1500</v>
      </c>
      <c r="K15" s="470"/>
      <c r="L15" s="417"/>
      <c r="M15" s="419"/>
      <c r="N15" s="419"/>
      <c r="O15" s="419"/>
      <c r="P15" s="462"/>
      <c r="Q15" s="417"/>
      <c r="R15" s="419"/>
      <c r="S15" s="417"/>
      <c r="T15" s="417"/>
      <c r="U15" s="417"/>
      <c r="V15" s="417"/>
      <c r="W15" s="417"/>
      <c r="X15" s="417"/>
      <c r="Y15" s="417"/>
      <c r="Z15" s="417"/>
    </row>
    <row r="16" spans="1:43">
      <c r="B16" s="730" t="s">
        <v>251</v>
      </c>
      <c r="C16" s="729">
        <v>1100</v>
      </c>
      <c r="D16" s="278" t="str">
        <f t="shared" si="5"/>
        <v>ounce</v>
      </c>
      <c r="E16" s="218" t="s">
        <v>61</v>
      </c>
      <c r="F16" s="811" t="str">
        <f t="shared" si="6"/>
        <v>@ 0.04 per ounce</v>
      </c>
      <c r="G16" s="812"/>
      <c r="H16" s="577">
        <f>IF(B16=0,"",IF(E16="","",C16*VLOOKUP(B16,Feed,7,FALSE)*IF(E16="total",1,Inputs!$G$17)))</f>
        <v>412.5</v>
      </c>
      <c r="J16" s="417">
        <f>C16*IF(E16="total",1,IF(E16="per animal",Inputs!$G$17,0))</f>
        <v>11000</v>
      </c>
      <c r="K16" s="470"/>
      <c r="L16" s="417"/>
      <c r="M16" s="431"/>
      <c r="N16" s="419"/>
      <c r="O16" s="431"/>
      <c r="P16" s="462"/>
      <c r="Q16" s="417"/>
      <c r="R16" s="419"/>
      <c r="S16" s="417"/>
      <c r="T16" s="417"/>
      <c r="U16" s="417"/>
      <c r="V16" s="417"/>
      <c r="W16" s="417"/>
      <c r="X16" s="417"/>
      <c r="Y16" s="417"/>
      <c r="Z16" s="417"/>
    </row>
    <row r="17" spans="2:26">
      <c r="B17" s="730" t="s">
        <v>265</v>
      </c>
      <c r="C17" s="729">
        <v>200</v>
      </c>
      <c r="D17" s="278" t="str">
        <f t="shared" si="5"/>
        <v>lbs</v>
      </c>
      <c r="E17" s="218" t="s">
        <v>61</v>
      </c>
      <c r="F17" s="811" t="str">
        <f t="shared" si="6"/>
        <v>@ 0.10 per lbs</v>
      </c>
      <c r="G17" s="812"/>
      <c r="H17" s="577">
        <f>IF(B17=0,"",IF(E17="","",C17*VLOOKUP(B17,Feed,7,FALSE)*IF(E17="total",1,Inputs!$G$17)))</f>
        <v>195</v>
      </c>
      <c r="J17" s="417">
        <f>C17*IF(E17="total",1,IF(E17="per animal",Inputs!$G$17,0))</f>
        <v>2000</v>
      </c>
      <c r="K17" s="470"/>
      <c r="L17" s="417"/>
      <c r="M17" s="419"/>
      <c r="N17" s="419"/>
      <c r="O17" s="419"/>
      <c r="P17" s="462"/>
      <c r="Q17" s="417"/>
      <c r="R17" s="419"/>
      <c r="S17" s="417"/>
      <c r="T17" s="417"/>
      <c r="U17" s="417"/>
      <c r="V17" s="417"/>
      <c r="W17" s="417"/>
      <c r="X17" s="417"/>
      <c r="Y17" s="417"/>
      <c r="Z17" s="417"/>
    </row>
    <row r="18" spans="2:26">
      <c r="B18" s="204"/>
      <c r="C18" s="203"/>
      <c r="D18" s="278" t="str">
        <f t="shared" si="5"/>
        <v/>
      </c>
      <c r="E18" s="218"/>
      <c r="F18" s="811" t="str">
        <f t="shared" si="6"/>
        <v/>
      </c>
      <c r="G18" s="812"/>
      <c r="H18" s="577" t="str">
        <f>IF(B18=0,"",IF(E18="","",C18*VLOOKUP(B18,Feed,7,FALSE)*IF(E18="total",1,Inputs!$G$17)))</f>
        <v/>
      </c>
      <c r="J18" s="417">
        <f>C18*IF(E18="total",1,IF(E18="per animal",Inputs!$G$17,0))</f>
        <v>0</v>
      </c>
      <c r="K18" s="470"/>
      <c r="L18" s="417"/>
      <c r="M18" s="419"/>
      <c r="N18" s="419"/>
      <c r="O18" s="419"/>
      <c r="P18" s="462"/>
      <c r="Q18" s="417"/>
      <c r="R18" s="419"/>
      <c r="S18" s="417"/>
      <c r="T18" s="417"/>
      <c r="U18" s="417"/>
      <c r="V18" s="417"/>
      <c r="W18" s="417"/>
      <c r="X18" s="417"/>
      <c r="Y18" s="417"/>
      <c r="Z18" s="417"/>
    </row>
    <row r="19" spans="2:26" ht="13.5" thickBot="1">
      <c r="B19" s="204"/>
      <c r="C19" s="203"/>
      <c r="D19" s="278" t="str">
        <f t="shared" si="5"/>
        <v/>
      </c>
      <c r="E19" s="218"/>
      <c r="F19" s="811" t="str">
        <f t="shared" si="6"/>
        <v/>
      </c>
      <c r="G19" s="812"/>
      <c r="H19" s="584" t="str">
        <f>IF(B19=0,"",IF(E19="","",C19*VLOOKUP(B19,Feed,7,FALSE)*IF(E19="total",1,Inputs!$G$17)))</f>
        <v/>
      </c>
      <c r="J19" s="417">
        <f>C19*IF(E19="total",1,IF(E19="per animal",Inputs!$G$17,0))</f>
        <v>0</v>
      </c>
      <c r="K19" s="470"/>
      <c r="L19" s="417"/>
      <c r="M19" s="419"/>
      <c r="N19" s="419"/>
      <c r="O19" s="419"/>
      <c r="P19" s="462"/>
      <c r="Q19" s="417"/>
      <c r="R19" s="419"/>
      <c r="S19" s="417"/>
      <c r="T19" s="417"/>
      <c r="U19" s="417"/>
      <c r="V19" s="417"/>
      <c r="W19" s="417"/>
      <c r="X19" s="417"/>
      <c r="Y19" s="417"/>
      <c r="Z19" s="417"/>
    </row>
    <row r="20" spans="2:26" ht="13.5" thickTop="1">
      <c r="B20" s="48"/>
      <c r="C20" s="75"/>
      <c r="D20" s="49"/>
      <c r="E20" s="49"/>
      <c r="F20" s="68"/>
      <c r="G20" s="241" t="s">
        <v>36</v>
      </c>
      <c r="H20" s="585">
        <f>SUM(H14:H19)</f>
        <v>7152.7054794520545</v>
      </c>
      <c r="J20" s="417"/>
      <c r="K20" s="417"/>
      <c r="L20" s="417"/>
      <c r="M20" s="417"/>
      <c r="N20" s="419"/>
      <c r="O20" s="417"/>
      <c r="P20" s="417"/>
      <c r="Q20" s="417"/>
      <c r="R20" s="419"/>
      <c r="S20" s="417"/>
      <c r="T20" s="417"/>
      <c r="U20" s="417"/>
      <c r="V20" s="417"/>
      <c r="W20" s="417"/>
      <c r="X20" s="417"/>
      <c r="Y20" s="417"/>
      <c r="Z20" s="417"/>
    </row>
    <row r="21" spans="2:26">
      <c r="B21" s="48"/>
      <c r="C21" s="31"/>
      <c r="D21" s="49"/>
      <c r="E21" s="55"/>
      <c r="F21" s="49"/>
      <c r="G21" s="251"/>
      <c r="H21" s="582"/>
      <c r="J21" s="417"/>
      <c r="K21" s="417"/>
      <c r="L21" s="417"/>
      <c r="M21" s="417"/>
      <c r="N21" s="419"/>
      <c r="O21" s="417"/>
      <c r="P21" s="417"/>
      <c r="Q21" s="417"/>
      <c r="R21" s="419"/>
      <c r="S21" s="417"/>
      <c r="T21" s="417"/>
      <c r="U21" s="417"/>
      <c r="V21" s="417"/>
      <c r="W21" s="417"/>
      <c r="X21" s="417"/>
      <c r="Y21" s="419"/>
      <c r="Z21" s="417"/>
    </row>
    <row r="22" spans="2:26" ht="14.25" customHeight="1">
      <c r="B22" s="79" t="s">
        <v>65</v>
      </c>
      <c r="C22" s="31"/>
      <c r="D22" s="49"/>
      <c r="E22" s="83" t="s">
        <v>48</v>
      </c>
      <c r="F22" s="49"/>
      <c r="G22" s="39"/>
      <c r="H22" s="586" t="s">
        <v>31</v>
      </c>
      <c r="J22" s="417"/>
      <c r="K22" s="417"/>
      <c r="L22" s="417"/>
      <c r="M22" s="417"/>
      <c r="N22" s="419"/>
      <c r="O22" s="417"/>
      <c r="P22" s="417"/>
      <c r="Q22" s="417"/>
      <c r="R22" s="419"/>
      <c r="S22" s="417"/>
      <c r="T22" s="417"/>
      <c r="U22" s="417"/>
      <c r="V22" s="417"/>
      <c r="W22" s="417"/>
      <c r="X22" s="417"/>
      <c r="Y22" s="419"/>
      <c r="Z22" s="417"/>
    </row>
    <row r="23" spans="2:26">
      <c r="B23" s="240" t="s">
        <v>82</v>
      </c>
      <c r="C23" s="31"/>
      <c r="D23" s="174">
        <f>Inputs!X85</f>
        <v>25</v>
      </c>
      <c r="E23" s="80" t="str">
        <f>Inputs!E85</f>
        <v>per animal</v>
      </c>
      <c r="F23" s="49"/>
      <c r="G23" s="49"/>
      <c r="H23" s="577">
        <f>Inputs!Z85</f>
        <v>62.5</v>
      </c>
      <c r="J23" s="417"/>
      <c r="K23" s="417"/>
      <c r="L23" s="417"/>
      <c r="M23" s="417"/>
      <c r="N23" s="419"/>
      <c r="O23" s="417"/>
      <c r="P23" s="417"/>
      <c r="Q23" s="417"/>
      <c r="R23" s="417"/>
      <c r="S23" s="417"/>
      <c r="T23" s="417"/>
      <c r="U23" s="417"/>
      <c r="V23" s="417"/>
      <c r="W23" s="417"/>
      <c r="X23" s="417"/>
      <c r="Y23" s="419"/>
      <c r="Z23" s="417"/>
    </row>
    <row r="24" spans="2:26" ht="27.75" customHeight="1" thickBot="1">
      <c r="B24" s="170" t="s">
        <v>37</v>
      </c>
      <c r="C24" s="808" t="s">
        <v>119</v>
      </c>
      <c r="D24" s="809"/>
      <c r="E24" s="809"/>
      <c r="F24" s="809"/>
      <c r="G24" s="810"/>
      <c r="H24" s="587">
        <f>((H20*Inputs!$E$111/2))</f>
        <v>214.58116438356163</v>
      </c>
      <c r="J24" s="417"/>
      <c r="K24" s="417"/>
      <c r="L24" s="417"/>
      <c r="M24" s="417"/>
      <c r="N24" s="419"/>
      <c r="O24" s="417"/>
      <c r="P24" s="417"/>
      <c r="Q24" s="417"/>
      <c r="R24" s="417"/>
      <c r="S24" s="417"/>
      <c r="T24" s="417"/>
      <c r="U24" s="417"/>
      <c r="V24" s="417"/>
      <c r="W24" s="417"/>
      <c r="X24" s="417"/>
      <c r="Y24" s="417"/>
      <c r="Z24" s="417"/>
    </row>
    <row r="25" spans="2:26" ht="14.25" thickTop="1" thickBot="1">
      <c r="B25" s="51"/>
      <c r="C25" s="34"/>
      <c r="D25" s="52"/>
      <c r="E25" s="52"/>
      <c r="F25" s="87"/>
      <c r="G25" s="258" t="s">
        <v>145</v>
      </c>
      <c r="H25" s="588">
        <f>SUM(H23:H24)</f>
        <v>277.0811643835616</v>
      </c>
      <c r="J25" s="417"/>
      <c r="K25" s="417"/>
      <c r="L25" s="417"/>
      <c r="M25" s="417"/>
      <c r="N25" s="417"/>
      <c r="O25" s="417"/>
      <c r="P25" s="417"/>
      <c r="Q25" s="417"/>
      <c r="R25" s="417"/>
      <c r="S25" s="417"/>
      <c r="T25" s="417"/>
      <c r="U25" s="417"/>
      <c r="V25" s="417"/>
      <c r="W25" s="417"/>
      <c r="X25" s="417"/>
      <c r="Y25" s="417"/>
      <c r="Z25" s="417"/>
    </row>
    <row r="26" spans="2:26" ht="16.5" thickBot="1">
      <c r="B26" s="66"/>
      <c r="C26" s="38"/>
      <c r="D26" s="38"/>
      <c r="E26" s="38"/>
      <c r="F26" s="38"/>
      <c r="G26" s="247" t="s">
        <v>38</v>
      </c>
      <c r="H26" s="578">
        <f>SUM(H10:H10)+H20+H25</f>
        <v>14929.786643835618</v>
      </c>
      <c r="J26" s="417"/>
      <c r="K26" s="417"/>
      <c r="L26" s="417"/>
      <c r="M26" s="417"/>
      <c r="N26" s="417"/>
      <c r="O26" s="417"/>
      <c r="P26" s="417"/>
      <c r="Q26" s="417"/>
      <c r="R26" s="417"/>
      <c r="S26" s="417"/>
      <c r="T26" s="417"/>
      <c r="U26" s="417"/>
      <c r="V26" s="417"/>
      <c r="W26" s="417"/>
      <c r="X26" s="417"/>
      <c r="Y26" s="417"/>
      <c r="Z26" s="417"/>
    </row>
    <row r="27" spans="2:26" ht="13.5" thickBot="1">
      <c r="B27" s="49"/>
      <c r="C27" s="49"/>
      <c r="D27" s="49"/>
      <c r="E27" s="49"/>
      <c r="F27" s="58"/>
      <c r="G27" s="58"/>
      <c r="H27" s="589"/>
      <c r="J27" s="417"/>
      <c r="K27" s="417"/>
      <c r="L27" s="417"/>
      <c r="M27" s="417"/>
      <c r="N27" s="417"/>
      <c r="O27" s="417"/>
      <c r="P27" s="417"/>
      <c r="Q27" s="417"/>
      <c r="R27" s="417"/>
      <c r="S27" s="417"/>
      <c r="T27" s="417"/>
      <c r="U27" s="417"/>
      <c r="V27" s="417"/>
      <c r="W27" s="417"/>
      <c r="X27" s="417"/>
      <c r="Y27" s="417"/>
      <c r="Z27" s="417"/>
    </row>
    <row r="28" spans="2:26" ht="16.5" thickBot="1">
      <c r="B28" s="66"/>
      <c r="C28" s="67"/>
      <c r="D28" s="67"/>
      <c r="E28" s="67"/>
      <c r="F28" s="67"/>
      <c r="G28" s="21" t="s">
        <v>67</v>
      </c>
      <c r="H28" s="578">
        <f>H26-H6</f>
        <v>11104.786643835618</v>
      </c>
      <c r="J28" s="417"/>
      <c r="K28" s="417"/>
      <c r="L28" s="417"/>
      <c r="M28" s="417"/>
      <c r="N28" s="417"/>
      <c r="O28" s="417"/>
      <c r="P28" s="417"/>
      <c r="Q28" s="417"/>
      <c r="R28" s="417"/>
      <c r="S28" s="417"/>
      <c r="T28" s="417"/>
      <c r="U28" s="417"/>
      <c r="V28" s="417"/>
      <c r="W28" s="417"/>
      <c r="X28" s="417"/>
      <c r="Y28" s="417"/>
      <c r="Z28" s="417"/>
    </row>
  </sheetData>
  <mergeCells count="11">
    <mergeCell ref="C24:G24"/>
    <mergeCell ref="F15:G15"/>
    <mergeCell ref="C12:C13"/>
    <mergeCell ref="E12:E13"/>
    <mergeCell ref="K12:M12"/>
    <mergeCell ref="F13:G13"/>
    <mergeCell ref="F14:G14"/>
    <mergeCell ref="F16:G16"/>
    <mergeCell ref="F17:G17"/>
    <mergeCell ref="F18:G18"/>
    <mergeCell ref="F19:G19"/>
  </mergeCells>
  <dataValidations count="3">
    <dataValidation type="list" allowBlank="1" showInputMessage="1" showErrorMessage="1" sqref="E14:E19" xr:uid="{00000000-0002-0000-0200-000000000000}">
      <formula1>$J$9:$J$11</formula1>
    </dataValidation>
    <dataValidation type="list" allowBlank="1" showInputMessage="1" showErrorMessage="1" sqref="B14:B19" xr:uid="{00000000-0002-0000-0200-000001000000}">
      <formula1>$M$1:$V$1</formula1>
    </dataValidation>
    <dataValidation type="decimal" operator="greaterThanOrEqual" allowBlank="1" showInputMessage="1" showErrorMessage="1" sqref="C14:C19" xr:uid="{00000000-0002-0000-0200-000002000000}">
      <formula1>0</formula1>
    </dataValidation>
  </dataValidations>
  <printOptions horizontalCentered="1"/>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A1:AR287"/>
  <sheetViews>
    <sheetView showZeros="0" zoomScaleNormal="100" workbookViewId="0"/>
  </sheetViews>
  <sheetFormatPr defaultColWidth="8.85546875" defaultRowHeight="12.75"/>
  <cols>
    <col min="1" max="1" width="21" style="152" customWidth="1"/>
    <col min="2" max="2" width="29.140625" style="152" customWidth="1"/>
    <col min="3" max="3" width="10.42578125" style="152" customWidth="1"/>
    <col min="4" max="4" width="8.42578125" style="152" customWidth="1"/>
    <col min="5" max="5" width="11.42578125" style="152" customWidth="1"/>
    <col min="6" max="6" width="10.28515625" style="152" customWidth="1"/>
    <col min="7" max="7" width="9.140625" style="152"/>
    <col min="8" max="8" width="10.28515625" style="152" customWidth="1"/>
    <col min="9" max="9" width="11" style="152" customWidth="1"/>
    <col min="10" max="10" width="11.42578125" style="152" customWidth="1"/>
    <col min="11" max="11" width="4.42578125" style="222" customWidth="1"/>
    <col min="12" max="12" width="21.7109375" style="222" hidden="1" customWidth="1"/>
    <col min="13" max="22" width="14.85546875" style="222" hidden="1" customWidth="1"/>
    <col min="23" max="23" width="0" style="222" hidden="1" customWidth="1"/>
    <col min="24" max="24" width="9.140625" style="222"/>
    <col min="25" max="44" width="9.140625" style="157"/>
  </cols>
  <sheetData>
    <row r="1" spans="1:44" ht="29.25" customHeight="1" thickBot="1">
      <c r="B1" s="133" t="s">
        <v>141</v>
      </c>
      <c r="C1"/>
      <c r="D1" s="134" t="str">
        <f>CONCATENATE("(",Inputs!G3," Cows)")</f>
        <v>(200 Cows)</v>
      </c>
      <c r="E1" s="100"/>
      <c r="F1" s="100"/>
      <c r="G1" s="100"/>
      <c r="H1" s="100"/>
      <c r="I1" s="23"/>
      <c r="J1" s="90"/>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row>
    <row r="2" spans="1:44" ht="16.5" customHeight="1" thickBot="1">
      <c r="B2" s="66" t="s">
        <v>97</v>
      </c>
      <c r="C2" s="108"/>
      <c r="D2" s="109"/>
      <c r="E2" s="109"/>
      <c r="F2" s="109"/>
      <c r="G2" s="109"/>
      <c r="H2" s="128" t="s">
        <v>74</v>
      </c>
      <c r="I2" s="129" t="s">
        <v>91</v>
      </c>
      <c r="J2" s="113" t="s">
        <v>149</v>
      </c>
      <c r="L2" s="419" t="str">
        <f t="shared" ref="L2:L7" si="0">B18</f>
        <v xml:space="preserve">Pasture  </v>
      </c>
      <c r="M2" s="419">
        <f>IF(M$1=$L2,$L18,0)</f>
        <v>30000</v>
      </c>
      <c r="N2" s="419">
        <f t="shared" ref="N2:V2" si="1">IF(N$1=$L2,$L18,0)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30000</v>
      </c>
    </row>
    <row r="3" spans="1:44">
      <c r="B3" s="48"/>
      <c r="C3" s="76" t="s">
        <v>44</v>
      </c>
      <c r="D3" s="39"/>
      <c r="E3" s="168" t="s">
        <v>30</v>
      </c>
      <c r="F3" s="39" t="s">
        <v>5</v>
      </c>
      <c r="G3" s="43"/>
      <c r="H3" s="145" t="s">
        <v>31</v>
      </c>
      <c r="I3" s="184"/>
      <c r="J3" s="183"/>
      <c r="L3" s="419" t="str">
        <f t="shared" si="0"/>
        <v>Salt and Mineral</v>
      </c>
      <c r="M3" s="419">
        <f t="shared" ref="M3:V7" si="3">IF(M$1=$L3,$L19,0)</f>
        <v>0</v>
      </c>
      <c r="N3" s="419">
        <f t="shared" si="3"/>
        <v>0</v>
      </c>
      <c r="O3" s="419">
        <f t="shared" si="3"/>
        <v>0</v>
      </c>
      <c r="P3" s="419">
        <f t="shared" si="3"/>
        <v>0</v>
      </c>
      <c r="Q3" s="419">
        <f t="shared" si="3"/>
        <v>0</v>
      </c>
      <c r="R3" s="419">
        <f t="shared" si="3"/>
        <v>220000</v>
      </c>
      <c r="S3" s="419">
        <f t="shared" si="3"/>
        <v>0</v>
      </c>
      <c r="T3" s="419">
        <f t="shared" si="3"/>
        <v>0</v>
      </c>
      <c r="U3" s="419">
        <f t="shared" si="3"/>
        <v>0</v>
      </c>
      <c r="V3" s="419">
        <f t="shared" si="3"/>
        <v>0</v>
      </c>
      <c r="W3" s="419">
        <f t="shared" si="2"/>
        <v>220000</v>
      </c>
    </row>
    <row r="4" spans="1:44">
      <c r="B4" s="48" t="s">
        <v>132</v>
      </c>
      <c r="C4" s="77">
        <f>ROUND(Inputs!$G$23/2,0)</f>
        <v>93</v>
      </c>
      <c r="D4" s="43"/>
      <c r="E4" s="179">
        <f>Inputs!G24</f>
        <v>575</v>
      </c>
      <c r="F4" s="50">
        <f>Inputs!G26</f>
        <v>183</v>
      </c>
      <c r="G4" s="49" t="s">
        <v>32</v>
      </c>
      <c r="H4" s="446">
        <f>C4*E4*F4/100</f>
        <v>97859.25</v>
      </c>
      <c r="I4" s="185"/>
      <c r="J4" s="186"/>
      <c r="L4" s="419" t="str">
        <f t="shared" si="0"/>
        <v>Prairie Hay</v>
      </c>
      <c r="M4" s="419">
        <f t="shared" si="3"/>
        <v>0</v>
      </c>
      <c r="N4" s="419">
        <f t="shared" si="3"/>
        <v>0</v>
      </c>
      <c r="O4" s="419">
        <f t="shared" si="3"/>
        <v>630000</v>
      </c>
      <c r="P4" s="419">
        <f t="shared" si="3"/>
        <v>0</v>
      </c>
      <c r="Q4" s="419">
        <f t="shared" si="3"/>
        <v>0</v>
      </c>
      <c r="R4" s="419">
        <f t="shared" si="3"/>
        <v>0</v>
      </c>
      <c r="S4" s="419">
        <f t="shared" si="3"/>
        <v>0</v>
      </c>
      <c r="T4" s="419">
        <f t="shared" si="3"/>
        <v>0</v>
      </c>
      <c r="U4" s="419">
        <f t="shared" si="3"/>
        <v>0</v>
      </c>
      <c r="V4" s="419">
        <f t="shared" si="3"/>
        <v>0</v>
      </c>
      <c r="W4" s="419">
        <f t="shared" si="2"/>
        <v>630000</v>
      </c>
    </row>
    <row r="5" spans="1:44">
      <c r="B5" s="48" t="s">
        <v>133</v>
      </c>
      <c r="C5" s="77">
        <f>ROUND(Inputs!$G$23/2-Inputs!G5-Inputs!O6-Inputs!G9+Inputs!G13,0)</f>
        <v>93</v>
      </c>
      <c r="D5" s="43"/>
      <c r="E5" s="169">
        <f>Inputs!G25</f>
        <v>525</v>
      </c>
      <c r="F5" s="50">
        <f>Inputs!G27</f>
        <v>170</v>
      </c>
      <c r="G5" s="49" t="s">
        <v>32</v>
      </c>
      <c r="H5" s="446">
        <f>C5*E5*F5/100</f>
        <v>83002.5</v>
      </c>
      <c r="I5" s="185"/>
      <c r="J5" s="186"/>
      <c r="L5" s="419" t="str">
        <f t="shared" si="0"/>
        <v>Corn Stalks</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18000</v>
      </c>
      <c r="W5" s="419">
        <f t="shared" si="2"/>
        <v>18000</v>
      </c>
    </row>
    <row r="6" spans="1:44">
      <c r="B6" s="27" t="s">
        <v>85</v>
      </c>
      <c r="C6" s="77">
        <f>Inputs!G5</f>
        <v>20</v>
      </c>
      <c r="D6" s="43"/>
      <c r="E6" s="56">
        <f>Inputs!G15</f>
        <v>1400</v>
      </c>
      <c r="F6" s="50">
        <f>Inputs!G16</f>
        <v>60</v>
      </c>
      <c r="G6" s="49" t="s">
        <v>32</v>
      </c>
      <c r="H6" s="446">
        <f>C6*F6*E6/100</f>
        <v>16800</v>
      </c>
      <c r="I6" s="185"/>
      <c r="J6" s="186"/>
      <c r="L6" s="419" t="str">
        <f t="shared" si="0"/>
        <v>Dried Distiller's Cubes - bulk</v>
      </c>
      <c r="M6" s="419">
        <f t="shared" si="3"/>
        <v>0</v>
      </c>
      <c r="N6" s="419">
        <f t="shared" si="3"/>
        <v>0</v>
      </c>
      <c r="O6" s="419">
        <f t="shared" si="3"/>
        <v>0</v>
      </c>
      <c r="P6" s="419">
        <f t="shared" si="3"/>
        <v>0</v>
      </c>
      <c r="Q6" s="419">
        <f t="shared" si="3"/>
        <v>0</v>
      </c>
      <c r="R6" s="419">
        <f t="shared" si="3"/>
        <v>0</v>
      </c>
      <c r="S6" s="419">
        <f t="shared" si="3"/>
        <v>40000</v>
      </c>
      <c r="T6" s="419">
        <f t="shared" si="3"/>
        <v>0</v>
      </c>
      <c r="U6" s="419">
        <f t="shared" si="3"/>
        <v>0</v>
      </c>
      <c r="V6" s="419">
        <f t="shared" si="3"/>
        <v>0</v>
      </c>
      <c r="W6" s="419">
        <f t="shared" si="2"/>
        <v>40000</v>
      </c>
    </row>
    <row r="7" spans="1:44" s="190" customFormat="1">
      <c r="A7" s="152"/>
      <c r="B7" s="250" t="s">
        <v>192</v>
      </c>
      <c r="C7" s="77">
        <f>Inputs!G9</f>
        <v>0</v>
      </c>
      <c r="D7" s="43"/>
      <c r="E7" s="56">
        <f>Inputs!G10</f>
        <v>0</v>
      </c>
      <c r="F7" s="50">
        <f>Inputs!G11</f>
        <v>0</v>
      </c>
      <c r="G7" s="49" t="s">
        <v>32</v>
      </c>
      <c r="H7" s="446">
        <f>C7*F7*E7/100</f>
        <v>0</v>
      </c>
      <c r="I7" s="185"/>
      <c r="J7" s="186"/>
      <c r="K7" s="222"/>
      <c r="L7" s="419" t="str">
        <f t="shared" si="0"/>
        <v>Alfalfa</v>
      </c>
      <c r="M7" s="419">
        <f t="shared" si="3"/>
        <v>0</v>
      </c>
      <c r="N7" s="419">
        <f t="shared" si="3"/>
        <v>0</v>
      </c>
      <c r="O7" s="419">
        <f t="shared" si="3"/>
        <v>0</v>
      </c>
      <c r="P7" s="419">
        <f t="shared" si="3"/>
        <v>40000</v>
      </c>
      <c r="Q7" s="419">
        <f t="shared" si="3"/>
        <v>0</v>
      </c>
      <c r="R7" s="419">
        <f t="shared" si="3"/>
        <v>0</v>
      </c>
      <c r="S7" s="419">
        <f t="shared" si="3"/>
        <v>0</v>
      </c>
      <c r="T7" s="419">
        <f t="shared" si="3"/>
        <v>0</v>
      </c>
      <c r="U7" s="419">
        <f t="shared" si="3"/>
        <v>0</v>
      </c>
      <c r="V7" s="419">
        <f t="shared" si="3"/>
        <v>0</v>
      </c>
      <c r="W7" s="419">
        <f t="shared" si="2"/>
        <v>40000</v>
      </c>
      <c r="X7" s="222"/>
      <c r="Y7" s="157"/>
      <c r="Z7" s="157"/>
      <c r="AA7" s="157"/>
      <c r="AB7" s="157"/>
      <c r="AC7" s="157"/>
      <c r="AD7" s="157"/>
      <c r="AE7" s="157"/>
      <c r="AF7" s="157"/>
      <c r="AG7" s="157"/>
      <c r="AH7" s="157"/>
      <c r="AI7" s="157"/>
      <c r="AJ7" s="157"/>
      <c r="AK7" s="157"/>
      <c r="AL7" s="157"/>
      <c r="AM7" s="157"/>
      <c r="AN7" s="157"/>
      <c r="AO7" s="157"/>
      <c r="AP7" s="157"/>
      <c r="AQ7" s="157"/>
      <c r="AR7" s="157"/>
    </row>
    <row r="8" spans="1:44" ht="13.5" thickBot="1">
      <c r="B8" s="48"/>
      <c r="C8" s="31"/>
      <c r="D8" s="49"/>
      <c r="E8" s="49"/>
      <c r="F8"/>
      <c r="G8" s="49"/>
      <c r="H8" s="446"/>
      <c r="I8" s="187"/>
      <c r="J8" s="188"/>
      <c r="L8" s="419" t="s">
        <v>31</v>
      </c>
      <c r="M8" s="419">
        <f>SUM(M2:M7)</f>
        <v>30000</v>
      </c>
      <c r="N8" s="419">
        <f t="shared" ref="N8:V8" si="4">SUM(N2:N7)</f>
        <v>0</v>
      </c>
      <c r="O8" s="419">
        <f t="shared" si="4"/>
        <v>630000</v>
      </c>
      <c r="P8" s="419">
        <f t="shared" si="4"/>
        <v>40000</v>
      </c>
      <c r="Q8" s="419">
        <f t="shared" si="4"/>
        <v>0</v>
      </c>
      <c r="R8" s="419">
        <f t="shared" si="4"/>
        <v>220000</v>
      </c>
      <c r="S8" s="419">
        <f t="shared" si="4"/>
        <v>40000</v>
      </c>
      <c r="T8" s="419">
        <f t="shared" si="4"/>
        <v>0</v>
      </c>
      <c r="U8" s="419">
        <f t="shared" si="4"/>
        <v>0</v>
      </c>
      <c r="V8" s="419">
        <f t="shared" si="4"/>
        <v>18000</v>
      </c>
      <c r="W8" s="419"/>
    </row>
    <row r="9" spans="1:44" ht="16.5" thickBot="1">
      <c r="B9" s="66"/>
      <c r="C9" s="42"/>
      <c r="D9" s="42"/>
      <c r="E9" s="38"/>
      <c r="F9" s="60"/>
      <c r="G9" s="21" t="s">
        <v>33</v>
      </c>
      <c r="H9" s="523">
        <f>SUM(H4:H8)</f>
        <v>197661.75</v>
      </c>
      <c r="I9" s="85">
        <f>IF(HerdSize=0,0,H9/HerdSize)</f>
        <v>988.30875000000003</v>
      </c>
      <c r="J9" s="103">
        <f>IF((C4+C5)=0,0,H9/(C4+C5))</f>
        <v>1062.6975806451612</v>
      </c>
      <c r="L9" s="417"/>
      <c r="M9" s="417"/>
      <c r="N9" s="417"/>
      <c r="O9" s="417"/>
      <c r="P9" s="417"/>
      <c r="Q9" s="417"/>
      <c r="R9" s="417"/>
      <c r="S9" s="417"/>
      <c r="T9" s="417"/>
      <c r="U9" s="417"/>
      <c r="V9" s="417"/>
      <c r="W9" s="417"/>
    </row>
    <row r="10" spans="1:44" ht="13.5" thickBot="1">
      <c r="B10" s="64"/>
      <c r="C10" s="22"/>
      <c r="D10" s="43"/>
      <c r="E10" s="22"/>
      <c r="F10" s="22"/>
      <c r="G10" s="22"/>
      <c r="H10" s="447"/>
      <c r="I10" s="22"/>
      <c r="J10" s="22"/>
      <c r="L10" s="417"/>
      <c r="M10" s="417"/>
      <c r="N10" s="417"/>
      <c r="O10" s="417"/>
      <c r="P10" s="417"/>
      <c r="Q10" s="417"/>
      <c r="R10" s="417"/>
      <c r="S10" s="417"/>
      <c r="T10" s="417"/>
      <c r="U10" s="417"/>
      <c r="V10" s="417"/>
      <c r="W10" s="417"/>
    </row>
    <row r="11" spans="1:44" ht="14.25" customHeight="1" thickBot="1">
      <c r="B11" s="66" t="s">
        <v>96</v>
      </c>
      <c r="C11" s="108"/>
      <c r="D11" s="109"/>
      <c r="E11" s="109"/>
      <c r="F11" s="109"/>
      <c r="G11" s="109"/>
      <c r="H11" s="524" t="s">
        <v>74</v>
      </c>
      <c r="I11" s="129" t="s">
        <v>91</v>
      </c>
      <c r="J11" s="113" t="s">
        <v>149</v>
      </c>
      <c r="L11" s="421"/>
      <c r="M11" s="421"/>
      <c r="N11" s="421"/>
      <c r="O11" s="421"/>
      <c r="P11" s="421"/>
      <c r="Q11" s="421"/>
      <c r="R11" s="421"/>
      <c r="S11" s="421"/>
      <c r="T11" s="421"/>
      <c r="U11" s="421"/>
      <c r="V11" s="417"/>
      <c r="W11" s="417"/>
    </row>
    <row r="12" spans="1:44">
      <c r="B12" s="78" t="s">
        <v>62</v>
      </c>
      <c r="C12" s="234" t="s">
        <v>44</v>
      </c>
      <c r="D12" s="235"/>
      <c r="E12" s="235" t="s">
        <v>5</v>
      </c>
      <c r="F12" s="45"/>
      <c r="G12" s="45"/>
      <c r="H12" s="525" t="s">
        <v>31</v>
      </c>
      <c r="I12" s="72" t="s">
        <v>31</v>
      </c>
      <c r="J12" s="70" t="s">
        <v>31</v>
      </c>
      <c r="L12" s="421"/>
      <c r="M12" s="421"/>
      <c r="N12" s="421"/>
      <c r="O12" s="421"/>
      <c r="P12" s="421"/>
      <c r="Q12" s="421"/>
      <c r="R12" s="421"/>
      <c r="S12" s="421"/>
      <c r="T12" s="421"/>
      <c r="U12" s="421"/>
      <c r="V12" s="417"/>
      <c r="W12" s="417"/>
    </row>
    <row r="13" spans="1:44">
      <c r="B13" s="211" t="s">
        <v>76</v>
      </c>
      <c r="C13" s="74"/>
      <c r="D13" s="112"/>
      <c r="E13" s="208"/>
      <c r="F13" s="208"/>
      <c r="G13" s="131" t="s">
        <v>83</v>
      </c>
      <c r="H13" s="446">
        <f>Bulls!H28</f>
        <v>11104.786643835618</v>
      </c>
      <c r="I13" s="433">
        <f>IF(HerdSize=0,0,H13/(HerdSize))</f>
        <v>55.52393321917809</v>
      </c>
      <c r="J13" s="557">
        <f>IF((C4+C5)=0,0,H13/(C4+C5))</f>
        <v>59.703153999116225</v>
      </c>
      <c r="L13" s="421"/>
      <c r="M13" s="421"/>
      <c r="N13" s="421"/>
      <c r="O13" s="421"/>
      <c r="P13" s="421"/>
      <c r="Q13" s="421"/>
      <c r="R13" s="421"/>
      <c r="S13" s="421"/>
      <c r="T13" s="421"/>
      <c r="U13" s="421"/>
      <c r="V13" s="417"/>
      <c r="W13" s="417"/>
    </row>
    <row r="14" spans="1:44" ht="13.5" thickBot="1">
      <c r="B14" s="211" t="s">
        <v>139</v>
      </c>
      <c r="C14" s="192">
        <f>Inputs!G13</f>
        <v>24</v>
      </c>
      <c r="D14" s="209"/>
      <c r="E14" s="193">
        <f>Inputs!G14</f>
        <v>1800</v>
      </c>
      <c r="F14" s="208" t="s">
        <v>35</v>
      </c>
      <c r="G14" s="208"/>
      <c r="H14" s="451">
        <f>IF(E14="N/A",0,C14*E14)</f>
        <v>43200</v>
      </c>
      <c r="I14" s="539">
        <f>IF(E14="N/A",0,IF(HerdSize=0,0,H14/(HerdSize)))</f>
        <v>216</v>
      </c>
      <c r="J14" s="558">
        <f>IF((C4+C5)=0,0,H14/(C4+C5))</f>
        <v>232.25806451612902</v>
      </c>
      <c r="L14" s="422"/>
      <c r="M14" s="421"/>
      <c r="N14" s="421"/>
      <c r="O14" s="421"/>
      <c r="P14" s="421"/>
      <c r="Q14" s="421"/>
      <c r="R14" s="421"/>
      <c r="S14" s="421"/>
      <c r="T14" s="421"/>
      <c r="U14" s="421"/>
      <c r="V14" s="417"/>
      <c r="W14" s="417"/>
    </row>
    <row r="15" spans="1:44" s="40" customFormat="1" ht="13.5" thickTop="1">
      <c r="A15" s="152"/>
      <c r="B15" s="211"/>
      <c r="C15" s="32"/>
      <c r="D15" s="209"/>
      <c r="E15" s="209"/>
      <c r="F15" s="208"/>
      <c r="G15" s="209" t="s">
        <v>69</v>
      </c>
      <c r="H15" s="526">
        <f>SUM(H13:H14)</f>
        <v>54304.786643835614</v>
      </c>
      <c r="I15" s="540">
        <f>SUM(I13:I14)</f>
        <v>271.5239332191781</v>
      </c>
      <c r="J15" s="442">
        <f>SUM(J13:J14)</f>
        <v>291.96121851524526</v>
      </c>
      <c r="K15" s="222"/>
      <c r="L15" s="417" t="s">
        <v>61</v>
      </c>
      <c r="M15" s="421"/>
      <c r="N15" s="421"/>
      <c r="O15" s="421"/>
      <c r="P15" s="421"/>
      <c r="Q15" s="421"/>
      <c r="R15" s="421"/>
      <c r="S15" s="421"/>
      <c r="T15" s="421"/>
      <c r="U15" s="421"/>
      <c r="V15" s="417"/>
      <c r="W15" s="417"/>
      <c r="X15" s="223"/>
      <c r="Y15" s="157"/>
      <c r="Z15" s="157"/>
      <c r="AA15" s="157"/>
      <c r="AB15" s="157"/>
      <c r="AC15" s="157"/>
      <c r="AD15" s="157"/>
      <c r="AE15" s="157"/>
      <c r="AF15" s="157"/>
      <c r="AG15" s="157"/>
      <c r="AH15" s="157"/>
      <c r="AI15" s="157"/>
      <c r="AJ15" s="157"/>
      <c r="AK15" s="157"/>
      <c r="AL15" s="157"/>
      <c r="AM15" s="157"/>
      <c r="AN15" s="157"/>
      <c r="AO15" s="157"/>
      <c r="AP15" s="157"/>
      <c r="AQ15" s="157"/>
      <c r="AR15" s="157"/>
    </row>
    <row r="16" spans="1:44" s="61" customFormat="1" ht="12.75" customHeight="1">
      <c r="A16" s="152"/>
      <c r="B16" s="211"/>
      <c r="C16" s="813" t="s">
        <v>153</v>
      </c>
      <c r="D16" s="232"/>
      <c r="E16" s="815" t="s">
        <v>154</v>
      </c>
      <c r="F16" s="208"/>
      <c r="G16" s="208"/>
      <c r="H16" s="366"/>
      <c r="I16" s="541"/>
      <c r="J16" s="559"/>
      <c r="K16" s="222"/>
      <c r="L16" s="417" t="s">
        <v>64</v>
      </c>
      <c r="M16" s="423"/>
      <c r="N16" s="421"/>
      <c r="O16" s="421"/>
      <c r="P16" s="421"/>
      <c r="Q16" s="424"/>
      <c r="R16" s="424"/>
      <c r="S16" s="424"/>
      <c r="T16" s="424"/>
      <c r="U16" s="424"/>
      <c r="V16" s="461"/>
      <c r="W16" s="417"/>
      <c r="X16" s="223"/>
      <c r="Y16" s="161"/>
      <c r="Z16" s="161"/>
      <c r="AA16" s="161"/>
      <c r="AB16" s="161"/>
      <c r="AC16" s="161"/>
      <c r="AD16" s="161">
        <v>1</v>
      </c>
      <c r="AE16" s="161"/>
      <c r="AF16" s="157"/>
      <c r="AG16" s="157"/>
      <c r="AH16" s="157"/>
      <c r="AI16" s="157"/>
      <c r="AJ16" s="157"/>
      <c r="AK16" s="157"/>
      <c r="AL16" s="157"/>
      <c r="AM16" s="157"/>
      <c r="AN16" s="157"/>
      <c r="AO16" s="157"/>
      <c r="AP16" s="157"/>
      <c r="AQ16" s="157"/>
      <c r="AR16" s="157"/>
    </row>
    <row r="17" spans="1:44" s="61" customFormat="1" ht="14.25" customHeight="1">
      <c r="A17" s="152"/>
      <c r="B17" s="79" t="s">
        <v>90</v>
      </c>
      <c r="C17" s="814"/>
      <c r="D17" s="232"/>
      <c r="E17" s="815"/>
      <c r="F17" s="817" t="s">
        <v>5</v>
      </c>
      <c r="G17" s="818"/>
      <c r="H17" s="527" t="s">
        <v>31</v>
      </c>
      <c r="I17" s="542" t="s">
        <v>31</v>
      </c>
      <c r="J17" s="560" t="s">
        <v>31</v>
      </c>
      <c r="K17" s="222"/>
      <c r="L17" s="425"/>
      <c r="M17" s="426"/>
      <c r="N17" s="421"/>
      <c r="O17" s="421"/>
      <c r="P17" s="423"/>
      <c r="Q17" s="424"/>
      <c r="R17" s="424"/>
      <c r="S17" s="424"/>
      <c r="T17" s="424"/>
      <c r="U17" s="424"/>
      <c r="V17" s="461"/>
      <c r="W17" s="417"/>
      <c r="X17" s="222"/>
      <c r="Y17" s="161"/>
      <c r="Z17" s="161"/>
      <c r="AA17" s="161"/>
      <c r="AB17" s="161"/>
      <c r="AC17" s="161"/>
      <c r="AD17" s="161"/>
      <c r="AE17" s="161"/>
      <c r="AF17" s="157"/>
      <c r="AG17" s="157"/>
      <c r="AH17" s="157"/>
      <c r="AI17" s="157"/>
      <c r="AJ17" s="157"/>
      <c r="AK17" s="157"/>
      <c r="AL17" s="157"/>
      <c r="AM17" s="157"/>
      <c r="AN17" s="157"/>
      <c r="AO17" s="157"/>
      <c r="AP17" s="157"/>
      <c r="AQ17" s="157"/>
      <c r="AR17" s="157"/>
    </row>
    <row r="18" spans="1:44" ht="12.75" customHeight="1">
      <c r="B18" s="735" t="s">
        <v>261</v>
      </c>
      <c r="C18" s="734">
        <v>150</v>
      </c>
      <c r="D18" s="86" t="str">
        <f t="shared" ref="D18:D23" si="5">IF(B18="","",CONCATENATE(VLOOKUP(B18,Feed,5,FALSE)))</f>
        <v>day</v>
      </c>
      <c r="E18" s="736" t="s">
        <v>61</v>
      </c>
      <c r="F18" s="820" t="str">
        <f t="shared" ref="F18:F23" si="6">IF(B18="","",CONCATENATE("@ ",TEXT(VLOOKUP($B18,Feed,7,FALSE),"0.00")," per ",VLOOKUP(B18,Feed,5,FALSE)))</f>
        <v>@ 2.63 per day</v>
      </c>
      <c r="G18" s="821"/>
      <c r="H18" s="446">
        <f t="shared" ref="H18:H23" si="7">IF(B18=0,0,IF(E18="",0,C18*VLOOKUP(B18,Feed,7,FALSE)*IF(E18="total",1,HerdSize)))</f>
        <v>78904.109589041094</v>
      </c>
      <c r="I18" s="433">
        <f>IF(HerdSize=0,0,IF('Breeding Herd'!H18=0,0,'Breeding Herd'!H18/HerdSize))</f>
        <v>394.52054794520546</v>
      </c>
      <c r="J18" s="557">
        <f>IF((C4+C5)=0,0,IF(H18=0,0,H18/(C4+C5)))</f>
        <v>424.21564295183384</v>
      </c>
      <c r="L18" s="417">
        <f t="shared" ref="L18:L23" si="8">C18*IF(E18="total",1,IF(E18="per animal",HerdSize,0))</f>
        <v>30000</v>
      </c>
      <c r="M18" s="427"/>
      <c r="N18" s="421"/>
      <c r="O18" s="421"/>
      <c r="P18" s="428"/>
      <c r="Q18" s="428"/>
      <c r="R18" s="429"/>
      <c r="S18" s="429"/>
      <c r="T18" s="429"/>
      <c r="U18" s="429"/>
      <c r="V18" s="462"/>
      <c r="W18" s="417"/>
      <c r="X18" s="223"/>
      <c r="AD18" s="157">
        <v>2</v>
      </c>
    </row>
    <row r="19" spans="1:44" ht="14.25" customHeight="1">
      <c r="B19" s="735" t="s">
        <v>251</v>
      </c>
      <c r="C19" s="734">
        <v>1100</v>
      </c>
      <c r="D19" s="278" t="str">
        <f t="shared" si="5"/>
        <v>ounce</v>
      </c>
      <c r="E19" s="736" t="s">
        <v>61</v>
      </c>
      <c r="F19" s="820" t="str">
        <f t="shared" si="6"/>
        <v>@ 0.04 per ounce</v>
      </c>
      <c r="G19" s="821"/>
      <c r="H19" s="446">
        <f t="shared" si="7"/>
        <v>8250</v>
      </c>
      <c r="I19" s="433">
        <f>IF(HerdSize=0,0,IF('Breeding Herd'!H19=0,0,'Breeding Herd'!H19/HerdSize))</f>
        <v>41.25</v>
      </c>
      <c r="J19" s="557">
        <f>IF((C4+C5)=0,0,IF(H19=0,0,H19/(C4+C5)))</f>
        <v>44.354838709677416</v>
      </c>
      <c r="L19" s="417">
        <f t="shared" si="8"/>
        <v>220000</v>
      </c>
      <c r="M19" s="427"/>
      <c r="N19" s="421"/>
      <c r="O19" s="421"/>
      <c r="P19" s="428"/>
      <c r="Q19" s="428"/>
      <c r="R19" s="429"/>
      <c r="S19" s="429"/>
      <c r="T19" s="429"/>
      <c r="U19" s="429"/>
      <c r="V19" s="462"/>
      <c r="W19" s="417"/>
      <c r="X19" s="223"/>
      <c r="AD19" s="157">
        <v>3</v>
      </c>
    </row>
    <row r="20" spans="1:44">
      <c r="B20" s="735" t="s">
        <v>247</v>
      </c>
      <c r="C20" s="734">
        <v>3150</v>
      </c>
      <c r="D20" s="278" t="str">
        <f t="shared" si="5"/>
        <v>lbs</v>
      </c>
      <c r="E20" s="736" t="s">
        <v>61</v>
      </c>
      <c r="F20" s="820" t="str">
        <f t="shared" si="6"/>
        <v>@ 0.07 per lbs</v>
      </c>
      <c r="G20" s="821"/>
      <c r="H20" s="446">
        <f t="shared" si="7"/>
        <v>40950</v>
      </c>
      <c r="I20" s="433">
        <f>IF(HerdSize=0,0,IF('Breeding Herd'!H20=0,0,'Breeding Herd'!H20/HerdSize))</f>
        <v>204.75</v>
      </c>
      <c r="J20" s="557">
        <f>IF((C4+C5)=0,0,IF(H20=0,0,H20/(C4+C5)))</f>
        <v>220.16129032258064</v>
      </c>
      <c r="L20" s="222">
        <f t="shared" si="8"/>
        <v>630000</v>
      </c>
      <c r="M20" s="414"/>
      <c r="N20" s="413"/>
      <c r="O20" s="413"/>
      <c r="P20" s="415"/>
      <c r="Q20" s="415"/>
      <c r="R20" s="416"/>
      <c r="S20" s="416"/>
      <c r="T20" s="416"/>
      <c r="U20" s="416"/>
      <c r="V20" s="164"/>
      <c r="X20" s="223"/>
      <c r="AD20" s="157">
        <v>4</v>
      </c>
    </row>
    <row r="21" spans="1:44">
      <c r="B21" s="735" t="s">
        <v>256</v>
      </c>
      <c r="C21" s="734">
        <v>90</v>
      </c>
      <c r="D21" s="278" t="str">
        <f t="shared" si="5"/>
        <v>day</v>
      </c>
      <c r="E21" s="737" t="s">
        <v>61</v>
      </c>
      <c r="F21" s="820" t="str">
        <f t="shared" si="6"/>
        <v>@ 0.75 per day</v>
      </c>
      <c r="G21" s="821"/>
      <c r="H21" s="446">
        <f t="shared" si="7"/>
        <v>13500</v>
      </c>
      <c r="I21" s="433">
        <f>IF(HerdSize=0,0,IF('Breeding Herd'!H21=0,0,'Breeding Herd'!H21/HerdSize))</f>
        <v>67.5</v>
      </c>
      <c r="J21" s="557">
        <f>IF((C4+C5)=0,0,IF(H21=0,0,H21/(C4+C5)))</f>
        <v>72.58064516129032</v>
      </c>
      <c r="L21" s="222">
        <f t="shared" si="8"/>
        <v>18000</v>
      </c>
      <c r="M21" s="414"/>
      <c r="N21" s="413"/>
      <c r="O21" s="415"/>
      <c r="P21" s="415"/>
      <c r="Q21" s="415"/>
      <c r="R21" s="416"/>
      <c r="S21" s="416"/>
      <c r="T21" s="416"/>
      <c r="U21" s="416"/>
      <c r="V21" s="164"/>
      <c r="X21" s="223"/>
      <c r="AD21" s="157">
        <v>5</v>
      </c>
    </row>
    <row r="22" spans="1:44">
      <c r="B22" s="226" t="s">
        <v>264</v>
      </c>
      <c r="C22" s="203">
        <v>200</v>
      </c>
      <c r="D22" s="278" t="str">
        <f t="shared" si="5"/>
        <v>lbs</v>
      </c>
      <c r="E22" s="227" t="s">
        <v>61</v>
      </c>
      <c r="F22" s="820" t="str">
        <f t="shared" si="6"/>
        <v>@ 0.15 per lbs</v>
      </c>
      <c r="G22" s="821"/>
      <c r="H22" s="446">
        <f t="shared" si="7"/>
        <v>6000</v>
      </c>
      <c r="I22" s="433">
        <f>IF(HerdSize=0,0,IF('Breeding Herd'!H22=0,0,'Breeding Herd'!H22/HerdSize))</f>
        <v>30</v>
      </c>
      <c r="J22" s="557">
        <f>IF((C4+C5)=0,0,IF(H22=0,0,H22/(C4+C5)))</f>
        <v>32.258064516129032</v>
      </c>
      <c r="L22" s="222">
        <f t="shared" si="8"/>
        <v>40000</v>
      </c>
      <c r="M22" s="414"/>
      <c r="N22" s="413"/>
      <c r="O22" s="415"/>
      <c r="P22" s="415"/>
      <c r="Q22" s="415"/>
      <c r="R22" s="416"/>
      <c r="S22" s="416"/>
      <c r="T22" s="416"/>
      <c r="U22" s="416"/>
      <c r="V22" s="164"/>
      <c r="X22" s="223"/>
      <c r="AD22" s="157">
        <v>6</v>
      </c>
    </row>
    <row r="23" spans="1:44">
      <c r="B23" s="226" t="s">
        <v>250</v>
      </c>
      <c r="C23" s="203">
        <v>200</v>
      </c>
      <c r="D23" s="278" t="str">
        <f t="shared" si="5"/>
        <v>lbs</v>
      </c>
      <c r="E23" s="228" t="s">
        <v>61</v>
      </c>
      <c r="F23" s="820" t="str">
        <f t="shared" si="6"/>
        <v>@ 0.08 per lbs</v>
      </c>
      <c r="G23" s="821"/>
      <c r="H23" s="446">
        <f t="shared" si="7"/>
        <v>3000</v>
      </c>
      <c r="I23" s="433">
        <f>IF(HerdSize=0,0,IF('Breeding Herd'!H23=0,0,'Breeding Herd'!H23/HerdSize))</f>
        <v>15</v>
      </c>
      <c r="J23" s="557">
        <f>IF((C4+C5)=0,0,IF(H23=0,0,H23/(C4+C5)))</f>
        <v>16.129032258064516</v>
      </c>
      <c r="L23" s="222">
        <f t="shared" si="8"/>
        <v>40000</v>
      </c>
      <c r="M23" s="414"/>
      <c r="N23" s="413"/>
      <c r="O23" s="415"/>
      <c r="P23" s="415"/>
      <c r="Q23" s="415"/>
      <c r="R23" s="416"/>
      <c r="S23" s="416"/>
      <c r="T23" s="416"/>
      <c r="U23" s="416"/>
      <c r="V23" s="164"/>
      <c r="X23" s="223"/>
      <c r="AD23" s="157">
        <v>7</v>
      </c>
    </row>
    <row r="24" spans="1:44" s="40" customFormat="1" ht="13.5" thickBot="1">
      <c r="A24" s="152"/>
      <c r="B24" s="211" t="s">
        <v>92</v>
      </c>
      <c r="C24" s="822" t="s">
        <v>70</v>
      </c>
      <c r="D24" s="823"/>
      <c r="E24" s="823"/>
      <c r="F24" s="823"/>
      <c r="G24" s="824"/>
      <c r="H24" s="458">
        <f>Replacements!H11</f>
        <v>0</v>
      </c>
      <c r="I24" s="539">
        <f>IF(HerdSize=0,"",IF('Breeding Herd'!H24=0,0,'Breeding Herd'!H24/HerdSize))</f>
        <v>0</v>
      </c>
      <c r="J24" s="558">
        <f>IF(HerdSize=0,0,IF(H24=0,0,H24/((C4+C5))))</f>
        <v>0</v>
      </c>
      <c r="K24" s="222"/>
      <c r="L24" s="222"/>
      <c r="M24" s="414"/>
      <c r="N24" s="413"/>
      <c r="O24" s="415"/>
      <c r="P24" s="415"/>
      <c r="Q24" s="415"/>
      <c r="R24" s="416"/>
      <c r="S24" s="416"/>
      <c r="T24" s="416"/>
      <c r="U24" s="416"/>
      <c r="V24" s="164"/>
      <c r="W24" s="222"/>
      <c r="X24" s="223"/>
      <c r="Y24" s="157"/>
      <c r="Z24" s="157"/>
      <c r="AA24" s="157"/>
      <c r="AB24" s="157"/>
      <c r="AC24" s="157"/>
      <c r="AD24" s="157"/>
      <c r="AE24" s="157"/>
      <c r="AF24" s="157"/>
      <c r="AG24" s="157"/>
      <c r="AH24" s="157"/>
      <c r="AI24" s="157"/>
      <c r="AJ24" s="157"/>
      <c r="AK24" s="157"/>
      <c r="AL24" s="157"/>
      <c r="AM24" s="157"/>
      <c r="AN24" s="157"/>
      <c r="AO24" s="157"/>
      <c r="AP24" s="157"/>
      <c r="AQ24" s="157"/>
      <c r="AR24" s="157"/>
    </row>
    <row r="25" spans="1:44" ht="13.5" thickTop="1">
      <c r="B25" s="211"/>
      <c r="C25" s="210"/>
      <c r="D25" s="208"/>
      <c r="E25" s="208"/>
      <c r="F25" s="68"/>
      <c r="G25" s="28" t="s">
        <v>36</v>
      </c>
      <c r="H25" s="526">
        <f>SUM(H18:H24)</f>
        <v>150604.10958904109</v>
      </c>
      <c r="I25" s="540">
        <f>SUM(I18:I24)</f>
        <v>753.02054794520541</v>
      </c>
      <c r="J25" s="442">
        <f>SUM(J18:J24)</f>
        <v>809.69951391957579</v>
      </c>
      <c r="M25" s="413"/>
      <c r="N25" s="413"/>
      <c r="O25" s="413"/>
      <c r="P25" s="413"/>
      <c r="Q25" s="413"/>
      <c r="R25" s="413"/>
      <c r="S25" s="413"/>
      <c r="T25" s="413"/>
      <c r="U25" s="413"/>
      <c r="X25" s="223"/>
    </row>
    <row r="26" spans="1:44" ht="12.75" customHeight="1">
      <c r="B26" s="211"/>
      <c r="C26" s="210"/>
      <c r="D26" s="208"/>
      <c r="E26" s="208"/>
      <c r="F26" s="208"/>
      <c r="G26" s="208"/>
      <c r="H26" s="366"/>
      <c r="I26" s="541"/>
      <c r="J26" s="561"/>
      <c r="M26" s="413"/>
      <c r="N26" s="413"/>
      <c r="O26" s="413"/>
      <c r="P26" s="413"/>
      <c r="Q26" s="413"/>
      <c r="R26" s="413"/>
      <c r="S26" s="413"/>
      <c r="T26" s="413"/>
      <c r="U26" s="413"/>
      <c r="X26" s="223"/>
      <c r="AE26" s="158"/>
    </row>
    <row r="27" spans="1:44">
      <c r="B27" s="79" t="s">
        <v>47</v>
      </c>
      <c r="C27" s="95" t="s">
        <v>56</v>
      </c>
      <c r="D27" s="826" t="s">
        <v>125</v>
      </c>
      <c r="E27" s="826"/>
      <c r="F27" s="83" t="s">
        <v>48</v>
      </c>
      <c r="G27" s="236"/>
      <c r="H27" s="528" t="s">
        <v>31</v>
      </c>
      <c r="I27" s="542" t="s">
        <v>31</v>
      </c>
      <c r="J27" s="560" t="s">
        <v>31</v>
      </c>
      <c r="M27" s="413"/>
      <c r="N27" s="413"/>
      <c r="O27" s="413"/>
      <c r="P27" s="413"/>
      <c r="Q27" s="413"/>
      <c r="R27" s="413"/>
      <c r="S27" s="413"/>
      <c r="T27" s="413"/>
      <c r="U27" s="413"/>
      <c r="X27" s="223"/>
      <c r="AE27" s="158"/>
    </row>
    <row r="28" spans="1:44">
      <c r="B28" s="211" t="str">
        <f>Inputs!B81</f>
        <v>Labor</v>
      </c>
      <c r="C28" s="214">
        <f>Inputs!D81</f>
        <v>30</v>
      </c>
      <c r="D28" s="825" t="str">
        <f>Inputs!E81</f>
        <v>per animal</v>
      </c>
      <c r="E28" s="825"/>
      <c r="F28" s="124">
        <f>Inputs!Q81</f>
        <v>0.96956345955524903</v>
      </c>
      <c r="G28" s="68"/>
      <c r="H28" s="446">
        <f>IF(F28=0,0,F28*C28*IF(D28="per animal",HerdSize,1))</f>
        <v>5817.3807573314934</v>
      </c>
      <c r="I28" s="433">
        <f>IF(HerdSize=0,0,IF('Breeding Herd'!H28="","",'Breeding Herd'!H28/HerdSize))</f>
        <v>29.086903786657466</v>
      </c>
      <c r="J28" s="557">
        <f>IF((C4+C5)=0,"",IF(H28="","",H28/((C4+C5))))</f>
        <v>31.276240630814481</v>
      </c>
      <c r="M28" s="413"/>
      <c r="N28" s="413"/>
      <c r="O28" s="413"/>
      <c r="P28" s="413"/>
      <c r="Q28" s="413"/>
      <c r="R28" s="413"/>
      <c r="S28" s="413"/>
      <c r="T28" s="413"/>
      <c r="U28" s="413"/>
      <c r="AE28" s="158"/>
    </row>
    <row r="29" spans="1:44">
      <c r="B29" s="211" t="str">
        <f>Inputs!B82</f>
        <v>Fuel</v>
      </c>
      <c r="C29" s="214">
        <f>Inputs!D82</f>
        <v>20</v>
      </c>
      <c r="D29" s="825" t="str">
        <f>Inputs!E82</f>
        <v>per animal</v>
      </c>
      <c r="E29" s="825"/>
      <c r="F29" s="124">
        <f>Inputs!Q82</f>
        <v>0.96956345955524903</v>
      </c>
      <c r="G29" s="208"/>
      <c r="H29" s="446">
        <f>IF(F29=0,0,F29*C29*IF(D29="per animal",HerdSize,1))</f>
        <v>3878.2538382209964</v>
      </c>
      <c r="I29" s="433">
        <f>IF(HerdSize=0,0,IF('Breeding Herd'!H29="","",'Breeding Herd'!H29/HerdSize))</f>
        <v>19.391269191104982</v>
      </c>
      <c r="J29" s="557">
        <f>IF((C4+C5)=0,"",IF(H29="","",H29/((C4+C5))))</f>
        <v>20.850827087209659</v>
      </c>
      <c r="M29" s="413"/>
      <c r="N29" s="413"/>
      <c r="O29" s="413"/>
      <c r="P29" s="413"/>
      <c r="Q29" s="413"/>
      <c r="R29" s="413"/>
      <c r="S29" s="413"/>
      <c r="T29" s="413"/>
      <c r="U29" s="413"/>
      <c r="AE29" s="158"/>
    </row>
    <row r="30" spans="1:44">
      <c r="B30" s="211" t="str">
        <f>Inputs!B83</f>
        <v>Veterinary and Medical</v>
      </c>
      <c r="C30" s="214">
        <f>Inputs!D83</f>
        <v>25</v>
      </c>
      <c r="D30" s="825" t="str">
        <f>Inputs!E83</f>
        <v>per animal</v>
      </c>
      <c r="E30" s="825"/>
      <c r="F30" s="124">
        <f>Inputs!Q83</f>
        <v>0.96956345955524903</v>
      </c>
      <c r="G30" s="208"/>
      <c r="H30" s="446">
        <f>IF(F30=0,0,F30*C30*IF(D30="per animal",HerdSize,1))</f>
        <v>4847.8172977762451</v>
      </c>
      <c r="I30" s="433">
        <f>IF(HerdSize=0,0,IF('Breeding Herd'!H30="","",'Breeding Herd'!H30/HerdSize))</f>
        <v>24.239086488881227</v>
      </c>
      <c r="J30" s="557">
        <f>IF((C4+C5)=0,"",IF(H30="","",H30/((C4+C5))))</f>
        <v>26.063533859012072</v>
      </c>
      <c r="M30" s="413"/>
      <c r="N30" s="413"/>
      <c r="O30" s="413"/>
      <c r="P30" s="413"/>
      <c r="Q30" s="413"/>
      <c r="R30" s="413"/>
      <c r="S30" s="413"/>
      <c r="T30" s="413"/>
      <c r="U30" s="413"/>
      <c r="AE30" s="158"/>
    </row>
    <row r="31" spans="1:44">
      <c r="B31" s="250" t="str">
        <f>Inputs!B84</f>
        <v>Cull Cow Marketing</v>
      </c>
      <c r="C31" s="214">
        <f>Inputs!X84</f>
        <v>25</v>
      </c>
      <c r="D31" s="825" t="s">
        <v>61</v>
      </c>
      <c r="E31" s="825"/>
      <c r="F31" s="124"/>
      <c r="G31" s="208"/>
      <c r="H31" s="446">
        <f>C31*(Inputs!G5-Inputs!G62)</f>
        <v>500</v>
      </c>
      <c r="I31" s="433">
        <f>IF(HerdSize=0,0,IF('Breeding Herd'!H31="","",'Breeding Herd'!H31/HerdSize))</f>
        <v>2.5</v>
      </c>
      <c r="J31" s="557">
        <f>IF((C4+C5)=0,"",IF(H31="","",H31/((C4+C5))))</f>
        <v>2.6881720430107525</v>
      </c>
      <c r="M31" s="413"/>
      <c r="N31" s="413"/>
      <c r="O31" s="413"/>
      <c r="P31" s="413"/>
      <c r="Q31" s="413"/>
      <c r="R31" s="413"/>
      <c r="S31" s="413"/>
      <c r="T31" s="413"/>
      <c r="U31" s="413"/>
      <c r="AE31" s="158"/>
    </row>
    <row r="32" spans="1:44" s="239" customFormat="1">
      <c r="A32" s="277"/>
      <c r="B32" s="250" t="str">
        <f>Inputs!B86</f>
        <v>Cull Replacement Marketing</v>
      </c>
      <c r="C32" s="214">
        <f>Inputs!X86</f>
        <v>25</v>
      </c>
      <c r="D32" s="825" t="s">
        <v>61</v>
      </c>
      <c r="E32" s="825"/>
      <c r="F32" s="124"/>
      <c r="G32" s="251"/>
      <c r="H32" s="446">
        <f>Inputs!Z86</f>
        <v>0</v>
      </c>
      <c r="I32" s="433">
        <f>IF(HerdSize=0,0,IF('Breeding Herd'!H32="","",'Breeding Herd'!H32/HerdSize))</f>
        <v>0</v>
      </c>
      <c r="J32" s="557">
        <f>IF((C5+C6)=0,"",IF(H32="","",H32/((C5+C6))))</f>
        <v>0</v>
      </c>
      <c r="K32" s="222"/>
      <c r="L32" s="222"/>
      <c r="M32" s="413"/>
      <c r="N32" s="413"/>
      <c r="O32" s="413"/>
      <c r="P32" s="413"/>
      <c r="Q32" s="413"/>
      <c r="R32" s="413"/>
      <c r="S32" s="413"/>
      <c r="T32" s="413"/>
      <c r="U32" s="413"/>
      <c r="V32" s="222"/>
      <c r="W32" s="222"/>
      <c r="X32" s="222"/>
      <c r="Y32" s="222"/>
      <c r="Z32" s="222"/>
      <c r="AA32" s="222"/>
      <c r="AB32" s="222"/>
      <c r="AC32" s="222"/>
      <c r="AD32" s="222"/>
      <c r="AE32" s="223"/>
      <c r="AF32" s="222"/>
      <c r="AG32" s="222"/>
      <c r="AH32" s="222"/>
      <c r="AI32" s="222"/>
      <c r="AJ32" s="222"/>
      <c r="AK32" s="222"/>
      <c r="AL32" s="222"/>
      <c r="AM32" s="222"/>
      <c r="AN32" s="222"/>
      <c r="AO32" s="222"/>
      <c r="AP32" s="222"/>
      <c r="AQ32" s="222"/>
      <c r="AR32" s="222"/>
    </row>
    <row r="33" spans="1:44" s="40" customFormat="1">
      <c r="A33" s="152"/>
      <c r="B33" s="250" t="str">
        <f>Inputs!B87</f>
        <v>Weaned Calf Marketing</v>
      </c>
      <c r="C33" s="214">
        <f>Inputs!X87</f>
        <v>25</v>
      </c>
      <c r="D33" s="825" t="s">
        <v>61</v>
      </c>
      <c r="E33" s="825"/>
      <c r="F33" s="124"/>
      <c r="G33" s="208"/>
      <c r="H33" s="446">
        <f>Inputs!Z87</f>
        <v>50</v>
      </c>
      <c r="I33" s="433">
        <f>IF(HerdSize=0,0,IF('Breeding Herd'!H33="","",'Breeding Herd'!H33/HerdSize))</f>
        <v>0.25</v>
      </c>
      <c r="J33" s="557">
        <f>IF((C4+C5)=0,"",IF(H33="","",H33/((C4+C5))))</f>
        <v>0.26881720430107525</v>
      </c>
      <c r="K33" s="222"/>
      <c r="L33" s="222"/>
      <c r="M33" s="413"/>
      <c r="N33" s="413"/>
      <c r="O33" s="413"/>
      <c r="P33" s="413"/>
      <c r="Q33" s="413"/>
      <c r="R33" s="413"/>
      <c r="S33" s="413"/>
      <c r="T33" s="413"/>
      <c r="U33" s="413"/>
      <c r="V33" s="222"/>
      <c r="W33" s="222"/>
      <c r="X33" s="222"/>
      <c r="Y33" s="157"/>
      <c r="Z33" s="157"/>
      <c r="AA33" s="157"/>
      <c r="AB33" s="157"/>
      <c r="AC33" s="157"/>
      <c r="AD33" s="157"/>
      <c r="AE33" s="158"/>
      <c r="AF33" s="157"/>
      <c r="AG33" s="157"/>
      <c r="AH33" s="157"/>
      <c r="AI33" s="157"/>
      <c r="AJ33" s="157"/>
      <c r="AK33" s="157"/>
      <c r="AL33" s="157"/>
      <c r="AM33" s="157"/>
      <c r="AN33" s="157"/>
      <c r="AO33" s="157"/>
      <c r="AP33" s="157"/>
      <c r="AQ33" s="157"/>
      <c r="AR33" s="157"/>
    </row>
    <row r="34" spans="1:44" hidden="1">
      <c r="B34" s="250">
        <f>Inputs!B91</f>
        <v>0</v>
      </c>
      <c r="C34" s="214">
        <f>Inputs!D91</f>
        <v>0</v>
      </c>
      <c r="D34" s="819">
        <f>Inputs!E91</f>
        <v>0</v>
      </c>
      <c r="E34" s="819"/>
      <c r="F34" s="124">
        <f>IF(C34=0,0,Inputs!Q91)</f>
        <v>0</v>
      </c>
      <c r="G34" s="208"/>
      <c r="H34" s="446">
        <f>IF(C34=0,0,IF(F34=0,0,F34*C34*IF(D34="per animal",HerdSize,1)))</f>
        <v>0</v>
      </c>
      <c r="I34" s="433">
        <f>IF(HerdSize=0,0,IF('Breeding Herd'!H34="","",'Breeding Herd'!H34/HerdSize))</f>
        <v>0</v>
      </c>
      <c r="J34" s="557">
        <f>IF((C4+C5)=0,"",IF(H34="","",H34/((C4+C5))))</f>
        <v>0</v>
      </c>
      <c r="M34" s="413"/>
      <c r="N34" s="413"/>
      <c r="O34" s="413"/>
      <c r="P34" s="413"/>
      <c r="Q34" s="413"/>
      <c r="R34" s="413"/>
      <c r="S34" s="413"/>
      <c r="T34" s="413"/>
      <c r="U34" s="413"/>
      <c r="AE34" s="158"/>
    </row>
    <row r="35" spans="1:44" hidden="1">
      <c r="B35" s="250" t="str">
        <f>Inputs!B92</f>
        <v xml:space="preserve">Horse maintenance /feed </v>
      </c>
      <c r="C35" s="214">
        <f>Inputs!D92</f>
        <v>2000</v>
      </c>
      <c r="D35" s="819" t="str">
        <f>Inputs!E92</f>
        <v>all animals</v>
      </c>
      <c r="E35" s="819"/>
      <c r="F35" s="124">
        <f>IF(C35=0,0,Inputs!Q92)</f>
        <v>0.96956345955524903</v>
      </c>
      <c r="G35" s="208"/>
      <c r="H35" s="446">
        <f>IF(B35=0,0,IF(F35=0,0,F35*C35*IF(D35="per animal",HerdSize,1)))</f>
        <v>1939.126919110498</v>
      </c>
      <c r="I35" s="433">
        <f>IF(HerdSize=0,0,IF('Breeding Herd'!H35="","",'Breeding Herd'!H35/HerdSize))</f>
        <v>9.6956345955524892</v>
      </c>
      <c r="J35" s="557">
        <f>IF((C4+C5)=0,"",IF(H35="","",H35/((C4+C5))))</f>
        <v>10.425413543604828</v>
      </c>
      <c r="L35" s="223"/>
      <c r="M35" s="413"/>
      <c r="N35" s="413"/>
      <c r="O35" s="413"/>
      <c r="P35" s="413"/>
      <c r="Q35" s="413"/>
      <c r="R35" s="413"/>
      <c r="S35" s="413"/>
      <c r="T35" s="413"/>
      <c r="U35" s="413"/>
      <c r="AE35" s="158"/>
    </row>
    <row r="36" spans="1:44" hidden="1">
      <c r="B36" s="250">
        <f>Inputs!B93</f>
        <v>0</v>
      </c>
      <c r="C36" s="214">
        <f>Inputs!D93</f>
        <v>0</v>
      </c>
      <c r="D36" s="819">
        <f>Inputs!E93</f>
        <v>0</v>
      </c>
      <c r="E36" s="819"/>
      <c r="F36" s="124">
        <f>IF(C36=0,0,Inputs!Q93)</f>
        <v>0</v>
      </c>
      <c r="G36" s="208"/>
      <c r="H36" s="446">
        <f>IF(B36=0,0,IF(F36=0,0,F36*C36*IF(D36="per animal",HerdSize,1)))</f>
        <v>0</v>
      </c>
      <c r="I36" s="433">
        <f>IF(HerdSize=0,0,IF('Breeding Herd'!H36="","",'Breeding Herd'!H36/HerdSize))</f>
        <v>0</v>
      </c>
      <c r="J36" s="557">
        <f>IF((C4+C5)=0,"",IF(H36="","",H36/((C4+C5))))</f>
        <v>0</v>
      </c>
      <c r="L36" s="223"/>
      <c r="M36" s="413"/>
      <c r="N36" s="413"/>
      <c r="O36" s="413"/>
      <c r="P36" s="413"/>
      <c r="Q36" s="413"/>
      <c r="R36" s="413"/>
      <c r="S36" s="413"/>
      <c r="T36" s="413"/>
      <c r="U36" s="413"/>
      <c r="AE36" s="158"/>
    </row>
    <row r="37" spans="1:44" hidden="1">
      <c r="B37" s="250">
        <f>Inputs!B94</f>
        <v>0</v>
      </c>
      <c r="C37" s="214">
        <f>Inputs!D94</f>
        <v>0</v>
      </c>
      <c r="D37" s="819">
        <f>Inputs!E94</f>
        <v>0</v>
      </c>
      <c r="E37" s="819"/>
      <c r="F37" s="124">
        <f>IF(C37=0,0,Inputs!Q94)</f>
        <v>0</v>
      </c>
      <c r="G37" s="208"/>
      <c r="H37" s="446">
        <f>IF(B37=0,0,IF(F37=0,0,F37*C37*IF(D37="per animal",HerdSize,1)))</f>
        <v>0</v>
      </c>
      <c r="I37" s="433">
        <f>IF(HerdSize=0,0,IF('Breeding Herd'!H37="","",'Breeding Herd'!H37/HerdSize))</f>
        <v>0</v>
      </c>
      <c r="J37" s="557">
        <f>IF((C4+C5)=0,"",IF(H37="","",H37/((C4+C5))))</f>
        <v>0</v>
      </c>
      <c r="M37" s="413"/>
      <c r="N37" s="413"/>
      <c r="O37" s="413"/>
      <c r="P37" s="413"/>
      <c r="Q37" s="413"/>
      <c r="R37" s="413"/>
      <c r="S37" s="413"/>
      <c r="T37" s="413"/>
      <c r="U37" s="413"/>
    </row>
    <row r="38" spans="1:44" hidden="1">
      <c r="B38" s="250">
        <f>Inputs!B95</f>
        <v>0</v>
      </c>
      <c r="C38" s="214">
        <f>Inputs!D95</f>
        <v>0</v>
      </c>
      <c r="D38" s="819">
        <f>Inputs!E95</f>
        <v>0</v>
      </c>
      <c r="E38" s="819"/>
      <c r="F38" s="124">
        <f>IF(C38=0,0,Inputs!Q95)</f>
        <v>0</v>
      </c>
      <c r="G38" s="208"/>
      <c r="H38" s="446">
        <f>IF(B38=0,0,IF(F38=0,0,F38*C38*IF(D38="per animal",HerdSize,1)))</f>
        <v>0</v>
      </c>
      <c r="I38" s="433">
        <f>IF(HerdSize=0,0,IF('Breeding Herd'!H38="","",'Breeding Herd'!H38/HerdSize))</f>
        <v>0</v>
      </c>
      <c r="J38" s="557">
        <f>IF((C4+C5)=0,"",IF(H38="","",H38/((C4+C5))))</f>
        <v>0</v>
      </c>
      <c r="M38" s="413"/>
      <c r="N38" s="413"/>
      <c r="O38" s="413"/>
      <c r="P38" s="413"/>
      <c r="Q38" s="413"/>
      <c r="R38" s="413"/>
      <c r="S38" s="413"/>
      <c r="T38" s="413"/>
      <c r="U38" s="413"/>
    </row>
    <row r="39" spans="1:44" ht="41.25" customHeight="1" thickBot="1">
      <c r="B39" s="170" t="s">
        <v>37</v>
      </c>
      <c r="C39" s="829" t="s">
        <v>118</v>
      </c>
      <c r="D39" s="830"/>
      <c r="E39" s="830"/>
      <c r="F39" s="830"/>
      <c r="G39" s="831"/>
      <c r="H39" s="458">
        <f>(H25+SUM(H28:H30)+H54+H58+SUM(H34:H38))/2*Inputs!E111</f>
        <v>5178.3960036283579</v>
      </c>
      <c r="I39" s="539">
        <f>IF(HerdSize=0,"",IF('Breeding Herd'!H39="","",'Breeding Herd'!H39/HerdSize))</f>
        <v>25.891980018141791</v>
      </c>
      <c r="J39" s="558">
        <f>IF(HerdSize=0,"",IF(H39="","",H39/(Inputs!$G$23-IF(Inputs!$G$13="Yes",0,Inputs!$G$5+Inputs!$G$6))))</f>
        <v>31.965407429804678</v>
      </c>
      <c r="M39" s="413"/>
      <c r="N39" s="413"/>
      <c r="O39" s="413"/>
      <c r="P39" s="413"/>
      <c r="Q39" s="413"/>
      <c r="R39" s="413"/>
      <c r="S39" s="413"/>
      <c r="T39" s="413"/>
      <c r="U39" s="413"/>
    </row>
    <row r="40" spans="1:44" ht="14.25" thickTop="1" thickBot="1">
      <c r="B40" s="51"/>
      <c r="C40" s="194"/>
      <c r="D40" s="195"/>
      <c r="E40" s="195"/>
      <c r="F40" s="195"/>
      <c r="G40" s="59" t="s">
        <v>145</v>
      </c>
      <c r="H40" s="529">
        <f>SUM(H28:H39)</f>
        <v>22210.974816067592</v>
      </c>
      <c r="I40" s="543">
        <f>SUM(I28:I39)</f>
        <v>111.05487408033795</v>
      </c>
      <c r="J40" s="562">
        <f>SUM(J28:J39)</f>
        <v>123.53841179775753</v>
      </c>
      <c r="M40" s="413"/>
      <c r="N40" s="413"/>
      <c r="O40" s="413"/>
      <c r="P40" s="413"/>
      <c r="Q40" s="413"/>
      <c r="R40" s="413"/>
      <c r="S40" s="413"/>
      <c r="T40" s="413"/>
      <c r="U40" s="413"/>
    </row>
    <row r="41" spans="1:44" ht="16.5" thickBot="1">
      <c r="B41" s="135"/>
      <c r="C41" s="238"/>
      <c r="D41" s="238"/>
      <c r="E41" s="238"/>
      <c r="F41" s="238"/>
      <c r="G41" s="137" t="s">
        <v>104</v>
      </c>
      <c r="H41" s="523">
        <f>H15+H25+H40</f>
        <v>227119.87104894427</v>
      </c>
      <c r="I41" s="544">
        <f>I15+I25+I40</f>
        <v>1135.5993552447214</v>
      </c>
      <c r="J41" s="563">
        <f>J15+J25+J40</f>
        <v>1225.1991442325786</v>
      </c>
      <c r="M41" s="413"/>
      <c r="N41" s="413"/>
      <c r="O41" s="413"/>
      <c r="P41" s="413"/>
      <c r="Q41" s="413"/>
      <c r="R41" s="413"/>
      <c r="S41" s="413"/>
      <c r="T41" s="413"/>
      <c r="U41" s="413"/>
    </row>
    <row r="42" spans="1:44" ht="13.5" thickBot="1">
      <c r="B42" s="62"/>
      <c r="C42" s="24"/>
      <c r="D42" s="49"/>
      <c r="E42" s="24"/>
      <c r="F42" s="25"/>
      <c r="G42" s="25"/>
      <c r="H42" s="526"/>
      <c r="I42" s="545"/>
      <c r="J42" s="564"/>
      <c r="M42" s="413"/>
      <c r="N42" s="413"/>
      <c r="O42" s="413"/>
      <c r="P42" s="413"/>
      <c r="Q42" s="413"/>
      <c r="R42" s="413"/>
      <c r="S42" s="413"/>
      <c r="T42" s="413"/>
      <c r="U42" s="413"/>
    </row>
    <row r="43" spans="1:44" ht="16.5" customHeight="1" thickBot="1">
      <c r="B43" s="66" t="s">
        <v>109</v>
      </c>
      <c r="C43" s="108"/>
      <c r="D43" s="109"/>
      <c r="E43" s="109"/>
      <c r="F43" s="109"/>
      <c r="G43" s="109"/>
      <c r="H43" s="530" t="s">
        <v>74</v>
      </c>
      <c r="I43" s="546" t="s">
        <v>91</v>
      </c>
      <c r="J43" s="565" t="s">
        <v>149</v>
      </c>
      <c r="M43" s="413"/>
      <c r="N43" s="413"/>
      <c r="O43" s="413"/>
      <c r="P43" s="413"/>
      <c r="Q43" s="413"/>
      <c r="R43" s="413"/>
      <c r="S43" s="413"/>
      <c r="T43" s="413"/>
      <c r="U43" s="413"/>
    </row>
    <row r="44" spans="1:44">
      <c r="B44" s="46" t="s">
        <v>39</v>
      </c>
      <c r="C44" s="827" t="s">
        <v>15</v>
      </c>
      <c r="D44" s="828"/>
      <c r="E44" s="88"/>
      <c r="F44" s="177" t="s">
        <v>48</v>
      </c>
      <c r="G44" s="43"/>
      <c r="H44" s="531" t="s">
        <v>31</v>
      </c>
      <c r="I44" s="547" t="s">
        <v>31</v>
      </c>
      <c r="J44" s="566" t="s">
        <v>31</v>
      </c>
      <c r="M44" s="413"/>
      <c r="N44" s="413"/>
      <c r="O44" s="413"/>
      <c r="P44" s="413"/>
      <c r="Q44" s="413"/>
      <c r="R44" s="413"/>
      <c r="S44" s="413"/>
      <c r="T44" s="413"/>
      <c r="U44" s="413"/>
    </row>
    <row r="45" spans="1:44">
      <c r="B45" s="284" t="str">
        <f>Inputs!B99</f>
        <v>Buildings /Barn /Fencing</v>
      </c>
      <c r="C45" s="43"/>
      <c r="D45" s="365">
        <f>Inputs!G99</f>
        <v>1000</v>
      </c>
      <c r="E45" s="56"/>
      <c r="F45" s="124">
        <f>Inputs!Q99</f>
        <v>0.96956345955524903</v>
      </c>
      <c r="G45" s="56"/>
      <c r="H45" s="446">
        <f>IF(B45="","",D45*F45)</f>
        <v>969.56345955524898</v>
      </c>
      <c r="I45" s="548">
        <f>IF(HerdSize=0,"",IF('Breeding Herd'!H45="","",'Breeding Herd'!H45/HerdSize))</f>
        <v>4.8478172977762446</v>
      </c>
      <c r="J45" s="567">
        <f>IF(HerdSize=0,"",IF(H45="","",H45/((C4+C5))))</f>
        <v>5.2127067718024138</v>
      </c>
      <c r="L45" s="223"/>
      <c r="M45" s="413"/>
      <c r="N45" s="413"/>
      <c r="O45" s="413"/>
      <c r="P45" s="413"/>
      <c r="Q45" s="413"/>
      <c r="R45" s="413"/>
      <c r="S45" s="413"/>
      <c r="T45" s="413"/>
      <c r="U45" s="413"/>
    </row>
    <row r="46" spans="1:44">
      <c r="B46" s="284" t="str">
        <f>Inputs!B100</f>
        <v>General machinery &amp; equipment</v>
      </c>
      <c r="C46" s="43"/>
      <c r="D46" s="365">
        <f>Inputs!G100</f>
        <v>1000</v>
      </c>
      <c r="E46" s="56"/>
      <c r="F46" s="124">
        <f>IF(D46=0,0,Inputs!Q100)</f>
        <v>0.96956345955524903</v>
      </c>
      <c r="G46" s="56"/>
      <c r="H46" s="446">
        <f>IF(B46="","",D46*F46)</f>
        <v>969.56345955524898</v>
      </c>
      <c r="I46" s="548">
        <f>IF(HerdSize=0,"",IF('Breeding Herd'!H46="","",'Breeding Herd'!H46/HerdSize))</f>
        <v>4.8478172977762446</v>
      </c>
      <c r="J46" s="567">
        <f>IF(HerdSize=0,"",IF(H46="","",H46/((C4+C5))))</f>
        <v>5.2127067718024138</v>
      </c>
      <c r="L46" s="223"/>
      <c r="M46" s="413"/>
      <c r="N46" s="413"/>
      <c r="O46" s="413"/>
      <c r="P46" s="413"/>
      <c r="Q46" s="413"/>
      <c r="R46" s="413"/>
      <c r="S46" s="413"/>
      <c r="T46" s="413"/>
      <c r="U46" s="413"/>
    </row>
    <row r="47" spans="1:44">
      <c r="B47" s="284" t="str">
        <f>Inputs!B101</f>
        <v>Vehicles</v>
      </c>
      <c r="C47" s="43"/>
      <c r="D47" s="365">
        <f>Inputs!G101</f>
        <v>1200</v>
      </c>
      <c r="E47" s="56"/>
      <c r="F47" s="124">
        <f>IF(D47=0,0,Inputs!Q101)</f>
        <v>0.96956345955524903</v>
      </c>
      <c r="G47" s="56"/>
      <c r="H47" s="446">
        <f>IF(B47="","",D47*F47)</f>
        <v>1163.4761514662989</v>
      </c>
      <c r="I47" s="548">
        <f>IF(HerdSize=0,"",IF('Breeding Herd'!H47="","",'Breeding Herd'!H47/HerdSize))</f>
        <v>5.8173807573314944</v>
      </c>
      <c r="J47" s="567">
        <f>IF(HerdSize=0,"",IF(H47="","",H47/((C4+C5))))</f>
        <v>6.2552481261628978</v>
      </c>
    </row>
    <row r="48" spans="1:44">
      <c r="B48" s="284" t="str">
        <f>Inputs!B102</f>
        <v>2 Horses ($5,000 value each)</v>
      </c>
      <c r="C48" s="43"/>
      <c r="D48" s="365">
        <f>Inputs!G102</f>
        <v>0</v>
      </c>
      <c r="E48" s="56"/>
      <c r="F48" s="124">
        <f>IF(D48=0,0,Inputs!Q102)</f>
        <v>0</v>
      </c>
      <c r="G48" s="56"/>
      <c r="H48" s="446">
        <f>IF(B48="","",D48*F48)</f>
        <v>0</v>
      </c>
      <c r="I48" s="548">
        <f>IF(HerdSize=0,"",IF('Breeding Herd'!H48="","",'Breeding Herd'!H48/HerdSize))</f>
        <v>0</v>
      </c>
      <c r="J48" s="567">
        <f>IF(HerdSize=0,"",IF(H48="","",H48/((C4+C5))))</f>
        <v>0</v>
      </c>
    </row>
    <row r="49" spans="1:44">
      <c r="B49" s="284">
        <f>Inputs!B103</f>
        <v>0</v>
      </c>
      <c r="C49" s="43"/>
      <c r="D49" s="365">
        <f>Inputs!G103</f>
        <v>0</v>
      </c>
      <c r="E49" s="56"/>
      <c r="F49" s="124">
        <f>IF(D49=0,0,Inputs!Q103)</f>
        <v>0</v>
      </c>
      <c r="G49" s="56"/>
      <c r="H49" s="446">
        <f>IF(B49="","",D49*F49)</f>
        <v>0</v>
      </c>
      <c r="I49" s="548">
        <f>IF(HerdSize=0,"",IF('Breeding Herd'!H49="","",'Breeding Herd'!H49/HerdSize))</f>
        <v>0</v>
      </c>
      <c r="J49" s="567">
        <f>IF(HerdSize=0,"",IF(H49="","",H49/((C4+C5))))</f>
        <v>0</v>
      </c>
    </row>
    <row r="50" spans="1:44" s="239" customFormat="1" hidden="1">
      <c r="A50" s="277"/>
      <c r="B50" s="284"/>
      <c r="C50" s="355"/>
      <c r="D50" s="365">
        <f>Inputs!G104</f>
        <v>0</v>
      </c>
      <c r="E50" s="256"/>
      <c r="F50" s="124">
        <f>IF(D50=0,0,Inputs!Q104)</f>
        <v>0</v>
      </c>
      <c r="G50" s="256"/>
      <c r="H50" s="446"/>
      <c r="I50" s="548"/>
      <c r="J50" s="567"/>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row>
    <row r="51" spans="1:44" s="239" customFormat="1" hidden="1">
      <c r="A51" s="277"/>
      <c r="B51" s="284"/>
      <c r="C51" s="355"/>
      <c r="D51" s="365">
        <f>Inputs!G105</f>
        <v>0</v>
      </c>
      <c r="E51" s="256"/>
      <c r="F51" s="124">
        <f>IF(D51=0,0,Inputs!Q105)</f>
        <v>0</v>
      </c>
      <c r="G51" s="256"/>
      <c r="H51" s="446"/>
      <c r="I51" s="548"/>
      <c r="J51" s="567"/>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row>
    <row r="52" spans="1:44" hidden="1">
      <c r="B52" s="284">
        <f>Inputs!B104</f>
        <v>0</v>
      </c>
      <c r="C52" s="43"/>
      <c r="D52" s="365">
        <f>Inputs!G106</f>
        <v>0</v>
      </c>
      <c r="E52" s="56"/>
      <c r="F52" s="124">
        <f>IF(D52=0,0,Inputs!Q106)</f>
        <v>0</v>
      </c>
      <c r="G52" s="56"/>
      <c r="H52" s="446">
        <f>IF(B52="","",D52*F52)</f>
        <v>0</v>
      </c>
      <c r="I52" s="548">
        <f>IF(HerdSize=0,"",IF('Breeding Herd'!H52="","",'Breeding Herd'!H52/HerdSize))</f>
        <v>0</v>
      </c>
      <c r="J52" s="567">
        <f>IF(HerdSize=0,"",IF(H52="","",H52/((C4+C5))))</f>
        <v>0</v>
      </c>
    </row>
    <row r="53" spans="1:44" ht="13.5" hidden="1" thickBot="1">
      <c r="B53" s="284">
        <f>Inputs!B105</f>
        <v>0</v>
      </c>
      <c r="C53" s="43"/>
      <c r="D53" s="365">
        <f>Inputs!G107</f>
        <v>0</v>
      </c>
      <c r="E53" s="56"/>
      <c r="F53" s="124">
        <f>IF(D53=0,0,Inputs!Q107)</f>
        <v>0</v>
      </c>
      <c r="G53" s="56"/>
      <c r="H53" s="451">
        <f>IF(B53="","",D53*F53)</f>
        <v>0</v>
      </c>
      <c r="I53" s="549">
        <f>IF(HerdSize=0,"",IF('Breeding Herd'!H53="","",'Breeding Herd'!H53/HerdSize))</f>
        <v>0</v>
      </c>
      <c r="J53" s="568">
        <f>IF(HerdSize=0,"",IF(H53="","",H53/((C4+C5))))</f>
        <v>0</v>
      </c>
    </row>
    <row r="54" spans="1:44">
      <c r="B54" s="48"/>
      <c r="C54" s="33"/>
      <c r="D54" s="57"/>
      <c r="E54" s="57"/>
      <c r="F54" s="213"/>
      <c r="G54" s="29" t="s">
        <v>99</v>
      </c>
      <c r="H54" s="526">
        <f>SUM(H45:H53)</f>
        <v>3102.6030705767971</v>
      </c>
      <c r="I54" s="540">
        <f>SUM(I45:I53)</f>
        <v>15.513015352883983</v>
      </c>
      <c r="J54" s="442">
        <f>SUM(J45:J53)</f>
        <v>16.680661669767726</v>
      </c>
    </row>
    <row r="55" spans="1:44">
      <c r="B55" s="48"/>
      <c r="C55" s="31"/>
      <c r="D55" s="49"/>
      <c r="E55" s="49"/>
      <c r="F55" s="58"/>
      <c r="G55" s="58"/>
      <c r="H55" s="526"/>
      <c r="I55" s="545"/>
      <c r="J55" s="569"/>
    </row>
    <row r="56" spans="1:44">
      <c r="B56" s="79" t="s">
        <v>54</v>
      </c>
      <c r="C56" s="834" t="s">
        <v>56</v>
      </c>
      <c r="D56" s="835"/>
      <c r="E56" s="49"/>
      <c r="F56" s="83" t="s">
        <v>48</v>
      </c>
      <c r="G56" s="49"/>
      <c r="H56" s="532" t="s">
        <v>31</v>
      </c>
      <c r="I56" s="550" t="s">
        <v>31</v>
      </c>
      <c r="J56" s="560" t="s">
        <v>31</v>
      </c>
    </row>
    <row r="57" spans="1:44">
      <c r="A57" s="165"/>
      <c r="B57" s="48" t="str">
        <f>Inputs!B117</f>
        <v>Real Estate Tax</v>
      </c>
      <c r="C57" s="832">
        <f>VLOOKUP(B57,Overhead,4,FALSE)</f>
        <v>540</v>
      </c>
      <c r="D57" s="833"/>
      <c r="E57" s="49"/>
      <c r="F57" s="125">
        <f>IF(C57=0,0,Inputs!Q117)</f>
        <v>0.96956345955524903</v>
      </c>
      <c r="G57" s="49"/>
      <c r="H57" s="446">
        <f>C57*F57</f>
        <v>523.56426815983446</v>
      </c>
      <c r="I57" s="548">
        <f>IF(HerdSize=0,"",IF(H57="","",H57/(HerdSize)))</f>
        <v>2.6178213407991722</v>
      </c>
      <c r="J57" s="567">
        <f>IF((C4+C5)=0,0,IF(B57="","",IF(H57=0,0,H57/(C4+C5))))</f>
        <v>2.8148616567733034</v>
      </c>
    </row>
    <row r="58" spans="1:44">
      <c r="B58" s="48" t="str">
        <f>Inputs!B118</f>
        <v>Annual Insurance Premium</v>
      </c>
      <c r="C58" s="832">
        <f>VLOOKUP(B58,Overhead,4,FALSE)</f>
        <v>2500</v>
      </c>
      <c r="D58" s="833"/>
      <c r="E58" s="49"/>
      <c r="F58" s="279">
        <f>IF(C58=0,0,Inputs!Q118)</f>
        <v>0.96956345955524903</v>
      </c>
      <c r="G58" s="49"/>
      <c r="H58" s="446">
        <f>C58*F58</f>
        <v>2423.9086488881226</v>
      </c>
      <c r="I58" s="548">
        <f>IF(HerdSize=0,"",IF(H58="","",H58/(HerdSize)))</f>
        <v>12.119543244440614</v>
      </c>
      <c r="J58" s="567">
        <f>IF((C4+C5)=0,0,IF(B58="","",IF(H58=0,0,H58/(C4+C5))))</f>
        <v>13.031766929506036</v>
      </c>
    </row>
    <row r="59" spans="1:44">
      <c r="B59" s="48" t="str">
        <f>Inputs!B119</f>
        <v>Professional Fees</v>
      </c>
      <c r="C59" s="832">
        <f>VLOOKUP(B59,Overhead,4,FALSE)</f>
        <v>1000</v>
      </c>
      <c r="D59" s="833"/>
      <c r="E59" s="49"/>
      <c r="F59" s="279">
        <f>IF(C59=0,0,Inputs!Q119)</f>
        <v>0.96956345955524903</v>
      </c>
      <c r="G59" s="49"/>
      <c r="H59" s="446">
        <f>C59*F59</f>
        <v>969.56345955524898</v>
      </c>
      <c r="I59" s="548">
        <f>IF(HerdSize=0,"",IF(H59="","",H59/(HerdSize)))</f>
        <v>4.8478172977762446</v>
      </c>
      <c r="J59" s="567">
        <f>IF((C4+C5)=0,0,IF(B59="","",IF(H59=0,0,H59/(C4+C5))))</f>
        <v>5.2127067718024138</v>
      </c>
    </row>
    <row r="60" spans="1:44">
      <c r="B60" s="48" t="str">
        <f>Inputs!B120</f>
        <v>Annual Management Charge</v>
      </c>
      <c r="C60" s="832">
        <f>VLOOKUP(B60,Overhead,4,FALSE)</f>
        <v>0</v>
      </c>
      <c r="D60" s="833"/>
      <c r="E60" s="49"/>
      <c r="F60" s="279">
        <f>IF(C60=0,0,Inputs!Q120)</f>
        <v>0</v>
      </c>
      <c r="G60" s="49"/>
      <c r="H60" s="446">
        <f>C60*F60</f>
        <v>0</v>
      </c>
      <c r="I60" s="548">
        <f>IF(HerdSize=0,"",IF(H60="","",H60/(HerdSize)))</f>
        <v>0</v>
      </c>
      <c r="J60" s="567">
        <f>IF((C4+C5)=0,0,IF(B60="","",IF(H60=0,0,H60/(C4+C5))))</f>
        <v>0</v>
      </c>
    </row>
    <row r="61" spans="1:44" ht="13.5" thickBot="1">
      <c r="B61" s="48" t="str">
        <f>Inputs!B121</f>
        <v>Other</v>
      </c>
      <c r="C61" s="832">
        <f>VLOOKUP(B61,Overhead,4,FALSE)</f>
        <v>750</v>
      </c>
      <c r="D61" s="833"/>
      <c r="E61" s="49"/>
      <c r="F61" s="279">
        <f>IF(C61=0,0,Inputs!Q121)</f>
        <v>0.96956345955524903</v>
      </c>
      <c r="G61" s="49"/>
      <c r="H61" s="451">
        <f>C61*F61</f>
        <v>727.17259466643679</v>
      </c>
      <c r="I61" s="549">
        <f>IF(HerdSize=0,"",IF(H61="","",H61/(HerdSize)))</f>
        <v>3.6358629733321841</v>
      </c>
      <c r="J61" s="568">
        <f>IF((C4+C5)=0,0,IF(B61="","",IF(H61=0,0,H61/(C4+C5))))</f>
        <v>3.9095300788518106</v>
      </c>
    </row>
    <row r="62" spans="1:44" ht="14.25" thickTop="1" thickBot="1">
      <c r="B62" s="65"/>
      <c r="C62" s="34"/>
      <c r="D62" s="52"/>
      <c r="E62" s="52"/>
      <c r="F62" s="43"/>
      <c r="G62" s="59" t="s">
        <v>51</v>
      </c>
      <c r="H62" s="526">
        <f>SUM(H57:H61)</f>
        <v>4644.2089712696425</v>
      </c>
      <c r="I62" s="545">
        <f>SUM(I57:I61)</f>
        <v>23.221044856348215</v>
      </c>
      <c r="J62" s="442">
        <f>SUM(J57:J61)</f>
        <v>24.968865436933562</v>
      </c>
    </row>
    <row r="63" spans="1:44" ht="16.5" thickBot="1">
      <c r="B63" s="66"/>
      <c r="C63" s="67"/>
      <c r="D63" s="67"/>
      <c r="E63" s="67"/>
      <c r="F63" s="67"/>
      <c r="G63" s="21" t="s">
        <v>103</v>
      </c>
      <c r="H63" s="523">
        <f>H54+H62</f>
        <v>7746.8120418464396</v>
      </c>
      <c r="I63" s="544">
        <f>I54+I62</f>
        <v>38.734060209232197</v>
      </c>
      <c r="J63" s="563">
        <f>J54+J62</f>
        <v>41.649527106701285</v>
      </c>
    </row>
    <row r="64" spans="1:44" s="40" customFormat="1" ht="13.5" thickBot="1">
      <c r="A64" s="152"/>
      <c r="B64" s="49"/>
      <c r="C64" s="26"/>
      <c r="D64" s="26"/>
      <c r="E64" s="26"/>
      <c r="F64" s="26"/>
      <c r="G64" s="146"/>
      <c r="H64" s="533"/>
      <c r="I64" s="551"/>
      <c r="J64" s="570"/>
      <c r="K64" s="222"/>
      <c r="L64" s="222"/>
      <c r="M64" s="222"/>
      <c r="N64" s="222"/>
      <c r="O64" s="222"/>
      <c r="P64" s="222"/>
      <c r="Q64" s="222"/>
      <c r="R64" s="222"/>
      <c r="S64" s="222"/>
      <c r="T64" s="222"/>
      <c r="U64" s="222"/>
      <c r="V64" s="222"/>
      <c r="W64" s="222"/>
      <c r="X64" s="222"/>
      <c r="Y64" s="157"/>
      <c r="Z64" s="157"/>
      <c r="AA64" s="157"/>
      <c r="AB64" s="157"/>
      <c r="AC64" s="157"/>
      <c r="AD64" s="157"/>
      <c r="AE64" s="157"/>
      <c r="AF64" s="157"/>
      <c r="AG64" s="157"/>
      <c r="AH64" s="157"/>
      <c r="AI64" s="157"/>
      <c r="AJ64" s="157"/>
      <c r="AK64" s="157"/>
      <c r="AL64" s="157"/>
      <c r="AM64" s="157"/>
      <c r="AN64" s="157"/>
      <c r="AO64" s="157"/>
      <c r="AP64" s="157"/>
      <c r="AQ64" s="157"/>
      <c r="AR64" s="157"/>
    </row>
    <row r="65" spans="1:44" s="40" customFormat="1" ht="16.5" thickBot="1">
      <c r="A65" s="152"/>
      <c r="B65" s="237" t="s">
        <v>111</v>
      </c>
      <c r="C65" s="67"/>
      <c r="D65" s="67"/>
      <c r="E65" s="67"/>
      <c r="F65" s="67"/>
      <c r="G65" s="21"/>
      <c r="H65" s="523">
        <f>H41+H63</f>
        <v>234866.68309079073</v>
      </c>
      <c r="I65" s="544">
        <f>I41+I63</f>
        <v>1174.3334154539536</v>
      </c>
      <c r="J65" s="563">
        <f>J41+J63</f>
        <v>1266.8486713392799</v>
      </c>
      <c r="K65" s="222"/>
      <c r="L65" s="222"/>
      <c r="M65" s="222"/>
      <c r="N65" s="222"/>
      <c r="O65" s="222"/>
      <c r="P65" s="222"/>
      <c r="Q65" s="222"/>
      <c r="R65" s="222"/>
      <c r="S65" s="222"/>
      <c r="T65" s="222"/>
      <c r="U65" s="222"/>
      <c r="V65" s="222"/>
      <c r="W65" s="222"/>
      <c r="X65" s="222"/>
      <c r="Y65" s="157"/>
      <c r="Z65" s="157"/>
      <c r="AA65" s="157"/>
      <c r="AB65" s="157"/>
      <c r="AC65" s="157"/>
      <c r="AD65" s="157"/>
      <c r="AE65" s="157"/>
      <c r="AF65" s="157"/>
      <c r="AG65" s="157"/>
      <c r="AH65" s="157"/>
      <c r="AI65" s="157"/>
      <c r="AJ65" s="157"/>
      <c r="AK65" s="157"/>
      <c r="AL65" s="157"/>
      <c r="AM65" s="157"/>
      <c r="AN65" s="157"/>
      <c r="AO65" s="157"/>
      <c r="AP65" s="157"/>
      <c r="AQ65" s="157"/>
      <c r="AR65" s="157"/>
    </row>
    <row r="66" spans="1:44" s="40" customFormat="1" ht="13.5" thickBot="1">
      <c r="A66" s="152"/>
      <c r="B66" s="49"/>
      <c r="C66" s="26"/>
      <c r="D66" s="26"/>
      <c r="E66" s="26"/>
      <c r="F66" s="26"/>
      <c r="G66" s="146"/>
      <c r="H66" s="533"/>
      <c r="I66" s="551"/>
      <c r="J66" s="570"/>
      <c r="K66" s="222"/>
      <c r="L66" s="222"/>
      <c r="M66" s="222"/>
      <c r="N66" s="222"/>
      <c r="O66" s="222"/>
      <c r="P66" s="222"/>
      <c r="Q66" s="222"/>
      <c r="R66" s="222"/>
      <c r="S66" s="222"/>
      <c r="T66" s="222"/>
      <c r="U66" s="222"/>
      <c r="V66" s="222"/>
      <c r="W66" s="222"/>
      <c r="X66" s="222"/>
      <c r="Y66" s="157"/>
      <c r="Z66" s="157"/>
      <c r="AA66" s="157"/>
      <c r="AB66" s="157"/>
      <c r="AC66" s="157"/>
      <c r="AD66" s="157"/>
      <c r="AE66" s="157"/>
      <c r="AF66" s="157"/>
      <c r="AG66" s="157"/>
      <c r="AH66" s="157"/>
      <c r="AI66" s="157"/>
      <c r="AJ66" s="157"/>
      <c r="AK66" s="157"/>
      <c r="AL66" s="157"/>
      <c r="AM66" s="157"/>
      <c r="AN66" s="157"/>
      <c r="AO66" s="157"/>
      <c r="AP66" s="157"/>
      <c r="AQ66" s="157"/>
      <c r="AR66" s="157"/>
    </row>
    <row r="67" spans="1:44" ht="16.5" thickBot="1">
      <c r="B67" s="237" t="s">
        <v>105</v>
      </c>
      <c r="C67" s="67"/>
      <c r="D67" s="67"/>
      <c r="E67" s="67"/>
      <c r="F67" s="67"/>
      <c r="G67" s="21"/>
      <c r="H67" s="523">
        <f>H9-H65</f>
        <v>-37204.933090790728</v>
      </c>
      <c r="I67" s="472">
        <f>I9-I65</f>
        <v>-186.02466545395362</v>
      </c>
      <c r="J67" s="563">
        <f>J9-J65</f>
        <v>-204.15109069411869</v>
      </c>
    </row>
    <row r="68" spans="1:44" s="130" customFormat="1" ht="13.5" thickBot="1">
      <c r="A68" s="156"/>
      <c r="B68" s="378" t="s">
        <v>9</v>
      </c>
      <c r="C68" s="378"/>
      <c r="D68" s="378"/>
      <c r="E68" s="378"/>
      <c r="F68" s="378"/>
      <c r="G68" s="378"/>
      <c r="H68" s="534"/>
      <c r="I68" s="552"/>
      <c r="J68" s="571"/>
      <c r="K68" s="222"/>
      <c r="L68" s="222"/>
      <c r="M68" s="222"/>
      <c r="N68" s="222"/>
      <c r="O68" s="222"/>
      <c r="P68" s="222"/>
      <c r="Q68" s="222"/>
      <c r="R68" s="222"/>
      <c r="S68" s="222"/>
      <c r="T68" s="222"/>
      <c r="U68" s="222"/>
      <c r="V68" s="222"/>
      <c r="W68" s="222"/>
      <c r="X68" s="222"/>
      <c r="Y68" s="157"/>
      <c r="Z68" s="157"/>
      <c r="AA68" s="157"/>
      <c r="AB68" s="157"/>
      <c r="AC68" s="157"/>
      <c r="AD68" s="157"/>
      <c r="AE68" s="157"/>
      <c r="AF68" s="157"/>
      <c r="AG68" s="157"/>
      <c r="AH68" s="157"/>
      <c r="AI68" s="157"/>
      <c r="AJ68" s="157"/>
      <c r="AK68" s="157"/>
      <c r="AL68" s="157"/>
      <c r="AM68" s="157"/>
      <c r="AN68" s="157"/>
      <c r="AO68" s="157"/>
      <c r="AP68" s="157"/>
      <c r="AQ68" s="157"/>
      <c r="AR68" s="157"/>
    </row>
    <row r="69" spans="1:44" s="130" customFormat="1" ht="18" customHeight="1" thickBot="1">
      <c r="A69" s="152"/>
      <c r="B69" s="66" t="s">
        <v>98</v>
      </c>
      <c r="C69" s="108"/>
      <c r="D69" s="109"/>
      <c r="E69" s="109"/>
      <c r="F69" s="109"/>
      <c r="G69" s="109"/>
      <c r="H69" s="530" t="s">
        <v>74</v>
      </c>
      <c r="I69" s="546" t="s">
        <v>91</v>
      </c>
      <c r="J69" s="565" t="s">
        <v>149</v>
      </c>
      <c r="K69" s="222"/>
      <c r="L69" s="222"/>
      <c r="M69" s="222"/>
      <c r="N69" s="222"/>
      <c r="O69" s="222"/>
      <c r="P69" s="222"/>
      <c r="Q69" s="222"/>
      <c r="R69" s="222"/>
      <c r="S69" s="222"/>
      <c r="T69" s="222"/>
      <c r="U69" s="222"/>
      <c r="V69" s="222"/>
      <c r="W69" s="222"/>
      <c r="X69" s="222"/>
      <c r="Y69" s="157"/>
      <c r="Z69" s="157"/>
      <c r="AA69" s="157"/>
      <c r="AB69" s="157"/>
      <c r="AC69" s="157"/>
      <c r="AD69" s="157"/>
      <c r="AE69" s="157"/>
      <c r="AF69" s="157"/>
      <c r="AG69" s="157"/>
      <c r="AH69" s="157"/>
      <c r="AI69" s="157"/>
      <c r="AJ69" s="157"/>
      <c r="AK69" s="157"/>
      <c r="AL69" s="157"/>
      <c r="AM69" s="157"/>
      <c r="AN69" s="157"/>
      <c r="AO69" s="157"/>
      <c r="AP69" s="157"/>
      <c r="AQ69" s="157"/>
      <c r="AR69" s="157"/>
    </row>
    <row r="70" spans="1:44" s="130" customFormat="1" ht="25.5">
      <c r="A70" s="152"/>
      <c r="B70" s="248" t="s">
        <v>39</v>
      </c>
      <c r="C70" s="268"/>
      <c r="D70" s="261" t="s">
        <v>46</v>
      </c>
      <c r="E70" s="276" t="s">
        <v>152</v>
      </c>
      <c r="F70" s="367" t="s">
        <v>48</v>
      </c>
      <c r="G70" s="249"/>
      <c r="H70" s="531" t="s">
        <v>31</v>
      </c>
      <c r="I70" s="547" t="s">
        <v>31</v>
      </c>
      <c r="J70" s="566" t="s">
        <v>31</v>
      </c>
      <c r="K70" s="222"/>
      <c r="L70" s="222"/>
      <c r="M70" s="222"/>
      <c r="N70" s="222"/>
      <c r="O70" s="222"/>
      <c r="P70" s="222"/>
      <c r="Q70" s="222"/>
      <c r="R70" s="222"/>
      <c r="S70" s="222"/>
      <c r="T70" s="222"/>
      <c r="U70" s="222"/>
      <c r="V70" s="222"/>
      <c r="W70" s="222"/>
      <c r="X70" s="222"/>
      <c r="Y70" s="157"/>
      <c r="Z70" s="157"/>
      <c r="AA70" s="157"/>
      <c r="AB70" s="157"/>
      <c r="AC70" s="157"/>
      <c r="AD70" s="157"/>
      <c r="AE70" s="157"/>
      <c r="AF70" s="157"/>
      <c r="AG70" s="157"/>
      <c r="AH70" s="157"/>
      <c r="AI70" s="157"/>
      <c r="AJ70" s="157"/>
      <c r="AK70" s="157"/>
      <c r="AL70" s="157"/>
      <c r="AM70" s="157"/>
      <c r="AN70" s="157"/>
      <c r="AO70" s="157"/>
      <c r="AP70" s="157"/>
      <c r="AQ70" s="157"/>
      <c r="AR70" s="157"/>
    </row>
    <row r="71" spans="1:44" s="130" customFormat="1">
      <c r="A71" s="152"/>
      <c r="B71" s="250" t="str">
        <f>Inputs!B99</f>
        <v>Buildings /Barn /Fencing</v>
      </c>
      <c r="C71" s="243"/>
      <c r="D71" s="366">
        <f>IF(Inputs!F99=0,0,(Inputs!D99-Inputs!E99)/Inputs!F99)</f>
        <v>2800</v>
      </c>
      <c r="E71" s="366">
        <f>Inputs!D99*Inputs!$E$112</f>
        <v>3000</v>
      </c>
      <c r="F71" s="264">
        <f>Inputs!Q99</f>
        <v>0.96956345955524903</v>
      </c>
      <c r="G71" s="256"/>
      <c r="H71" s="446">
        <f t="shared" ref="H71:H80" si="9">IF(B71="","",(D71+E71)*F71)</f>
        <v>5623.468065420444</v>
      </c>
      <c r="I71" s="548">
        <f>IF(HerdSize=0,"",IF('Breeding Herd'!H71="","",'Breeding Herd'!H71/HerdSize))</f>
        <v>28.11734032710222</v>
      </c>
      <c r="J71" s="567">
        <f>IF(HerdSize=0,"",IF(H71="","",H71/($C$4+$C$5)))</f>
        <v>30.233699276454001</v>
      </c>
      <c r="K71" s="222"/>
      <c r="L71" s="222"/>
      <c r="M71" s="222"/>
      <c r="N71" s="222"/>
      <c r="O71" s="222"/>
      <c r="P71" s="222"/>
      <c r="Q71" s="222"/>
      <c r="R71" s="222"/>
      <c r="S71" s="222"/>
      <c r="T71" s="222"/>
      <c r="U71" s="222"/>
      <c r="V71" s="222"/>
      <c r="W71" s="222"/>
      <c r="X71" s="222"/>
      <c r="Y71" s="157"/>
      <c r="Z71" s="157"/>
      <c r="AA71" s="157"/>
      <c r="AB71" s="157"/>
      <c r="AC71" s="157"/>
      <c r="AD71" s="157"/>
      <c r="AE71" s="157"/>
      <c r="AF71" s="157"/>
      <c r="AG71" s="157"/>
      <c r="AH71" s="157"/>
      <c r="AI71" s="157"/>
      <c r="AJ71" s="157"/>
      <c r="AK71" s="157"/>
      <c r="AL71" s="157"/>
      <c r="AM71" s="157"/>
      <c r="AN71" s="157"/>
      <c r="AO71" s="157"/>
      <c r="AP71" s="157"/>
      <c r="AQ71" s="157"/>
      <c r="AR71" s="157"/>
    </row>
    <row r="72" spans="1:44" s="130" customFormat="1">
      <c r="A72" s="152"/>
      <c r="B72" s="250" t="str">
        <f>Inputs!B100</f>
        <v>General machinery &amp; equipment</v>
      </c>
      <c r="C72" s="243"/>
      <c r="D72" s="366">
        <f>IF(Inputs!F100=0,0,(Inputs!D100-Inputs!E100)/Inputs!F100)</f>
        <v>7500</v>
      </c>
      <c r="E72" s="366">
        <f>Inputs!D100*Inputs!$E$112</f>
        <v>3000</v>
      </c>
      <c r="F72" s="264">
        <f>IF(B72=0,0,Inputs!Q100)</f>
        <v>0.96956345955524903</v>
      </c>
      <c r="G72" s="256"/>
      <c r="H72" s="446">
        <f t="shared" si="9"/>
        <v>10180.416325330114</v>
      </c>
      <c r="I72" s="548">
        <f>IF(HerdSize=0,"",IF('Breeding Herd'!H72="","",'Breeding Herd'!H72/HerdSize))</f>
        <v>50.90208162665057</v>
      </c>
      <c r="J72" s="567">
        <f>IF(HerdSize=0,"",IF(H72="","",H72/($C$4+$C$5)))</f>
        <v>54.733421103925345</v>
      </c>
      <c r="K72" s="222"/>
      <c r="L72" s="222"/>
      <c r="M72" s="222"/>
      <c r="N72" s="222"/>
      <c r="O72" s="222"/>
      <c r="P72" s="222"/>
      <c r="Q72" s="222"/>
      <c r="R72" s="222"/>
      <c r="S72" s="222"/>
      <c r="T72" s="222"/>
      <c r="U72" s="222"/>
      <c r="V72" s="222"/>
      <c r="W72" s="222"/>
      <c r="X72" s="222"/>
      <c r="Y72" s="157"/>
      <c r="Z72" s="157"/>
      <c r="AA72" s="157"/>
      <c r="AB72" s="157"/>
      <c r="AC72" s="157"/>
      <c r="AD72" s="157"/>
      <c r="AE72" s="157"/>
      <c r="AF72" s="157"/>
      <c r="AG72" s="157"/>
      <c r="AH72" s="157"/>
      <c r="AI72" s="157"/>
      <c r="AJ72" s="157"/>
      <c r="AK72" s="157"/>
      <c r="AL72" s="157"/>
      <c r="AM72" s="157"/>
      <c r="AN72" s="157"/>
      <c r="AO72" s="157"/>
      <c r="AP72" s="157"/>
      <c r="AQ72" s="157"/>
      <c r="AR72" s="157"/>
    </row>
    <row r="73" spans="1:44" s="130" customFormat="1">
      <c r="A73" s="152"/>
      <c r="B73" s="284" t="str">
        <f>Inputs!B101</f>
        <v>Vehicles</v>
      </c>
      <c r="C73" s="251" t="s">
        <v>9</v>
      </c>
      <c r="D73" s="366">
        <f>IF(Inputs!F101=0,0,(Inputs!D101-Inputs!E101)/Inputs!F101)</f>
        <v>3571.4285714285716</v>
      </c>
      <c r="E73" s="366">
        <f>Inputs!D101*Inputs!$E$112</f>
        <v>1050</v>
      </c>
      <c r="F73" s="264">
        <f>IF(B73=0,0,Inputs!Q101)</f>
        <v>0.96956345955524903</v>
      </c>
      <c r="G73" s="256"/>
      <c r="H73" s="446">
        <f t="shared" si="9"/>
        <v>4480.7682738017584</v>
      </c>
      <c r="I73" s="548">
        <f>IF(HerdSize=0,"",IF('Breeding Herd'!H73="","",'Breeding Herd'!H73/HerdSize))</f>
        <v>22.403841369008791</v>
      </c>
      <c r="J73" s="567">
        <f>IF(HerdSize=0,"",IF(H73="","",H73/($C$4+$C$5)))</f>
        <v>24.090152009686872</v>
      </c>
      <c r="K73" s="222"/>
      <c r="L73" s="222"/>
      <c r="M73" s="222"/>
      <c r="N73" s="222"/>
      <c r="O73" s="222"/>
      <c r="P73" s="222"/>
      <c r="Q73" s="222"/>
      <c r="R73" s="222"/>
      <c r="S73" s="222"/>
      <c r="T73" s="222"/>
      <c r="U73" s="222"/>
      <c r="V73" s="222"/>
      <c r="W73" s="222"/>
      <c r="X73" s="222"/>
      <c r="Y73" s="157"/>
      <c r="Z73" s="157"/>
      <c r="AA73" s="157"/>
      <c r="AB73" s="157"/>
      <c r="AC73" s="157"/>
      <c r="AD73" s="157"/>
      <c r="AE73" s="157"/>
      <c r="AF73" s="157"/>
      <c r="AG73" s="157"/>
      <c r="AH73" s="157"/>
      <c r="AI73" s="157"/>
      <c r="AJ73" s="157"/>
      <c r="AK73" s="157"/>
      <c r="AL73" s="157"/>
      <c r="AM73" s="157"/>
      <c r="AN73" s="157"/>
      <c r="AO73" s="157"/>
      <c r="AP73" s="157"/>
      <c r="AQ73" s="157"/>
      <c r="AR73" s="157"/>
    </row>
    <row r="74" spans="1:44" s="130" customFormat="1">
      <c r="A74" s="152"/>
      <c r="B74" s="284" t="str">
        <f>Inputs!B102</f>
        <v>2 Horses ($5,000 value each)</v>
      </c>
      <c r="C74" s="251" t="s">
        <v>9</v>
      </c>
      <c r="D74" s="366">
        <f>IF(Inputs!F102=0,0,(Inputs!D102-Inputs!E102)/Inputs!F102)</f>
        <v>1000</v>
      </c>
      <c r="E74" s="366">
        <f>Inputs!D102*Inputs!$E$112</f>
        <v>300</v>
      </c>
      <c r="F74" s="264">
        <f>IF(B74=0,0,Inputs!Q102)</f>
        <v>0.96956345955524903</v>
      </c>
      <c r="G74" s="256"/>
      <c r="H74" s="446">
        <f t="shared" si="9"/>
        <v>1260.4324974218237</v>
      </c>
      <c r="I74" s="548">
        <f>IF(HerdSize=0,"",IF('Breeding Herd'!H74="","",'Breeding Herd'!H74/HerdSize))</f>
        <v>6.3021624871091184</v>
      </c>
      <c r="J74" s="567">
        <f>IF(HerdSize=0,"",IF(H74="","",H74/($C$4+$C$5)))</f>
        <v>6.7765188033431381</v>
      </c>
      <c r="K74" s="222"/>
      <c r="L74" s="222"/>
      <c r="M74" s="222"/>
      <c r="N74" s="222"/>
      <c r="O74" s="222"/>
      <c r="P74" s="222"/>
      <c r="Q74" s="222"/>
      <c r="R74" s="222"/>
      <c r="S74" s="222"/>
      <c r="T74" s="222"/>
      <c r="U74" s="222"/>
      <c r="V74" s="222"/>
      <c r="W74" s="222"/>
      <c r="X74" s="222"/>
      <c r="Y74" s="157"/>
      <c r="Z74" s="157"/>
      <c r="AA74" s="157"/>
      <c r="AB74" s="157"/>
      <c r="AC74" s="157"/>
      <c r="AD74" s="157"/>
      <c r="AE74" s="157"/>
      <c r="AF74" s="157"/>
      <c r="AG74" s="157"/>
      <c r="AH74" s="157"/>
      <c r="AI74" s="157"/>
      <c r="AJ74" s="157"/>
      <c r="AK74" s="157"/>
      <c r="AL74" s="157"/>
      <c r="AM74" s="157"/>
      <c r="AN74" s="157"/>
      <c r="AO74" s="157"/>
      <c r="AP74" s="157"/>
      <c r="AQ74" s="157"/>
      <c r="AR74" s="157"/>
    </row>
    <row r="75" spans="1:44" s="130" customFormat="1">
      <c r="A75" s="152"/>
      <c r="B75" s="284">
        <f>Inputs!B103</f>
        <v>0</v>
      </c>
      <c r="C75" s="251" t="s">
        <v>9</v>
      </c>
      <c r="D75" s="366">
        <f>IF(Inputs!F103=0,0,(Inputs!D103-Inputs!E103)/Inputs!F103)</f>
        <v>0</v>
      </c>
      <c r="E75" s="366">
        <f>Inputs!D103*Inputs!$E$112</f>
        <v>0</v>
      </c>
      <c r="F75" s="264">
        <f>IF(B75=0,0,Inputs!Q103)</f>
        <v>0</v>
      </c>
      <c r="G75" s="256"/>
      <c r="H75" s="446">
        <f t="shared" si="9"/>
        <v>0</v>
      </c>
      <c r="I75" s="548">
        <f>IF(HerdSize=0,"",IF('Breeding Herd'!H75="","",'Breeding Herd'!H75/HerdSize))</f>
        <v>0</v>
      </c>
      <c r="J75" s="567">
        <f>IF(HerdSize=0,"",IF(H75="","",H75/($C$4+$C$5)))</f>
        <v>0</v>
      </c>
      <c r="K75" s="222"/>
      <c r="L75" s="222"/>
      <c r="M75" s="222"/>
      <c r="N75" s="222"/>
      <c r="O75" s="222"/>
      <c r="P75" s="222"/>
      <c r="Q75" s="222"/>
      <c r="R75" s="222"/>
      <c r="S75" s="222"/>
      <c r="T75" s="222"/>
      <c r="U75" s="222"/>
      <c r="V75" s="222"/>
      <c r="W75" s="222"/>
      <c r="X75" s="222"/>
      <c r="Y75" s="157"/>
      <c r="Z75" s="157"/>
      <c r="AA75" s="157"/>
      <c r="AB75" s="157"/>
      <c r="AC75" s="157"/>
      <c r="AD75" s="157"/>
      <c r="AE75" s="157"/>
      <c r="AF75" s="157"/>
      <c r="AG75" s="157"/>
      <c r="AH75" s="157"/>
      <c r="AI75" s="157"/>
      <c r="AJ75" s="157"/>
      <c r="AK75" s="157"/>
      <c r="AL75" s="157"/>
      <c r="AM75" s="157"/>
      <c r="AN75" s="157"/>
      <c r="AO75" s="157"/>
      <c r="AP75" s="157"/>
      <c r="AQ75" s="157"/>
      <c r="AR75" s="157"/>
    </row>
    <row r="76" spans="1:44" s="130" customFormat="1" hidden="1">
      <c r="A76" s="156"/>
      <c r="B76" s="284">
        <f>Inputs!B104</f>
        <v>0</v>
      </c>
      <c r="C76" s="251" t="s">
        <v>9</v>
      </c>
      <c r="D76" s="366">
        <f>IF(Inputs!F104=0,0,(Inputs!D104-Inputs!E104)/Inputs!F104)</f>
        <v>0</v>
      </c>
      <c r="E76" s="366">
        <f>Inputs!D104*Inputs!$E$112</f>
        <v>0</v>
      </c>
      <c r="F76" s="264">
        <f>IF(B76=0,0,Inputs!Q104)</f>
        <v>0</v>
      </c>
      <c r="G76" s="256"/>
      <c r="H76" s="446">
        <f t="shared" si="9"/>
        <v>0</v>
      </c>
      <c r="I76" s="548">
        <f>IF(HerdSize=0,"",IF('Breeding Herd'!H76="","",'Breeding Herd'!H76/HerdSize))</f>
        <v>0</v>
      </c>
      <c r="J76" s="567">
        <f>IF(HerdSize=0,"",IF(H76="","",H76/(HerdSize-Inputs!$G$5-Inputs!$G$6)))</f>
        <v>0</v>
      </c>
      <c r="K76" s="222"/>
      <c r="L76" s="222"/>
      <c r="M76" s="222"/>
      <c r="N76" s="222"/>
      <c r="O76" s="222"/>
      <c r="P76" s="222"/>
      <c r="Q76" s="222"/>
      <c r="R76" s="222"/>
      <c r="S76" s="222"/>
      <c r="T76" s="222"/>
      <c r="U76" s="222"/>
      <c r="V76" s="222"/>
      <c r="W76" s="222"/>
      <c r="X76" s="222"/>
      <c r="Y76" s="157"/>
      <c r="Z76" s="157"/>
      <c r="AA76" s="157"/>
      <c r="AB76" s="157"/>
      <c r="AC76" s="157"/>
      <c r="AD76" s="157"/>
      <c r="AE76" s="157"/>
      <c r="AF76" s="157"/>
      <c r="AG76" s="157"/>
      <c r="AH76" s="157"/>
      <c r="AI76" s="157"/>
      <c r="AJ76" s="157"/>
      <c r="AK76" s="157"/>
      <c r="AL76" s="157"/>
      <c r="AM76" s="157"/>
      <c r="AN76" s="157"/>
      <c r="AO76" s="157"/>
      <c r="AP76" s="157"/>
      <c r="AQ76" s="157"/>
      <c r="AR76" s="157"/>
    </row>
    <row r="77" spans="1:44" s="216" customFormat="1" hidden="1">
      <c r="A77" s="156"/>
      <c r="B77" s="284">
        <f>Inputs!B105</f>
        <v>0</v>
      </c>
      <c r="C77" s="251" t="s">
        <v>9</v>
      </c>
      <c r="D77" s="366">
        <f>IF(Inputs!F105=0,0,(Inputs!D105-Inputs!E105)/Inputs!F105)</f>
        <v>0</v>
      </c>
      <c r="E77" s="366">
        <f>Inputs!D105*Inputs!$E$112</f>
        <v>0</v>
      </c>
      <c r="F77" s="264">
        <f>IF(B77=0,0,Inputs!Q105)</f>
        <v>0</v>
      </c>
      <c r="G77" s="256"/>
      <c r="H77" s="446">
        <f t="shared" si="9"/>
        <v>0</v>
      </c>
      <c r="I77" s="548">
        <f>IF(HerdSize=0,"",IF('Breeding Herd'!H77="","",'Breeding Herd'!H77/HerdSize))</f>
        <v>0</v>
      </c>
      <c r="J77" s="567">
        <f>IF(HerdSize=0,"",IF(H77="","",H77/(HerdSize-Inputs!$G$5-Inputs!$G$6)))</f>
        <v>0</v>
      </c>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row>
    <row r="78" spans="1:44" s="216" customFormat="1" hidden="1">
      <c r="A78" s="156"/>
      <c r="B78" s="284">
        <f>Inputs!B106</f>
        <v>0</v>
      </c>
      <c r="C78" s="251" t="s">
        <v>9</v>
      </c>
      <c r="D78" s="366">
        <f>IF(Inputs!F106=0,0,(Inputs!D106-Inputs!E106)/Inputs!F106)</f>
        <v>0</v>
      </c>
      <c r="E78" s="366">
        <f>Inputs!D106*Inputs!$E$112</f>
        <v>0</v>
      </c>
      <c r="F78" s="264">
        <f>IF(B78=0,0,Inputs!Q106)</f>
        <v>0</v>
      </c>
      <c r="G78" s="256"/>
      <c r="H78" s="446">
        <f t="shared" si="9"/>
        <v>0</v>
      </c>
      <c r="I78" s="548">
        <f>IF(HerdSize=0,"",IF('Breeding Herd'!H78="","",'Breeding Herd'!H78/HerdSize))</f>
        <v>0</v>
      </c>
      <c r="J78" s="567">
        <f>IF(HerdSize=0,"",IF(H78="","",H78/(HerdSize-Inputs!$G$5-Inputs!$G$6)))</f>
        <v>0</v>
      </c>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row>
    <row r="79" spans="1:44" s="216" customFormat="1" hidden="1">
      <c r="A79" s="156"/>
      <c r="B79" s="284">
        <f>Inputs!B107</f>
        <v>0</v>
      </c>
      <c r="C79" s="251" t="s">
        <v>9</v>
      </c>
      <c r="D79" s="366">
        <f>IF(Inputs!F107=0,0,(Inputs!D107-Inputs!E107)/Inputs!F107)</f>
        <v>0</v>
      </c>
      <c r="E79" s="366">
        <f>Inputs!D107*Inputs!$E$112</f>
        <v>0</v>
      </c>
      <c r="F79" s="264">
        <f>IF(B79=0,0,Inputs!Q107)</f>
        <v>0</v>
      </c>
      <c r="G79" s="256"/>
      <c r="H79" s="446">
        <f t="shared" si="9"/>
        <v>0</v>
      </c>
      <c r="I79" s="548">
        <f>IF(HerdSize=0,"",IF('Breeding Herd'!H79="","",'Breeding Herd'!H79/HerdSize))</f>
        <v>0</v>
      </c>
      <c r="J79" s="567">
        <f>IF(HerdSize=0,"",IF(H79="","",H79/(HerdSize-Inputs!$G$5-Inputs!$G$6)))</f>
        <v>0</v>
      </c>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row>
    <row r="80" spans="1:44" s="216" customFormat="1" hidden="1">
      <c r="A80" s="156"/>
      <c r="B80" s="284">
        <f>Inputs!B108</f>
        <v>0</v>
      </c>
      <c r="C80" s="251" t="s">
        <v>9</v>
      </c>
      <c r="D80" s="366">
        <f>IF(Inputs!F108=0,0,(Inputs!D108-Inputs!E108)/Inputs!F108)</f>
        <v>0</v>
      </c>
      <c r="E80" s="366">
        <f>Inputs!D108*Inputs!$E$112</f>
        <v>0</v>
      </c>
      <c r="F80" s="264">
        <f>IF(B80=0,0,Inputs!Q108)</f>
        <v>0</v>
      </c>
      <c r="G80" s="256"/>
      <c r="H80" s="446">
        <f t="shared" si="9"/>
        <v>0</v>
      </c>
      <c r="I80" s="548">
        <f>IF(HerdSize=0,"",IF('Breeding Herd'!H80="","",'Breeding Herd'!H80/HerdSize))</f>
        <v>0</v>
      </c>
      <c r="J80" s="567">
        <f>IF(HerdSize=0,"",IF(H80="","",H80/(HerdSize-Inputs!$G$5-Inputs!$G$6)))</f>
        <v>0</v>
      </c>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row>
    <row r="81" spans="1:44" s="130" customFormat="1" hidden="1">
      <c r="A81" s="152"/>
      <c r="B81" s="240"/>
      <c r="C81" s="251"/>
      <c r="D81" s="256"/>
      <c r="E81" s="256"/>
      <c r="F81" s="264"/>
      <c r="G81" s="256"/>
      <c r="H81" s="446"/>
      <c r="I81" s="548"/>
      <c r="J81" s="567"/>
      <c r="K81" s="222"/>
      <c r="L81" s="222"/>
      <c r="M81" s="222"/>
      <c r="N81" s="222"/>
      <c r="O81" s="222"/>
      <c r="P81" s="222"/>
      <c r="Q81" s="222"/>
      <c r="R81" s="222"/>
      <c r="S81" s="222"/>
      <c r="T81" s="222"/>
      <c r="U81" s="222"/>
      <c r="V81" s="222"/>
      <c r="W81" s="222"/>
      <c r="X81" s="222"/>
      <c r="Y81" s="157"/>
      <c r="Z81" s="157"/>
      <c r="AA81" s="157"/>
      <c r="AB81" s="157"/>
      <c r="AC81" s="157"/>
      <c r="AD81" s="157"/>
      <c r="AE81" s="157"/>
      <c r="AF81" s="157"/>
      <c r="AG81" s="157"/>
      <c r="AH81" s="157"/>
      <c r="AI81" s="157"/>
      <c r="AJ81" s="157"/>
      <c r="AK81" s="157"/>
      <c r="AL81" s="157"/>
      <c r="AM81" s="157"/>
      <c r="AN81" s="157"/>
      <c r="AO81" s="157"/>
      <c r="AP81" s="157"/>
      <c r="AQ81" s="157"/>
      <c r="AR81" s="157"/>
    </row>
    <row r="82" spans="1:44" s="130" customFormat="1">
      <c r="A82" s="152"/>
      <c r="B82" s="263" t="s">
        <v>113</v>
      </c>
      <c r="C82" s="243"/>
      <c r="D82" s="271" t="s">
        <v>56</v>
      </c>
      <c r="E82" s="251"/>
      <c r="F82" s="267" t="s">
        <v>48</v>
      </c>
      <c r="G82" s="251"/>
      <c r="H82" s="446"/>
      <c r="I82" s="548"/>
      <c r="J82" s="567"/>
      <c r="K82" s="222"/>
      <c r="L82" s="222"/>
      <c r="M82" s="222"/>
      <c r="N82" s="222"/>
      <c r="O82" s="222"/>
      <c r="P82" s="222"/>
      <c r="Q82" s="222"/>
      <c r="R82" s="222"/>
      <c r="S82" s="222"/>
      <c r="T82" s="222"/>
      <c r="U82" s="222"/>
      <c r="V82" s="222"/>
      <c r="W82" s="222"/>
      <c r="X82" s="222"/>
      <c r="Y82" s="157"/>
      <c r="Z82" s="157"/>
      <c r="AA82" s="157"/>
      <c r="AB82" s="157"/>
      <c r="AC82" s="157"/>
      <c r="AD82" s="157"/>
      <c r="AE82" s="157"/>
      <c r="AF82" s="157"/>
      <c r="AG82" s="157"/>
      <c r="AH82" s="157"/>
      <c r="AI82" s="157"/>
      <c r="AJ82" s="157"/>
      <c r="AK82" s="157"/>
      <c r="AL82" s="157"/>
      <c r="AM82" s="157"/>
      <c r="AN82" s="157"/>
      <c r="AO82" s="157"/>
      <c r="AP82" s="157"/>
      <c r="AQ82" s="157"/>
      <c r="AR82" s="157"/>
    </row>
    <row r="83" spans="1:44" s="130" customFormat="1">
      <c r="A83" s="152"/>
      <c r="B83" s="250" t="s">
        <v>100</v>
      </c>
      <c r="C83" s="243"/>
      <c r="D83" s="251">
        <f>Inputs!E116*Inputs!E112</f>
        <v>0</v>
      </c>
      <c r="E83" s="251"/>
      <c r="F83" s="279">
        <f>Inputs!Q116</f>
        <v>0.96956345955524903</v>
      </c>
      <c r="G83" s="251"/>
      <c r="H83" s="446">
        <f>D83*F83</f>
        <v>0</v>
      </c>
      <c r="I83" s="548" t="str">
        <f>IF(HerdSize=0,"",IF('Breeding Herd'!H83=0,"",'Breeding Herd'!H83/HerdSize))</f>
        <v/>
      </c>
      <c r="J83" s="567" t="str">
        <f>IF(HerdSize=0,"",IF(H83=0,"",H83/(HerdSize-Inputs!$G$5-Inputs!$G$6)))</f>
        <v/>
      </c>
      <c r="K83" s="222"/>
      <c r="L83" s="222"/>
      <c r="M83" s="222"/>
      <c r="N83" s="222"/>
      <c r="O83" s="222"/>
      <c r="P83" s="222"/>
      <c r="Q83" s="222"/>
      <c r="R83" s="222"/>
      <c r="S83" s="222"/>
      <c r="T83" s="222"/>
      <c r="U83" s="222"/>
      <c r="V83" s="222"/>
      <c r="W83" s="222"/>
      <c r="X83" s="222"/>
      <c r="Y83" s="157"/>
      <c r="Z83" s="157"/>
      <c r="AA83" s="157"/>
      <c r="AB83" s="157"/>
      <c r="AC83" s="157"/>
      <c r="AD83" s="157"/>
      <c r="AE83" s="157"/>
      <c r="AF83" s="157"/>
      <c r="AG83" s="157"/>
      <c r="AH83" s="157"/>
      <c r="AI83" s="157"/>
      <c r="AJ83" s="157"/>
      <c r="AK83" s="157"/>
      <c r="AL83" s="157"/>
      <c r="AM83" s="157"/>
      <c r="AN83" s="157"/>
      <c r="AO83" s="157"/>
      <c r="AP83" s="157"/>
      <c r="AQ83" s="157"/>
      <c r="AR83" s="157"/>
    </row>
    <row r="84" spans="1:44" s="130" customFormat="1" ht="13.5" thickBot="1">
      <c r="A84" s="152"/>
      <c r="B84" s="253" t="s">
        <v>101</v>
      </c>
      <c r="C84" s="244"/>
      <c r="D84" s="286">
        <f>(Inputs!G3*Inputs!G4+Inputs!G17*(Inputs!G18+Inputs!G21*Inputs!G22/100)/2+Replacements!D1*Inputs!G25*Inputs!G27/100)*Inputs!E112</f>
        <v>9079.5</v>
      </c>
      <c r="E84" s="254"/>
      <c r="F84" s="287">
        <v>1</v>
      </c>
      <c r="G84" s="254"/>
      <c r="H84" s="446">
        <f>D84*F84</f>
        <v>9079.5</v>
      </c>
      <c r="I84" s="553">
        <f>IF(HerdSize=0,"",IF('Breeding Herd'!D84=0,"",'Breeding Herd'!D84/HerdSize))</f>
        <v>45.397500000000001</v>
      </c>
      <c r="J84" s="572">
        <f>IF((C4+C5)=0,"",IF(D84=0,"",D84/((C4+C5))))</f>
        <v>48.814516129032256</v>
      </c>
      <c r="K84" s="222"/>
      <c r="L84" s="222"/>
      <c r="M84" s="222"/>
      <c r="N84" s="222"/>
      <c r="O84" s="222"/>
      <c r="P84" s="222"/>
      <c r="Q84" s="222"/>
      <c r="R84" s="222"/>
      <c r="S84" s="222"/>
      <c r="T84" s="222"/>
      <c r="U84" s="222"/>
      <c r="V84" s="222"/>
      <c r="W84" s="222"/>
      <c r="X84" s="222"/>
      <c r="Y84" s="157"/>
      <c r="Z84" s="157"/>
      <c r="AA84" s="157"/>
      <c r="AB84" s="157"/>
      <c r="AC84" s="157"/>
      <c r="AD84" s="157"/>
      <c r="AE84" s="157"/>
      <c r="AF84" s="157"/>
      <c r="AG84" s="157"/>
      <c r="AH84" s="157"/>
      <c r="AI84" s="157"/>
      <c r="AJ84" s="157"/>
      <c r="AK84" s="157"/>
      <c r="AL84" s="157"/>
      <c r="AM84" s="157"/>
      <c r="AN84" s="157"/>
      <c r="AO84" s="157"/>
      <c r="AP84" s="157"/>
      <c r="AQ84" s="157"/>
      <c r="AR84" s="157"/>
    </row>
    <row r="85" spans="1:44" s="130" customFormat="1" ht="16.5" thickBot="1">
      <c r="A85" s="152"/>
      <c r="B85" s="280"/>
      <c r="C85" s="281"/>
      <c r="D85" s="281"/>
      <c r="E85" s="281"/>
      <c r="F85" s="281"/>
      <c r="G85" s="247" t="s">
        <v>106</v>
      </c>
      <c r="H85" s="535">
        <f>SUM(H71:H84)</f>
        <v>30624.585161974141</v>
      </c>
      <c r="I85" s="554">
        <f>SUM(I71:I84)</f>
        <v>153.12292580987068</v>
      </c>
      <c r="J85" s="573">
        <f>SUM(J71:J84)</f>
        <v>164.64830732244161</v>
      </c>
      <c r="K85" s="222"/>
      <c r="L85" s="222"/>
      <c r="M85" s="222"/>
      <c r="N85" s="222"/>
      <c r="O85" s="222"/>
      <c r="P85" s="222"/>
      <c r="Q85" s="222"/>
      <c r="R85" s="222"/>
      <c r="S85" s="222"/>
      <c r="T85" s="222"/>
      <c r="U85" s="222"/>
      <c r="V85" s="222"/>
      <c r="W85" s="222"/>
      <c r="X85" s="222"/>
      <c r="Y85" s="157"/>
      <c r="Z85" s="157"/>
      <c r="AA85" s="157"/>
      <c r="AB85" s="157"/>
      <c r="AC85" s="157"/>
      <c r="AD85" s="157"/>
      <c r="AE85" s="157"/>
      <c r="AF85" s="157"/>
      <c r="AG85" s="157"/>
      <c r="AH85" s="157"/>
      <c r="AI85" s="157"/>
      <c r="AJ85" s="157"/>
      <c r="AK85" s="157"/>
      <c r="AL85" s="157"/>
      <c r="AM85" s="157"/>
      <c r="AN85" s="157"/>
      <c r="AO85" s="157"/>
      <c r="AP85" s="157"/>
      <c r="AQ85" s="157"/>
      <c r="AR85" s="157"/>
    </row>
    <row r="86" spans="1:44" s="130" customFormat="1" ht="13.5" thickBot="1">
      <c r="A86" s="152"/>
      <c r="B86" s="378"/>
      <c r="C86" s="378"/>
      <c r="D86" s="378"/>
      <c r="E86" s="378"/>
      <c r="F86" s="378"/>
      <c r="G86" s="378"/>
      <c r="H86" s="534"/>
      <c r="I86" s="552"/>
      <c r="J86" s="571"/>
      <c r="K86" s="222"/>
      <c r="L86" s="222"/>
      <c r="M86" s="222"/>
      <c r="N86" s="222"/>
      <c r="O86" s="222"/>
      <c r="P86" s="222"/>
      <c r="Q86" s="222"/>
      <c r="R86" s="222"/>
      <c r="S86" s="222"/>
      <c r="T86" s="222"/>
      <c r="U86" s="222"/>
      <c r="V86" s="222"/>
      <c r="W86" s="222"/>
      <c r="X86" s="222"/>
      <c r="Y86" s="157"/>
      <c r="Z86" s="157"/>
      <c r="AA86" s="157"/>
      <c r="AB86" s="157"/>
      <c r="AC86" s="157"/>
      <c r="AD86" s="157"/>
      <c r="AE86" s="157"/>
      <c r="AF86" s="157"/>
      <c r="AG86" s="157"/>
      <c r="AH86" s="157"/>
      <c r="AI86" s="157"/>
      <c r="AJ86" s="157"/>
      <c r="AK86" s="157"/>
      <c r="AL86" s="157"/>
      <c r="AM86" s="157"/>
      <c r="AN86" s="157"/>
      <c r="AO86" s="157"/>
      <c r="AP86" s="157"/>
      <c r="AQ86" s="157"/>
      <c r="AR86" s="157"/>
    </row>
    <row r="87" spans="1:44" s="130" customFormat="1" ht="18" customHeight="1">
      <c r="A87" s="152"/>
      <c r="B87" s="147" t="s">
        <v>108</v>
      </c>
      <c r="C87" s="139"/>
      <c r="D87" s="143"/>
      <c r="E87" s="143"/>
      <c r="F87" s="143"/>
      <c r="G87" s="144"/>
      <c r="H87" s="536" t="s">
        <v>74</v>
      </c>
      <c r="I87" s="555" t="s">
        <v>91</v>
      </c>
      <c r="J87" s="574" t="s">
        <v>149</v>
      </c>
      <c r="K87" s="222"/>
      <c r="L87" s="222"/>
      <c r="M87" s="222"/>
      <c r="N87" s="222"/>
      <c r="O87" s="222"/>
      <c r="P87" s="222"/>
      <c r="Q87" s="222"/>
      <c r="R87" s="222"/>
      <c r="S87" s="222"/>
      <c r="T87" s="222"/>
      <c r="U87" s="222"/>
      <c r="V87" s="222"/>
      <c r="W87" s="222"/>
      <c r="X87" s="222"/>
      <c r="Y87" s="157"/>
      <c r="Z87" s="157"/>
      <c r="AA87" s="157"/>
      <c r="AB87" s="157"/>
      <c r="AC87" s="157"/>
      <c r="AD87" s="157"/>
      <c r="AE87" s="157"/>
      <c r="AF87" s="157"/>
      <c r="AG87" s="157"/>
      <c r="AH87" s="157"/>
      <c r="AI87" s="157"/>
      <c r="AJ87" s="157"/>
      <c r="AK87" s="157"/>
      <c r="AL87" s="157"/>
      <c r="AM87" s="157"/>
      <c r="AN87" s="157"/>
      <c r="AO87" s="157"/>
      <c r="AP87" s="157"/>
      <c r="AQ87" s="157"/>
      <c r="AR87" s="157"/>
    </row>
    <row r="88" spans="1:44" s="130" customFormat="1" ht="16.5" thickBot="1">
      <c r="A88" s="152"/>
      <c r="B88" s="135"/>
      <c r="C88" s="136"/>
      <c r="D88" s="136"/>
      <c r="E88" s="136"/>
      <c r="F88" s="136"/>
      <c r="G88" s="137" t="s">
        <v>71</v>
      </c>
      <c r="H88" s="537">
        <f>H65+H85</f>
        <v>265491.26825276489</v>
      </c>
      <c r="I88" s="556">
        <f>I65+I85</f>
        <v>1327.4563412638242</v>
      </c>
      <c r="J88" s="575">
        <f>J65+J85</f>
        <v>1431.4969786617216</v>
      </c>
      <c r="K88" s="222"/>
      <c r="L88" s="222"/>
      <c r="M88" s="222"/>
      <c r="N88" s="222"/>
      <c r="O88" s="222"/>
      <c r="P88" s="222"/>
      <c r="Q88" s="222"/>
      <c r="R88" s="222"/>
      <c r="S88" s="222"/>
      <c r="T88" s="222"/>
      <c r="U88" s="222"/>
      <c r="V88" s="222"/>
      <c r="W88" s="222"/>
      <c r="X88" s="222"/>
      <c r="Y88" s="157"/>
      <c r="Z88" s="157"/>
      <c r="AA88" s="157"/>
      <c r="AB88" s="157"/>
      <c r="AC88" s="157"/>
      <c r="AD88" s="157"/>
      <c r="AE88" s="157"/>
      <c r="AF88" s="157"/>
      <c r="AG88" s="157"/>
      <c r="AH88" s="157"/>
      <c r="AI88" s="157"/>
      <c r="AJ88" s="157"/>
      <c r="AK88" s="157"/>
      <c r="AL88" s="157"/>
      <c r="AM88" s="157"/>
      <c r="AN88" s="157"/>
      <c r="AO88" s="157"/>
      <c r="AP88" s="157"/>
      <c r="AQ88" s="157"/>
      <c r="AR88" s="157"/>
    </row>
    <row r="89" spans="1:44" s="130" customFormat="1" ht="13.5" thickBot="1">
      <c r="A89" s="152"/>
      <c r="B89" s="62"/>
      <c r="C89" s="49"/>
      <c r="D89" s="49"/>
      <c r="E89" s="49"/>
      <c r="F89" s="49"/>
      <c r="G89" s="49"/>
      <c r="H89" s="366"/>
      <c r="I89" s="541"/>
      <c r="J89" s="576"/>
      <c r="K89" s="222"/>
      <c r="L89" s="222"/>
      <c r="M89" s="222"/>
      <c r="N89" s="222"/>
      <c r="O89" s="222"/>
      <c r="P89" s="222"/>
      <c r="Q89" s="222"/>
      <c r="R89" s="222"/>
      <c r="S89" s="222"/>
      <c r="T89" s="222"/>
      <c r="U89" s="222"/>
      <c r="V89" s="222"/>
      <c r="W89" s="222"/>
      <c r="X89" s="222"/>
      <c r="Y89" s="157"/>
      <c r="Z89" s="157"/>
      <c r="AA89" s="157"/>
      <c r="AB89" s="157"/>
      <c r="AC89" s="157"/>
      <c r="AD89" s="157"/>
      <c r="AE89" s="157"/>
      <c r="AF89" s="157"/>
      <c r="AG89" s="157"/>
      <c r="AH89" s="157"/>
      <c r="AI89" s="157"/>
      <c r="AJ89" s="157"/>
      <c r="AK89" s="157"/>
      <c r="AL89" s="157"/>
      <c r="AM89" s="157"/>
      <c r="AN89" s="157"/>
      <c r="AO89" s="157"/>
      <c r="AP89" s="157"/>
      <c r="AQ89" s="157"/>
      <c r="AR89" s="157"/>
    </row>
    <row r="90" spans="1:44" s="130" customFormat="1" ht="16.5" thickBot="1">
      <c r="A90" s="152"/>
      <c r="B90" s="66"/>
      <c r="C90" s="67"/>
      <c r="D90" s="67"/>
      <c r="E90" s="67"/>
      <c r="F90" s="67"/>
      <c r="G90" s="21" t="s">
        <v>243</v>
      </c>
      <c r="H90" s="538">
        <f>H9-H88</f>
        <v>-67829.518252764887</v>
      </c>
      <c r="I90" s="472">
        <f>I9-I88</f>
        <v>-339.14759126382421</v>
      </c>
      <c r="J90" s="472">
        <f>J9-J88</f>
        <v>-368.79939801656042</v>
      </c>
      <c r="K90" s="222"/>
      <c r="L90" s="222"/>
      <c r="M90" s="222"/>
      <c r="N90" s="222"/>
      <c r="O90" s="222"/>
      <c r="P90" s="222"/>
      <c r="Q90" s="222"/>
      <c r="R90" s="222"/>
      <c r="S90" s="222"/>
      <c r="T90" s="222"/>
      <c r="U90" s="222"/>
      <c r="V90" s="222"/>
      <c r="W90" s="222"/>
      <c r="X90" s="222"/>
      <c r="Y90" s="157"/>
      <c r="Z90" s="157"/>
      <c r="AA90" s="157"/>
      <c r="AB90" s="157"/>
      <c r="AC90" s="157"/>
      <c r="AD90" s="157"/>
      <c r="AE90" s="157"/>
      <c r="AF90" s="157"/>
      <c r="AG90" s="157"/>
      <c r="AH90" s="157"/>
      <c r="AI90" s="157"/>
      <c r="AJ90" s="157"/>
      <c r="AK90" s="157"/>
      <c r="AL90" s="157"/>
      <c r="AM90" s="157"/>
      <c r="AN90" s="157"/>
      <c r="AO90" s="157"/>
      <c r="AP90" s="157"/>
      <c r="AQ90" s="157"/>
      <c r="AR90" s="157"/>
    </row>
    <row r="91" spans="1:44" s="130" customFormat="1">
      <c r="A91" s="152"/>
      <c r="B91" s="153"/>
      <c r="C91" s="153"/>
      <c r="D91" s="153"/>
      <c r="E91" s="153"/>
      <c r="F91" s="153"/>
      <c r="G91" s="153"/>
      <c r="H91" s="153"/>
      <c r="I91" s="153"/>
      <c r="J91" s="153"/>
      <c r="K91" s="222"/>
      <c r="L91" s="222"/>
      <c r="M91" s="222"/>
      <c r="N91" s="222"/>
      <c r="O91" s="222"/>
      <c r="P91" s="222"/>
      <c r="Q91" s="222"/>
      <c r="R91" s="222"/>
      <c r="S91" s="222"/>
      <c r="T91" s="222"/>
      <c r="U91" s="222"/>
      <c r="V91" s="222"/>
      <c r="W91" s="222"/>
      <c r="X91" s="222"/>
      <c r="Y91" s="157"/>
      <c r="Z91" s="157"/>
      <c r="AA91" s="157"/>
      <c r="AB91" s="157"/>
      <c r="AC91" s="157"/>
      <c r="AD91" s="157"/>
      <c r="AE91" s="157"/>
      <c r="AF91" s="157"/>
      <c r="AG91" s="157"/>
      <c r="AH91" s="157"/>
      <c r="AI91" s="157"/>
      <c r="AJ91" s="157"/>
      <c r="AK91" s="157"/>
      <c r="AL91" s="157"/>
      <c r="AM91" s="157"/>
      <c r="AN91" s="157"/>
      <c r="AO91" s="157"/>
      <c r="AP91" s="157"/>
      <c r="AQ91" s="157"/>
      <c r="AR91" s="157"/>
    </row>
    <row r="92" spans="1:44" s="130" customFormat="1">
      <c r="A92" s="152"/>
      <c r="B92" s="153"/>
      <c r="C92" s="153"/>
      <c r="D92" s="153"/>
      <c r="E92" s="153"/>
      <c r="F92" s="153"/>
      <c r="G92" s="153"/>
      <c r="H92" s="153"/>
      <c r="I92" s="153"/>
      <c r="J92" s="153"/>
      <c r="K92" s="222"/>
      <c r="L92" s="222"/>
      <c r="M92" s="222"/>
      <c r="N92" s="222"/>
      <c r="O92" s="222"/>
      <c r="P92" s="222"/>
      <c r="Q92" s="222"/>
      <c r="R92" s="222"/>
      <c r="S92" s="222"/>
      <c r="T92" s="222"/>
      <c r="U92" s="222"/>
      <c r="V92" s="222"/>
      <c r="W92" s="222"/>
      <c r="X92" s="222"/>
      <c r="Y92" s="157"/>
      <c r="Z92" s="157"/>
      <c r="AA92" s="157"/>
      <c r="AB92" s="157"/>
      <c r="AC92" s="157"/>
      <c r="AD92" s="157"/>
      <c r="AE92" s="157"/>
      <c r="AF92" s="157"/>
      <c r="AG92" s="157"/>
      <c r="AH92" s="157"/>
      <c r="AI92" s="157"/>
      <c r="AJ92" s="157"/>
      <c r="AK92" s="157"/>
      <c r="AL92" s="157"/>
      <c r="AM92" s="157"/>
      <c r="AN92" s="157"/>
      <c r="AO92" s="157"/>
      <c r="AP92" s="157"/>
      <c r="AQ92" s="157"/>
      <c r="AR92" s="157"/>
    </row>
    <row r="93" spans="1:44" s="130" customFormat="1">
      <c r="A93" s="152"/>
      <c r="B93" s="153"/>
      <c r="C93" s="153"/>
      <c r="D93" s="153"/>
      <c r="E93" s="153"/>
      <c r="F93" s="153"/>
      <c r="G93" s="153"/>
      <c r="H93" s="153"/>
      <c r="I93" s="153"/>
      <c r="J93" s="153"/>
      <c r="K93" s="222"/>
      <c r="L93" s="222"/>
      <c r="M93" s="222"/>
      <c r="N93" s="222"/>
      <c r="O93" s="222"/>
      <c r="P93" s="222"/>
      <c r="Q93" s="222"/>
      <c r="R93" s="222"/>
      <c r="S93" s="222"/>
      <c r="T93" s="222"/>
      <c r="U93" s="222"/>
      <c r="V93" s="222"/>
      <c r="W93" s="222"/>
      <c r="X93" s="222"/>
      <c r="Y93" s="157"/>
      <c r="Z93" s="157"/>
      <c r="AA93" s="157"/>
      <c r="AB93" s="157"/>
      <c r="AC93" s="157"/>
      <c r="AD93" s="157"/>
      <c r="AE93" s="157"/>
      <c r="AF93" s="157"/>
      <c r="AG93" s="157"/>
      <c r="AH93" s="157"/>
      <c r="AI93" s="157"/>
      <c r="AJ93" s="157"/>
      <c r="AK93" s="157"/>
      <c r="AL93" s="157"/>
      <c r="AM93" s="157"/>
      <c r="AN93" s="157"/>
      <c r="AO93" s="157"/>
      <c r="AP93" s="157"/>
      <c r="AQ93" s="157"/>
      <c r="AR93" s="157"/>
    </row>
    <row r="94" spans="1:44" s="130" customFormat="1">
      <c r="A94" s="152"/>
      <c r="B94" s="153"/>
      <c r="C94" s="153"/>
      <c r="D94" s="153"/>
      <c r="E94" s="153"/>
      <c r="F94" s="153"/>
      <c r="G94" s="153"/>
      <c r="H94" s="153"/>
      <c r="I94" s="153"/>
      <c r="J94" s="153"/>
      <c r="K94" s="222"/>
      <c r="L94" s="222"/>
      <c r="M94" s="222"/>
      <c r="N94" s="222"/>
      <c r="O94" s="222"/>
      <c r="P94" s="222"/>
      <c r="Q94" s="222"/>
      <c r="R94" s="222"/>
      <c r="S94" s="222"/>
      <c r="T94" s="222"/>
      <c r="U94" s="222"/>
      <c r="V94" s="222"/>
      <c r="W94" s="222"/>
      <c r="X94" s="222"/>
      <c r="Y94" s="157"/>
      <c r="Z94" s="157"/>
      <c r="AA94" s="157"/>
      <c r="AB94" s="157"/>
      <c r="AC94" s="157"/>
      <c r="AD94" s="157"/>
      <c r="AE94" s="157"/>
      <c r="AF94" s="157"/>
      <c r="AG94" s="157"/>
      <c r="AH94" s="157"/>
      <c r="AI94" s="157"/>
      <c r="AJ94" s="157"/>
      <c r="AK94" s="157"/>
      <c r="AL94" s="157"/>
      <c r="AM94" s="157"/>
      <c r="AN94" s="157"/>
      <c r="AO94" s="157"/>
      <c r="AP94" s="157"/>
      <c r="AQ94" s="157"/>
      <c r="AR94" s="157"/>
    </row>
    <row r="95" spans="1:44" s="130" customFormat="1">
      <c r="A95" s="152"/>
      <c r="B95" s="153"/>
      <c r="C95" s="153"/>
      <c r="D95" s="153"/>
      <c r="E95" s="153"/>
      <c r="F95" s="153"/>
      <c r="G95" s="153"/>
      <c r="H95" s="153"/>
      <c r="I95" s="153"/>
      <c r="J95" s="153"/>
      <c r="K95" s="222"/>
      <c r="L95" s="222"/>
      <c r="M95" s="222"/>
      <c r="N95" s="222"/>
      <c r="O95" s="222"/>
      <c r="P95" s="222"/>
      <c r="Q95" s="222"/>
      <c r="R95" s="222"/>
      <c r="S95" s="222"/>
      <c r="T95" s="222"/>
      <c r="U95" s="222"/>
      <c r="V95" s="222"/>
      <c r="W95" s="222"/>
      <c r="X95" s="222"/>
      <c r="Y95" s="157"/>
      <c r="Z95" s="157"/>
      <c r="AA95" s="157"/>
      <c r="AB95" s="157"/>
      <c r="AC95" s="157"/>
      <c r="AD95" s="157"/>
      <c r="AE95" s="157"/>
      <c r="AF95" s="157"/>
      <c r="AG95" s="157"/>
      <c r="AH95" s="157"/>
      <c r="AI95" s="157"/>
      <c r="AJ95" s="157"/>
      <c r="AK95" s="157"/>
      <c r="AL95" s="157"/>
      <c r="AM95" s="157"/>
      <c r="AN95" s="157"/>
      <c r="AO95" s="157"/>
      <c r="AP95" s="157"/>
      <c r="AQ95" s="157"/>
      <c r="AR95" s="157"/>
    </row>
    <row r="96" spans="1:44" s="130" customFormat="1">
      <c r="A96" s="152"/>
      <c r="B96" s="153"/>
      <c r="C96" s="153"/>
      <c r="D96" s="153"/>
      <c r="E96" s="153"/>
      <c r="F96" s="153"/>
      <c r="G96" s="153"/>
      <c r="H96" s="153"/>
      <c r="I96" s="153"/>
      <c r="J96" s="153"/>
      <c r="K96" s="222"/>
      <c r="L96" s="222"/>
      <c r="M96" s="222"/>
      <c r="N96" s="222"/>
      <c r="O96" s="222"/>
      <c r="P96" s="222"/>
      <c r="Q96" s="222"/>
      <c r="R96" s="222"/>
      <c r="S96" s="222"/>
      <c r="T96" s="222"/>
      <c r="U96" s="222"/>
      <c r="V96" s="222"/>
      <c r="W96" s="222"/>
      <c r="X96" s="222"/>
      <c r="Y96" s="157"/>
      <c r="Z96" s="157"/>
      <c r="AA96" s="157"/>
      <c r="AB96" s="157"/>
      <c r="AC96" s="157"/>
      <c r="AD96" s="157"/>
      <c r="AE96" s="157"/>
      <c r="AF96" s="157"/>
      <c r="AG96" s="157"/>
      <c r="AH96" s="157"/>
      <c r="AI96" s="157"/>
      <c r="AJ96" s="157"/>
      <c r="AK96" s="157"/>
      <c r="AL96" s="157"/>
      <c r="AM96" s="157"/>
      <c r="AN96" s="157"/>
      <c r="AO96" s="157"/>
      <c r="AP96" s="157"/>
      <c r="AQ96" s="157"/>
      <c r="AR96" s="157"/>
    </row>
    <row r="97" spans="2:10">
      <c r="B97" s="153"/>
      <c r="C97" s="153"/>
      <c r="D97" s="153"/>
      <c r="E97" s="153"/>
      <c r="F97" s="153"/>
      <c r="G97" s="153"/>
      <c r="H97" s="153"/>
      <c r="I97" s="153"/>
      <c r="J97" s="153"/>
    </row>
    <row r="98" spans="2:10">
      <c r="B98" s="153"/>
      <c r="C98" s="153"/>
      <c r="D98" s="153"/>
      <c r="E98" s="153"/>
      <c r="F98" s="153"/>
      <c r="G98" s="153"/>
      <c r="H98" s="153"/>
      <c r="I98" s="153"/>
      <c r="J98" s="153"/>
    </row>
    <row r="99" spans="2:10">
      <c r="B99" s="153"/>
      <c r="C99" s="153"/>
      <c r="D99" s="153"/>
      <c r="E99" s="153"/>
      <c r="F99" s="153"/>
      <c r="G99" s="153"/>
      <c r="H99" s="153"/>
      <c r="I99" s="153"/>
      <c r="J99" s="153"/>
    </row>
    <row r="100" spans="2:10">
      <c r="B100" s="153"/>
      <c r="C100" s="153"/>
      <c r="D100" s="153"/>
      <c r="E100" s="153"/>
      <c r="F100" s="153"/>
      <c r="G100" s="153"/>
      <c r="H100" s="153"/>
      <c r="I100" s="153"/>
      <c r="J100" s="153"/>
    </row>
    <row r="101" spans="2:10">
      <c r="B101" s="153"/>
      <c r="C101" s="153"/>
      <c r="D101" s="153"/>
      <c r="E101" s="153"/>
      <c r="F101" s="153"/>
      <c r="G101" s="153"/>
      <c r="H101" s="153"/>
      <c r="I101" s="153"/>
      <c r="J101" s="153"/>
    </row>
    <row r="102" spans="2:10">
      <c r="B102" s="153"/>
      <c r="C102" s="153"/>
      <c r="D102" s="153"/>
      <c r="E102" s="153"/>
      <c r="F102" s="153"/>
      <c r="G102" s="153"/>
      <c r="H102" s="153"/>
      <c r="I102" s="153"/>
      <c r="J102" s="153"/>
    </row>
    <row r="103" spans="2:10">
      <c r="B103" s="153"/>
      <c r="C103" s="153"/>
      <c r="D103" s="153"/>
      <c r="E103" s="153"/>
      <c r="F103" s="153"/>
      <c r="G103" s="153"/>
      <c r="H103" s="153"/>
      <c r="I103" s="153"/>
      <c r="J103" s="153"/>
    </row>
    <row r="104" spans="2:10">
      <c r="B104" s="153"/>
      <c r="C104" s="153"/>
      <c r="D104" s="153"/>
      <c r="E104" s="153"/>
      <c r="F104" s="153"/>
      <c r="G104" s="153"/>
      <c r="H104" s="153"/>
      <c r="I104" s="153"/>
      <c r="J104" s="153"/>
    </row>
    <row r="105" spans="2:10">
      <c r="B105" s="153"/>
      <c r="C105" s="153"/>
      <c r="D105" s="153"/>
      <c r="E105" s="153"/>
      <c r="F105" s="153"/>
      <c r="G105" s="153"/>
      <c r="H105" s="153"/>
      <c r="I105" s="153"/>
      <c r="J105" s="153"/>
    </row>
    <row r="106" spans="2:10">
      <c r="B106" s="153"/>
      <c r="C106" s="153"/>
      <c r="D106" s="153"/>
      <c r="E106" s="153"/>
      <c r="F106" s="153"/>
      <c r="G106" s="153"/>
      <c r="H106" s="153"/>
      <c r="I106" s="153"/>
      <c r="J106" s="153"/>
    </row>
    <row r="107" spans="2:10">
      <c r="B107" s="153"/>
      <c r="C107" s="153"/>
      <c r="D107" s="153"/>
      <c r="E107" s="153"/>
      <c r="F107" s="153"/>
      <c r="G107" s="153"/>
      <c r="H107" s="153"/>
      <c r="I107" s="153"/>
      <c r="J107" s="153"/>
    </row>
    <row r="108" spans="2:10">
      <c r="B108" s="153"/>
      <c r="C108" s="153"/>
      <c r="D108" s="153"/>
      <c r="E108" s="153"/>
      <c r="F108" s="153"/>
      <c r="G108" s="153"/>
      <c r="H108" s="153"/>
      <c r="I108" s="153"/>
      <c r="J108" s="153"/>
    </row>
    <row r="109" spans="2:10">
      <c r="B109" s="153"/>
      <c r="C109" s="153"/>
      <c r="D109" s="153"/>
      <c r="E109" s="153"/>
      <c r="F109" s="153"/>
      <c r="G109" s="153"/>
      <c r="H109" s="153"/>
      <c r="I109" s="153"/>
      <c r="J109" s="153"/>
    </row>
    <row r="110" spans="2:10">
      <c r="B110" s="153"/>
      <c r="C110" s="153"/>
      <c r="D110" s="153"/>
      <c r="E110" s="153"/>
      <c r="F110" s="153"/>
      <c r="G110" s="153"/>
      <c r="H110" s="153"/>
      <c r="I110" s="153"/>
      <c r="J110" s="153"/>
    </row>
    <row r="111" spans="2:10">
      <c r="B111" s="153"/>
      <c r="C111" s="153"/>
      <c r="D111" s="153"/>
      <c r="E111" s="153"/>
      <c r="F111" s="153"/>
      <c r="G111" s="153"/>
      <c r="H111" s="153"/>
      <c r="I111" s="153"/>
      <c r="J111" s="153"/>
    </row>
    <row r="112" spans="2:10">
      <c r="B112" s="153"/>
      <c r="C112" s="153"/>
      <c r="D112" s="153"/>
      <c r="E112" s="153"/>
      <c r="F112" s="153"/>
      <c r="G112" s="153"/>
      <c r="H112" s="153"/>
      <c r="I112" s="153"/>
      <c r="J112" s="153"/>
    </row>
    <row r="113" spans="2:10">
      <c r="B113" s="153"/>
      <c r="C113" s="153"/>
      <c r="D113" s="153"/>
      <c r="E113" s="153"/>
      <c r="F113" s="153"/>
      <c r="G113" s="153"/>
      <c r="H113" s="153"/>
      <c r="I113" s="153"/>
      <c r="J113" s="153"/>
    </row>
    <row r="114" spans="2:10">
      <c r="B114" s="153"/>
      <c r="C114" s="153"/>
      <c r="D114" s="153"/>
      <c r="E114" s="153"/>
      <c r="F114" s="153"/>
      <c r="G114" s="153"/>
      <c r="H114" s="153"/>
      <c r="I114" s="153"/>
      <c r="J114" s="153"/>
    </row>
    <row r="115" spans="2:10">
      <c r="B115" s="153"/>
      <c r="C115" s="153"/>
      <c r="D115" s="153"/>
      <c r="E115" s="153"/>
      <c r="F115" s="153"/>
      <c r="G115" s="153"/>
      <c r="H115" s="153"/>
      <c r="I115" s="153"/>
      <c r="J115" s="153"/>
    </row>
    <row r="116" spans="2:10">
      <c r="B116" s="153"/>
      <c r="C116" s="153"/>
      <c r="D116" s="153"/>
      <c r="E116" s="153"/>
      <c r="F116" s="153"/>
      <c r="G116" s="153"/>
      <c r="H116" s="153"/>
      <c r="I116" s="153"/>
      <c r="J116" s="153"/>
    </row>
    <row r="117" spans="2:10">
      <c r="B117" s="153"/>
      <c r="C117" s="153"/>
      <c r="D117" s="153"/>
      <c r="E117" s="153"/>
      <c r="F117" s="153"/>
      <c r="G117" s="153"/>
      <c r="H117" s="153"/>
      <c r="I117" s="153"/>
      <c r="J117" s="153"/>
    </row>
    <row r="118" spans="2:10">
      <c r="B118" s="153"/>
      <c r="C118" s="153"/>
      <c r="D118" s="153"/>
      <c r="E118" s="153"/>
      <c r="F118" s="153"/>
      <c r="G118" s="153"/>
      <c r="H118" s="153"/>
      <c r="I118" s="153"/>
      <c r="J118" s="153"/>
    </row>
    <row r="119" spans="2:10">
      <c r="B119" s="153"/>
      <c r="C119" s="153"/>
      <c r="D119" s="153"/>
      <c r="E119" s="153"/>
      <c r="F119" s="153"/>
      <c r="G119" s="153"/>
      <c r="H119" s="153"/>
      <c r="I119" s="153"/>
      <c r="J119" s="153"/>
    </row>
    <row r="120" spans="2:10">
      <c r="B120" s="153"/>
      <c r="C120" s="153"/>
      <c r="D120" s="153"/>
      <c r="E120" s="153"/>
      <c r="F120" s="153"/>
      <c r="G120" s="153"/>
      <c r="H120" s="153"/>
      <c r="I120" s="153"/>
      <c r="J120" s="153"/>
    </row>
    <row r="121" spans="2:10">
      <c r="B121" s="153"/>
      <c r="C121" s="153"/>
      <c r="D121" s="153"/>
      <c r="E121" s="153"/>
      <c r="F121" s="153"/>
      <c r="G121" s="153"/>
      <c r="H121" s="153"/>
      <c r="I121" s="153"/>
      <c r="J121" s="153"/>
    </row>
    <row r="122" spans="2:10">
      <c r="B122" s="153"/>
      <c r="C122" s="153"/>
      <c r="D122" s="153"/>
      <c r="E122" s="153"/>
      <c r="F122" s="153"/>
      <c r="G122" s="153"/>
      <c r="H122" s="153"/>
      <c r="I122" s="153"/>
      <c r="J122" s="153"/>
    </row>
    <row r="123" spans="2:10">
      <c r="B123" s="153"/>
      <c r="C123" s="153"/>
      <c r="D123" s="153"/>
      <c r="E123" s="153"/>
      <c r="F123" s="153"/>
      <c r="G123" s="153"/>
      <c r="H123" s="153"/>
      <c r="I123" s="153"/>
      <c r="J123" s="153"/>
    </row>
    <row r="124" spans="2:10">
      <c r="B124" s="153"/>
      <c r="C124" s="153"/>
      <c r="D124" s="153"/>
      <c r="E124" s="153"/>
      <c r="F124" s="153"/>
      <c r="G124" s="153"/>
      <c r="H124" s="153"/>
      <c r="I124" s="153"/>
      <c r="J124" s="153"/>
    </row>
    <row r="125" spans="2:10">
      <c r="B125" s="153"/>
      <c r="C125" s="153"/>
      <c r="D125" s="153"/>
      <c r="E125" s="153"/>
      <c r="F125" s="153"/>
      <c r="G125" s="153"/>
      <c r="H125" s="153"/>
      <c r="I125" s="153"/>
      <c r="J125" s="153"/>
    </row>
    <row r="126" spans="2:10">
      <c r="B126" s="153"/>
      <c r="C126" s="153"/>
      <c r="D126" s="153"/>
      <c r="E126" s="153"/>
      <c r="F126" s="153"/>
      <c r="G126" s="153"/>
      <c r="H126" s="153"/>
      <c r="I126" s="153"/>
      <c r="J126" s="153"/>
    </row>
    <row r="127" spans="2:10">
      <c r="B127" s="153"/>
      <c r="C127" s="153"/>
      <c r="D127" s="153"/>
      <c r="E127" s="153"/>
      <c r="F127" s="153"/>
      <c r="G127" s="153"/>
      <c r="H127" s="153"/>
      <c r="I127" s="153"/>
      <c r="J127" s="153"/>
    </row>
    <row r="128" spans="2:10">
      <c r="B128" s="153"/>
      <c r="C128" s="153"/>
      <c r="D128" s="153"/>
      <c r="E128" s="153"/>
      <c r="F128" s="153"/>
      <c r="G128" s="153"/>
      <c r="H128" s="153"/>
      <c r="I128" s="153"/>
      <c r="J128" s="153"/>
    </row>
    <row r="129" spans="2:10">
      <c r="B129" s="153"/>
      <c r="C129" s="153"/>
      <c r="D129" s="153"/>
      <c r="E129" s="153"/>
      <c r="F129" s="153"/>
      <c r="G129" s="153"/>
      <c r="H129" s="153"/>
      <c r="I129" s="153"/>
      <c r="J129" s="153"/>
    </row>
    <row r="130" spans="2:10">
      <c r="B130" s="153"/>
      <c r="C130" s="153"/>
      <c r="D130" s="153"/>
      <c r="E130" s="153"/>
      <c r="F130" s="153"/>
      <c r="G130" s="153"/>
      <c r="H130" s="153"/>
      <c r="I130" s="153"/>
      <c r="J130" s="153"/>
    </row>
    <row r="131" spans="2:10">
      <c r="B131" s="153"/>
      <c r="C131" s="153"/>
      <c r="D131" s="153"/>
      <c r="E131" s="153"/>
      <c r="F131" s="153"/>
      <c r="G131" s="153"/>
      <c r="H131" s="153"/>
      <c r="I131" s="153"/>
      <c r="J131" s="153"/>
    </row>
    <row r="132" spans="2:10">
      <c r="B132" s="153"/>
      <c r="C132" s="153"/>
      <c r="D132" s="153"/>
      <c r="E132" s="153"/>
      <c r="F132" s="153"/>
      <c r="G132" s="153"/>
      <c r="H132" s="153"/>
      <c r="I132" s="153"/>
      <c r="J132" s="153"/>
    </row>
    <row r="133" spans="2:10">
      <c r="B133" s="153"/>
      <c r="C133" s="153"/>
      <c r="D133" s="153"/>
      <c r="E133" s="153"/>
      <c r="F133" s="153"/>
      <c r="G133" s="153"/>
      <c r="H133" s="153"/>
      <c r="I133" s="153"/>
      <c r="J133" s="153"/>
    </row>
    <row r="134" spans="2:10">
      <c r="B134" s="153"/>
      <c r="C134" s="153"/>
      <c r="D134" s="153"/>
      <c r="E134" s="153"/>
      <c r="F134" s="153"/>
      <c r="G134" s="153"/>
      <c r="H134" s="153"/>
      <c r="I134" s="153"/>
      <c r="J134" s="153"/>
    </row>
    <row r="135" spans="2:10">
      <c r="B135" s="153"/>
      <c r="C135" s="153"/>
      <c r="D135" s="153"/>
      <c r="E135" s="153"/>
      <c r="F135" s="153"/>
      <c r="G135" s="153"/>
      <c r="H135" s="153"/>
      <c r="I135" s="153"/>
      <c r="J135" s="153"/>
    </row>
    <row r="136" spans="2:10">
      <c r="B136" s="153"/>
      <c r="C136" s="153"/>
      <c r="D136" s="153"/>
      <c r="E136" s="153"/>
      <c r="F136" s="153"/>
      <c r="G136" s="153"/>
      <c r="H136" s="153"/>
      <c r="I136" s="153"/>
      <c r="J136" s="153"/>
    </row>
    <row r="137" spans="2:10">
      <c r="B137" s="153"/>
      <c r="C137" s="153"/>
      <c r="D137" s="153"/>
      <c r="E137" s="153"/>
      <c r="F137" s="153"/>
      <c r="G137" s="153"/>
      <c r="H137" s="153"/>
      <c r="I137" s="153"/>
      <c r="J137" s="153"/>
    </row>
    <row r="138" spans="2:10">
      <c r="B138" s="153"/>
      <c r="C138" s="153"/>
      <c r="D138" s="153"/>
      <c r="E138" s="153"/>
      <c r="F138" s="153"/>
      <c r="G138" s="153"/>
      <c r="H138" s="153"/>
      <c r="I138" s="153"/>
      <c r="J138" s="153"/>
    </row>
    <row r="139" spans="2:10">
      <c r="B139" s="153"/>
      <c r="C139" s="153"/>
      <c r="D139" s="153"/>
      <c r="E139" s="153"/>
      <c r="F139" s="153"/>
      <c r="G139" s="153"/>
      <c r="H139" s="153"/>
      <c r="I139" s="153"/>
      <c r="J139" s="153"/>
    </row>
    <row r="140" spans="2:10">
      <c r="B140" s="153"/>
      <c r="C140" s="153"/>
      <c r="D140" s="153"/>
      <c r="E140" s="153"/>
      <c r="F140" s="153"/>
      <c r="G140" s="153"/>
      <c r="H140" s="153"/>
      <c r="I140" s="153"/>
      <c r="J140" s="153"/>
    </row>
    <row r="141" spans="2:10">
      <c r="B141" s="153"/>
      <c r="C141" s="153"/>
      <c r="D141" s="153"/>
      <c r="E141" s="153"/>
      <c r="F141" s="153"/>
      <c r="G141" s="153"/>
      <c r="H141" s="153"/>
      <c r="I141" s="153"/>
      <c r="J141" s="153"/>
    </row>
    <row r="142" spans="2:10">
      <c r="B142" s="153"/>
      <c r="C142" s="153"/>
      <c r="D142" s="153"/>
      <c r="E142" s="153"/>
      <c r="F142" s="153"/>
      <c r="G142" s="153"/>
      <c r="H142" s="153"/>
      <c r="I142" s="153"/>
      <c r="J142" s="153"/>
    </row>
    <row r="143" spans="2:10">
      <c r="B143" s="153"/>
      <c r="C143" s="153"/>
      <c r="D143" s="153"/>
      <c r="E143" s="153"/>
      <c r="F143" s="153"/>
      <c r="G143" s="153"/>
      <c r="H143" s="153"/>
      <c r="I143" s="153"/>
      <c r="J143" s="153"/>
    </row>
    <row r="144" spans="2:10">
      <c r="B144" s="153"/>
      <c r="C144" s="153"/>
      <c r="D144" s="153"/>
      <c r="E144" s="153"/>
      <c r="F144" s="153"/>
      <c r="G144" s="153"/>
      <c r="H144" s="153"/>
      <c r="I144" s="153"/>
      <c r="J144" s="153"/>
    </row>
    <row r="145" spans="2:10">
      <c r="B145" s="153"/>
      <c r="C145" s="153"/>
      <c r="D145" s="153"/>
      <c r="E145" s="153"/>
      <c r="F145" s="153"/>
      <c r="G145" s="153"/>
      <c r="H145" s="153"/>
      <c r="I145" s="153"/>
      <c r="J145" s="153"/>
    </row>
    <row r="146" spans="2:10">
      <c r="B146" s="153"/>
      <c r="C146" s="153"/>
      <c r="D146" s="153"/>
      <c r="E146" s="153"/>
      <c r="F146" s="153"/>
      <c r="G146" s="153"/>
      <c r="H146" s="153"/>
      <c r="I146" s="153"/>
      <c r="J146" s="153"/>
    </row>
    <row r="147" spans="2:10">
      <c r="B147" s="153"/>
      <c r="C147" s="153"/>
      <c r="D147" s="153"/>
      <c r="E147" s="153"/>
      <c r="F147" s="153"/>
      <c r="G147" s="153"/>
      <c r="H147" s="153"/>
      <c r="I147" s="153"/>
      <c r="J147" s="153"/>
    </row>
    <row r="148" spans="2:10">
      <c r="B148" s="153"/>
      <c r="C148" s="153"/>
      <c r="D148" s="153"/>
      <c r="E148" s="153"/>
      <c r="F148" s="153"/>
      <c r="G148" s="153"/>
      <c r="H148" s="153"/>
      <c r="I148" s="153"/>
      <c r="J148" s="153"/>
    </row>
    <row r="149" spans="2:10">
      <c r="B149" s="153"/>
      <c r="C149" s="153"/>
      <c r="D149" s="153"/>
      <c r="E149" s="153"/>
      <c r="F149" s="153"/>
      <c r="G149" s="153"/>
      <c r="H149" s="153"/>
      <c r="I149" s="153"/>
      <c r="J149" s="153"/>
    </row>
    <row r="150" spans="2:10">
      <c r="B150" s="153"/>
      <c r="C150" s="153"/>
      <c r="D150" s="153"/>
      <c r="E150" s="153"/>
      <c r="F150" s="153"/>
      <c r="G150" s="153"/>
      <c r="H150" s="153"/>
      <c r="I150" s="153"/>
      <c r="J150" s="153"/>
    </row>
    <row r="151" spans="2:10">
      <c r="B151" s="153"/>
      <c r="C151" s="153"/>
      <c r="D151" s="153"/>
      <c r="E151" s="153"/>
      <c r="F151" s="153"/>
      <c r="G151" s="153"/>
      <c r="H151" s="153"/>
      <c r="I151" s="153"/>
      <c r="J151" s="153"/>
    </row>
    <row r="152" spans="2:10">
      <c r="B152" s="153"/>
      <c r="C152" s="153"/>
      <c r="D152" s="153"/>
      <c r="E152" s="153"/>
      <c r="F152" s="153"/>
      <c r="G152" s="153"/>
      <c r="H152" s="153"/>
      <c r="I152" s="153"/>
      <c r="J152" s="153"/>
    </row>
    <row r="153" spans="2:10">
      <c r="B153" s="153"/>
      <c r="C153" s="153"/>
      <c r="D153" s="153"/>
      <c r="E153" s="153"/>
      <c r="F153" s="153"/>
      <c r="G153" s="153"/>
      <c r="H153" s="153"/>
      <c r="I153" s="153"/>
      <c r="J153" s="153"/>
    </row>
    <row r="154" spans="2:10">
      <c r="B154" s="153"/>
      <c r="C154" s="153"/>
      <c r="D154" s="153"/>
      <c r="E154" s="153"/>
      <c r="F154" s="153"/>
      <c r="G154" s="153"/>
      <c r="H154" s="153"/>
      <c r="I154" s="153"/>
      <c r="J154" s="153"/>
    </row>
    <row r="155" spans="2:10">
      <c r="B155" s="153"/>
      <c r="C155" s="153"/>
      <c r="D155" s="153"/>
      <c r="E155" s="153"/>
      <c r="F155" s="153"/>
      <c r="G155" s="153"/>
      <c r="H155" s="153"/>
      <c r="I155" s="153"/>
      <c r="J155" s="153"/>
    </row>
    <row r="156" spans="2:10">
      <c r="B156" s="153"/>
      <c r="C156" s="153"/>
      <c r="D156" s="153"/>
      <c r="E156" s="153"/>
      <c r="F156" s="153"/>
      <c r="G156" s="153"/>
      <c r="H156" s="153"/>
      <c r="I156" s="153"/>
      <c r="J156" s="153"/>
    </row>
    <row r="157" spans="2:10">
      <c r="B157" s="153"/>
      <c r="C157" s="153"/>
      <c r="D157" s="153"/>
      <c r="E157" s="153"/>
      <c r="F157" s="153"/>
      <c r="G157" s="153"/>
      <c r="H157" s="153"/>
      <c r="I157" s="153"/>
      <c r="J157" s="153"/>
    </row>
    <row r="158" spans="2:10">
      <c r="B158" s="153"/>
      <c r="C158" s="153"/>
      <c r="D158" s="153"/>
      <c r="E158" s="153"/>
      <c r="F158" s="153"/>
      <c r="G158" s="153"/>
      <c r="H158" s="153"/>
      <c r="I158" s="153"/>
      <c r="J158" s="153"/>
    </row>
    <row r="159" spans="2:10">
      <c r="B159" s="153"/>
      <c r="C159" s="153"/>
      <c r="D159" s="153"/>
      <c r="E159" s="153"/>
      <c r="F159" s="153"/>
      <c r="G159" s="153"/>
      <c r="H159" s="153"/>
      <c r="I159" s="153"/>
      <c r="J159" s="153"/>
    </row>
    <row r="160" spans="2:10">
      <c r="B160" s="153"/>
      <c r="C160" s="153"/>
      <c r="D160" s="153"/>
      <c r="E160" s="153"/>
      <c r="F160" s="153"/>
      <c r="G160" s="153"/>
      <c r="H160" s="153"/>
      <c r="I160" s="153"/>
      <c r="J160" s="153"/>
    </row>
    <row r="161" spans="2:10">
      <c r="B161" s="153"/>
      <c r="C161" s="153"/>
      <c r="D161" s="153"/>
      <c r="E161" s="153"/>
      <c r="F161" s="153"/>
      <c r="G161" s="153"/>
      <c r="H161" s="153"/>
      <c r="I161" s="153"/>
      <c r="J161" s="153"/>
    </row>
    <row r="162" spans="2:10">
      <c r="B162" s="153"/>
      <c r="C162" s="153"/>
      <c r="D162" s="153"/>
      <c r="E162" s="153"/>
      <c r="F162" s="153"/>
      <c r="G162" s="153"/>
      <c r="H162" s="153"/>
      <c r="I162" s="153"/>
      <c r="J162" s="153"/>
    </row>
    <row r="163" spans="2:10">
      <c r="B163" s="153"/>
      <c r="C163" s="153"/>
      <c r="D163" s="153"/>
      <c r="E163" s="153"/>
      <c r="F163" s="153"/>
      <c r="G163" s="153"/>
      <c r="H163" s="153"/>
      <c r="I163" s="153"/>
      <c r="J163" s="153"/>
    </row>
    <row r="164" spans="2:10">
      <c r="B164" s="153"/>
      <c r="C164" s="153"/>
      <c r="D164" s="153"/>
      <c r="E164" s="153"/>
      <c r="F164" s="153"/>
      <c r="G164" s="153"/>
      <c r="H164" s="153"/>
      <c r="I164" s="153"/>
      <c r="J164" s="153"/>
    </row>
    <row r="165" spans="2:10">
      <c r="B165" s="153"/>
      <c r="C165" s="153"/>
      <c r="D165" s="153"/>
      <c r="E165" s="153"/>
      <c r="F165" s="153"/>
      <c r="G165" s="153"/>
      <c r="H165" s="153"/>
      <c r="I165" s="153"/>
      <c r="J165" s="153"/>
    </row>
    <row r="166" spans="2:10">
      <c r="B166" s="153"/>
      <c r="C166" s="153"/>
      <c r="D166" s="153"/>
      <c r="E166" s="153"/>
      <c r="F166" s="153"/>
      <c r="G166" s="153"/>
      <c r="H166" s="153"/>
      <c r="I166" s="153"/>
      <c r="J166" s="153"/>
    </row>
    <row r="167" spans="2:10">
      <c r="B167" s="153"/>
      <c r="C167" s="153"/>
      <c r="D167" s="153"/>
      <c r="E167" s="153"/>
      <c r="F167" s="153"/>
      <c r="G167" s="153"/>
      <c r="H167" s="153"/>
      <c r="I167" s="153"/>
      <c r="J167" s="153"/>
    </row>
    <row r="168" spans="2:10">
      <c r="B168" s="153"/>
      <c r="C168" s="153"/>
      <c r="D168" s="153"/>
      <c r="E168" s="153"/>
      <c r="F168" s="153"/>
      <c r="G168" s="153"/>
      <c r="H168" s="153"/>
      <c r="I168" s="153"/>
      <c r="J168" s="153"/>
    </row>
    <row r="169" spans="2:10">
      <c r="B169" s="153"/>
      <c r="C169" s="153"/>
      <c r="D169" s="153"/>
      <c r="E169" s="153"/>
      <c r="F169" s="153"/>
      <c r="G169" s="153"/>
      <c r="H169" s="153"/>
      <c r="I169" s="153"/>
      <c r="J169" s="153"/>
    </row>
    <row r="170" spans="2:10">
      <c r="B170" s="153"/>
      <c r="C170" s="153"/>
      <c r="D170" s="153"/>
      <c r="E170" s="153"/>
      <c r="F170" s="153"/>
      <c r="G170" s="153"/>
      <c r="H170" s="153"/>
      <c r="I170" s="153"/>
      <c r="J170" s="153"/>
    </row>
    <row r="171" spans="2:10">
      <c r="B171" s="153"/>
      <c r="C171" s="153"/>
      <c r="D171" s="153"/>
      <c r="E171" s="153"/>
      <c r="F171" s="153"/>
      <c r="G171" s="153"/>
      <c r="H171" s="153"/>
      <c r="I171" s="153"/>
      <c r="J171" s="153"/>
    </row>
    <row r="172" spans="2:10">
      <c r="B172" s="153"/>
      <c r="C172" s="153"/>
      <c r="D172" s="153"/>
      <c r="E172" s="153"/>
      <c r="F172" s="153"/>
      <c r="G172" s="153"/>
      <c r="H172" s="153"/>
      <c r="I172" s="153"/>
      <c r="J172" s="153"/>
    </row>
    <row r="173" spans="2:10">
      <c r="B173" s="153"/>
      <c r="C173" s="153"/>
      <c r="D173" s="153"/>
      <c r="E173" s="153"/>
      <c r="F173" s="153"/>
      <c r="G173" s="153"/>
      <c r="H173" s="153"/>
      <c r="I173" s="153"/>
      <c r="J173" s="153"/>
    </row>
    <row r="174" spans="2:10">
      <c r="B174" s="153"/>
      <c r="C174" s="153"/>
      <c r="D174" s="153"/>
      <c r="E174" s="153"/>
      <c r="F174" s="153"/>
      <c r="G174" s="153"/>
      <c r="H174" s="153"/>
      <c r="I174" s="153"/>
      <c r="J174" s="153"/>
    </row>
    <row r="175" spans="2:10">
      <c r="B175" s="153"/>
      <c r="C175" s="153"/>
      <c r="D175" s="153"/>
      <c r="E175" s="153"/>
      <c r="F175" s="153"/>
      <c r="G175" s="153"/>
      <c r="H175" s="153"/>
      <c r="I175" s="153"/>
      <c r="J175" s="153"/>
    </row>
    <row r="176" spans="2:10">
      <c r="B176" s="153"/>
      <c r="C176" s="153"/>
      <c r="D176" s="153"/>
      <c r="E176" s="153"/>
      <c r="F176" s="153"/>
      <c r="G176" s="153"/>
      <c r="H176" s="153"/>
      <c r="I176" s="153"/>
      <c r="J176" s="153"/>
    </row>
    <row r="177" spans="2:10">
      <c r="B177" s="153"/>
      <c r="C177" s="153"/>
      <c r="D177" s="153"/>
      <c r="E177" s="153"/>
      <c r="F177" s="153"/>
      <c r="G177" s="153"/>
      <c r="H177" s="153"/>
      <c r="I177" s="153"/>
      <c r="J177" s="153"/>
    </row>
    <row r="178" spans="2:10">
      <c r="B178" s="153"/>
      <c r="C178" s="153"/>
      <c r="D178" s="153"/>
      <c r="E178" s="153"/>
      <c r="F178" s="153"/>
      <c r="G178" s="153"/>
      <c r="H178" s="153"/>
      <c r="I178" s="153"/>
      <c r="J178" s="153"/>
    </row>
    <row r="179" spans="2:10">
      <c r="B179" s="153"/>
      <c r="C179" s="153"/>
      <c r="D179" s="153"/>
      <c r="E179" s="153"/>
      <c r="F179" s="153"/>
      <c r="G179" s="153"/>
      <c r="H179" s="153"/>
      <c r="I179" s="153"/>
      <c r="J179" s="153"/>
    </row>
    <row r="180" spans="2:10">
      <c r="B180" s="153"/>
      <c r="C180" s="153"/>
      <c r="D180" s="153"/>
      <c r="E180" s="153"/>
      <c r="F180" s="153"/>
      <c r="G180" s="153"/>
      <c r="H180" s="153"/>
      <c r="I180" s="153"/>
      <c r="J180" s="153"/>
    </row>
    <row r="181" spans="2:10">
      <c r="B181" s="153"/>
      <c r="C181" s="153"/>
      <c r="D181" s="153"/>
      <c r="E181" s="153"/>
      <c r="F181" s="153"/>
      <c r="G181" s="153"/>
      <c r="H181" s="153"/>
      <c r="I181" s="153"/>
      <c r="J181" s="153"/>
    </row>
    <row r="182" spans="2:10">
      <c r="B182" s="153"/>
      <c r="C182" s="153"/>
      <c r="D182" s="153"/>
      <c r="E182" s="153"/>
      <c r="F182" s="153"/>
      <c r="G182" s="153"/>
      <c r="H182" s="153"/>
      <c r="I182" s="153"/>
      <c r="J182" s="153"/>
    </row>
    <row r="183" spans="2:10">
      <c r="B183" s="153"/>
      <c r="C183" s="153"/>
      <c r="D183" s="153"/>
      <c r="E183" s="153"/>
      <c r="F183" s="153"/>
      <c r="G183" s="153"/>
      <c r="H183" s="153"/>
      <c r="I183" s="153"/>
      <c r="J183" s="153"/>
    </row>
    <row r="184" spans="2:10">
      <c r="B184" s="153"/>
      <c r="C184" s="153"/>
      <c r="D184" s="153"/>
      <c r="E184" s="153"/>
      <c r="F184" s="153"/>
      <c r="G184" s="153"/>
      <c r="H184" s="153"/>
      <c r="I184" s="153"/>
      <c r="J184" s="153"/>
    </row>
    <row r="185" spans="2:10">
      <c r="B185" s="153"/>
      <c r="C185" s="153"/>
      <c r="D185" s="153"/>
      <c r="E185" s="153"/>
      <c r="F185" s="153"/>
      <c r="G185" s="153"/>
      <c r="H185" s="153"/>
      <c r="I185" s="153"/>
      <c r="J185" s="153"/>
    </row>
    <row r="186" spans="2:10">
      <c r="B186" s="153"/>
      <c r="C186" s="153"/>
      <c r="D186" s="153"/>
      <c r="E186" s="153"/>
      <c r="F186" s="153"/>
      <c r="G186" s="153"/>
      <c r="H186" s="153"/>
      <c r="I186" s="153"/>
      <c r="J186" s="153"/>
    </row>
    <row r="187" spans="2:10">
      <c r="B187" s="153"/>
      <c r="C187" s="153"/>
      <c r="D187" s="153"/>
      <c r="E187" s="153"/>
      <c r="F187" s="153"/>
      <c r="G187" s="153"/>
      <c r="H187" s="153"/>
      <c r="I187" s="153"/>
      <c r="J187" s="153"/>
    </row>
    <row r="188" spans="2:10">
      <c r="B188" s="153"/>
      <c r="C188" s="153"/>
      <c r="D188" s="153"/>
      <c r="E188" s="153"/>
      <c r="F188" s="153"/>
      <c r="G188" s="153"/>
      <c r="H188" s="153"/>
      <c r="I188" s="153"/>
      <c r="J188" s="153"/>
    </row>
    <row r="189" spans="2:10">
      <c r="B189" s="153"/>
      <c r="C189" s="153"/>
      <c r="D189" s="153"/>
      <c r="E189" s="153"/>
      <c r="F189" s="153"/>
      <c r="G189" s="153"/>
      <c r="H189" s="153"/>
      <c r="I189" s="153"/>
      <c r="J189" s="153"/>
    </row>
    <row r="190" spans="2:10">
      <c r="B190" s="153"/>
      <c r="C190" s="153"/>
      <c r="D190" s="153"/>
      <c r="E190" s="153"/>
      <c r="F190" s="153"/>
      <c r="G190" s="153"/>
      <c r="H190" s="153"/>
      <c r="I190" s="153"/>
      <c r="J190" s="153"/>
    </row>
    <row r="191" spans="2:10">
      <c r="B191" s="153"/>
      <c r="C191" s="153"/>
      <c r="D191" s="153"/>
      <c r="E191" s="153"/>
      <c r="F191" s="153"/>
      <c r="G191" s="153"/>
      <c r="H191" s="153"/>
      <c r="I191" s="153"/>
      <c r="J191" s="153"/>
    </row>
    <row r="192" spans="2:10">
      <c r="B192" s="153"/>
      <c r="C192" s="153"/>
      <c r="D192" s="153"/>
      <c r="E192" s="153"/>
      <c r="F192" s="153"/>
      <c r="G192" s="153"/>
      <c r="H192" s="153"/>
      <c r="I192" s="153"/>
      <c r="J192" s="153"/>
    </row>
    <row r="193" spans="2:10">
      <c r="B193" s="153"/>
      <c r="C193" s="153"/>
      <c r="D193" s="153"/>
      <c r="E193" s="153"/>
      <c r="F193" s="153"/>
      <c r="G193" s="153"/>
      <c r="H193" s="153"/>
      <c r="I193" s="153"/>
      <c r="J193" s="153"/>
    </row>
    <row r="194" spans="2:10">
      <c r="B194" s="153"/>
      <c r="C194" s="153"/>
      <c r="D194" s="153"/>
      <c r="E194" s="153"/>
      <c r="F194" s="153"/>
      <c r="G194" s="153"/>
      <c r="H194" s="153"/>
      <c r="I194" s="153"/>
      <c r="J194" s="153"/>
    </row>
    <row r="195" spans="2:10">
      <c r="B195" s="153"/>
      <c r="C195" s="153"/>
      <c r="D195" s="153"/>
      <c r="E195" s="153"/>
      <c r="F195" s="153"/>
      <c r="G195" s="153"/>
      <c r="H195" s="153"/>
      <c r="I195" s="153"/>
      <c r="J195" s="153"/>
    </row>
    <row r="196" spans="2:10">
      <c r="B196" s="153"/>
      <c r="C196" s="153"/>
      <c r="D196" s="153"/>
      <c r="E196" s="153"/>
      <c r="F196" s="153"/>
      <c r="G196" s="153"/>
      <c r="H196" s="153"/>
      <c r="I196" s="153"/>
      <c r="J196" s="153"/>
    </row>
    <row r="197" spans="2:10">
      <c r="B197" s="153"/>
      <c r="C197" s="153"/>
      <c r="D197" s="153"/>
      <c r="E197" s="153"/>
      <c r="F197" s="153"/>
      <c r="G197" s="153"/>
      <c r="H197" s="153"/>
      <c r="I197" s="153"/>
      <c r="J197" s="153"/>
    </row>
    <row r="198" spans="2:10">
      <c r="B198" s="153"/>
      <c r="C198" s="153"/>
      <c r="D198" s="153"/>
      <c r="E198" s="153"/>
      <c r="F198" s="153"/>
      <c r="G198" s="153"/>
      <c r="H198" s="153"/>
      <c r="I198" s="153"/>
      <c r="J198" s="153"/>
    </row>
    <row r="199" spans="2:10">
      <c r="B199" s="153"/>
      <c r="C199" s="153"/>
      <c r="D199" s="153"/>
      <c r="E199" s="153"/>
      <c r="F199" s="153"/>
      <c r="G199" s="153"/>
      <c r="H199" s="153"/>
      <c r="I199" s="153"/>
      <c r="J199" s="153"/>
    </row>
    <row r="200" spans="2:10">
      <c r="B200" s="153"/>
      <c r="C200" s="153"/>
      <c r="D200" s="153"/>
      <c r="E200" s="153"/>
      <c r="F200" s="153"/>
      <c r="G200" s="153"/>
      <c r="H200" s="153"/>
      <c r="I200" s="153"/>
      <c r="J200" s="153"/>
    </row>
    <row r="201" spans="2:10">
      <c r="B201" s="153"/>
      <c r="C201" s="153"/>
      <c r="D201" s="153"/>
      <c r="E201" s="153"/>
      <c r="F201" s="153"/>
      <c r="G201" s="153"/>
      <c r="H201" s="153"/>
      <c r="I201" s="153"/>
      <c r="J201" s="153"/>
    </row>
    <row r="202" spans="2:10">
      <c r="B202" s="153"/>
      <c r="C202" s="153"/>
      <c r="D202" s="153"/>
      <c r="E202" s="153"/>
      <c r="F202" s="153"/>
      <c r="G202" s="153"/>
      <c r="H202" s="153"/>
      <c r="I202" s="153"/>
      <c r="J202" s="153"/>
    </row>
    <row r="203" spans="2:10">
      <c r="B203" s="153"/>
      <c r="C203" s="153"/>
      <c r="D203" s="153"/>
      <c r="E203" s="153"/>
      <c r="F203" s="153"/>
      <c r="G203" s="153"/>
      <c r="H203" s="153"/>
      <c r="I203" s="153"/>
      <c r="J203" s="153"/>
    </row>
    <row r="204" spans="2:10">
      <c r="B204" s="153"/>
      <c r="C204" s="153"/>
      <c r="D204" s="153"/>
      <c r="E204" s="153"/>
      <c r="F204" s="153"/>
      <c r="G204" s="153"/>
      <c r="H204" s="153"/>
      <c r="I204" s="153"/>
      <c r="J204" s="153"/>
    </row>
    <row r="205" spans="2:10">
      <c r="B205" s="153"/>
      <c r="C205" s="153"/>
      <c r="D205" s="153"/>
      <c r="E205" s="153"/>
      <c r="F205" s="153"/>
      <c r="G205" s="153"/>
      <c r="H205" s="153"/>
      <c r="I205" s="153"/>
      <c r="J205" s="153"/>
    </row>
    <row r="206" spans="2:10">
      <c r="B206" s="153"/>
      <c r="C206" s="153"/>
      <c r="D206" s="153"/>
      <c r="E206" s="153"/>
      <c r="F206" s="153"/>
      <c r="G206" s="153"/>
      <c r="H206" s="153"/>
      <c r="I206" s="153"/>
      <c r="J206" s="153"/>
    </row>
    <row r="207" spans="2:10">
      <c r="B207" s="153"/>
      <c r="C207" s="153"/>
      <c r="D207" s="153"/>
      <c r="E207" s="153"/>
      <c r="F207" s="153"/>
      <c r="G207" s="153"/>
      <c r="H207" s="153"/>
      <c r="I207" s="153"/>
      <c r="J207" s="153"/>
    </row>
    <row r="208" spans="2:10">
      <c r="B208" s="153"/>
      <c r="C208" s="153"/>
      <c r="D208" s="153"/>
      <c r="E208" s="153"/>
      <c r="F208" s="153"/>
      <c r="G208" s="153"/>
      <c r="H208" s="153"/>
      <c r="I208" s="153"/>
      <c r="J208" s="153"/>
    </row>
    <row r="209" spans="2:10">
      <c r="B209" s="153"/>
      <c r="C209" s="153"/>
      <c r="D209" s="153"/>
      <c r="E209" s="153"/>
      <c r="F209" s="153"/>
      <c r="G209" s="153"/>
      <c r="H209" s="153"/>
      <c r="I209" s="153"/>
      <c r="J209" s="153"/>
    </row>
    <row r="210" spans="2:10">
      <c r="B210" s="153"/>
      <c r="C210" s="153"/>
      <c r="D210" s="153"/>
      <c r="E210" s="153"/>
      <c r="F210" s="153"/>
      <c r="G210" s="153"/>
      <c r="H210" s="153"/>
      <c r="I210" s="153"/>
      <c r="J210" s="153"/>
    </row>
    <row r="211" spans="2:10">
      <c r="B211" s="153"/>
      <c r="C211" s="153"/>
      <c r="D211" s="153"/>
      <c r="E211" s="153"/>
      <c r="F211" s="153"/>
      <c r="G211" s="153"/>
      <c r="H211" s="153"/>
      <c r="I211" s="153"/>
      <c r="J211" s="153"/>
    </row>
    <row r="212" spans="2:10">
      <c r="B212" s="153"/>
      <c r="C212" s="153"/>
      <c r="D212" s="153"/>
      <c r="E212" s="153"/>
      <c r="F212" s="153"/>
      <c r="G212" s="153"/>
      <c r="H212" s="153"/>
      <c r="I212" s="153"/>
      <c r="J212" s="153"/>
    </row>
    <row r="213" spans="2:10">
      <c r="B213" s="153"/>
      <c r="C213" s="153"/>
      <c r="D213" s="153"/>
      <c r="E213" s="153"/>
      <c r="F213" s="153"/>
      <c r="G213" s="153"/>
      <c r="H213" s="153"/>
      <c r="I213" s="153"/>
      <c r="J213" s="153"/>
    </row>
    <row r="214" spans="2:10">
      <c r="B214" s="153"/>
      <c r="C214" s="153"/>
      <c r="D214" s="153"/>
      <c r="E214" s="153"/>
      <c r="F214" s="153"/>
      <c r="G214" s="153"/>
      <c r="H214" s="153"/>
      <c r="I214" s="153"/>
      <c r="J214" s="153"/>
    </row>
    <row r="215" spans="2:10">
      <c r="B215" s="153"/>
      <c r="C215" s="153"/>
      <c r="D215" s="153"/>
      <c r="E215" s="153"/>
      <c r="F215" s="153"/>
      <c r="G215" s="153"/>
      <c r="H215" s="153"/>
      <c r="I215" s="153"/>
      <c r="J215" s="153"/>
    </row>
    <row r="216" spans="2:10">
      <c r="B216" s="153"/>
      <c r="C216" s="153"/>
      <c r="D216" s="153"/>
      <c r="E216" s="153"/>
      <c r="F216" s="153"/>
      <c r="G216" s="153"/>
      <c r="H216" s="153"/>
      <c r="I216" s="153"/>
      <c r="J216" s="153"/>
    </row>
    <row r="217" spans="2:10">
      <c r="B217" s="153"/>
      <c r="C217" s="153"/>
      <c r="D217" s="153"/>
      <c r="E217" s="153"/>
      <c r="F217" s="153"/>
      <c r="G217" s="153"/>
      <c r="H217" s="153"/>
      <c r="I217" s="153"/>
      <c r="J217" s="153"/>
    </row>
    <row r="218" spans="2:10">
      <c r="B218" s="153"/>
      <c r="C218" s="153"/>
      <c r="D218" s="153"/>
      <c r="E218" s="153"/>
      <c r="F218" s="153"/>
      <c r="G218" s="153"/>
      <c r="H218" s="153"/>
      <c r="I218" s="153"/>
      <c r="J218" s="153"/>
    </row>
    <row r="219" spans="2:10">
      <c r="B219" s="153"/>
      <c r="C219" s="153"/>
      <c r="D219" s="153"/>
      <c r="E219" s="153"/>
      <c r="F219" s="153"/>
      <c r="G219" s="153"/>
      <c r="H219" s="153"/>
      <c r="I219" s="153"/>
      <c r="J219" s="153"/>
    </row>
    <row r="220" spans="2:10">
      <c r="B220" s="153"/>
      <c r="C220" s="153"/>
      <c r="D220" s="153"/>
      <c r="E220" s="153"/>
      <c r="F220" s="153"/>
      <c r="G220" s="153"/>
      <c r="H220" s="153"/>
      <c r="I220" s="153"/>
      <c r="J220" s="153"/>
    </row>
    <row r="221" spans="2:10">
      <c r="B221" s="153"/>
      <c r="C221" s="153"/>
      <c r="D221" s="153"/>
      <c r="E221" s="153"/>
      <c r="F221" s="153"/>
      <c r="G221" s="153"/>
      <c r="H221" s="153"/>
      <c r="I221" s="153"/>
      <c r="J221" s="153"/>
    </row>
    <row r="222" spans="2:10">
      <c r="B222" s="153"/>
      <c r="C222" s="153"/>
      <c r="D222" s="153"/>
      <c r="E222" s="153"/>
      <c r="F222" s="153"/>
      <c r="G222" s="153"/>
      <c r="H222" s="153"/>
      <c r="I222" s="153"/>
      <c r="J222" s="153"/>
    </row>
    <row r="223" spans="2:10">
      <c r="B223" s="153"/>
      <c r="C223" s="153"/>
      <c r="D223" s="153"/>
      <c r="E223" s="153"/>
      <c r="F223" s="153"/>
      <c r="G223" s="153"/>
      <c r="H223" s="153"/>
      <c r="I223" s="153"/>
      <c r="J223" s="153"/>
    </row>
    <row r="224" spans="2:10">
      <c r="B224" s="153"/>
      <c r="C224" s="153"/>
      <c r="D224" s="153"/>
      <c r="E224" s="153"/>
      <c r="F224" s="153"/>
      <c r="G224" s="153"/>
      <c r="H224" s="153"/>
      <c r="I224" s="153"/>
      <c r="J224" s="153"/>
    </row>
    <row r="225" spans="2:10">
      <c r="B225" s="153"/>
      <c r="C225" s="153"/>
      <c r="D225" s="153"/>
      <c r="E225" s="153"/>
      <c r="F225" s="153"/>
      <c r="G225" s="153"/>
      <c r="H225" s="153"/>
      <c r="I225" s="153"/>
      <c r="J225" s="153"/>
    </row>
    <row r="226" spans="2:10">
      <c r="B226" s="153"/>
      <c r="C226" s="153"/>
      <c r="D226" s="153"/>
      <c r="E226" s="153"/>
      <c r="F226" s="153"/>
      <c r="G226" s="153"/>
      <c r="H226" s="153"/>
      <c r="I226" s="153"/>
      <c r="J226" s="153"/>
    </row>
    <row r="227" spans="2:10">
      <c r="B227" s="153"/>
      <c r="C227" s="153"/>
      <c r="D227" s="153"/>
      <c r="E227" s="153"/>
      <c r="F227" s="153"/>
      <c r="G227" s="153"/>
      <c r="H227" s="153"/>
      <c r="I227" s="153"/>
      <c r="J227" s="153"/>
    </row>
    <row r="228" spans="2:10">
      <c r="B228" s="153"/>
      <c r="C228" s="153"/>
      <c r="D228" s="153"/>
      <c r="E228" s="153"/>
      <c r="F228" s="153"/>
      <c r="G228" s="153"/>
      <c r="H228" s="153"/>
      <c r="I228" s="153"/>
      <c r="J228" s="153"/>
    </row>
    <row r="229" spans="2:10">
      <c r="B229" s="153"/>
      <c r="C229" s="153"/>
      <c r="D229" s="153"/>
      <c r="E229" s="153"/>
      <c r="F229" s="153"/>
      <c r="G229" s="153"/>
      <c r="H229" s="153"/>
      <c r="I229" s="153"/>
      <c r="J229" s="153"/>
    </row>
    <row r="230" spans="2:10">
      <c r="B230" s="153"/>
      <c r="C230" s="153"/>
      <c r="D230" s="153"/>
      <c r="E230" s="153"/>
      <c r="F230" s="153"/>
      <c r="G230" s="153"/>
      <c r="H230" s="153"/>
      <c r="I230" s="153"/>
      <c r="J230" s="153"/>
    </row>
    <row r="231" spans="2:10">
      <c r="B231" s="153"/>
      <c r="C231" s="153"/>
      <c r="D231" s="153"/>
      <c r="E231" s="153"/>
      <c r="F231" s="153"/>
      <c r="G231" s="153"/>
      <c r="H231" s="153"/>
      <c r="I231" s="153"/>
      <c r="J231" s="153"/>
    </row>
    <row r="232" spans="2:10">
      <c r="B232" s="153"/>
      <c r="C232" s="153"/>
      <c r="D232" s="153"/>
      <c r="E232" s="153"/>
      <c r="F232" s="153"/>
      <c r="G232" s="153"/>
      <c r="H232" s="153"/>
      <c r="I232" s="153"/>
      <c r="J232" s="153"/>
    </row>
    <row r="233" spans="2:10">
      <c r="B233" s="153"/>
      <c r="C233" s="153"/>
      <c r="D233" s="153"/>
      <c r="E233" s="153"/>
      <c r="F233" s="153"/>
      <c r="G233" s="153"/>
      <c r="H233" s="153"/>
      <c r="I233" s="153"/>
      <c r="J233" s="153"/>
    </row>
    <row r="234" spans="2:10">
      <c r="B234" s="153"/>
      <c r="C234" s="153"/>
      <c r="D234" s="153"/>
      <c r="E234" s="153"/>
      <c r="F234" s="153"/>
      <c r="G234" s="153"/>
      <c r="H234" s="153"/>
      <c r="I234" s="153"/>
      <c r="J234" s="153"/>
    </row>
    <row r="235" spans="2:10">
      <c r="B235" s="153"/>
      <c r="C235" s="153"/>
      <c r="D235" s="153"/>
      <c r="E235" s="153"/>
      <c r="F235" s="153"/>
      <c r="G235" s="153"/>
      <c r="H235" s="153"/>
      <c r="I235" s="153"/>
      <c r="J235" s="153"/>
    </row>
    <row r="236" spans="2:10">
      <c r="B236" s="153"/>
      <c r="C236" s="153"/>
      <c r="D236" s="153"/>
      <c r="E236" s="153"/>
      <c r="F236" s="153"/>
      <c r="G236" s="153"/>
      <c r="H236" s="153"/>
      <c r="I236" s="153"/>
      <c r="J236" s="153"/>
    </row>
    <row r="237" spans="2:10">
      <c r="B237" s="153"/>
      <c r="C237" s="153"/>
      <c r="D237" s="153"/>
      <c r="E237" s="153"/>
      <c r="F237" s="153"/>
      <c r="G237" s="153"/>
      <c r="H237" s="153"/>
      <c r="I237" s="153"/>
      <c r="J237" s="153"/>
    </row>
    <row r="238" spans="2:10">
      <c r="B238" s="153"/>
      <c r="C238" s="153"/>
      <c r="D238" s="153"/>
      <c r="E238" s="153"/>
      <c r="F238" s="153"/>
      <c r="G238" s="153"/>
      <c r="H238" s="153"/>
      <c r="I238" s="153"/>
      <c r="J238" s="153"/>
    </row>
    <row r="239" spans="2:10">
      <c r="B239" s="153"/>
      <c r="C239" s="153"/>
      <c r="D239" s="153"/>
      <c r="E239" s="153"/>
      <c r="F239" s="153"/>
      <c r="G239" s="153"/>
      <c r="H239" s="153"/>
      <c r="I239" s="153"/>
      <c r="J239" s="153"/>
    </row>
    <row r="240" spans="2:10">
      <c r="B240" s="153"/>
      <c r="C240" s="153"/>
      <c r="D240" s="153"/>
      <c r="E240" s="153"/>
      <c r="F240" s="153"/>
      <c r="G240" s="153"/>
      <c r="H240" s="153"/>
      <c r="I240" s="153"/>
      <c r="J240" s="153"/>
    </row>
    <row r="241" spans="2:10">
      <c r="B241" s="153"/>
      <c r="C241" s="153"/>
      <c r="D241" s="153"/>
      <c r="E241" s="153"/>
      <c r="F241" s="153"/>
      <c r="G241" s="153"/>
      <c r="H241" s="153"/>
      <c r="I241" s="153"/>
      <c r="J241" s="153"/>
    </row>
    <row r="242" spans="2:10">
      <c r="B242" s="153"/>
      <c r="C242" s="153"/>
      <c r="D242" s="153"/>
      <c r="E242" s="153"/>
      <c r="F242" s="153"/>
      <c r="G242" s="153"/>
      <c r="H242" s="153"/>
      <c r="I242" s="153"/>
      <c r="J242" s="153"/>
    </row>
    <row r="243" spans="2:10">
      <c r="B243" s="153"/>
      <c r="C243" s="153"/>
      <c r="D243" s="153"/>
      <c r="E243" s="153"/>
      <c r="F243" s="153"/>
      <c r="G243" s="153"/>
      <c r="H243" s="153"/>
      <c r="I243" s="153"/>
      <c r="J243" s="153"/>
    </row>
    <row r="244" spans="2:10">
      <c r="B244" s="153"/>
      <c r="C244" s="153"/>
      <c r="D244" s="153"/>
      <c r="E244" s="153"/>
      <c r="F244" s="153"/>
      <c r="G244" s="153"/>
      <c r="H244" s="153"/>
      <c r="I244" s="153"/>
      <c r="J244" s="153"/>
    </row>
    <row r="245" spans="2:10">
      <c r="B245" s="153"/>
      <c r="C245" s="153"/>
      <c r="D245" s="153"/>
      <c r="E245" s="153"/>
      <c r="F245" s="153"/>
      <c r="G245" s="153"/>
      <c r="H245" s="153"/>
      <c r="I245" s="153"/>
      <c r="J245" s="153"/>
    </row>
    <row r="246" spans="2:10">
      <c r="B246" s="153"/>
      <c r="C246" s="153"/>
      <c r="D246" s="153"/>
      <c r="E246" s="153"/>
      <c r="F246" s="153"/>
      <c r="G246" s="153"/>
      <c r="H246" s="153"/>
      <c r="I246" s="153"/>
      <c r="J246" s="153"/>
    </row>
    <row r="247" spans="2:10">
      <c r="B247" s="153"/>
      <c r="C247" s="153"/>
      <c r="D247" s="153"/>
      <c r="E247" s="153"/>
      <c r="F247" s="153"/>
      <c r="G247" s="153"/>
      <c r="H247" s="153"/>
      <c r="I247" s="153"/>
      <c r="J247" s="153"/>
    </row>
    <row r="248" spans="2:10">
      <c r="B248" s="153"/>
      <c r="C248" s="153"/>
      <c r="D248" s="153"/>
      <c r="E248" s="153"/>
      <c r="F248" s="153"/>
      <c r="G248" s="153"/>
      <c r="H248" s="153"/>
      <c r="I248" s="153"/>
      <c r="J248" s="153"/>
    </row>
    <row r="249" spans="2:10">
      <c r="B249" s="153"/>
      <c r="C249" s="153"/>
      <c r="D249" s="153"/>
      <c r="E249" s="153"/>
      <c r="F249" s="153"/>
      <c r="G249" s="153"/>
      <c r="H249" s="153"/>
      <c r="I249" s="153"/>
      <c r="J249" s="153"/>
    </row>
    <row r="250" spans="2:10">
      <c r="B250" s="153"/>
      <c r="C250" s="153"/>
      <c r="D250" s="153"/>
      <c r="E250" s="153"/>
      <c r="F250" s="153"/>
      <c r="G250" s="153"/>
      <c r="H250" s="153"/>
      <c r="I250" s="153"/>
      <c r="J250" s="153"/>
    </row>
    <row r="251" spans="2:10">
      <c r="B251" s="153"/>
      <c r="C251" s="153"/>
      <c r="D251" s="153"/>
      <c r="E251" s="153"/>
      <c r="F251" s="153"/>
      <c r="G251" s="153"/>
      <c r="H251" s="153"/>
      <c r="I251" s="153"/>
      <c r="J251" s="153"/>
    </row>
    <row r="252" spans="2:10">
      <c r="B252" s="153"/>
      <c r="C252" s="153"/>
      <c r="D252" s="153"/>
      <c r="E252" s="153"/>
      <c r="F252" s="153"/>
      <c r="G252" s="153"/>
      <c r="H252" s="153"/>
      <c r="I252" s="153"/>
      <c r="J252" s="153"/>
    </row>
    <row r="253" spans="2:10">
      <c r="B253" s="153"/>
      <c r="C253" s="153"/>
      <c r="D253" s="153"/>
      <c r="E253" s="153"/>
      <c r="F253" s="153"/>
      <c r="G253" s="153"/>
      <c r="H253" s="153"/>
      <c r="I253" s="153"/>
      <c r="J253" s="153"/>
    </row>
    <row r="254" spans="2:10">
      <c r="B254" s="153"/>
      <c r="C254" s="153"/>
      <c r="D254" s="153"/>
      <c r="E254" s="153"/>
      <c r="F254" s="153"/>
      <c r="G254" s="153"/>
      <c r="H254" s="153"/>
      <c r="I254" s="153"/>
      <c r="J254" s="153"/>
    </row>
    <row r="255" spans="2:10">
      <c r="B255" s="153"/>
      <c r="C255" s="153"/>
      <c r="D255" s="153"/>
      <c r="E255" s="153"/>
      <c r="F255" s="153"/>
      <c r="G255" s="153"/>
      <c r="H255" s="153"/>
      <c r="I255" s="153"/>
      <c r="J255" s="153"/>
    </row>
    <row r="256" spans="2:10">
      <c r="B256" s="153"/>
      <c r="C256" s="153"/>
      <c r="D256" s="153"/>
      <c r="E256" s="153"/>
      <c r="F256" s="153"/>
      <c r="G256" s="153"/>
      <c r="H256" s="153"/>
      <c r="I256" s="153"/>
      <c r="J256" s="153"/>
    </row>
    <row r="257" spans="2:10">
      <c r="B257" s="153"/>
      <c r="C257" s="153"/>
      <c r="D257" s="153"/>
      <c r="E257" s="153"/>
      <c r="F257" s="153"/>
      <c r="G257" s="153"/>
      <c r="H257" s="153"/>
      <c r="I257" s="153"/>
      <c r="J257" s="153"/>
    </row>
    <row r="258" spans="2:10">
      <c r="B258" s="153"/>
      <c r="C258" s="153"/>
      <c r="D258" s="153"/>
      <c r="E258" s="153"/>
      <c r="F258" s="153"/>
      <c r="G258" s="153"/>
      <c r="H258" s="153"/>
      <c r="I258" s="153"/>
      <c r="J258" s="153"/>
    </row>
    <row r="259" spans="2:10">
      <c r="B259" s="153"/>
      <c r="C259" s="153"/>
      <c r="D259" s="153"/>
      <c r="E259" s="153"/>
      <c r="F259" s="153"/>
      <c r="G259" s="153"/>
      <c r="H259" s="153"/>
      <c r="I259" s="153"/>
      <c r="J259" s="153"/>
    </row>
    <row r="260" spans="2:10">
      <c r="B260" s="153"/>
      <c r="C260" s="153"/>
      <c r="D260" s="153"/>
      <c r="E260" s="153"/>
      <c r="F260" s="153"/>
      <c r="G260" s="153"/>
      <c r="H260" s="153"/>
      <c r="I260" s="153"/>
      <c r="J260" s="153"/>
    </row>
    <row r="261" spans="2:10">
      <c r="B261" s="153"/>
      <c r="C261" s="153"/>
      <c r="D261" s="153"/>
      <c r="E261" s="153"/>
      <c r="F261" s="153"/>
      <c r="G261" s="153"/>
      <c r="H261" s="153"/>
      <c r="I261" s="153"/>
      <c r="J261" s="153"/>
    </row>
    <row r="262" spans="2:10">
      <c r="B262" s="153"/>
      <c r="C262" s="153"/>
      <c r="D262" s="153"/>
      <c r="E262" s="153"/>
      <c r="F262" s="153"/>
      <c r="G262" s="153"/>
      <c r="H262" s="153"/>
      <c r="I262" s="153"/>
      <c r="J262" s="153"/>
    </row>
    <row r="263" spans="2:10">
      <c r="B263" s="153"/>
      <c r="C263" s="153"/>
      <c r="D263" s="153"/>
      <c r="E263" s="153"/>
      <c r="F263" s="153"/>
      <c r="G263" s="153"/>
      <c r="H263" s="153"/>
      <c r="I263" s="153"/>
      <c r="J263" s="153"/>
    </row>
    <row r="264" spans="2:10">
      <c r="B264" s="153"/>
      <c r="C264" s="153"/>
      <c r="D264" s="153"/>
      <c r="E264" s="153"/>
      <c r="F264" s="153"/>
      <c r="G264" s="153"/>
      <c r="H264" s="153"/>
      <c r="I264" s="153"/>
      <c r="J264" s="153"/>
    </row>
    <row r="265" spans="2:10">
      <c r="B265" s="153"/>
      <c r="C265" s="153"/>
      <c r="D265" s="153"/>
      <c r="E265" s="153"/>
      <c r="F265" s="153"/>
      <c r="G265" s="153"/>
      <c r="H265" s="153"/>
      <c r="I265" s="153"/>
      <c r="J265" s="153"/>
    </row>
    <row r="266" spans="2:10">
      <c r="B266" s="153"/>
      <c r="C266" s="153"/>
      <c r="D266" s="153"/>
      <c r="E266" s="153"/>
      <c r="F266" s="153"/>
      <c r="G266" s="153"/>
      <c r="H266" s="153"/>
      <c r="I266" s="153"/>
      <c r="J266" s="153"/>
    </row>
    <row r="267" spans="2:10">
      <c r="B267" s="153"/>
      <c r="C267" s="153"/>
      <c r="D267" s="153"/>
      <c r="E267" s="153"/>
      <c r="F267" s="153"/>
      <c r="G267" s="153"/>
      <c r="H267" s="153"/>
      <c r="I267" s="153"/>
      <c r="J267" s="153"/>
    </row>
    <row r="268" spans="2:10">
      <c r="B268" s="153"/>
      <c r="C268" s="153"/>
      <c r="D268" s="153"/>
      <c r="E268" s="153"/>
      <c r="F268" s="153"/>
      <c r="G268" s="153"/>
      <c r="H268" s="153"/>
      <c r="I268" s="153"/>
      <c r="J268" s="153"/>
    </row>
    <row r="269" spans="2:10">
      <c r="B269" s="153"/>
      <c r="C269" s="153"/>
      <c r="D269" s="153"/>
      <c r="E269" s="153"/>
      <c r="F269" s="153"/>
      <c r="G269" s="153"/>
      <c r="H269" s="153"/>
      <c r="I269" s="153"/>
      <c r="J269" s="153"/>
    </row>
    <row r="270" spans="2:10">
      <c r="B270" s="153"/>
      <c r="C270" s="153"/>
      <c r="D270" s="153"/>
      <c r="E270" s="153"/>
      <c r="F270" s="153"/>
      <c r="G270" s="153"/>
      <c r="H270" s="153"/>
      <c r="I270" s="153"/>
      <c r="J270" s="153"/>
    </row>
    <row r="271" spans="2:10">
      <c r="B271" s="153"/>
      <c r="C271" s="153"/>
      <c r="D271" s="153"/>
      <c r="E271" s="153"/>
      <c r="F271" s="153"/>
      <c r="G271" s="153"/>
      <c r="H271" s="153"/>
      <c r="I271" s="153"/>
      <c r="J271" s="153"/>
    </row>
    <row r="272" spans="2:10">
      <c r="B272" s="153"/>
      <c r="C272" s="153"/>
      <c r="D272" s="153"/>
      <c r="E272" s="153"/>
      <c r="F272" s="153"/>
      <c r="G272" s="153"/>
      <c r="H272" s="153"/>
      <c r="I272" s="153"/>
      <c r="J272" s="153"/>
    </row>
    <row r="273" spans="2:10">
      <c r="B273" s="153"/>
      <c r="C273" s="153"/>
      <c r="D273" s="153"/>
      <c r="E273" s="153"/>
      <c r="F273" s="153"/>
      <c r="G273" s="153"/>
      <c r="H273" s="153"/>
      <c r="I273" s="153"/>
      <c r="J273" s="153"/>
    </row>
    <row r="274" spans="2:10">
      <c r="B274" s="153"/>
      <c r="C274" s="153"/>
      <c r="D274" s="153"/>
      <c r="E274" s="153"/>
      <c r="F274" s="153"/>
      <c r="G274" s="153"/>
      <c r="H274" s="153"/>
      <c r="I274" s="153"/>
      <c r="J274" s="153"/>
    </row>
    <row r="275" spans="2:10">
      <c r="B275" s="153"/>
      <c r="C275" s="153"/>
      <c r="D275" s="153"/>
      <c r="E275" s="153"/>
      <c r="F275" s="153"/>
      <c r="G275" s="153"/>
      <c r="H275" s="153"/>
      <c r="I275" s="153"/>
      <c r="J275" s="153"/>
    </row>
    <row r="276" spans="2:10">
      <c r="B276" s="153"/>
      <c r="C276" s="153"/>
      <c r="D276" s="153"/>
      <c r="E276" s="153"/>
      <c r="F276" s="153"/>
      <c r="G276" s="153"/>
      <c r="H276" s="153"/>
      <c r="I276" s="153"/>
      <c r="J276" s="153"/>
    </row>
    <row r="277" spans="2:10">
      <c r="B277" s="153"/>
      <c r="C277" s="153"/>
      <c r="D277" s="153"/>
      <c r="E277" s="153"/>
      <c r="F277" s="153"/>
      <c r="G277" s="153"/>
      <c r="H277" s="153"/>
      <c r="I277" s="153"/>
      <c r="J277" s="153"/>
    </row>
    <row r="278" spans="2:10">
      <c r="B278" s="153"/>
      <c r="C278" s="153"/>
      <c r="D278" s="153"/>
      <c r="E278" s="153"/>
      <c r="F278" s="153"/>
      <c r="G278" s="153"/>
      <c r="H278" s="153"/>
      <c r="I278" s="153"/>
      <c r="J278" s="153"/>
    </row>
    <row r="279" spans="2:10">
      <c r="B279" s="153"/>
      <c r="C279" s="153"/>
      <c r="D279" s="153"/>
      <c r="E279" s="153"/>
      <c r="F279" s="153"/>
      <c r="G279" s="153"/>
      <c r="H279" s="153"/>
      <c r="I279" s="153"/>
      <c r="J279" s="153"/>
    </row>
    <row r="280" spans="2:10">
      <c r="B280" s="153"/>
      <c r="C280" s="153"/>
      <c r="D280" s="153"/>
      <c r="E280" s="153"/>
      <c r="F280" s="153"/>
      <c r="G280" s="153"/>
      <c r="H280" s="153"/>
      <c r="I280" s="153"/>
      <c r="J280" s="153"/>
    </row>
    <row r="281" spans="2:10">
      <c r="B281" s="153"/>
      <c r="C281" s="153"/>
      <c r="D281" s="153"/>
      <c r="E281" s="153"/>
      <c r="F281" s="153"/>
      <c r="G281" s="153"/>
      <c r="H281" s="153"/>
      <c r="I281" s="153"/>
      <c r="J281" s="153"/>
    </row>
    <row r="282" spans="2:10">
      <c r="B282" s="153"/>
      <c r="C282" s="153"/>
      <c r="D282" s="153"/>
      <c r="E282" s="153"/>
      <c r="F282" s="153"/>
      <c r="G282" s="153"/>
      <c r="H282" s="153"/>
      <c r="I282" s="153"/>
      <c r="J282" s="153"/>
    </row>
    <row r="283" spans="2:10">
      <c r="B283" s="153"/>
      <c r="C283" s="153"/>
      <c r="D283" s="153"/>
      <c r="E283" s="153"/>
      <c r="F283" s="153"/>
      <c r="G283" s="153"/>
      <c r="H283" s="153"/>
      <c r="I283" s="153"/>
      <c r="J283" s="153"/>
    </row>
    <row r="284" spans="2:10">
      <c r="B284" s="153"/>
      <c r="C284" s="153"/>
      <c r="D284" s="153"/>
      <c r="E284" s="153"/>
      <c r="F284" s="153"/>
      <c r="G284" s="153"/>
      <c r="H284" s="153"/>
      <c r="I284" s="153"/>
      <c r="J284" s="153"/>
    </row>
    <row r="285" spans="2:10">
      <c r="B285" s="153"/>
      <c r="C285" s="153"/>
      <c r="D285" s="153"/>
      <c r="E285" s="153"/>
      <c r="F285" s="153"/>
      <c r="G285" s="153"/>
      <c r="H285" s="153"/>
      <c r="I285" s="153"/>
      <c r="J285" s="153"/>
    </row>
    <row r="286" spans="2:10">
      <c r="B286" s="153"/>
      <c r="C286" s="153"/>
      <c r="D286" s="153"/>
      <c r="E286" s="153"/>
      <c r="F286" s="153"/>
      <c r="G286" s="153"/>
      <c r="H286" s="153"/>
      <c r="I286" s="153"/>
      <c r="J286" s="153"/>
    </row>
    <row r="287" spans="2:10">
      <c r="B287" s="153"/>
      <c r="C287" s="153"/>
      <c r="D287" s="153"/>
      <c r="E287" s="153"/>
      <c r="F287" s="153"/>
      <c r="G287" s="153"/>
      <c r="H287" s="153"/>
      <c r="I287" s="153"/>
      <c r="J287" s="153"/>
    </row>
  </sheetData>
  <mergeCells count="30">
    <mergeCell ref="C61:D61"/>
    <mergeCell ref="C56:D56"/>
    <mergeCell ref="C57:D57"/>
    <mergeCell ref="C58:D58"/>
    <mergeCell ref="C59:D59"/>
    <mergeCell ref="C60:D60"/>
    <mergeCell ref="D37:E37"/>
    <mergeCell ref="D38:E38"/>
    <mergeCell ref="D27:E27"/>
    <mergeCell ref="C44:D44"/>
    <mergeCell ref="D30:E30"/>
    <mergeCell ref="D31:E31"/>
    <mergeCell ref="D33:E33"/>
    <mergeCell ref="D34:E34"/>
    <mergeCell ref="D35:E35"/>
    <mergeCell ref="C39:G39"/>
    <mergeCell ref="D28:E28"/>
    <mergeCell ref="D29:E29"/>
    <mergeCell ref="C16:C17"/>
    <mergeCell ref="E16:E17"/>
    <mergeCell ref="F17:G17"/>
    <mergeCell ref="D36:E36"/>
    <mergeCell ref="F20:G20"/>
    <mergeCell ref="F19:G19"/>
    <mergeCell ref="F18:G18"/>
    <mergeCell ref="C24:G24"/>
    <mergeCell ref="F23:G23"/>
    <mergeCell ref="F22:G22"/>
    <mergeCell ref="F21:G21"/>
    <mergeCell ref="D32:E32"/>
  </mergeCells>
  <dataValidations count="3">
    <dataValidation type="list" allowBlank="1" showInputMessage="1" showErrorMessage="1" sqref="E18:E23" xr:uid="{00000000-0002-0000-0400-000000000000}">
      <formula1>$L$15:$L$17</formula1>
    </dataValidation>
    <dataValidation type="list" allowBlank="1" showInputMessage="1" showErrorMessage="1" sqref="B18:B23" xr:uid="{00000000-0002-0000-0400-000001000000}">
      <formula1>$M$1:$V$1</formula1>
    </dataValidation>
    <dataValidation type="decimal" operator="greaterThanOrEqual" allowBlank="1" showInputMessage="1" showErrorMessage="1" sqref="C18:C23" xr:uid="{00000000-0002-0000-0400-000002000000}">
      <formula1>0</formula1>
    </dataValidation>
  </dataValidations>
  <printOptions horizontalCentered="1"/>
  <pageMargins left="1" right="1" top="0.5" bottom="0.5" header="0.05" footer="0.3"/>
  <pageSetup scale="75" fitToHeight="3" orientation="portrait" r:id="rId1"/>
  <rowBreaks count="1" manualBreakCount="1">
    <brk id="68"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AK99"/>
  <sheetViews>
    <sheetView showZeros="0" zoomScaleNormal="100" workbookViewId="0"/>
  </sheetViews>
  <sheetFormatPr defaultColWidth="8.85546875" defaultRowHeight="12.75"/>
  <cols>
    <col min="1" max="1" width="43.28515625" style="152" customWidth="1"/>
    <col min="2" max="2" width="26.85546875" style="152" customWidth="1"/>
    <col min="3" max="3" width="11" style="152" customWidth="1"/>
    <col min="4" max="4" width="10.7109375" style="152" customWidth="1"/>
    <col min="5" max="5" width="11.28515625" style="152" customWidth="1"/>
    <col min="6" max="6" width="9.42578125" style="152" customWidth="1"/>
    <col min="7" max="7" width="7.7109375" style="152" customWidth="1"/>
    <col min="8" max="8" width="10.42578125" style="152" customWidth="1"/>
    <col min="9" max="9" width="12.140625" style="152" customWidth="1"/>
    <col min="10" max="10" width="9.140625" style="157"/>
    <col min="11" max="11" width="9.7109375" style="222" hidden="1" customWidth="1"/>
    <col min="12" max="12" width="21.28515625" style="222" hidden="1" customWidth="1"/>
    <col min="13" max="24" width="0" style="222" hidden="1" customWidth="1"/>
    <col min="25" max="37" width="9.140625" style="277"/>
  </cols>
  <sheetData>
    <row r="1" spans="1:37" ht="52.5" thickBot="1">
      <c r="B1" s="44" t="s">
        <v>271</v>
      </c>
      <c r="C1" s="215"/>
      <c r="D1" s="215"/>
      <c r="E1" s="196">
        <f>Inputs!G30</f>
        <v>60</v>
      </c>
      <c r="F1" s="224" t="s">
        <v>144</v>
      </c>
      <c r="G1" s="215"/>
      <c r="H1" s="215"/>
      <c r="I1" s="44"/>
      <c r="K1" s="417"/>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c r="X1" s="417"/>
    </row>
    <row r="2" spans="1:37" ht="26.25" thickBot="1">
      <c r="B2" s="41" t="s">
        <v>97</v>
      </c>
      <c r="C2" s="108"/>
      <c r="D2" s="109"/>
      <c r="E2" s="109"/>
      <c r="F2" s="41"/>
      <c r="G2" s="119"/>
      <c r="H2" s="108" t="s">
        <v>74</v>
      </c>
      <c r="I2" s="122" t="s">
        <v>94</v>
      </c>
      <c r="K2" s="419"/>
      <c r="L2" s="419" t="str">
        <f t="shared" ref="L2:L7" si="0">B16</f>
        <v>Alfalfa</v>
      </c>
      <c r="M2" s="419">
        <f>IF(M$1=$L2,$K16,0)</f>
        <v>0</v>
      </c>
      <c r="N2" s="419">
        <f t="shared" ref="N2:V2" si="1">IF(N$1=$L2,$K16,0)</f>
        <v>0</v>
      </c>
      <c r="O2" s="419">
        <f t="shared" si="1"/>
        <v>0</v>
      </c>
      <c r="P2" s="419">
        <f t="shared" si="1"/>
        <v>109800</v>
      </c>
      <c r="Q2" s="419">
        <f t="shared" si="1"/>
        <v>0</v>
      </c>
      <c r="R2" s="419">
        <f t="shared" si="1"/>
        <v>0</v>
      </c>
      <c r="S2" s="419">
        <f t="shared" si="1"/>
        <v>0</v>
      </c>
      <c r="T2" s="419">
        <f t="shared" si="1"/>
        <v>0</v>
      </c>
      <c r="U2" s="419">
        <f t="shared" si="1"/>
        <v>0</v>
      </c>
      <c r="V2" s="419">
        <f t="shared" si="1"/>
        <v>0</v>
      </c>
      <c r="W2" s="419">
        <f t="shared" ref="W2:W7" si="2">SUM(M2:V2)</f>
        <v>109800</v>
      </c>
      <c r="X2" s="417"/>
    </row>
    <row r="3" spans="1:37">
      <c r="B3" s="54"/>
      <c r="C3" s="76" t="s">
        <v>44</v>
      </c>
      <c r="D3" s="39" t="s">
        <v>30</v>
      </c>
      <c r="E3" s="39" t="s">
        <v>5</v>
      </c>
      <c r="F3" s="120"/>
      <c r="G3" s="121"/>
      <c r="H3" s="82" t="s">
        <v>31</v>
      </c>
      <c r="I3" s="91" t="s">
        <v>31</v>
      </c>
      <c r="K3" s="417"/>
      <c r="L3" s="419" t="str">
        <f t="shared" si="0"/>
        <v>Distiller's Grain - modified wet</v>
      </c>
      <c r="M3" s="419">
        <f t="shared" ref="M3:V7" si="3">IF(M$1=$L3,$K17,0)</f>
        <v>0</v>
      </c>
      <c r="N3" s="419">
        <f t="shared" si="3"/>
        <v>0</v>
      </c>
      <c r="O3" s="419">
        <f t="shared" si="3"/>
        <v>0</v>
      </c>
      <c r="P3" s="419">
        <f t="shared" si="3"/>
        <v>0</v>
      </c>
      <c r="Q3" s="419">
        <f t="shared" si="3"/>
        <v>64050</v>
      </c>
      <c r="R3" s="419">
        <f t="shared" si="3"/>
        <v>0</v>
      </c>
      <c r="S3" s="419">
        <f t="shared" si="3"/>
        <v>0</v>
      </c>
      <c r="T3" s="419">
        <f t="shared" si="3"/>
        <v>0</v>
      </c>
      <c r="U3" s="419">
        <f t="shared" si="3"/>
        <v>0</v>
      </c>
      <c r="V3" s="419">
        <f t="shared" si="3"/>
        <v>0</v>
      </c>
      <c r="W3" s="419">
        <f t="shared" si="2"/>
        <v>64050</v>
      </c>
      <c r="X3" s="417"/>
    </row>
    <row r="4" spans="1:37" s="239" customFormat="1">
      <c r="A4" s="277"/>
      <c r="B4" s="27" t="s">
        <v>159</v>
      </c>
      <c r="C4" s="192">
        <f>Inputs!O33</f>
        <v>91</v>
      </c>
      <c r="D4" s="369">
        <f>Inputs!G33</f>
        <v>675</v>
      </c>
      <c r="E4" s="369">
        <f>Inputs!G34</f>
        <v>170</v>
      </c>
      <c r="F4" s="251" t="s">
        <v>1</v>
      </c>
      <c r="G4" s="368"/>
      <c r="H4" s="436">
        <f>C4*D4*E4/100</f>
        <v>104422.5</v>
      </c>
      <c r="I4" s="471">
        <f>D4*E4/100</f>
        <v>1147.5</v>
      </c>
      <c r="J4" s="222"/>
      <c r="K4" s="417"/>
      <c r="L4" s="419" t="str">
        <f t="shared" si="0"/>
        <v>Salt and Mineral</v>
      </c>
      <c r="M4" s="419">
        <f t="shared" si="3"/>
        <v>0</v>
      </c>
      <c r="N4" s="419">
        <f t="shared" si="3"/>
        <v>0</v>
      </c>
      <c r="O4" s="419">
        <f t="shared" si="3"/>
        <v>0</v>
      </c>
      <c r="P4" s="419">
        <f t="shared" si="3"/>
        <v>0</v>
      </c>
      <c r="Q4" s="419">
        <f t="shared" si="3"/>
        <v>0</v>
      </c>
      <c r="R4" s="419">
        <f t="shared" si="3"/>
        <v>36600</v>
      </c>
      <c r="S4" s="419">
        <f t="shared" si="3"/>
        <v>0</v>
      </c>
      <c r="T4" s="419">
        <f t="shared" si="3"/>
        <v>0</v>
      </c>
      <c r="U4" s="419">
        <f t="shared" si="3"/>
        <v>0</v>
      </c>
      <c r="V4" s="419">
        <f t="shared" si="3"/>
        <v>0</v>
      </c>
      <c r="W4" s="419">
        <f t="shared" si="2"/>
        <v>36600</v>
      </c>
      <c r="X4" s="417"/>
      <c r="Y4" s="277"/>
      <c r="Z4" s="277"/>
      <c r="AA4" s="277"/>
      <c r="AB4" s="277"/>
      <c r="AC4" s="277"/>
      <c r="AD4" s="277"/>
      <c r="AE4" s="277"/>
      <c r="AF4" s="277"/>
      <c r="AG4" s="277"/>
      <c r="AH4" s="277"/>
      <c r="AI4" s="277"/>
      <c r="AJ4" s="277"/>
      <c r="AK4" s="277"/>
    </row>
    <row r="5" spans="1:37">
      <c r="B5" s="250" t="s">
        <v>165</v>
      </c>
      <c r="C5" s="370">
        <f>Inputs!G35-Inputs!O35</f>
        <v>91</v>
      </c>
      <c r="D5" s="189">
        <f>Inputs!G36</f>
        <v>625</v>
      </c>
      <c r="E5" s="189">
        <f>Inputs!G37</f>
        <v>160</v>
      </c>
      <c r="F5" s="49" t="s">
        <v>1</v>
      </c>
      <c r="G5" s="81"/>
      <c r="H5" s="436">
        <f>C5*D5*E5/100</f>
        <v>91000</v>
      </c>
      <c r="I5" s="471">
        <f>D5*E5/100</f>
        <v>1000</v>
      </c>
      <c r="K5" s="417"/>
      <c r="L5" s="419" t="str">
        <f t="shared" si="0"/>
        <v>Dried Rolled Corn</v>
      </c>
      <c r="M5" s="419">
        <f t="shared" si="3"/>
        <v>0</v>
      </c>
      <c r="N5" s="419">
        <f t="shared" si="3"/>
        <v>0</v>
      </c>
      <c r="O5" s="419">
        <f t="shared" si="3"/>
        <v>0</v>
      </c>
      <c r="P5" s="419">
        <f t="shared" si="3"/>
        <v>0</v>
      </c>
      <c r="Q5" s="419">
        <f t="shared" si="3"/>
        <v>0</v>
      </c>
      <c r="R5" s="419">
        <f t="shared" si="3"/>
        <v>0</v>
      </c>
      <c r="S5" s="419">
        <f t="shared" si="3"/>
        <v>0</v>
      </c>
      <c r="T5" s="419">
        <f t="shared" si="3"/>
        <v>0</v>
      </c>
      <c r="U5" s="419">
        <f t="shared" si="3"/>
        <v>54900</v>
      </c>
      <c r="V5" s="419">
        <f t="shared" si="3"/>
        <v>0</v>
      </c>
      <c r="W5" s="419">
        <f t="shared" si="2"/>
        <v>54900</v>
      </c>
      <c r="X5" s="417"/>
    </row>
    <row r="6" spans="1:37" s="40" customFormat="1" ht="13.5" thickBot="1">
      <c r="A6" s="152"/>
      <c r="B6" s="48"/>
      <c r="C6" s="31"/>
      <c r="D6" s="49"/>
      <c r="E6" s="49"/>
      <c r="F6" s="49"/>
      <c r="G6" s="81"/>
      <c r="H6" s="436"/>
      <c r="I6" s="471"/>
      <c r="J6" s="15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417"/>
      <c r="Y6" s="277"/>
      <c r="Z6" s="277"/>
      <c r="AA6" s="277"/>
      <c r="AB6" s="277"/>
      <c r="AC6" s="277"/>
      <c r="AD6" s="277"/>
      <c r="AE6" s="277"/>
      <c r="AF6" s="277"/>
      <c r="AG6" s="277"/>
      <c r="AH6" s="277"/>
      <c r="AI6" s="277"/>
      <c r="AJ6" s="277"/>
      <c r="AK6" s="277"/>
    </row>
    <row r="7" spans="1:37" ht="13.5" thickBot="1">
      <c r="B7" s="123"/>
      <c r="C7" s="96"/>
      <c r="D7" s="42"/>
      <c r="E7" s="42"/>
      <c r="F7" s="42"/>
      <c r="G7" s="97" t="s">
        <v>110</v>
      </c>
      <c r="H7" s="475">
        <f>SUM(H4:H6)</f>
        <v>195422.5</v>
      </c>
      <c r="I7" s="473">
        <f>IF(H7=0,0,H7/($C$5+$C$4))</f>
        <v>1073.75</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417"/>
    </row>
    <row r="8" spans="1:37" ht="13.5" thickBot="1">
      <c r="B8" s="53"/>
      <c r="C8" s="53"/>
      <c r="D8" s="43"/>
      <c r="E8" s="43"/>
      <c r="F8" s="43"/>
      <c r="G8" s="43"/>
      <c r="H8" s="476"/>
      <c r="I8" s="611" t="str">
        <f>IF(H8=0,"",H8/$C$5)</f>
        <v/>
      </c>
      <c r="K8" s="417"/>
      <c r="L8" s="419" t="s">
        <v>31</v>
      </c>
      <c r="M8" s="419">
        <f>SUM(M2:M7)</f>
        <v>0</v>
      </c>
      <c r="N8" s="419">
        <f t="shared" ref="N8:V8" si="4">SUM(N2:N7)</f>
        <v>0</v>
      </c>
      <c r="O8" s="419">
        <f t="shared" si="4"/>
        <v>0</v>
      </c>
      <c r="P8" s="419">
        <f t="shared" si="4"/>
        <v>109800</v>
      </c>
      <c r="Q8" s="419">
        <f t="shared" si="4"/>
        <v>64050</v>
      </c>
      <c r="R8" s="419">
        <f t="shared" si="4"/>
        <v>36600</v>
      </c>
      <c r="S8" s="419">
        <f t="shared" si="4"/>
        <v>0</v>
      </c>
      <c r="T8" s="419">
        <f t="shared" si="4"/>
        <v>0</v>
      </c>
      <c r="U8" s="419">
        <f t="shared" si="4"/>
        <v>54900</v>
      </c>
      <c r="V8" s="419">
        <f t="shared" si="4"/>
        <v>0</v>
      </c>
      <c r="W8" s="419"/>
      <c r="X8" s="417"/>
    </row>
    <row r="9" spans="1:37" ht="26.25" thickBot="1">
      <c r="B9" s="41" t="s">
        <v>96</v>
      </c>
      <c r="C9" s="108"/>
      <c r="D9" s="109"/>
      <c r="E9" s="109"/>
      <c r="F9" s="109"/>
      <c r="G9" s="109"/>
      <c r="H9" s="477" t="s">
        <v>74</v>
      </c>
      <c r="I9" s="612" t="s">
        <v>94</v>
      </c>
      <c r="K9" s="417"/>
      <c r="L9" s="417"/>
      <c r="M9" s="417"/>
      <c r="N9" s="417"/>
      <c r="O9" s="417"/>
      <c r="P9" s="417"/>
      <c r="Q9" s="417"/>
      <c r="R9" s="417"/>
      <c r="S9" s="417"/>
      <c r="T9" s="417"/>
      <c r="U9" s="417"/>
      <c r="V9" s="417"/>
      <c r="W9" s="417"/>
      <c r="X9" s="417"/>
    </row>
    <row r="10" spans="1:37" s="40" customFormat="1">
      <c r="A10" s="152"/>
      <c r="B10" s="262"/>
      <c r="C10" s="245" t="s">
        <v>44</v>
      </c>
      <c r="D10" s="261" t="s">
        <v>30</v>
      </c>
      <c r="E10" s="261" t="s">
        <v>5</v>
      </c>
      <c r="F10" s="269"/>
      <c r="G10" s="285"/>
      <c r="H10" s="478" t="s">
        <v>31</v>
      </c>
      <c r="I10" s="613"/>
      <c r="J10" s="157"/>
      <c r="K10" s="417" t="s">
        <v>61</v>
      </c>
      <c r="L10" s="417"/>
      <c r="M10" s="417"/>
      <c r="N10" s="417"/>
      <c r="O10" s="417"/>
      <c r="P10" s="417"/>
      <c r="Q10" s="417"/>
      <c r="R10" s="417"/>
      <c r="S10" s="417"/>
      <c r="T10" s="417"/>
      <c r="U10" s="417"/>
      <c r="V10" s="417"/>
      <c r="W10" s="417"/>
      <c r="X10" s="417"/>
      <c r="Y10" s="277"/>
      <c r="Z10" s="277"/>
      <c r="AA10" s="277"/>
      <c r="AB10" s="277"/>
      <c r="AC10" s="277"/>
      <c r="AD10" s="277"/>
      <c r="AE10" s="277"/>
      <c r="AF10" s="277"/>
      <c r="AG10" s="277"/>
      <c r="AH10" s="277"/>
      <c r="AI10" s="277"/>
      <c r="AJ10" s="277"/>
      <c r="AK10" s="277"/>
    </row>
    <row r="11" spans="1:37" ht="12.75" customHeight="1">
      <c r="B11" s="255" t="s">
        <v>134</v>
      </c>
      <c r="C11" s="117">
        <f>Inputs!G32</f>
        <v>92</v>
      </c>
      <c r="D11" s="189">
        <f>Inputs!G24</f>
        <v>575</v>
      </c>
      <c r="E11" s="252">
        <f>Inputs!G26</f>
        <v>183</v>
      </c>
      <c r="F11" s="251" t="s">
        <v>1</v>
      </c>
      <c r="G11" s="265"/>
      <c r="H11" s="479">
        <f>IF(C11=0,0,C11*D11*E11/100)</f>
        <v>96807</v>
      </c>
      <c r="I11" s="614"/>
      <c r="K11" s="417" t="s">
        <v>64</v>
      </c>
      <c r="L11" s="417"/>
      <c r="M11" s="417"/>
      <c r="N11" s="417"/>
      <c r="O11" s="417"/>
      <c r="P11" s="417"/>
      <c r="Q11" s="417"/>
      <c r="R11" s="417"/>
      <c r="S11" s="417"/>
      <c r="T11" s="417"/>
      <c r="U11" s="417"/>
      <c r="V11" s="417"/>
      <c r="W11" s="417"/>
      <c r="X11" s="417"/>
    </row>
    <row r="12" spans="1:37" s="40" customFormat="1" ht="12.75" customHeight="1" thickBot="1">
      <c r="A12" s="152"/>
      <c r="B12" s="255" t="s">
        <v>135</v>
      </c>
      <c r="C12" s="117">
        <f>Inputs!G35</f>
        <v>92</v>
      </c>
      <c r="D12" s="251">
        <f>Inputs!G25</f>
        <v>525</v>
      </c>
      <c r="E12" s="252">
        <f>Inputs!G27</f>
        <v>170</v>
      </c>
      <c r="F12" s="251" t="s">
        <v>1</v>
      </c>
      <c r="G12" s="265"/>
      <c r="H12" s="480">
        <f>IF(C12=0,0,C12*D12*E12/100)</f>
        <v>82110</v>
      </c>
      <c r="I12" s="615"/>
      <c r="J12" s="157"/>
      <c r="K12" s="419"/>
      <c r="L12" s="417"/>
      <c r="M12" s="417"/>
      <c r="N12" s="417"/>
      <c r="O12" s="417"/>
      <c r="P12" s="417"/>
      <c r="Q12" s="417"/>
      <c r="R12" s="417"/>
      <c r="S12" s="417"/>
      <c r="T12" s="417"/>
      <c r="U12" s="417"/>
      <c r="V12" s="417"/>
      <c r="W12" s="417"/>
      <c r="X12" s="417"/>
      <c r="Y12" s="277"/>
      <c r="Z12" s="277"/>
      <c r="AA12" s="277"/>
      <c r="AB12" s="277"/>
      <c r="AC12" s="277"/>
      <c r="AD12" s="277"/>
      <c r="AE12" s="277"/>
      <c r="AF12" s="277"/>
      <c r="AG12" s="277"/>
      <c r="AH12" s="277"/>
      <c r="AI12" s="277"/>
      <c r="AJ12" s="277"/>
      <c r="AK12" s="277"/>
    </row>
    <row r="13" spans="1:37" s="40" customFormat="1" ht="13.5" customHeight="1" thickTop="1">
      <c r="A13" s="152"/>
      <c r="B13" s="284"/>
      <c r="D13" s="251"/>
      <c r="E13" s="43"/>
      <c r="F13" s="251"/>
      <c r="G13" s="258" t="s">
        <v>150</v>
      </c>
      <c r="H13" s="189">
        <f>SUM(H11:H12)</f>
        <v>178917</v>
      </c>
      <c r="I13" s="561">
        <f>IF(H13=0,0,H13/($C$5+$C$4))</f>
        <v>983.06043956043959</v>
      </c>
      <c r="J13" s="157"/>
      <c r="K13" s="419"/>
      <c r="L13" s="816"/>
      <c r="M13" s="419"/>
      <c r="N13" s="417"/>
      <c r="O13" s="417"/>
      <c r="P13" s="417"/>
      <c r="Q13" s="417"/>
      <c r="R13" s="417"/>
      <c r="S13" s="417"/>
      <c r="T13" s="417"/>
      <c r="U13" s="417" t="str">
        <f>IF(Inputs!B68="","",Inputs!B68)</f>
        <v xml:space="preserve">Pasture  </v>
      </c>
      <c r="V13" s="417"/>
      <c r="W13" s="417"/>
      <c r="X13" s="417"/>
      <c r="Y13" s="221"/>
      <c r="Z13" s="221"/>
      <c r="AA13" s="221"/>
      <c r="AB13" s="277"/>
      <c r="AC13" s="277"/>
      <c r="AD13" s="277"/>
      <c r="AE13" s="277"/>
      <c r="AF13" s="277"/>
      <c r="AG13" s="277"/>
      <c r="AH13" s="277"/>
      <c r="AI13" s="277"/>
      <c r="AJ13" s="277"/>
      <c r="AK13" s="277"/>
    </row>
    <row r="14" spans="1:37" s="239" customFormat="1">
      <c r="A14" s="277"/>
      <c r="B14" s="250"/>
      <c r="C14" s="371"/>
      <c r="D14" s="251"/>
      <c r="F14" s="251"/>
      <c r="G14" s="251"/>
      <c r="H14" s="189"/>
      <c r="I14" s="561"/>
      <c r="J14" s="222"/>
      <c r="K14" s="419"/>
      <c r="L14" s="816"/>
      <c r="M14" s="419"/>
      <c r="N14" s="417"/>
      <c r="O14" s="417"/>
      <c r="P14" s="417"/>
      <c r="Q14" s="417"/>
      <c r="R14" s="417"/>
      <c r="S14" s="417"/>
      <c r="T14" s="417"/>
      <c r="U14" s="417" t="str">
        <f>IF(Inputs!B69="","",Inputs!B69)</f>
        <v>Grain mix (distillers &amp; corn)</v>
      </c>
      <c r="V14" s="417"/>
      <c r="W14" s="417"/>
      <c r="X14" s="417"/>
      <c r="Y14" s="221"/>
      <c r="Z14" s="221"/>
      <c r="AA14" s="221"/>
      <c r="AB14" s="277"/>
      <c r="AC14" s="277"/>
      <c r="AD14" s="277"/>
      <c r="AE14" s="277"/>
      <c r="AF14" s="277"/>
      <c r="AG14" s="277"/>
      <c r="AH14" s="277"/>
      <c r="AI14" s="277"/>
      <c r="AJ14" s="277"/>
      <c r="AK14" s="277"/>
    </row>
    <row r="15" spans="1:37" ht="39" customHeight="1">
      <c r="A15" s="155"/>
      <c r="B15" s="255" t="s">
        <v>7</v>
      </c>
      <c r="C15" s="356" t="s">
        <v>68</v>
      </c>
      <c r="D15" s="251"/>
      <c r="E15" s="357" t="s">
        <v>63</v>
      </c>
      <c r="F15" s="270" t="s">
        <v>5</v>
      </c>
      <c r="G15" s="116"/>
      <c r="H15" s="481" t="s">
        <v>31</v>
      </c>
      <c r="I15" s="616" t="s">
        <v>31</v>
      </c>
      <c r="K15" s="430"/>
      <c r="L15" s="816"/>
      <c r="M15" s="419"/>
      <c r="N15" s="417"/>
      <c r="O15" s="417"/>
      <c r="P15" s="417"/>
      <c r="Q15" s="417"/>
      <c r="R15" s="417"/>
      <c r="S15" s="417"/>
      <c r="T15" s="417"/>
      <c r="U15" s="417" t="str">
        <f>IF(Inputs!B70="","",Inputs!B70)</f>
        <v>Prairie Hay</v>
      </c>
      <c r="V15" s="417"/>
      <c r="W15" s="417"/>
      <c r="X15" s="417"/>
      <c r="Y15" s="221"/>
      <c r="Z15" s="221"/>
      <c r="AA15" s="221"/>
    </row>
    <row r="16" spans="1:37">
      <c r="B16" s="739" t="s">
        <v>250</v>
      </c>
      <c r="C16" s="740">
        <v>600</v>
      </c>
      <c r="D16" s="278" t="str">
        <f t="shared" ref="D16:D21" si="5">IF(B16="","",CONCATENATE(VLOOKUP(B16,Feed,5,FALSE)))</f>
        <v>lbs</v>
      </c>
      <c r="E16" s="742" t="s">
        <v>61</v>
      </c>
      <c r="F16" s="257">
        <f t="shared" ref="F16:F21" si="6">IF(B16="","",VLOOKUP(B16,Feed,7,FALSE))</f>
        <v>7.4999999999999997E-2</v>
      </c>
      <c r="G16" s="273" t="str">
        <f t="shared" ref="G16:G21" si="7">IF(B16="","",CONCATENATE("$ ",VLOOKUP(B16,Feed,5,FALSE)))</f>
        <v>$ lbs</v>
      </c>
      <c r="H16" s="434">
        <f t="shared" ref="H16:H21" si="8">IF(B16="","",C16*F16*IF(E16="per animal",($C$4+$C$5+$C$11+$C$12)/2,1))</f>
        <v>8235</v>
      </c>
      <c r="I16" s="762">
        <f t="shared" ref="I16:I21" si="9">IF(B16="","",IF(($C$4+$C$5)=0,"",H16/($C$4+$C$5)))</f>
        <v>45.247252747252745</v>
      </c>
      <c r="K16" s="417">
        <f t="shared" ref="K16:K21" si="10">C16*IF(E16="total",1,IF(E16="per animal",($C$4+$C$5+$C$11+$C$12)/2,0))</f>
        <v>109800</v>
      </c>
      <c r="L16" s="419"/>
      <c r="M16" s="431"/>
      <c r="N16" s="417"/>
      <c r="O16" s="432"/>
      <c r="P16" s="417"/>
      <c r="Q16" s="417"/>
      <c r="R16" s="417"/>
      <c r="S16" s="417"/>
      <c r="T16" s="417"/>
      <c r="U16" s="417" t="str">
        <f>IF(Inputs!B71="","",Inputs!B71)</f>
        <v>Alfalfa</v>
      </c>
      <c r="V16" s="417"/>
      <c r="W16" s="417"/>
      <c r="X16" s="417"/>
      <c r="Y16" s="221"/>
      <c r="Z16" s="221"/>
      <c r="AA16" s="221"/>
    </row>
    <row r="17" spans="1:37">
      <c r="B17" s="738" t="s">
        <v>263</v>
      </c>
      <c r="C17" s="741">
        <v>350</v>
      </c>
      <c r="D17" s="278" t="str">
        <f t="shared" si="5"/>
        <v>lbs</v>
      </c>
      <c r="E17" s="743" t="s">
        <v>61</v>
      </c>
      <c r="F17" s="257">
        <f t="shared" si="6"/>
        <v>0.05</v>
      </c>
      <c r="G17" s="273" t="str">
        <f t="shared" si="7"/>
        <v>$ lbs</v>
      </c>
      <c r="H17" s="434">
        <f t="shared" si="8"/>
        <v>3202.5</v>
      </c>
      <c r="I17" s="762">
        <f t="shared" si="9"/>
        <v>17.596153846153847</v>
      </c>
      <c r="K17" s="417">
        <f t="shared" si="10"/>
        <v>64050</v>
      </c>
      <c r="L17" s="419"/>
      <c r="M17" s="419"/>
      <c r="N17" s="417"/>
      <c r="O17" s="417"/>
      <c r="P17" s="417"/>
      <c r="Q17" s="417"/>
      <c r="R17" s="417"/>
      <c r="S17" s="417"/>
      <c r="T17" s="417"/>
      <c r="U17" s="417" t="str">
        <f>IF(Inputs!B72="","",Inputs!B72)</f>
        <v>Distiller's Grain - modified wet</v>
      </c>
      <c r="V17" s="417"/>
      <c r="W17" s="417"/>
      <c r="X17" s="417"/>
      <c r="Y17" s="221"/>
      <c r="Z17" s="221"/>
      <c r="AA17" s="221"/>
    </row>
    <row r="18" spans="1:37">
      <c r="B18" s="738" t="s">
        <v>251</v>
      </c>
      <c r="C18" s="740">
        <v>200</v>
      </c>
      <c r="D18" s="278" t="str">
        <f t="shared" si="5"/>
        <v>ounce</v>
      </c>
      <c r="E18" s="742" t="s">
        <v>61</v>
      </c>
      <c r="F18" s="257">
        <f t="shared" si="6"/>
        <v>3.7499999999999999E-2</v>
      </c>
      <c r="G18" s="273" t="str">
        <f t="shared" si="7"/>
        <v>$ ounce</v>
      </c>
      <c r="H18" s="434">
        <f t="shared" si="8"/>
        <v>1372.5</v>
      </c>
      <c r="I18" s="762">
        <f t="shared" si="9"/>
        <v>7.5412087912087911</v>
      </c>
      <c r="K18" s="417">
        <f t="shared" si="10"/>
        <v>36600</v>
      </c>
      <c r="L18" s="419"/>
      <c r="M18" s="419"/>
      <c r="N18" s="417"/>
      <c r="O18" s="417"/>
      <c r="P18" s="417"/>
      <c r="Q18" s="417"/>
      <c r="R18" s="417"/>
      <c r="S18" s="417"/>
      <c r="T18" s="417"/>
      <c r="U18" s="417" t="str">
        <f>IF(Inputs!B73="","",Inputs!B73)</f>
        <v>Salt and Mineral</v>
      </c>
      <c r="V18" s="417"/>
      <c r="W18" s="417"/>
      <c r="X18" s="417"/>
      <c r="Y18" s="221"/>
      <c r="Z18" s="221"/>
      <c r="AA18" s="221"/>
    </row>
    <row r="19" spans="1:37">
      <c r="B19" s="738" t="s">
        <v>262</v>
      </c>
      <c r="C19" s="740">
        <v>300</v>
      </c>
      <c r="D19" s="278" t="str">
        <f t="shared" si="5"/>
        <v>lbs</v>
      </c>
      <c r="E19" s="742" t="s">
        <v>61</v>
      </c>
      <c r="F19" s="257">
        <f t="shared" si="6"/>
        <v>9.6428571428571433E-2</v>
      </c>
      <c r="G19" s="273" t="str">
        <f t="shared" si="7"/>
        <v>$ lbs</v>
      </c>
      <c r="H19" s="434">
        <f t="shared" si="8"/>
        <v>5293.9285714285716</v>
      </c>
      <c r="I19" s="762">
        <f t="shared" si="9"/>
        <v>29.087519623233909</v>
      </c>
      <c r="K19" s="417">
        <f t="shared" si="10"/>
        <v>54900</v>
      </c>
      <c r="L19" s="419"/>
      <c r="M19" s="419"/>
      <c r="N19" s="417"/>
      <c r="O19" s="417"/>
      <c r="P19" s="417"/>
      <c r="Q19" s="417"/>
      <c r="R19" s="417"/>
      <c r="S19" s="417"/>
      <c r="T19" s="417"/>
      <c r="U19" s="417" t="str">
        <f>IF(Inputs!B74="","",Inputs!B74)</f>
        <v>Dried Distiller's Cubes - bulk</v>
      </c>
      <c r="V19" s="417"/>
      <c r="W19" s="417"/>
      <c r="X19" s="417"/>
      <c r="Y19" s="221"/>
      <c r="Z19" s="221"/>
      <c r="AA19" s="221"/>
    </row>
    <row r="20" spans="1:37">
      <c r="B20" s="204"/>
      <c r="C20" s="205"/>
      <c r="D20" s="278" t="str">
        <f t="shared" si="5"/>
        <v/>
      </c>
      <c r="E20" s="218"/>
      <c r="F20" s="257" t="str">
        <f t="shared" si="6"/>
        <v/>
      </c>
      <c r="G20" s="273" t="str">
        <f t="shared" si="7"/>
        <v/>
      </c>
      <c r="H20" s="434" t="str">
        <f t="shared" si="8"/>
        <v/>
      </c>
      <c r="I20" s="762" t="str">
        <f t="shared" si="9"/>
        <v/>
      </c>
      <c r="K20" s="417">
        <f t="shared" si="10"/>
        <v>0</v>
      </c>
      <c r="L20" s="419"/>
      <c r="M20" s="419"/>
      <c r="N20" s="417"/>
      <c r="O20" s="417"/>
      <c r="P20" s="417"/>
      <c r="Q20" s="417"/>
      <c r="R20" s="417"/>
      <c r="S20" s="417"/>
      <c r="T20" s="417"/>
      <c r="U20" s="417" t="str">
        <f>IF(Inputs!B75="","",Inputs!B75)</f>
        <v>Corn</v>
      </c>
      <c r="V20" s="417"/>
      <c r="W20" s="417"/>
      <c r="X20" s="417"/>
      <c r="Y20" s="221"/>
      <c r="Z20" s="221"/>
      <c r="AA20" s="221"/>
    </row>
    <row r="21" spans="1:37" ht="13.5" thickBot="1">
      <c r="B21" s="204"/>
      <c r="C21" s="205"/>
      <c r="D21" s="278" t="str">
        <f t="shared" si="5"/>
        <v/>
      </c>
      <c r="E21" s="218"/>
      <c r="F21" s="257" t="str">
        <f t="shared" si="6"/>
        <v/>
      </c>
      <c r="G21" s="273" t="str">
        <f t="shared" si="7"/>
        <v/>
      </c>
      <c r="H21" s="435" t="str">
        <f t="shared" si="8"/>
        <v/>
      </c>
      <c r="I21" s="763" t="str">
        <f t="shared" si="9"/>
        <v/>
      </c>
      <c r="K21" s="417">
        <f t="shared" si="10"/>
        <v>0</v>
      </c>
      <c r="L21" s="419"/>
      <c r="M21" s="419"/>
      <c r="N21" s="417"/>
      <c r="O21" s="417"/>
      <c r="P21" s="417"/>
      <c r="Q21" s="417"/>
      <c r="R21" s="417"/>
      <c r="S21" s="417"/>
      <c r="T21" s="417"/>
      <c r="U21" s="417" t="str">
        <f>IF(Inputs!B76="","",Inputs!B76)</f>
        <v>Dried Rolled Corn</v>
      </c>
      <c r="V21" s="417"/>
      <c r="W21" s="417"/>
      <c r="X21" s="417"/>
      <c r="Y21" s="221"/>
      <c r="Z21" s="221"/>
      <c r="AA21" s="221"/>
    </row>
    <row r="22" spans="1:37" ht="13.5" thickTop="1">
      <c r="B22" s="250"/>
      <c r="C22" s="75"/>
      <c r="D22" s="251"/>
      <c r="E22" s="258"/>
      <c r="F22" s="260"/>
      <c r="G22" s="258" t="s">
        <v>36</v>
      </c>
      <c r="H22" s="482">
        <f>SUM(H16:H21)</f>
        <v>18103.928571428572</v>
      </c>
      <c r="I22" s="617">
        <f>SUM(I16:I21)</f>
        <v>99.472135007849289</v>
      </c>
      <c r="K22" s="417"/>
      <c r="L22" s="417"/>
      <c r="M22" s="417"/>
      <c r="N22" s="417"/>
      <c r="O22" s="417"/>
      <c r="P22" s="417"/>
      <c r="Q22" s="417"/>
      <c r="R22" s="417"/>
      <c r="S22" s="417"/>
      <c r="T22" s="417"/>
      <c r="U22" s="417" t="str">
        <f>IF(Inputs!B77="","",Inputs!B77)</f>
        <v>Corn Stalks</v>
      </c>
      <c r="V22" s="417"/>
      <c r="W22" s="417"/>
      <c r="X22" s="417"/>
      <c r="Y22" s="221"/>
      <c r="Z22" s="221"/>
      <c r="AA22" s="221"/>
    </row>
    <row r="23" spans="1:37">
      <c r="A23" s="156"/>
      <c r="B23" s="250"/>
      <c r="C23" s="243"/>
      <c r="D23" s="251"/>
      <c r="E23" s="251"/>
      <c r="F23" s="251"/>
      <c r="G23" s="251"/>
      <c r="H23" s="436"/>
      <c r="I23" s="471" t="str">
        <f>IF(H23=0,"",H23/$C$5)</f>
        <v/>
      </c>
      <c r="K23" s="417"/>
      <c r="L23" s="417"/>
      <c r="M23" s="417"/>
      <c r="N23" s="417"/>
      <c r="O23" s="417"/>
      <c r="P23" s="417"/>
      <c r="Q23" s="417"/>
      <c r="R23" s="417"/>
      <c r="S23" s="417"/>
      <c r="T23" s="417"/>
      <c r="U23" s="417"/>
      <c r="V23" s="417"/>
      <c r="W23" s="417"/>
      <c r="X23" s="417"/>
      <c r="Y23" s="221"/>
      <c r="Z23" s="221"/>
      <c r="AA23" s="221"/>
    </row>
    <row r="24" spans="1:37">
      <c r="B24" s="263" t="s">
        <v>45</v>
      </c>
      <c r="C24" s="274"/>
      <c r="D24" s="283" t="s">
        <v>56</v>
      </c>
      <c r="E24" s="358" t="s">
        <v>177</v>
      </c>
      <c r="F24" s="246" t="s">
        <v>48</v>
      </c>
      <c r="G24" s="266"/>
      <c r="H24" s="483" t="s">
        <v>31</v>
      </c>
      <c r="I24" s="618" t="s">
        <v>31</v>
      </c>
      <c r="J24" s="158"/>
      <c r="K24" s="417"/>
      <c r="L24" s="417"/>
      <c r="M24" s="417"/>
      <c r="N24" s="417"/>
      <c r="O24" s="417"/>
      <c r="P24" s="417"/>
      <c r="Q24" s="417"/>
      <c r="R24" s="417"/>
      <c r="S24" s="417"/>
      <c r="T24" s="417"/>
      <c r="U24" s="417"/>
      <c r="V24" s="417"/>
      <c r="W24" s="417"/>
      <c r="X24" s="417"/>
      <c r="Y24" s="221"/>
      <c r="Z24" s="221"/>
      <c r="AA24" s="221"/>
    </row>
    <row r="25" spans="1:37">
      <c r="B25" s="250" t="str">
        <f>Inputs!B81</f>
        <v>Labor</v>
      </c>
      <c r="C25" s="242"/>
      <c r="D25" s="256">
        <f>Inputs!D81</f>
        <v>30</v>
      </c>
      <c r="E25" s="233" t="str">
        <f>Inputs!E81</f>
        <v>per animal</v>
      </c>
      <c r="F25" s="124">
        <f>Inputs!R81</f>
        <v>3.0436540444750963E-2</v>
      </c>
      <c r="G25" s="265"/>
      <c r="H25" s="436">
        <f>D25*IF(E25="per animal",$C$11+$C$12,1)*F25</f>
        <v>168.00970325502533</v>
      </c>
      <c r="I25" s="762">
        <f>IF(B25="","",IF(($C$4+$C$5)=0,"",H25/($C$4+$C$5)))</f>
        <v>0.92313023766497437</v>
      </c>
      <c r="K25" s="417"/>
      <c r="L25" s="417"/>
      <c r="M25" s="417"/>
      <c r="N25" s="417"/>
      <c r="O25" s="417"/>
      <c r="P25" s="417"/>
      <c r="Q25" s="417"/>
      <c r="R25" s="417"/>
      <c r="S25" s="417"/>
      <c r="T25" s="417"/>
      <c r="U25" s="417"/>
      <c r="V25" s="417"/>
      <c r="W25" s="417"/>
      <c r="X25" s="417"/>
      <c r="Y25" s="221"/>
      <c r="Z25" s="221"/>
      <c r="AA25" s="221"/>
    </row>
    <row r="26" spans="1:37">
      <c r="B26" s="250" t="str">
        <f>Inputs!B82</f>
        <v>Fuel</v>
      </c>
      <c r="C26" s="242"/>
      <c r="D26" s="256">
        <f>Inputs!D82</f>
        <v>20</v>
      </c>
      <c r="E26" s="359" t="str">
        <f>Inputs!E82</f>
        <v>per animal</v>
      </c>
      <c r="F26" s="124">
        <f>Inputs!R82</f>
        <v>3.0436540444750963E-2</v>
      </c>
      <c r="G26" s="265"/>
      <c r="H26" s="436">
        <f t="shared" ref="H26:H33" si="11">D26*IF(E26="per animal",$C$11+$C$12,1)*F26</f>
        <v>112.00646883668354</v>
      </c>
      <c r="I26" s="762">
        <f t="shared" ref="I26:I33" si="12">IF(B26="","",IF(($C$4+$C$5)=0,"",H26/($C$4+$C$5)))</f>
        <v>0.6154201584433161</v>
      </c>
      <c r="K26" s="417"/>
      <c r="L26" s="417"/>
      <c r="M26" s="417"/>
      <c r="N26" s="417"/>
      <c r="O26" s="417"/>
      <c r="P26" s="417"/>
      <c r="Q26" s="417"/>
      <c r="R26" s="417"/>
      <c r="S26" s="417"/>
      <c r="T26" s="417"/>
      <c r="U26" s="417"/>
      <c r="V26" s="417"/>
      <c r="W26" s="417"/>
      <c r="X26" s="417"/>
      <c r="Y26" s="221"/>
      <c r="Z26" s="221"/>
      <c r="AA26" s="221"/>
    </row>
    <row r="27" spans="1:37">
      <c r="B27" s="250" t="str">
        <f>Inputs!B83</f>
        <v>Veterinary and Medical</v>
      </c>
      <c r="C27" s="242"/>
      <c r="D27" s="256">
        <f>Inputs!D83</f>
        <v>25</v>
      </c>
      <c r="E27" s="359" t="str">
        <f>Inputs!E83</f>
        <v>per animal</v>
      </c>
      <c r="F27" s="124">
        <f>Inputs!R83</f>
        <v>3.0436540444750963E-2</v>
      </c>
      <c r="G27" s="265"/>
      <c r="H27" s="436">
        <f t="shared" si="11"/>
        <v>140.00808604585444</v>
      </c>
      <c r="I27" s="762">
        <f t="shared" si="12"/>
        <v>0.76927519805414524</v>
      </c>
      <c r="K27" s="417"/>
      <c r="L27" s="417"/>
      <c r="M27" s="417"/>
      <c r="N27" s="417"/>
      <c r="O27" s="417"/>
      <c r="P27" s="417"/>
      <c r="Q27" s="417"/>
      <c r="R27" s="417"/>
      <c r="S27" s="417"/>
      <c r="T27" s="417"/>
      <c r="U27" s="417"/>
      <c r="V27" s="417"/>
      <c r="W27" s="417"/>
      <c r="X27" s="417"/>
      <c r="Y27" s="221"/>
      <c r="Z27" s="221"/>
      <c r="AA27" s="221"/>
    </row>
    <row r="28" spans="1:37">
      <c r="B28" s="250" t="str">
        <f>Inputs!B88</f>
        <v>Backgrounded Calf Marketing</v>
      </c>
      <c r="C28" s="275"/>
      <c r="D28" s="256">
        <f>Inputs!X88</f>
        <v>25</v>
      </c>
      <c r="E28" s="233" t="str">
        <f>Inputs!E88</f>
        <v>per animal</v>
      </c>
      <c r="F28" s="124"/>
      <c r="G28" s="265"/>
      <c r="H28" s="436">
        <f>Inputs!Z88</f>
        <v>4550</v>
      </c>
      <c r="I28" s="762">
        <f t="shared" si="12"/>
        <v>25</v>
      </c>
      <c r="K28" s="417"/>
      <c r="L28" s="417"/>
      <c r="M28" s="417"/>
      <c r="N28" s="417"/>
      <c r="O28" s="417"/>
      <c r="P28" s="417"/>
      <c r="Q28" s="417"/>
      <c r="R28" s="417"/>
      <c r="S28" s="417"/>
      <c r="T28" s="417"/>
      <c r="U28" s="417"/>
      <c r="V28" s="417"/>
      <c r="W28" s="417"/>
      <c r="X28" s="417"/>
      <c r="Y28" s="221"/>
      <c r="Z28" s="221"/>
      <c r="AA28" s="221"/>
    </row>
    <row r="29" spans="1:37" hidden="1">
      <c r="B29" s="284">
        <f>Inputs!B91</f>
        <v>0</v>
      </c>
      <c r="C29" s="252"/>
      <c r="D29" s="256">
        <f>Inputs!D91</f>
        <v>0</v>
      </c>
      <c r="E29" s="233">
        <f>Inputs!E91</f>
        <v>0</v>
      </c>
      <c r="F29" s="124">
        <f>Inputs!R91</f>
        <v>0</v>
      </c>
      <c r="G29" s="265"/>
      <c r="H29" s="436">
        <f t="shared" si="11"/>
        <v>0</v>
      </c>
      <c r="I29" s="762">
        <f t="shared" si="12"/>
        <v>0</v>
      </c>
      <c r="K29" s="417"/>
      <c r="L29" s="417"/>
      <c r="M29" s="417"/>
      <c r="N29" s="417"/>
      <c r="O29" s="417"/>
      <c r="P29" s="417"/>
      <c r="Q29" s="417"/>
      <c r="R29" s="417"/>
      <c r="S29" s="417"/>
      <c r="T29" s="417"/>
      <c r="U29" s="417"/>
      <c r="V29" s="417"/>
      <c r="W29" s="417"/>
      <c r="X29" s="417"/>
      <c r="Y29" s="221"/>
      <c r="Z29" s="221"/>
      <c r="AA29" s="221"/>
    </row>
    <row r="30" spans="1:37" hidden="1">
      <c r="B30" s="284" t="str">
        <f>Inputs!B92</f>
        <v xml:space="preserve">Horse maintenance /feed </v>
      </c>
      <c r="C30" s="252" t="s">
        <v>9</v>
      </c>
      <c r="D30" s="256">
        <f>Inputs!D92</f>
        <v>2000</v>
      </c>
      <c r="E30" s="359" t="str">
        <f>Inputs!E92</f>
        <v>all animals</v>
      </c>
      <c r="F30" s="124">
        <f>Inputs!R92</f>
        <v>3.0436540444750963E-2</v>
      </c>
      <c r="G30" s="265"/>
      <c r="H30" s="436">
        <f t="shared" si="11"/>
        <v>60.873080889501928</v>
      </c>
      <c r="I30" s="762">
        <f t="shared" si="12"/>
        <v>0.33446747741484578</v>
      </c>
      <c r="K30" s="417"/>
      <c r="L30" s="417"/>
      <c r="M30" s="417"/>
      <c r="N30" s="417"/>
      <c r="O30" s="417"/>
      <c r="P30" s="417"/>
      <c r="Q30" s="417"/>
      <c r="R30" s="417"/>
      <c r="S30" s="417"/>
      <c r="T30" s="417"/>
      <c r="U30" s="417"/>
      <c r="V30" s="417"/>
      <c r="W30" s="417"/>
      <c r="X30" s="417"/>
      <c r="Y30" s="221"/>
      <c r="Z30" s="221"/>
      <c r="AA30" s="221"/>
    </row>
    <row r="31" spans="1:37" hidden="1">
      <c r="B31" s="284">
        <f>Inputs!B93</f>
        <v>0</v>
      </c>
      <c r="C31" s="252" t="s">
        <v>9</v>
      </c>
      <c r="D31" s="256">
        <f>Inputs!D93</f>
        <v>0</v>
      </c>
      <c r="E31" s="359">
        <f>Inputs!E93</f>
        <v>0</v>
      </c>
      <c r="F31" s="124">
        <f>Inputs!R93</f>
        <v>0</v>
      </c>
      <c r="G31" s="265"/>
      <c r="H31" s="436">
        <f t="shared" si="11"/>
        <v>0</v>
      </c>
      <c r="I31" s="762">
        <f t="shared" si="12"/>
        <v>0</v>
      </c>
      <c r="K31" s="417"/>
      <c r="L31" s="417"/>
      <c r="M31" s="417"/>
      <c r="N31" s="417"/>
      <c r="O31" s="417"/>
      <c r="P31" s="417"/>
      <c r="Q31" s="417"/>
      <c r="R31" s="417"/>
      <c r="S31" s="417"/>
      <c r="T31" s="417"/>
      <c r="U31" s="417"/>
      <c r="V31" s="417"/>
      <c r="W31" s="417"/>
      <c r="X31" s="417"/>
      <c r="Y31" s="221"/>
      <c r="Z31" s="221"/>
      <c r="AA31" s="221"/>
    </row>
    <row r="32" spans="1:37" s="190" customFormat="1" hidden="1">
      <c r="A32" s="220"/>
      <c r="B32" s="284">
        <f>Inputs!B94</f>
        <v>0</v>
      </c>
      <c r="C32" s="252"/>
      <c r="D32" s="256">
        <f>Inputs!D94</f>
        <v>0</v>
      </c>
      <c r="E32" s="359">
        <f>Inputs!E94</f>
        <v>0</v>
      </c>
      <c r="F32" s="124">
        <f>Inputs!R94</f>
        <v>0</v>
      </c>
      <c r="G32" s="265"/>
      <c r="H32" s="436">
        <f t="shared" si="11"/>
        <v>0</v>
      </c>
      <c r="I32" s="762">
        <f t="shared" si="12"/>
        <v>0</v>
      </c>
      <c r="J32" s="222"/>
      <c r="K32" s="417"/>
      <c r="L32" s="417"/>
      <c r="M32" s="417"/>
      <c r="N32" s="417"/>
      <c r="O32" s="417"/>
      <c r="P32" s="417"/>
      <c r="Q32" s="417"/>
      <c r="R32" s="417"/>
      <c r="S32" s="417"/>
      <c r="T32" s="417"/>
      <c r="U32" s="417"/>
      <c r="V32" s="417"/>
      <c r="W32" s="417"/>
      <c r="X32" s="417"/>
      <c r="Y32" s="221"/>
      <c r="Z32" s="221"/>
      <c r="AA32" s="221"/>
      <c r="AB32" s="277"/>
      <c r="AC32" s="277"/>
      <c r="AD32" s="277"/>
      <c r="AE32" s="277"/>
      <c r="AF32" s="277"/>
      <c r="AG32" s="277"/>
      <c r="AH32" s="277"/>
      <c r="AI32" s="277"/>
      <c r="AJ32" s="277"/>
      <c r="AK32" s="277"/>
    </row>
    <row r="33" spans="1:37" hidden="1">
      <c r="B33" s="284">
        <f>Inputs!B95</f>
        <v>0</v>
      </c>
      <c r="C33" s="252" t="s">
        <v>9</v>
      </c>
      <c r="D33" s="256">
        <f>Inputs!D95</f>
        <v>0</v>
      </c>
      <c r="E33" s="359">
        <f>Inputs!E95</f>
        <v>0</v>
      </c>
      <c r="F33" s="124">
        <f>Inputs!R95</f>
        <v>0</v>
      </c>
      <c r="G33" s="265"/>
      <c r="H33" s="436">
        <f t="shared" si="11"/>
        <v>0</v>
      </c>
      <c r="I33" s="762">
        <f t="shared" si="12"/>
        <v>0</v>
      </c>
      <c r="K33" s="417"/>
      <c r="L33" s="417"/>
      <c r="M33" s="417"/>
      <c r="N33" s="417"/>
      <c r="O33" s="417"/>
      <c r="P33" s="417"/>
      <c r="Q33" s="417"/>
      <c r="R33" s="417"/>
      <c r="S33" s="417"/>
      <c r="T33" s="417"/>
      <c r="U33" s="417"/>
      <c r="V33" s="417"/>
      <c r="W33" s="417"/>
      <c r="X33" s="417"/>
      <c r="Y33" s="221"/>
      <c r="Z33" s="221"/>
      <c r="AA33" s="221"/>
    </row>
    <row r="34" spans="1:37" ht="27" customHeight="1" thickBot="1">
      <c r="B34" s="172" t="s">
        <v>37</v>
      </c>
      <c r="C34" s="829" t="s">
        <v>118</v>
      </c>
      <c r="D34" s="830"/>
      <c r="E34" s="830"/>
      <c r="F34" s="830"/>
      <c r="G34" s="831"/>
      <c r="H34" s="437">
        <f>(SUM(H22,H25:H27,H29:H33,H40:H48)/2+H13)*Inputs!E111*Inputs!G30/365</f>
        <v>1856.6422338054283</v>
      </c>
      <c r="I34" s="766">
        <f>IF(B34="","",IF(($C$4+$C$5)=0,"",H34/($C$4+$C$5)))</f>
        <v>10.20133095497488</v>
      </c>
      <c r="K34" s="417"/>
      <c r="L34" s="417"/>
      <c r="M34" s="417"/>
      <c r="N34" s="417"/>
      <c r="O34" s="417"/>
      <c r="P34" s="417"/>
      <c r="Q34" s="417"/>
      <c r="R34" s="417"/>
      <c r="S34" s="417"/>
      <c r="T34" s="417"/>
      <c r="U34" s="417"/>
      <c r="V34" s="417"/>
      <c r="W34" s="417"/>
      <c r="X34" s="417"/>
      <c r="Y34" s="221"/>
      <c r="Z34" s="221"/>
      <c r="AA34" s="221"/>
    </row>
    <row r="35" spans="1:37" ht="14.25" thickTop="1" thickBot="1">
      <c r="B35" s="253"/>
      <c r="C35" s="244"/>
      <c r="D35" s="259"/>
      <c r="E35" s="259"/>
      <c r="F35" s="282"/>
      <c r="G35" s="259" t="s">
        <v>145</v>
      </c>
      <c r="H35" s="484">
        <f>SUM(H25:H34)</f>
        <v>6887.5395728324929</v>
      </c>
      <c r="I35" s="562">
        <f>SUM(I25:I34)</f>
        <v>37.843624026552163</v>
      </c>
      <c r="K35" s="417"/>
      <c r="L35" s="417"/>
      <c r="M35" s="417"/>
      <c r="N35" s="417"/>
      <c r="O35" s="417"/>
      <c r="P35" s="417"/>
      <c r="Q35" s="417"/>
      <c r="R35" s="417"/>
      <c r="S35" s="417"/>
      <c r="T35" s="417"/>
      <c r="U35" s="417"/>
      <c r="V35" s="417"/>
      <c r="W35" s="417"/>
      <c r="X35" s="417"/>
      <c r="Y35" s="221"/>
      <c r="Z35" s="221"/>
      <c r="AA35" s="221"/>
    </row>
    <row r="36" spans="1:37" ht="13.5" thickBot="1">
      <c r="B36" s="123"/>
      <c r="C36" s="96"/>
      <c r="D36" s="42"/>
      <c r="E36" s="42"/>
      <c r="F36" s="42"/>
      <c r="G36" s="21" t="s">
        <v>104</v>
      </c>
      <c r="H36" s="485">
        <f>H13+H22+H35</f>
        <v>203908.46814426107</v>
      </c>
      <c r="I36" s="619">
        <f>I13+I22+I35</f>
        <v>1120.3761985948411</v>
      </c>
      <c r="Y36" s="221"/>
      <c r="Z36" s="221"/>
      <c r="AA36" s="221"/>
    </row>
    <row r="37" spans="1:37" ht="13.5" thickBot="1">
      <c r="B37" s="49"/>
      <c r="C37" s="49"/>
      <c r="D37" s="49"/>
      <c r="E37" s="49"/>
      <c r="F37" s="58"/>
      <c r="G37" s="58"/>
      <c r="H37" s="486"/>
      <c r="I37" s="620" t="str">
        <f>IF(H37=0,"",H37/$C$5)</f>
        <v/>
      </c>
      <c r="Y37" s="221"/>
      <c r="Z37" s="221"/>
      <c r="AA37" s="221"/>
    </row>
    <row r="38" spans="1:37" ht="26.25" thickBot="1">
      <c r="B38" s="41" t="s">
        <v>109</v>
      </c>
      <c r="C38" s="108"/>
      <c r="D38" s="109"/>
      <c r="E38" s="109"/>
      <c r="F38" s="109"/>
      <c r="G38" s="109"/>
      <c r="H38" s="477" t="s">
        <v>74</v>
      </c>
      <c r="I38" s="612" t="s">
        <v>94</v>
      </c>
      <c r="Y38" s="221"/>
      <c r="Z38" s="221"/>
      <c r="AA38" s="221"/>
    </row>
    <row r="39" spans="1:37">
      <c r="B39" s="79" t="s">
        <v>39</v>
      </c>
      <c r="C39" s="31"/>
      <c r="D39" s="39" t="s">
        <v>15</v>
      </c>
      <c r="E39" s="39"/>
      <c r="F39" s="39" t="s">
        <v>48</v>
      </c>
      <c r="G39" s="82"/>
      <c r="H39" s="487" t="s">
        <v>31</v>
      </c>
      <c r="I39" s="621" t="s">
        <v>31</v>
      </c>
      <c r="Y39" s="221"/>
      <c r="Z39" s="221"/>
      <c r="AA39" s="221"/>
    </row>
    <row r="40" spans="1:37">
      <c r="B40" s="48" t="str">
        <f>Inputs!B100</f>
        <v>General machinery &amp; equipment</v>
      </c>
      <c r="C40" s="31"/>
      <c r="D40" s="366">
        <f>Inputs!G100</f>
        <v>1000</v>
      </c>
      <c r="E40" s="56"/>
      <c r="F40" s="80">
        <f>IF(D40=0,0,Inputs!R100)</f>
        <v>3.0436540444750963E-2</v>
      </c>
      <c r="G40" s="93"/>
      <c r="H40" s="436">
        <f>IF(B40="","",D40*F40)</f>
        <v>30.436540444750964</v>
      </c>
      <c r="I40" s="762">
        <f>IF(B40="","",IF(($C$4+$C$5)=0,"",H40/($C$4+$C$5)))</f>
        <v>0.16723373870742289</v>
      </c>
      <c r="Y40" s="221"/>
      <c r="Z40" s="221"/>
      <c r="AA40" s="221"/>
    </row>
    <row r="41" spans="1:37" ht="15" customHeight="1">
      <c r="B41" s="250" t="str">
        <f>Inputs!B101</f>
        <v>Vehicles</v>
      </c>
      <c r="C41" s="31"/>
      <c r="D41" s="366">
        <f>Inputs!G101</f>
        <v>1200</v>
      </c>
      <c r="E41" s="56"/>
      <c r="F41" s="264">
        <f>IF(D41=0,0,Inputs!R101)</f>
        <v>3.0436540444750963E-2</v>
      </c>
      <c r="G41" s="93"/>
      <c r="H41" s="436">
        <f t="shared" ref="H41:H48" si="13">IF(B41="","",D41*F41)</f>
        <v>36.523848533701155</v>
      </c>
      <c r="I41" s="762">
        <f t="shared" ref="I41:I48" si="14">IF(B41="","",IF(($C$4+$C$5)=0,"",H41/($C$4+$C$5)))</f>
        <v>0.20068048644890746</v>
      </c>
      <c r="Y41" s="221"/>
      <c r="Z41" s="221"/>
      <c r="AA41" s="221"/>
    </row>
    <row r="42" spans="1:37">
      <c r="B42" s="284" t="str">
        <f>Inputs!B102</f>
        <v>2 Horses ($5,000 value each)</v>
      </c>
      <c r="C42" s="49"/>
      <c r="D42" s="366">
        <f>Inputs!G102</f>
        <v>0</v>
      </c>
      <c r="E42" s="56"/>
      <c r="F42" s="264">
        <f>IF(D42=0,0,Inputs!R102)</f>
        <v>0</v>
      </c>
      <c r="G42" s="93"/>
      <c r="H42" s="436">
        <f t="shared" si="13"/>
        <v>0</v>
      </c>
      <c r="I42" s="762">
        <f t="shared" si="14"/>
        <v>0</v>
      </c>
      <c r="Y42" s="221"/>
      <c r="Z42" s="221"/>
      <c r="AA42" s="221"/>
    </row>
    <row r="43" spans="1:37">
      <c r="B43" s="284">
        <f>Inputs!B103</f>
        <v>0</v>
      </c>
      <c r="C43" s="49"/>
      <c r="D43" s="366">
        <f>Inputs!G103</f>
        <v>0</v>
      </c>
      <c r="E43" s="56"/>
      <c r="F43" s="264">
        <f>IF(D43=0,0,Inputs!R103)</f>
        <v>0</v>
      </c>
      <c r="G43" s="93"/>
      <c r="H43" s="436">
        <f t="shared" si="13"/>
        <v>0</v>
      </c>
      <c r="I43" s="762">
        <f t="shared" si="14"/>
        <v>0</v>
      </c>
      <c r="Y43" s="221"/>
      <c r="Z43" s="221"/>
      <c r="AA43" s="221"/>
    </row>
    <row r="44" spans="1:37" s="239" customFormat="1" hidden="1">
      <c r="A44" s="277"/>
      <c r="B44" s="284">
        <f>Inputs!B104</f>
        <v>0</v>
      </c>
      <c r="C44" s="251"/>
      <c r="D44" s="366">
        <f>Inputs!G104</f>
        <v>0</v>
      </c>
      <c r="E44" s="256"/>
      <c r="F44" s="264">
        <f>IF(D44=0,0,Inputs!R104)</f>
        <v>0</v>
      </c>
      <c r="G44" s="272"/>
      <c r="H44" s="436">
        <f t="shared" si="13"/>
        <v>0</v>
      </c>
      <c r="I44" s="762">
        <f t="shared" si="14"/>
        <v>0</v>
      </c>
      <c r="J44" s="222"/>
      <c r="K44" s="222"/>
      <c r="L44" s="222"/>
      <c r="M44" s="222"/>
      <c r="N44" s="222"/>
      <c r="O44" s="222"/>
      <c r="P44" s="222"/>
      <c r="Q44" s="222"/>
      <c r="R44" s="222"/>
      <c r="S44" s="222"/>
      <c r="T44" s="222"/>
      <c r="U44" s="222"/>
      <c r="V44" s="222"/>
      <c r="W44" s="222"/>
      <c r="X44" s="222"/>
      <c r="Y44" s="221"/>
      <c r="Z44" s="221"/>
      <c r="AA44" s="221"/>
      <c r="AB44" s="277"/>
      <c r="AC44" s="277"/>
      <c r="AD44" s="277"/>
      <c r="AE44" s="277"/>
      <c r="AF44" s="277"/>
      <c r="AG44" s="277"/>
      <c r="AH44" s="277"/>
      <c r="AI44" s="277"/>
      <c r="AJ44" s="277"/>
      <c r="AK44" s="277"/>
    </row>
    <row r="45" spans="1:37" s="239" customFormat="1" hidden="1">
      <c r="A45" s="277"/>
      <c r="B45" s="284">
        <f>Inputs!B105</f>
        <v>0</v>
      </c>
      <c r="C45" s="251"/>
      <c r="D45" s="366">
        <f>Inputs!G105</f>
        <v>0</v>
      </c>
      <c r="E45" s="256"/>
      <c r="F45" s="264">
        <f>IF(D45=0,0,Inputs!R105)</f>
        <v>0</v>
      </c>
      <c r="G45" s="272"/>
      <c r="H45" s="436">
        <f t="shared" si="13"/>
        <v>0</v>
      </c>
      <c r="I45" s="762">
        <f t="shared" si="14"/>
        <v>0</v>
      </c>
      <c r="J45" s="222"/>
      <c r="K45" s="222"/>
      <c r="L45" s="222"/>
      <c r="M45" s="222"/>
      <c r="N45" s="222"/>
      <c r="O45" s="222"/>
      <c r="P45" s="222"/>
      <c r="Q45" s="222"/>
      <c r="R45" s="222"/>
      <c r="S45" s="222"/>
      <c r="T45" s="222"/>
      <c r="U45" s="222"/>
      <c r="V45" s="222"/>
      <c r="W45" s="222"/>
      <c r="X45" s="222"/>
      <c r="Y45" s="221"/>
      <c r="Z45" s="221"/>
      <c r="AA45" s="221"/>
      <c r="AB45" s="277"/>
      <c r="AC45" s="277"/>
      <c r="AD45" s="277"/>
      <c r="AE45" s="277"/>
      <c r="AF45" s="277"/>
      <c r="AG45" s="277"/>
      <c r="AH45" s="277"/>
      <c r="AI45" s="277"/>
      <c r="AJ45" s="277"/>
      <c r="AK45" s="277"/>
    </row>
    <row r="46" spans="1:37" s="190" customFormat="1" hidden="1">
      <c r="A46" s="220"/>
      <c r="B46" s="284">
        <f>Inputs!B106</f>
        <v>0</v>
      </c>
      <c r="C46" s="208"/>
      <c r="D46" s="366">
        <f>Inputs!G106</f>
        <v>0</v>
      </c>
      <c r="E46" s="212"/>
      <c r="F46" s="264">
        <f>IF(D46=0,0,Inputs!R106)</f>
        <v>0</v>
      </c>
      <c r="G46" s="93"/>
      <c r="H46" s="436">
        <f t="shared" si="13"/>
        <v>0</v>
      </c>
      <c r="I46" s="762">
        <f t="shared" si="14"/>
        <v>0</v>
      </c>
      <c r="J46" s="222"/>
      <c r="K46" s="222"/>
      <c r="L46" s="222"/>
      <c r="M46" s="222"/>
      <c r="N46" s="222"/>
      <c r="O46" s="222"/>
      <c r="P46" s="222"/>
      <c r="Q46" s="222"/>
      <c r="R46" s="222"/>
      <c r="S46" s="222"/>
      <c r="T46" s="222"/>
      <c r="U46" s="222"/>
      <c r="V46" s="222"/>
      <c r="W46" s="222"/>
      <c r="X46" s="222"/>
      <c r="Y46" s="221"/>
      <c r="Z46" s="221"/>
      <c r="AA46" s="221"/>
      <c r="AB46" s="277"/>
      <c r="AC46" s="277"/>
      <c r="AD46" s="277"/>
      <c r="AE46" s="277"/>
      <c r="AF46" s="277"/>
      <c r="AG46" s="277"/>
      <c r="AH46" s="277"/>
      <c r="AI46" s="277"/>
      <c r="AJ46" s="277"/>
      <c r="AK46" s="277"/>
    </row>
    <row r="47" spans="1:37" hidden="1">
      <c r="B47" s="284">
        <f>Inputs!B107</f>
        <v>0</v>
      </c>
      <c r="C47" s="49"/>
      <c r="D47" s="366">
        <f>Inputs!G107</f>
        <v>0</v>
      </c>
      <c r="E47" s="212"/>
      <c r="F47" s="264">
        <f>IF(D47=0,0,Inputs!R107)</f>
        <v>0</v>
      </c>
      <c r="G47" s="93"/>
      <c r="H47" s="436">
        <f t="shared" si="13"/>
        <v>0</v>
      </c>
      <c r="I47" s="762">
        <f t="shared" si="14"/>
        <v>0</v>
      </c>
      <c r="Y47" s="221"/>
      <c r="Z47" s="221"/>
      <c r="AA47" s="221"/>
    </row>
    <row r="48" spans="1:37" ht="13.5" thickBot="1">
      <c r="B48" s="284">
        <f>Inputs!B108</f>
        <v>0</v>
      </c>
      <c r="C48" s="49"/>
      <c r="D48" s="366">
        <f>Inputs!G108</f>
        <v>0</v>
      </c>
      <c r="E48" s="212"/>
      <c r="F48" s="264">
        <f>IF(D48=0,0,Inputs!R108)</f>
        <v>0</v>
      </c>
      <c r="G48" s="93"/>
      <c r="H48" s="437">
        <f t="shared" si="13"/>
        <v>0</v>
      </c>
      <c r="I48" s="763">
        <f t="shared" si="14"/>
        <v>0</v>
      </c>
      <c r="Y48" s="221"/>
      <c r="Z48" s="221"/>
      <c r="AA48" s="221"/>
    </row>
    <row r="49" spans="1:37" ht="13.5" thickTop="1">
      <c r="B49" s="48"/>
      <c r="C49" s="31"/>
      <c r="D49"/>
      <c r="E49" s="92"/>
      <c r="F49" s="92"/>
      <c r="G49" s="126" t="s">
        <v>112</v>
      </c>
      <c r="H49" s="488">
        <f>SUM(H40:H48)</f>
        <v>66.960388978452116</v>
      </c>
      <c r="I49" s="764">
        <f>SUM(I40:I48)</f>
        <v>0.36791422515633032</v>
      </c>
      <c r="Y49" s="221"/>
      <c r="Z49" s="221"/>
      <c r="AA49" s="221"/>
    </row>
    <row r="50" spans="1:37">
      <c r="B50" s="48"/>
      <c r="C50" s="31"/>
      <c r="D50" s="49"/>
      <c r="E50" s="49"/>
      <c r="F50" s="49"/>
      <c r="G50" s="49"/>
      <c r="H50" s="436"/>
      <c r="I50" s="471" t="str">
        <f>IF(H50=0,"",H50/$C$5)</f>
        <v/>
      </c>
      <c r="Y50" s="221"/>
      <c r="Z50" s="221"/>
      <c r="AA50" s="221"/>
    </row>
    <row r="51" spans="1:37">
      <c r="B51" s="79" t="s">
        <v>54</v>
      </c>
      <c r="C51" s="31"/>
      <c r="D51" s="39" t="s">
        <v>56</v>
      </c>
      <c r="E51" s="49"/>
      <c r="F51" s="39" t="s">
        <v>48</v>
      </c>
      <c r="G51" s="81"/>
      <c r="H51" s="483" t="s">
        <v>31</v>
      </c>
      <c r="I51" s="616" t="s">
        <v>31</v>
      </c>
      <c r="Y51" s="221"/>
      <c r="Z51" s="221"/>
      <c r="AA51" s="221"/>
    </row>
    <row r="52" spans="1:37">
      <c r="B52" s="48" t="str">
        <f>Inputs!B117</f>
        <v>Real Estate Tax</v>
      </c>
      <c r="C52" s="31"/>
      <c r="D52" s="447">
        <f>Inputs!E117</f>
        <v>540</v>
      </c>
      <c r="E52" s="49"/>
      <c r="F52" s="125">
        <f>IF(D52=0,0,Inputs!R117)</f>
        <v>3.0436540444750963E-2</v>
      </c>
      <c r="G52" s="81"/>
      <c r="H52" s="436">
        <f>F52*Inputs!E117</f>
        <v>16.43573184016552</v>
      </c>
      <c r="I52" s="762">
        <f>IF(B52="","",IF(($C$4+$C$5)=0,"",H52/($C$4+$C$5)))</f>
        <v>9.0306218902008351E-2</v>
      </c>
      <c r="Y52" s="221"/>
      <c r="Z52" s="221"/>
      <c r="AA52" s="221"/>
    </row>
    <row r="53" spans="1:37">
      <c r="B53" s="48" t="str">
        <f>Inputs!B118</f>
        <v>Annual Insurance Premium</v>
      </c>
      <c r="C53" s="31"/>
      <c r="D53" s="447">
        <f>Inputs!E118</f>
        <v>2500</v>
      </c>
      <c r="E53" s="49"/>
      <c r="F53" s="279">
        <f>IF(D53=0,0,Inputs!R118)</f>
        <v>3.0436540444750963E-2</v>
      </c>
      <c r="G53" s="81"/>
      <c r="H53" s="436">
        <f>F53*Inputs!E118</f>
        <v>76.091351111877401</v>
      </c>
      <c r="I53" s="762">
        <f>IF(B53="","",IF(($C$4+$C$5)=0,"",H53/($C$4+$C$5)))</f>
        <v>0.41808434676855716</v>
      </c>
      <c r="Y53" s="221"/>
      <c r="Z53" s="221"/>
      <c r="AA53" s="221"/>
    </row>
    <row r="54" spans="1:37">
      <c r="B54" s="48" t="str">
        <f>Inputs!B119</f>
        <v>Professional Fees</v>
      </c>
      <c r="C54" s="31"/>
      <c r="D54" s="447">
        <f>Inputs!E119</f>
        <v>1000</v>
      </c>
      <c r="E54" s="49"/>
      <c r="F54" s="279">
        <f>IF(D54=0,0,Inputs!R119)</f>
        <v>3.0436540444750963E-2</v>
      </c>
      <c r="G54" s="81"/>
      <c r="H54" s="436">
        <f>F54*Inputs!E119</f>
        <v>30.436540444750964</v>
      </c>
      <c r="I54" s="762">
        <f>IF(B54="","",IF(($C$4+$C$5)=0,"",H54/($C$4+$C$5)))</f>
        <v>0.16723373870742289</v>
      </c>
      <c r="Y54" s="221"/>
      <c r="Z54" s="221"/>
      <c r="AA54" s="221"/>
    </row>
    <row r="55" spans="1:37">
      <c r="B55" s="48" t="str">
        <f>Inputs!B120</f>
        <v>Annual Management Charge</v>
      </c>
      <c r="C55" s="31"/>
      <c r="D55" s="447">
        <f>Inputs!E120</f>
        <v>0</v>
      </c>
      <c r="E55" s="49"/>
      <c r="F55" s="279">
        <f>IF(D55=0,0,Inputs!R120)</f>
        <v>0</v>
      </c>
      <c r="G55" s="81"/>
      <c r="H55" s="436">
        <f>F55*Inputs!E120</f>
        <v>0</v>
      </c>
      <c r="I55" s="762">
        <f>IF(B55="","",IF(($C$4+$C$5)=0,"",H55/($C$4+$C$5)))</f>
        <v>0</v>
      </c>
      <c r="Y55" s="221"/>
      <c r="Z55" s="221"/>
      <c r="AA55" s="221"/>
    </row>
    <row r="56" spans="1:37" ht="13.5" thickBot="1">
      <c r="B56" s="48" t="str">
        <f>Inputs!B121</f>
        <v>Other</v>
      </c>
      <c r="C56" s="31"/>
      <c r="D56" s="447">
        <f>Inputs!E121</f>
        <v>750</v>
      </c>
      <c r="E56" s="49"/>
      <c r="F56" s="279">
        <f>IF(D56=0,0,Inputs!R121)</f>
        <v>3.0436540444750963E-2</v>
      </c>
      <c r="G56" s="81"/>
      <c r="H56" s="489">
        <f>F56*Inputs!E121</f>
        <v>22.827405333563224</v>
      </c>
      <c r="I56" s="763">
        <f>IF(B56="","",IF(($C$4+$C$5)=0,"",H56/($C$4+$C$5)))</f>
        <v>0.12542530403056718</v>
      </c>
      <c r="Y56" s="221"/>
      <c r="Z56" s="221"/>
      <c r="AA56" s="221"/>
    </row>
    <row r="57" spans="1:37" ht="14.25" thickTop="1" thickBot="1">
      <c r="B57" s="51"/>
      <c r="C57" s="34"/>
      <c r="D57" s="52"/>
      <c r="E57" s="52"/>
      <c r="F57"/>
      <c r="G57" s="59" t="s">
        <v>43</v>
      </c>
      <c r="H57" s="490">
        <f>SUM(H52:H56)</f>
        <v>145.79102873035711</v>
      </c>
      <c r="I57" s="765">
        <f>SUM(I52:I56)</f>
        <v>0.80104960840855555</v>
      </c>
      <c r="K57" s="223"/>
      <c r="Y57" s="221"/>
      <c r="Z57" s="221"/>
      <c r="AA57" s="221"/>
    </row>
    <row r="58" spans="1:37" ht="13.5" thickBot="1">
      <c r="B58" s="99">
        <v>217480.06701030929</v>
      </c>
      <c r="C58" s="96"/>
      <c r="D58" s="42"/>
      <c r="E58" s="42"/>
      <c r="F58" s="42"/>
      <c r="G58" s="21" t="s">
        <v>103</v>
      </c>
      <c r="H58" s="485">
        <f>H49+H57</f>
        <v>212.75141770880924</v>
      </c>
      <c r="I58" s="622">
        <f>I49+I57</f>
        <v>1.1689638335648858</v>
      </c>
      <c r="J58" s="160"/>
      <c r="Y58" s="221"/>
      <c r="Z58" s="221"/>
      <c r="AA58" s="221"/>
    </row>
    <row r="59" spans="1:37" ht="13.5" thickBot="1">
      <c r="B59" s="43"/>
      <c r="C59" s="43"/>
      <c r="D59" s="43"/>
      <c r="E59" s="43"/>
      <c r="F59" s="43"/>
      <c r="G59" s="43"/>
      <c r="H59" s="491"/>
      <c r="I59" s="611" t="str">
        <f>IF(H59=0,"",H59/$C$5)</f>
        <v/>
      </c>
      <c r="Y59" s="221"/>
      <c r="Z59" s="221"/>
      <c r="AA59" s="221"/>
    </row>
    <row r="60" spans="1:37" ht="13.5" thickBot="1">
      <c r="B60" s="98"/>
      <c r="C60" s="96"/>
      <c r="D60" s="67"/>
      <c r="E60" s="67"/>
      <c r="F60" s="67"/>
      <c r="G60" s="21" t="s">
        <v>111</v>
      </c>
      <c r="H60" s="485">
        <f>H36+H58</f>
        <v>204121.21956196989</v>
      </c>
      <c r="I60" s="622">
        <f>I36+I58</f>
        <v>1121.545162428406</v>
      </c>
      <c r="Y60" s="221"/>
      <c r="Z60" s="221"/>
      <c r="AA60" s="221"/>
    </row>
    <row r="61" spans="1:37" ht="13.5" thickBot="1">
      <c r="B61" s="104"/>
      <c r="C61" s="104"/>
      <c r="D61" s="104"/>
      <c r="E61" s="104"/>
      <c r="F61" s="104"/>
      <c r="G61" s="104"/>
      <c r="H61" s="492"/>
      <c r="I61" s="623"/>
      <c r="Y61" s="221"/>
      <c r="Z61" s="221"/>
      <c r="AA61" s="221"/>
    </row>
    <row r="62" spans="1:37" ht="13.5" thickBot="1">
      <c r="B62" s="98"/>
      <c r="C62" s="96"/>
      <c r="D62" s="67"/>
      <c r="E62" s="67"/>
      <c r="F62" s="67"/>
      <c r="G62" s="21" t="s">
        <v>105</v>
      </c>
      <c r="H62" s="485">
        <f>H7-H60</f>
        <v>-8698.7195619698905</v>
      </c>
      <c r="I62" s="622">
        <f>I7-I60</f>
        <v>-47.795162428406002</v>
      </c>
      <c r="Y62" s="221"/>
      <c r="Z62" s="221"/>
      <c r="AA62" s="221"/>
    </row>
    <row r="63" spans="1:37" s="130" customFormat="1" ht="13.5" thickBot="1">
      <c r="A63" s="152"/>
      <c r="B63" s="251"/>
      <c r="C63" s="251"/>
      <c r="D63" s="251"/>
      <c r="E63" s="251"/>
      <c r="F63" s="43"/>
      <c r="G63" s="43"/>
      <c r="H63" s="476"/>
      <c r="I63" s="611"/>
      <c r="J63" s="157"/>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row>
    <row r="64" spans="1:37" s="130" customFormat="1" ht="26.25" thickBot="1">
      <c r="A64" s="155"/>
      <c r="B64" s="41" t="s">
        <v>98</v>
      </c>
      <c r="C64" s="108"/>
      <c r="D64" s="109"/>
      <c r="E64" s="109"/>
      <c r="F64" s="109"/>
      <c r="G64" s="109"/>
      <c r="H64" s="493" t="s">
        <v>74</v>
      </c>
      <c r="I64" s="625" t="s">
        <v>94</v>
      </c>
      <c r="J64" s="157"/>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row>
    <row r="65" spans="1:37" s="130" customFormat="1" ht="25.5">
      <c r="A65" s="152"/>
      <c r="B65" s="79" t="s">
        <v>114</v>
      </c>
      <c r="C65" s="31"/>
      <c r="D65" s="39" t="s">
        <v>46</v>
      </c>
      <c r="E65" s="127" t="s">
        <v>55</v>
      </c>
      <c r="F65" s="39" t="s">
        <v>48</v>
      </c>
      <c r="G65" s="39"/>
      <c r="H65" s="483" t="s">
        <v>31</v>
      </c>
      <c r="I65" s="616" t="s">
        <v>31</v>
      </c>
      <c r="J65" s="157"/>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row>
    <row r="66" spans="1:37" s="130" customFormat="1">
      <c r="A66" s="152"/>
      <c r="B66" s="48" t="str">
        <f>Inputs!B100</f>
        <v>General machinery &amp; equipment</v>
      </c>
      <c r="C66" s="31"/>
      <c r="D66" s="366">
        <f>IF(Inputs!F100=0,0,(Inputs!D100-Inputs!E100)/Inputs!F100)</f>
        <v>7500</v>
      </c>
      <c r="E66" s="365">
        <f>Inputs!D100*Inputs!$E$112</f>
        <v>3000</v>
      </c>
      <c r="F66" s="80">
        <f>IF(SUM(D66:E66)=0,0,Inputs!R100)</f>
        <v>3.0436540444750963E-2</v>
      </c>
      <c r="G66" s="56"/>
      <c r="H66" s="434">
        <f>(D66+E66)*F66</f>
        <v>319.58367466988511</v>
      </c>
      <c r="I66" s="762">
        <f t="shared" ref="I66:I75" si="15">IF(B66="","",IF(($C$4+$C$5)=0,"",H66/($C$4+$C$5)))</f>
        <v>1.7559542564279402</v>
      </c>
      <c r="J66" s="157"/>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row>
    <row r="67" spans="1:37" s="130" customFormat="1">
      <c r="A67" s="152"/>
      <c r="B67" s="250" t="str">
        <f>Inputs!B101</f>
        <v>Vehicles</v>
      </c>
      <c r="C67" s="31"/>
      <c r="D67" s="366">
        <f>IF(Inputs!F101=0,0,(Inputs!D101-Inputs!E101)/Inputs!F101)</f>
        <v>3571.4285714285716</v>
      </c>
      <c r="E67" s="365">
        <f>Inputs!D101*Inputs!$E$112</f>
        <v>1050</v>
      </c>
      <c r="F67" s="264">
        <f>IF(SUM(D67:E67)=0,0,Inputs!R101)</f>
        <v>3.0436540444750963E-2</v>
      </c>
      <c r="G67" s="56"/>
      <c r="H67" s="434">
        <f t="shared" ref="H67:H73" si="16">(D67+E67)*F67</f>
        <v>140.66029762681339</v>
      </c>
      <c r="I67" s="762">
        <f t="shared" si="15"/>
        <v>0.77285877816930437</v>
      </c>
      <c r="J67" s="157"/>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row>
    <row r="68" spans="1:37" s="130" customFormat="1">
      <c r="A68" s="152"/>
      <c r="B68" s="284" t="str">
        <f>Inputs!B102</f>
        <v>2 Horses ($5,000 value each)</v>
      </c>
      <c r="C68" s="49"/>
      <c r="D68" s="366">
        <f>IF(Inputs!F102=0,0,(Inputs!D102-Inputs!E102)/Inputs!F102)</f>
        <v>1000</v>
      </c>
      <c r="E68" s="365">
        <f>Inputs!D102*Inputs!$E$112</f>
        <v>300</v>
      </c>
      <c r="F68" s="264">
        <f>IF(SUM(D68:E68)=0,0,Inputs!R102)</f>
        <v>3.0436540444750963E-2</v>
      </c>
      <c r="G68" s="56"/>
      <c r="H68" s="434">
        <f t="shared" si="16"/>
        <v>39.567502578176253</v>
      </c>
      <c r="I68" s="762">
        <f t="shared" si="15"/>
        <v>0.21740386031964973</v>
      </c>
      <c r="J68" s="157"/>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row>
    <row r="69" spans="1:37" s="130" customFormat="1">
      <c r="A69" s="152"/>
      <c r="B69" s="284">
        <f>Inputs!B103</f>
        <v>0</v>
      </c>
      <c r="C69" s="49"/>
      <c r="D69" s="366">
        <f>IF(Inputs!F103=0,0,(Inputs!D103-Inputs!E103)/Inputs!F103)</f>
        <v>0</v>
      </c>
      <c r="E69" s="365">
        <f>Inputs!D103*Inputs!$E$112</f>
        <v>0</v>
      </c>
      <c r="F69" s="264">
        <f>IF(SUM(D69:E69)=0,0,Inputs!R103)</f>
        <v>0</v>
      </c>
      <c r="G69" s="56"/>
      <c r="H69" s="434">
        <f t="shared" si="16"/>
        <v>0</v>
      </c>
      <c r="I69" s="762">
        <f t="shared" si="15"/>
        <v>0</v>
      </c>
      <c r="J69" s="157"/>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row>
    <row r="70" spans="1:37" s="216" customFormat="1" hidden="1">
      <c r="A70" s="277"/>
      <c r="B70" s="284">
        <f>Inputs!B104</f>
        <v>0</v>
      </c>
      <c r="C70" s="251"/>
      <c r="D70" s="366">
        <f>IF(Inputs!F104=0,0,(Inputs!D104-Inputs!E104)/Inputs!F104)</f>
        <v>0</v>
      </c>
      <c r="E70" s="365">
        <f>Inputs!D104*Inputs!$E$112</f>
        <v>0</v>
      </c>
      <c r="F70" s="264">
        <f>IF(SUM(D70:E70)=0,0,Inputs!R104)</f>
        <v>0</v>
      </c>
      <c r="G70" s="256"/>
      <c r="H70" s="434"/>
      <c r="I70" s="762">
        <f t="shared" si="15"/>
        <v>0</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row>
    <row r="71" spans="1:37" s="216" customFormat="1" hidden="1">
      <c r="A71" s="277"/>
      <c r="B71" s="284">
        <f>Inputs!B105</f>
        <v>0</v>
      </c>
      <c r="C71" s="251"/>
      <c r="D71" s="366">
        <f>IF(Inputs!F105=0,0,(Inputs!D105-Inputs!E105)/Inputs!F105)</f>
        <v>0</v>
      </c>
      <c r="E71" s="365">
        <f>Inputs!D105*Inputs!$E$112</f>
        <v>0</v>
      </c>
      <c r="F71" s="264">
        <f>IF(SUM(D71:E71)=0,0,Inputs!R105)</f>
        <v>0</v>
      </c>
      <c r="G71" s="256"/>
      <c r="H71" s="434"/>
      <c r="I71" s="762">
        <f t="shared" si="15"/>
        <v>0</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row>
    <row r="72" spans="1:37" s="130" customFormat="1" hidden="1">
      <c r="A72" s="152"/>
      <c r="B72" s="284">
        <f>Inputs!B106</f>
        <v>0</v>
      </c>
      <c r="C72" s="49"/>
      <c r="D72" s="366">
        <f>IF(Inputs!F106=0,0,(Inputs!D106-Inputs!E106)/Inputs!F106)</f>
        <v>0</v>
      </c>
      <c r="E72" s="365">
        <f>Inputs!D106*Inputs!$E$112</f>
        <v>0</v>
      </c>
      <c r="F72" s="264">
        <f>IF(SUM(D72:E72)=0,0,Inputs!R106)</f>
        <v>0</v>
      </c>
      <c r="G72" s="56"/>
      <c r="H72" s="434">
        <f t="shared" si="16"/>
        <v>0</v>
      </c>
      <c r="I72" s="762">
        <f t="shared" si="15"/>
        <v>0</v>
      </c>
      <c r="J72" s="157"/>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row>
    <row r="73" spans="1:37" s="130" customFormat="1" hidden="1">
      <c r="A73" s="152"/>
      <c r="B73" s="284">
        <f>Inputs!B107</f>
        <v>0</v>
      </c>
      <c r="C73" s="49"/>
      <c r="D73" s="366">
        <f>IF(Inputs!F107=0,0,(Inputs!D107-Inputs!E107)/Inputs!F107)</f>
        <v>0</v>
      </c>
      <c r="E73" s="365">
        <f>Inputs!D107*Inputs!$E$112</f>
        <v>0</v>
      </c>
      <c r="F73" s="264">
        <f>IF(SUM(D73:E73)=0,0,Inputs!R107)</f>
        <v>0</v>
      </c>
      <c r="G73" s="56"/>
      <c r="H73" s="434">
        <f t="shared" si="16"/>
        <v>0</v>
      </c>
      <c r="I73" s="762">
        <f t="shared" si="15"/>
        <v>0</v>
      </c>
      <c r="J73" s="157"/>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row>
    <row r="74" spans="1:37" s="216" customFormat="1" hidden="1">
      <c r="A74" s="220"/>
      <c r="B74" s="284">
        <f>Inputs!B108</f>
        <v>0</v>
      </c>
      <c r="C74" s="208"/>
      <c r="D74" s="366">
        <f>IF(Inputs!F108=0,0,(Inputs!D108-Inputs!E108)/Inputs!F108)</f>
        <v>0</v>
      </c>
      <c r="E74" s="365">
        <f>Inputs!D108*Inputs!$E$112</f>
        <v>0</v>
      </c>
      <c r="F74" s="264">
        <f>IF(SUM(D74:E74)=0,0,Inputs!R108)</f>
        <v>0</v>
      </c>
      <c r="G74" s="212"/>
      <c r="H74" s="434"/>
      <c r="I74" s="762">
        <f t="shared" si="15"/>
        <v>0</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row>
    <row r="75" spans="1:37" s="130" customFormat="1" ht="13.5" thickBot="1">
      <c r="A75" s="152"/>
      <c r="B75" s="207" t="s">
        <v>100</v>
      </c>
      <c r="C75" s="49"/>
      <c r="D75" s="56"/>
      <c r="E75" s="56">
        <f>Inputs!E116*Inputs!E112</f>
        <v>0</v>
      </c>
      <c r="F75" s="372">
        <f>IF(E75=0,0,Inputs!R116)</f>
        <v>0</v>
      </c>
      <c r="G75" s="56"/>
      <c r="H75" s="434">
        <f>E75*F75</f>
        <v>0</v>
      </c>
      <c r="I75" s="762">
        <f t="shared" si="15"/>
        <v>0</v>
      </c>
      <c r="J75" s="157"/>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row>
    <row r="76" spans="1:37" s="130" customFormat="1" ht="13.5" thickBot="1">
      <c r="A76" s="152"/>
      <c r="B76" s="99">
        <v>217480.06701030929</v>
      </c>
      <c r="C76" s="96"/>
      <c r="D76" s="42"/>
      <c r="E76" s="42"/>
      <c r="F76" s="42"/>
      <c r="G76" s="21" t="s">
        <v>106</v>
      </c>
      <c r="H76" s="494">
        <f>SUM(H66:H75)</f>
        <v>499.81147487487476</v>
      </c>
      <c r="I76" s="626">
        <f>SUM(I66:I75)</f>
        <v>2.7462168949168944</v>
      </c>
      <c r="J76" s="157"/>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row>
    <row r="77" spans="1:37" s="130" customFormat="1" ht="13.5" thickBot="1">
      <c r="A77" s="152"/>
      <c r="B77" s="43"/>
      <c r="C77" s="43"/>
      <c r="D77" s="43"/>
      <c r="E77" s="43"/>
      <c r="F77" s="43"/>
      <c r="G77" s="43"/>
      <c r="H77" s="476"/>
      <c r="I77" s="611"/>
      <c r="J77" s="157"/>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row>
    <row r="78" spans="1:37" s="130" customFormat="1" ht="25.5">
      <c r="A78" s="152"/>
      <c r="B78" s="142" t="s">
        <v>108</v>
      </c>
      <c r="C78" s="139"/>
      <c r="D78" s="143"/>
      <c r="E78" s="143"/>
      <c r="F78" s="143"/>
      <c r="G78" s="144"/>
      <c r="H78" s="495" t="s">
        <v>74</v>
      </c>
      <c r="I78" s="627" t="s">
        <v>94</v>
      </c>
      <c r="J78" s="157"/>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row>
    <row r="79" spans="1:37" s="130" customFormat="1" ht="13.5" thickBot="1">
      <c r="A79" s="152"/>
      <c r="B79" s="140"/>
      <c r="C79" s="141"/>
      <c r="D79" s="136"/>
      <c r="E79" s="136"/>
      <c r="F79" s="136"/>
      <c r="G79" s="137" t="s">
        <v>71</v>
      </c>
      <c r="H79" s="494">
        <f>H60+H76</f>
        <v>204621.03103684477</v>
      </c>
      <c r="I79" s="628">
        <f>I60+I76</f>
        <v>1124.2913793233229</v>
      </c>
      <c r="J79" s="157"/>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row>
    <row r="80" spans="1:37" s="130" customFormat="1" ht="13.5" thickBot="1">
      <c r="A80" s="152"/>
      <c r="B80" s="138"/>
      <c r="C80" s="105"/>
      <c r="D80" s="105"/>
      <c r="E80" s="105"/>
      <c r="F80" s="105"/>
      <c r="G80" s="105"/>
      <c r="H80" s="496"/>
      <c r="I80" s="629"/>
      <c r="J80" s="157"/>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row>
    <row r="81" spans="1:37" s="130" customFormat="1" ht="13.5" thickBot="1">
      <c r="A81" s="152"/>
      <c r="B81" s="98"/>
      <c r="C81" s="96"/>
      <c r="D81" s="67"/>
      <c r="E81" s="67"/>
      <c r="F81" s="67"/>
      <c r="G81" s="21" t="s">
        <v>107</v>
      </c>
      <c r="H81" s="485">
        <f>H7-H79</f>
        <v>-9198.5310368447681</v>
      </c>
      <c r="I81" s="630">
        <f>I7-I79</f>
        <v>-50.541379323322872</v>
      </c>
      <c r="J81" s="157"/>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row>
    <row r="82" spans="1:37" s="130" customFormat="1">
      <c r="A82" s="152"/>
      <c r="B82" s="152"/>
      <c r="C82" s="152"/>
      <c r="D82" s="152"/>
      <c r="E82" s="152"/>
      <c r="F82" s="152"/>
      <c r="G82" s="152"/>
      <c r="H82" s="152"/>
      <c r="I82" s="152"/>
      <c r="J82" s="157"/>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row>
    <row r="83" spans="1:37" s="130" customFormat="1">
      <c r="A83" s="152"/>
      <c r="B83" s="152"/>
      <c r="C83" s="152"/>
      <c r="D83" s="152"/>
      <c r="E83" s="152"/>
      <c r="F83" s="152"/>
      <c r="G83" s="152"/>
      <c r="H83" s="152"/>
      <c r="I83" s="152"/>
      <c r="J83" s="157"/>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row>
    <row r="84" spans="1:37" s="130" customFormat="1">
      <c r="A84" s="152"/>
      <c r="B84" s="152"/>
      <c r="C84" s="152"/>
      <c r="D84" s="152"/>
      <c r="E84" s="152"/>
      <c r="F84" s="152"/>
      <c r="G84" s="152"/>
      <c r="H84" s="152"/>
      <c r="I84" s="152"/>
      <c r="J84" s="157"/>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row>
    <row r="85" spans="1:37" s="130" customFormat="1">
      <c r="A85" s="152"/>
      <c r="B85" s="152"/>
      <c r="C85" s="152"/>
      <c r="D85" s="152"/>
      <c r="E85" s="152"/>
      <c r="F85" s="152"/>
      <c r="G85" s="152"/>
      <c r="H85" s="152"/>
      <c r="I85" s="152"/>
      <c r="J85" s="157"/>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row>
    <row r="86" spans="1:37" s="130" customFormat="1">
      <c r="A86" s="152"/>
      <c r="B86" s="152"/>
      <c r="C86" s="152"/>
      <c r="D86" s="152"/>
      <c r="E86" s="152"/>
      <c r="F86" s="152"/>
      <c r="G86" s="152"/>
      <c r="H86" s="152"/>
      <c r="I86" s="152"/>
      <c r="J86" s="157"/>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row>
    <row r="87" spans="1:37" s="130" customFormat="1">
      <c r="A87" s="152"/>
      <c r="B87" s="152"/>
      <c r="C87" s="152"/>
      <c r="D87" s="152"/>
      <c r="E87" s="152"/>
      <c r="F87" s="152"/>
      <c r="G87" s="152"/>
      <c r="H87" s="152"/>
      <c r="I87" s="152"/>
      <c r="J87" s="157"/>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row>
    <row r="88" spans="1:37" s="130" customFormat="1">
      <c r="A88" s="152"/>
      <c r="B88" s="152"/>
      <c r="C88" s="152"/>
      <c r="D88" s="152"/>
      <c r="E88" s="152"/>
      <c r="F88" s="152"/>
      <c r="G88" s="152"/>
      <c r="H88" s="152"/>
      <c r="I88" s="152"/>
      <c r="J88" s="157"/>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row>
    <row r="89" spans="1:37" s="130" customFormat="1">
      <c r="A89" s="152"/>
      <c r="B89" s="152"/>
      <c r="C89" s="152"/>
      <c r="D89" s="152"/>
      <c r="E89" s="152"/>
      <c r="F89" s="152"/>
      <c r="G89" s="152"/>
      <c r="H89" s="152"/>
      <c r="I89" s="152"/>
      <c r="J89" s="157"/>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row>
    <row r="90" spans="1:37" s="130" customFormat="1">
      <c r="A90" s="152"/>
      <c r="B90" s="152"/>
      <c r="C90" s="152"/>
      <c r="D90" s="152"/>
      <c r="E90" s="152"/>
      <c r="F90" s="152"/>
      <c r="G90" s="152"/>
      <c r="H90" s="152"/>
      <c r="I90" s="152"/>
      <c r="J90" s="157"/>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row>
    <row r="91" spans="1:37" s="130" customFormat="1">
      <c r="A91" s="152"/>
      <c r="B91" s="152"/>
      <c r="C91" s="152"/>
      <c r="D91" s="152"/>
      <c r="E91" s="152"/>
      <c r="F91" s="152"/>
      <c r="G91" s="152"/>
      <c r="H91" s="152"/>
      <c r="I91" s="152"/>
      <c r="J91" s="157"/>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row>
    <row r="92" spans="1:37" s="130" customFormat="1">
      <c r="A92" s="152"/>
      <c r="B92" s="152"/>
      <c r="C92" s="152"/>
      <c r="D92" s="152"/>
      <c r="E92" s="152"/>
      <c r="F92" s="152"/>
      <c r="G92" s="152"/>
      <c r="H92" s="152"/>
      <c r="I92" s="152"/>
      <c r="J92" s="157"/>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row>
    <row r="93" spans="1:37" s="130" customFormat="1">
      <c r="A93" s="152"/>
      <c r="B93" s="152"/>
      <c r="C93" s="152"/>
      <c r="D93" s="152"/>
      <c r="E93" s="152"/>
      <c r="F93" s="152"/>
      <c r="G93" s="152"/>
      <c r="H93" s="152"/>
      <c r="I93" s="152"/>
      <c r="J93" s="157"/>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row>
    <row r="94" spans="1:37" s="130" customFormat="1">
      <c r="A94" s="152"/>
      <c r="B94" s="152"/>
      <c r="C94" s="152"/>
      <c r="D94" s="152"/>
      <c r="E94" s="152"/>
      <c r="F94" s="152"/>
      <c r="G94" s="152"/>
      <c r="H94" s="152"/>
      <c r="I94" s="152"/>
      <c r="J94" s="157"/>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row>
    <row r="95" spans="1:37" s="130" customFormat="1">
      <c r="A95" s="152"/>
      <c r="B95" s="152"/>
      <c r="C95" s="152"/>
      <c r="D95" s="152"/>
      <c r="E95" s="152"/>
      <c r="F95" s="152"/>
      <c r="G95" s="152"/>
      <c r="H95" s="152"/>
      <c r="I95" s="152"/>
      <c r="J95" s="157"/>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row>
    <row r="96" spans="1:37" s="130" customFormat="1">
      <c r="A96" s="152"/>
      <c r="B96" s="152"/>
      <c r="C96" s="152"/>
      <c r="D96" s="152"/>
      <c r="E96" s="152"/>
      <c r="F96" s="152"/>
      <c r="G96" s="152"/>
      <c r="H96" s="152"/>
      <c r="I96" s="152"/>
      <c r="J96" s="157"/>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row>
    <row r="97" spans="1:37" s="130" customFormat="1">
      <c r="A97" s="152"/>
      <c r="B97" s="152"/>
      <c r="C97" s="152"/>
      <c r="D97" s="152"/>
      <c r="E97" s="152"/>
      <c r="F97" s="152"/>
      <c r="G97" s="152"/>
      <c r="H97" s="152"/>
      <c r="I97" s="152"/>
      <c r="J97" s="157"/>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row>
    <row r="98" spans="1:37" s="130" customFormat="1">
      <c r="A98" s="152"/>
      <c r="B98" s="152"/>
      <c r="C98" s="152"/>
      <c r="D98" s="152"/>
      <c r="E98" s="152"/>
      <c r="F98" s="152"/>
      <c r="G98" s="152"/>
      <c r="H98" s="152"/>
      <c r="I98" s="152"/>
      <c r="J98" s="157"/>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row>
    <row r="99" spans="1:37" s="130" customFormat="1">
      <c r="A99" s="152"/>
      <c r="B99" s="152"/>
      <c r="C99" s="152"/>
      <c r="D99" s="152"/>
      <c r="E99" s="152"/>
      <c r="F99" s="152"/>
      <c r="G99" s="152"/>
      <c r="H99" s="152"/>
      <c r="I99" s="152"/>
      <c r="J99" s="157"/>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row>
  </sheetData>
  <mergeCells count="2">
    <mergeCell ref="L13:L15"/>
    <mergeCell ref="C34:G34"/>
  </mergeCells>
  <dataValidations count="3">
    <dataValidation type="list" allowBlank="1" showInputMessage="1" showErrorMessage="1" sqref="E16:E21" xr:uid="{00000000-0002-0000-0500-000000000000}">
      <formula1>$K$10:$K$12</formula1>
    </dataValidation>
    <dataValidation type="list" allowBlank="1" showInputMessage="1" showErrorMessage="1" sqref="B16:B21" xr:uid="{00000000-0002-0000-0500-000001000000}">
      <formula1>$U$13:$U$22</formula1>
    </dataValidation>
    <dataValidation type="decimal" operator="greaterThanOrEqual" allowBlank="1" showInputMessage="1" showErrorMessage="1" sqref="C16:C21" xr:uid="{00000000-0002-0000-0500-000002000000}">
      <formula1>0</formula1>
    </dataValidation>
  </dataValidations>
  <printOptions horizontalCentered="1"/>
  <pageMargins left="1" right="1"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B050"/>
  </sheetPr>
  <dimension ref="A1:AO225"/>
  <sheetViews>
    <sheetView zoomScaleNormal="100" workbookViewId="0">
      <selection activeCell="C9" sqref="C9"/>
    </sheetView>
  </sheetViews>
  <sheetFormatPr defaultColWidth="9.140625" defaultRowHeight="12.75"/>
  <cols>
    <col min="1" max="1" width="43.28515625" style="152" customWidth="1"/>
    <col min="2" max="2" width="26.7109375" style="152" customWidth="1"/>
    <col min="3" max="3" width="10.42578125" style="152" customWidth="1"/>
    <col min="4" max="4" width="7.42578125" style="152" customWidth="1"/>
    <col min="5" max="5" width="11.42578125" style="152" customWidth="1"/>
    <col min="6" max="6" width="10.42578125" style="152" customWidth="1"/>
    <col min="7" max="7" width="9.140625" style="152"/>
    <col min="8" max="8" width="10.28515625" style="152" customWidth="1"/>
    <col min="9" max="9" width="4.42578125" style="157" customWidth="1"/>
    <col min="10" max="10" width="10.28515625" style="222" hidden="1" customWidth="1"/>
    <col min="11" max="11" width="10.42578125" style="222" hidden="1" customWidth="1"/>
    <col min="12" max="12" width="21" style="222" hidden="1" customWidth="1"/>
    <col min="13" max="13" width="10.42578125" style="222" hidden="1" customWidth="1"/>
    <col min="14" max="23" width="0" style="222" hidden="1" customWidth="1"/>
    <col min="24" max="25" width="9.140625" style="222"/>
    <col min="26" max="41" width="9.140625" style="277"/>
    <col min="42" max="16384" width="9.140625" style="40"/>
  </cols>
  <sheetData>
    <row r="1" spans="1:41" ht="52.5" thickBot="1">
      <c r="B1" s="63" t="s">
        <v>143</v>
      </c>
      <c r="C1" s="40"/>
      <c r="D1" s="191">
        <f>Inputs!G5+Inputs!O6-Inputs!G13+Inputs!G9</f>
        <v>0</v>
      </c>
      <c r="E1" s="100" t="s">
        <v>138</v>
      </c>
      <c r="F1" s="100"/>
      <c r="G1" s="100"/>
      <c r="H1" s="100"/>
      <c r="J1" s="222" t="s">
        <v>61</v>
      </c>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c r="Z1" s="221"/>
    </row>
    <row r="2" spans="1:41" ht="27" thickBot="1">
      <c r="B2" s="66" t="s">
        <v>126</v>
      </c>
      <c r="C2" s="108"/>
      <c r="D2" s="109"/>
      <c r="E2" s="109"/>
      <c r="F2" s="109"/>
      <c r="G2" s="109"/>
      <c r="H2" s="113" t="s">
        <v>74</v>
      </c>
      <c r="J2" s="222" t="s">
        <v>64</v>
      </c>
      <c r="L2" s="419" t="str">
        <f t="shared" ref="L2:L7" si="0">B5</f>
        <v xml:space="preserve">Pasture  </v>
      </c>
      <c r="M2" s="419">
        <f>IF(M$1=$L2,$J5,0)</f>
        <v>0</v>
      </c>
      <c r="N2" s="419">
        <f t="shared" ref="N2:V2" si="1">IF(N$1=$L2,$J5,0)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c r="Z2" s="221"/>
    </row>
    <row r="3" spans="1:41" s="61" customFormat="1" ht="12.75" customHeight="1">
      <c r="A3" s="152"/>
      <c r="B3" s="48"/>
      <c r="C3" s="813" t="s">
        <v>153</v>
      </c>
      <c r="D3" s="107"/>
      <c r="E3" s="815" t="s">
        <v>154</v>
      </c>
      <c r="F3" s="49"/>
      <c r="G3" s="49"/>
      <c r="H3" s="114"/>
      <c r="I3" s="157"/>
      <c r="J3" s="222"/>
      <c r="K3" s="162"/>
      <c r="L3" s="419" t="str">
        <f t="shared" si="0"/>
        <v>Corn Stalks</v>
      </c>
      <c r="M3" s="419">
        <f t="shared" ref="M3:V7" si="3">IF(M$1=$L3,$J6,0)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c r="X3" s="161">
        <v>1</v>
      </c>
      <c r="Y3" s="161"/>
      <c r="Z3" s="221"/>
      <c r="AA3" s="277"/>
      <c r="AB3" s="277"/>
      <c r="AC3" s="277"/>
      <c r="AD3" s="277"/>
      <c r="AE3" s="277"/>
      <c r="AF3" s="277"/>
      <c r="AG3" s="277"/>
      <c r="AH3" s="277"/>
      <c r="AI3" s="277"/>
      <c r="AJ3" s="277"/>
      <c r="AK3" s="277"/>
      <c r="AL3" s="277"/>
      <c r="AM3" s="277"/>
      <c r="AN3" s="277"/>
      <c r="AO3" s="277"/>
    </row>
    <row r="4" spans="1:41" s="61" customFormat="1" ht="14.25" customHeight="1">
      <c r="A4" s="152"/>
      <c r="B4" s="79"/>
      <c r="C4" s="814"/>
      <c r="D4" s="107"/>
      <c r="E4" s="815"/>
      <c r="F4" s="817" t="s">
        <v>5</v>
      </c>
      <c r="G4" s="817"/>
      <c r="H4" s="115"/>
      <c r="I4" s="157"/>
      <c r="J4" s="159"/>
      <c r="K4" s="411"/>
      <c r="L4" s="419" t="str">
        <f t="shared" si="0"/>
        <v>Prairie Hay</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c r="X4" s="161"/>
      <c r="Y4" s="161"/>
      <c r="Z4" s="221"/>
      <c r="AA4" s="277"/>
      <c r="AB4" s="277"/>
      <c r="AC4" s="277"/>
      <c r="AD4" s="277"/>
      <c r="AE4" s="277"/>
      <c r="AF4" s="277"/>
      <c r="AG4" s="277"/>
      <c r="AH4" s="277"/>
      <c r="AI4" s="277"/>
      <c r="AJ4" s="277"/>
      <c r="AK4" s="277"/>
      <c r="AL4" s="277"/>
      <c r="AM4" s="277"/>
      <c r="AN4" s="277"/>
      <c r="AO4" s="277"/>
    </row>
    <row r="5" spans="1:41" ht="12.75" customHeight="1">
      <c r="B5" s="732" t="s">
        <v>261</v>
      </c>
      <c r="C5" s="731"/>
      <c r="D5" s="86" t="str">
        <f t="shared" ref="D5:D10" si="4">IF(B5="","",CONCATENATE(VLOOKUP(B5,Feed,5,FALSE)))</f>
        <v>day</v>
      </c>
      <c r="E5" s="733" t="s">
        <v>61</v>
      </c>
      <c r="F5" s="811" t="str">
        <f t="shared" ref="F5:F10" si="5">IF(B5="","",CONCATENATE("@ ",TEXT(VLOOKUP($B5,Feed,7,FALSE),"0.00")," per ",VLOOKUP(B5,Feed,5,FALSE)))</f>
        <v>@ 2.63 per day</v>
      </c>
      <c r="G5" s="812"/>
      <c r="H5" s="114">
        <f t="shared" ref="H5:H10" si="6">IF($D$1="NA",0,IF(B5=0,"",IF(E5="","",C5*VLOOKUP(B5,Feed,7,FALSE)*IF(E5="total",1,$D$1))))</f>
        <v>0</v>
      </c>
      <c r="J5" s="222">
        <f t="shared" ref="J5:J10" si="7">C5*IF(E5="total",1,IF(E5="per animal",$D$1,0))</f>
        <v>0</v>
      </c>
      <c r="K5" s="163"/>
      <c r="L5" s="419" t="str">
        <f t="shared" si="0"/>
        <v>Alfalfa</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c r="X5" s="222">
        <v>2</v>
      </c>
      <c r="Z5" s="221"/>
    </row>
    <row r="6" spans="1:41" ht="14.25" customHeight="1">
      <c r="B6" s="732" t="s">
        <v>256</v>
      </c>
      <c r="C6" s="731"/>
      <c r="D6" s="278" t="str">
        <f t="shared" si="4"/>
        <v>day</v>
      </c>
      <c r="E6" s="733" t="s">
        <v>61</v>
      </c>
      <c r="F6" s="811" t="str">
        <f t="shared" si="5"/>
        <v>@ 0.75 per day</v>
      </c>
      <c r="G6" s="812"/>
      <c r="H6" s="114">
        <f t="shared" si="6"/>
        <v>0</v>
      </c>
      <c r="J6" s="222">
        <f t="shared" si="7"/>
        <v>0</v>
      </c>
      <c r="K6" s="163"/>
      <c r="L6" s="419" t="str">
        <f t="shared" si="0"/>
        <v>salt and mineral</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c r="X6" s="222">
        <v>3</v>
      </c>
      <c r="Z6" s="221"/>
    </row>
    <row r="7" spans="1:41">
      <c r="B7" s="732" t="s">
        <v>247</v>
      </c>
      <c r="C7" s="731"/>
      <c r="D7" s="278" t="str">
        <f t="shared" si="4"/>
        <v>lbs</v>
      </c>
      <c r="E7" s="733" t="s">
        <v>61</v>
      </c>
      <c r="F7" s="811" t="str">
        <f t="shared" si="5"/>
        <v>@ 0.07 per lbs</v>
      </c>
      <c r="G7" s="812"/>
      <c r="H7" s="114">
        <f t="shared" si="6"/>
        <v>0</v>
      </c>
      <c r="J7" s="222">
        <f t="shared" si="7"/>
        <v>0</v>
      </c>
      <c r="K7" s="163"/>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c r="X7" s="222">
        <v>4</v>
      </c>
      <c r="Z7" s="221"/>
    </row>
    <row r="8" spans="1:41">
      <c r="B8" s="732" t="s">
        <v>250</v>
      </c>
      <c r="C8" s="731"/>
      <c r="D8" s="278" t="str">
        <f t="shared" si="4"/>
        <v>lbs</v>
      </c>
      <c r="E8" s="733" t="s">
        <v>61</v>
      </c>
      <c r="F8" s="811" t="str">
        <f t="shared" si="5"/>
        <v>@ 0.08 per lbs</v>
      </c>
      <c r="G8" s="812"/>
      <c r="H8" s="114">
        <f t="shared" si="6"/>
        <v>0</v>
      </c>
      <c r="J8" s="222">
        <f t="shared" si="7"/>
        <v>0</v>
      </c>
      <c r="K8" s="163"/>
      <c r="L8" s="419" t="s">
        <v>31</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c r="X8" s="222">
        <v>5</v>
      </c>
      <c r="Z8" s="221"/>
    </row>
    <row r="9" spans="1:41">
      <c r="B9" s="732" t="s">
        <v>255</v>
      </c>
      <c r="C9" s="731"/>
      <c r="D9" s="278" t="str">
        <f t="shared" si="4"/>
        <v>ounce</v>
      </c>
      <c r="E9" s="733" t="s">
        <v>61</v>
      </c>
      <c r="F9" s="811" t="str">
        <f t="shared" si="5"/>
        <v>@ 0.04 per ounce</v>
      </c>
      <c r="G9" s="812"/>
      <c r="H9" s="114">
        <f t="shared" si="6"/>
        <v>0</v>
      </c>
      <c r="J9" s="222">
        <f t="shared" si="7"/>
        <v>0</v>
      </c>
      <c r="K9" s="163"/>
      <c r="L9" s="163"/>
      <c r="M9" s="163"/>
      <c r="N9" s="163"/>
      <c r="O9" s="163"/>
      <c r="P9" s="163"/>
      <c r="Q9" s="163"/>
      <c r="R9" s="163"/>
      <c r="S9" s="163"/>
      <c r="X9" s="222">
        <v>6</v>
      </c>
      <c r="Z9" s="221"/>
    </row>
    <row r="10" spans="1:41" ht="13.5" thickBot="1">
      <c r="B10" s="204"/>
      <c r="C10" s="203"/>
      <c r="D10" s="278" t="str">
        <f t="shared" si="4"/>
        <v/>
      </c>
      <c r="E10" s="218"/>
      <c r="F10" s="811" t="str">
        <f t="shared" si="5"/>
        <v/>
      </c>
      <c r="G10" s="812"/>
      <c r="H10" s="114" t="str">
        <f t="shared" si="6"/>
        <v/>
      </c>
      <c r="J10" s="222">
        <f t="shared" si="7"/>
        <v>0</v>
      </c>
      <c r="K10" s="163"/>
      <c r="L10" s="163"/>
      <c r="M10" s="163"/>
      <c r="N10" s="163"/>
      <c r="O10" s="163"/>
      <c r="P10" s="163"/>
      <c r="Q10" s="163"/>
      <c r="R10" s="163"/>
      <c r="S10" s="163"/>
      <c r="X10" s="222">
        <v>7</v>
      </c>
      <c r="Z10" s="221"/>
    </row>
    <row r="11" spans="1:41" ht="16.5" thickBot="1">
      <c r="B11" s="66"/>
      <c r="C11" s="38"/>
      <c r="D11" s="38"/>
      <c r="E11" s="38"/>
      <c r="F11" s="38"/>
      <c r="G11" s="21" t="s">
        <v>244</v>
      </c>
      <c r="H11" s="590">
        <f>SUM(H5:H10)</f>
        <v>0</v>
      </c>
      <c r="Z11" s="221"/>
    </row>
    <row r="12" spans="1:41" s="277" customFormat="1">
      <c r="B12" s="154"/>
      <c r="C12" s="154"/>
      <c r="D12" s="154"/>
      <c r="E12" s="154"/>
      <c r="F12" s="154"/>
      <c r="G12" s="154"/>
      <c r="H12" s="221"/>
      <c r="I12" s="222"/>
      <c r="J12" s="222"/>
      <c r="K12" s="222"/>
      <c r="L12" s="222"/>
      <c r="M12" s="222"/>
      <c r="N12" s="222"/>
      <c r="O12" s="222"/>
      <c r="P12" s="222"/>
      <c r="Q12" s="222"/>
      <c r="R12" s="223"/>
      <c r="S12" s="222"/>
      <c r="T12" s="222"/>
      <c r="U12" s="222"/>
      <c r="V12" s="222"/>
      <c r="W12" s="222"/>
      <c r="X12" s="222"/>
      <c r="Y12" s="222"/>
      <c r="Z12" s="221"/>
    </row>
    <row r="13" spans="1:41" s="277" customFormat="1" ht="20.25">
      <c r="B13" s="171" t="s">
        <v>122</v>
      </c>
      <c r="C13" s="154"/>
      <c r="D13" s="154"/>
      <c r="E13" s="154"/>
      <c r="F13" s="154"/>
      <c r="G13" s="154"/>
      <c r="H13" s="221"/>
      <c r="I13" s="222"/>
      <c r="J13" s="222"/>
      <c r="K13" s="222"/>
      <c r="L13" s="222"/>
      <c r="M13" s="222"/>
      <c r="N13" s="222"/>
      <c r="O13" s="222"/>
      <c r="P13" s="222"/>
      <c r="Q13" s="222"/>
      <c r="R13" s="223"/>
      <c r="S13" s="222"/>
      <c r="T13" s="222"/>
      <c r="U13" s="222"/>
      <c r="V13" s="222"/>
      <c r="W13" s="222"/>
      <c r="X13" s="222"/>
      <c r="Y13" s="222"/>
      <c r="Z13" s="221"/>
    </row>
    <row r="14" spans="1:41" s="277" customFormat="1">
      <c r="B14" s="221" t="s">
        <v>9</v>
      </c>
      <c r="C14" s="221"/>
      <c r="D14" s="221"/>
      <c r="E14" s="221"/>
      <c r="F14" s="221"/>
      <c r="G14" s="221"/>
      <c r="H14" s="221"/>
      <c r="I14" s="222"/>
      <c r="J14" s="222"/>
      <c r="K14" s="222"/>
      <c r="L14" s="222"/>
      <c r="M14" s="222"/>
      <c r="N14" s="222"/>
      <c r="O14" s="222"/>
      <c r="P14" s="222"/>
      <c r="Q14" s="222"/>
      <c r="R14" s="222"/>
      <c r="S14" s="222"/>
      <c r="T14" s="222"/>
      <c r="U14" s="222"/>
      <c r="V14" s="222"/>
      <c r="W14" s="222"/>
      <c r="X14" s="222"/>
      <c r="Y14" s="222"/>
      <c r="Z14" s="221"/>
    </row>
    <row r="15" spans="1:41" s="277" customFormat="1">
      <c r="B15" s="221" t="s">
        <v>9</v>
      </c>
      <c r="C15" s="221"/>
      <c r="D15" s="221"/>
      <c r="E15" s="221"/>
      <c r="F15" s="221"/>
      <c r="G15" s="221"/>
      <c r="H15" s="221"/>
      <c r="I15" s="222"/>
      <c r="J15" s="222"/>
      <c r="K15" s="222"/>
      <c r="L15" s="222"/>
      <c r="M15" s="222"/>
      <c r="N15" s="222"/>
      <c r="O15" s="222"/>
      <c r="P15" s="222"/>
      <c r="Q15" s="222"/>
      <c r="R15" s="222"/>
      <c r="S15" s="222"/>
      <c r="T15" s="222"/>
      <c r="U15" s="222"/>
      <c r="V15" s="222"/>
      <c r="W15" s="222"/>
      <c r="X15" s="222"/>
      <c r="Y15" s="222"/>
      <c r="Z15" s="221"/>
    </row>
    <row r="16" spans="1:41" s="277" customFormat="1">
      <c r="B16" s="221" t="s">
        <v>9</v>
      </c>
      <c r="C16" s="221"/>
      <c r="D16" s="221"/>
      <c r="E16" s="221"/>
      <c r="F16" s="221"/>
      <c r="G16" s="221"/>
      <c r="H16" s="221"/>
      <c r="I16" s="222"/>
      <c r="J16" s="222"/>
      <c r="K16" s="222"/>
      <c r="L16" s="222"/>
      <c r="M16" s="374"/>
      <c r="N16" s="222"/>
      <c r="O16" s="374"/>
      <c r="P16" s="222"/>
      <c r="Q16" s="222"/>
      <c r="R16" s="222"/>
      <c r="S16" s="222"/>
      <c r="T16" s="222"/>
      <c r="U16" s="222"/>
      <c r="V16" s="222"/>
      <c r="W16" s="222"/>
      <c r="X16" s="222"/>
      <c r="Y16" s="222"/>
      <c r="Z16" s="221"/>
    </row>
    <row r="17" spans="2:26" s="277" customFormat="1">
      <c r="B17" s="221" t="s">
        <v>9</v>
      </c>
      <c r="C17" s="221"/>
      <c r="D17" s="221"/>
      <c r="E17" s="221"/>
      <c r="F17" s="221"/>
      <c r="G17" s="221"/>
      <c r="H17" s="221"/>
      <c r="I17" s="222"/>
      <c r="J17" s="222"/>
      <c r="K17" s="222"/>
      <c r="L17" s="222"/>
      <c r="M17" s="222"/>
      <c r="N17" s="222"/>
      <c r="O17" s="222"/>
      <c r="P17" s="222"/>
      <c r="Q17" s="222"/>
      <c r="R17" s="222"/>
      <c r="S17" s="222"/>
      <c r="T17" s="222"/>
      <c r="U17" s="222"/>
      <c r="V17" s="222"/>
      <c r="W17" s="222"/>
      <c r="X17" s="222"/>
      <c r="Y17" s="222"/>
      <c r="Z17" s="221"/>
    </row>
    <row r="18" spans="2:26" s="277" customFormat="1">
      <c r="B18" s="221"/>
      <c r="C18" s="221"/>
      <c r="D18" s="221"/>
      <c r="E18" s="221"/>
      <c r="F18" s="221"/>
      <c r="G18" s="221"/>
      <c r="H18" s="221"/>
      <c r="I18" s="222"/>
      <c r="J18" s="222"/>
      <c r="K18" s="222"/>
      <c r="L18" s="222"/>
      <c r="M18" s="222"/>
      <c r="N18" s="222"/>
      <c r="O18" s="222"/>
      <c r="P18" s="222"/>
      <c r="Q18" s="222"/>
      <c r="R18" s="222"/>
      <c r="S18" s="222"/>
      <c r="T18" s="222"/>
      <c r="U18" s="222"/>
      <c r="V18" s="222"/>
      <c r="W18" s="222"/>
      <c r="X18" s="222"/>
      <c r="Y18" s="222"/>
      <c r="Z18" s="221"/>
    </row>
    <row r="19" spans="2:26" s="277" customFormat="1">
      <c r="B19" s="221"/>
      <c r="C19" s="221"/>
      <c r="D19" s="221"/>
      <c r="E19" s="221"/>
      <c r="F19" s="221"/>
      <c r="G19" s="221"/>
      <c r="H19" s="221"/>
      <c r="I19" s="222"/>
      <c r="J19" s="222"/>
      <c r="K19" s="222"/>
      <c r="L19" s="222"/>
      <c r="M19" s="222"/>
      <c r="N19" s="222"/>
      <c r="O19" s="222"/>
      <c r="P19" s="222"/>
      <c r="Q19" s="222"/>
      <c r="R19" s="222"/>
      <c r="S19" s="222"/>
      <c r="T19" s="222"/>
      <c r="U19" s="222"/>
      <c r="V19" s="222"/>
      <c r="W19" s="222"/>
      <c r="X19" s="222"/>
      <c r="Y19" s="222"/>
      <c r="Z19" s="221"/>
    </row>
    <row r="20" spans="2:26" s="277" customFormat="1">
      <c r="B20" s="221"/>
      <c r="C20" s="221"/>
      <c r="D20" s="221"/>
      <c r="E20" s="221"/>
      <c r="F20" s="221"/>
      <c r="G20" s="221"/>
      <c r="H20" s="221"/>
      <c r="I20" s="222"/>
      <c r="J20" s="222"/>
      <c r="K20" s="222"/>
      <c r="L20" s="222"/>
      <c r="M20" s="222"/>
      <c r="N20" s="222"/>
      <c r="O20" s="222"/>
      <c r="P20" s="222"/>
      <c r="Q20" s="222"/>
      <c r="R20" s="222"/>
      <c r="S20" s="222"/>
      <c r="T20" s="222"/>
      <c r="U20" s="222"/>
      <c r="V20" s="222"/>
      <c r="W20" s="222"/>
      <c r="X20" s="222"/>
      <c r="Y20" s="222"/>
      <c r="Z20" s="221"/>
    </row>
    <row r="21" spans="2:26" s="277" customFormat="1">
      <c r="B21" s="221"/>
      <c r="C21" s="221"/>
      <c r="D21" s="221"/>
      <c r="E21" s="221"/>
      <c r="F21" s="221"/>
      <c r="G21" s="221"/>
      <c r="H21" s="221"/>
      <c r="I21" s="222"/>
      <c r="J21" s="222"/>
      <c r="K21" s="222"/>
      <c r="L21" s="222"/>
      <c r="M21" s="222"/>
      <c r="N21" s="222"/>
      <c r="O21" s="222"/>
      <c r="P21" s="222"/>
      <c r="Q21" s="222"/>
      <c r="R21" s="222"/>
      <c r="S21" s="222"/>
      <c r="T21" s="222"/>
      <c r="U21" s="222"/>
      <c r="V21" s="222"/>
      <c r="W21" s="222"/>
      <c r="X21" s="222"/>
      <c r="Y21" s="222"/>
      <c r="Z21" s="221"/>
    </row>
    <row r="22" spans="2:26" s="277" customFormat="1">
      <c r="B22" s="221"/>
      <c r="C22" s="221"/>
      <c r="D22" s="221"/>
      <c r="E22" s="221"/>
      <c r="F22" s="221"/>
      <c r="G22" s="221"/>
      <c r="H22" s="221"/>
      <c r="I22" s="222"/>
      <c r="J22" s="222"/>
      <c r="K22" s="222"/>
      <c r="L22" s="222"/>
      <c r="M22" s="222"/>
      <c r="N22" s="222"/>
      <c r="O22" s="222"/>
      <c r="P22" s="222"/>
      <c r="Q22" s="222"/>
      <c r="R22" s="222"/>
      <c r="S22" s="222"/>
      <c r="T22" s="222"/>
      <c r="U22" s="222"/>
      <c r="V22" s="222"/>
      <c r="W22" s="222"/>
      <c r="X22" s="222"/>
      <c r="Y22" s="222"/>
      <c r="Z22" s="221"/>
    </row>
    <row r="23" spans="2:26" s="277" customFormat="1">
      <c r="B23" s="221"/>
      <c r="C23" s="221"/>
      <c r="D23" s="221"/>
      <c r="E23" s="221"/>
      <c r="F23" s="221"/>
      <c r="G23" s="221"/>
      <c r="H23" s="221"/>
      <c r="I23" s="222"/>
      <c r="J23" s="222"/>
      <c r="K23" s="222"/>
      <c r="L23" s="222"/>
      <c r="M23" s="222"/>
      <c r="N23" s="222"/>
      <c r="O23" s="222"/>
      <c r="P23" s="222"/>
      <c r="Q23" s="222"/>
      <c r="R23" s="222"/>
      <c r="S23" s="222"/>
      <c r="T23" s="222"/>
      <c r="U23" s="222"/>
      <c r="V23" s="222"/>
      <c r="W23" s="222"/>
      <c r="X23" s="222"/>
      <c r="Y23" s="222"/>
      <c r="Z23" s="221"/>
    </row>
    <row r="24" spans="2:26" s="277" customFormat="1">
      <c r="B24" s="221"/>
      <c r="C24" s="221"/>
      <c r="D24" s="221"/>
      <c r="E24" s="221"/>
      <c r="F24" s="221"/>
      <c r="G24" s="221"/>
      <c r="H24" s="221"/>
      <c r="I24" s="222"/>
      <c r="J24" s="222"/>
      <c r="K24" s="222"/>
      <c r="L24" s="222"/>
      <c r="M24" s="222"/>
      <c r="N24" s="222"/>
      <c r="O24" s="222"/>
      <c r="P24" s="222"/>
      <c r="Q24" s="222"/>
      <c r="R24" s="222"/>
      <c r="S24" s="222"/>
      <c r="T24" s="222"/>
      <c r="U24" s="222"/>
      <c r="V24" s="222"/>
      <c r="W24" s="222"/>
      <c r="X24" s="222"/>
      <c r="Y24" s="222"/>
      <c r="Z24" s="221"/>
    </row>
    <row r="25" spans="2:26" s="277" customFormat="1">
      <c r="B25" s="221"/>
      <c r="C25" s="221"/>
      <c r="D25" s="221"/>
      <c r="E25" s="221"/>
      <c r="F25" s="221"/>
      <c r="G25" s="221"/>
      <c r="H25" s="221"/>
      <c r="I25" s="222"/>
      <c r="J25" s="222"/>
      <c r="K25" s="222"/>
      <c r="L25" s="222"/>
      <c r="M25" s="222"/>
      <c r="N25" s="222"/>
      <c r="O25" s="222"/>
      <c r="P25" s="222"/>
      <c r="Q25" s="222"/>
      <c r="R25" s="222"/>
      <c r="S25" s="222"/>
      <c r="T25" s="222"/>
      <c r="U25" s="222"/>
      <c r="V25" s="222"/>
      <c r="W25" s="222"/>
      <c r="X25" s="222"/>
      <c r="Y25" s="222"/>
      <c r="Z25" s="221"/>
    </row>
    <row r="26" spans="2:26" s="277" customFormat="1">
      <c r="B26" s="221"/>
      <c r="C26" s="221"/>
      <c r="D26" s="221"/>
      <c r="E26" s="221"/>
      <c r="F26" s="221"/>
      <c r="G26" s="221"/>
      <c r="H26" s="221"/>
      <c r="I26" s="222"/>
      <c r="J26" s="222"/>
      <c r="K26" s="222"/>
      <c r="L26" s="222"/>
      <c r="M26" s="222"/>
      <c r="N26" s="222"/>
      <c r="O26" s="222"/>
      <c r="P26" s="222"/>
      <c r="Q26" s="222"/>
      <c r="R26" s="222"/>
      <c r="S26" s="222"/>
      <c r="T26" s="222"/>
      <c r="U26" s="222"/>
      <c r="V26" s="222"/>
      <c r="W26" s="222"/>
      <c r="X26" s="222"/>
      <c r="Y26" s="222"/>
      <c r="Z26" s="221"/>
    </row>
    <row r="27" spans="2:26" s="277" customFormat="1">
      <c r="B27" s="221"/>
      <c r="C27" s="221"/>
      <c r="D27" s="221"/>
      <c r="E27" s="221"/>
      <c r="F27" s="221"/>
      <c r="G27" s="221"/>
      <c r="H27" s="221"/>
      <c r="I27" s="222"/>
      <c r="J27" s="222"/>
      <c r="K27" s="222"/>
      <c r="L27" s="222"/>
      <c r="M27" s="222"/>
      <c r="N27" s="222"/>
      <c r="O27" s="222"/>
      <c r="P27" s="222"/>
      <c r="Q27" s="222"/>
      <c r="R27" s="222"/>
      <c r="S27" s="222"/>
      <c r="T27" s="222"/>
      <c r="U27" s="222"/>
      <c r="V27" s="222"/>
      <c r="W27" s="222"/>
      <c r="X27" s="222"/>
      <c r="Y27" s="222"/>
      <c r="Z27" s="221"/>
    </row>
    <row r="28" spans="2:26" s="277" customFormat="1">
      <c r="B28" s="221"/>
      <c r="C28" s="221"/>
      <c r="D28" s="221"/>
      <c r="E28" s="221"/>
      <c r="F28" s="221"/>
      <c r="G28" s="221"/>
      <c r="H28" s="221"/>
      <c r="I28" s="222"/>
      <c r="J28" s="222"/>
      <c r="K28" s="222"/>
      <c r="L28" s="222"/>
      <c r="M28" s="222"/>
      <c r="N28" s="222"/>
      <c r="O28" s="222"/>
      <c r="P28" s="222"/>
      <c r="Q28" s="222"/>
      <c r="R28" s="222"/>
      <c r="S28" s="222"/>
      <c r="T28" s="222"/>
      <c r="U28" s="222"/>
      <c r="V28" s="222"/>
      <c r="W28" s="222"/>
      <c r="X28" s="222"/>
      <c r="Y28" s="222"/>
      <c r="Z28" s="221"/>
    </row>
    <row r="29" spans="2:26" s="277" customFormat="1">
      <c r="B29" s="221"/>
      <c r="C29" s="221"/>
      <c r="D29" s="221"/>
      <c r="E29" s="221"/>
      <c r="F29" s="221"/>
      <c r="G29" s="221"/>
      <c r="H29" s="221"/>
      <c r="I29" s="222"/>
      <c r="J29" s="222"/>
      <c r="K29" s="222"/>
      <c r="L29" s="222"/>
      <c r="M29" s="222"/>
      <c r="N29" s="222"/>
      <c r="O29" s="222"/>
      <c r="P29" s="222"/>
      <c r="Q29" s="222"/>
      <c r="R29" s="222"/>
      <c r="S29" s="222"/>
      <c r="T29" s="222"/>
      <c r="U29" s="222"/>
      <c r="V29" s="222"/>
      <c r="W29" s="222"/>
      <c r="X29" s="222"/>
      <c r="Y29" s="222"/>
      <c r="Z29" s="221"/>
    </row>
    <row r="30" spans="2:26" s="277" customFormat="1">
      <c r="B30" s="221"/>
      <c r="C30" s="221"/>
      <c r="D30" s="221"/>
      <c r="E30" s="221"/>
      <c r="F30" s="221"/>
      <c r="G30" s="221"/>
      <c r="H30" s="221"/>
      <c r="I30" s="222"/>
      <c r="J30" s="222"/>
      <c r="K30" s="222"/>
      <c r="L30" s="222"/>
      <c r="M30" s="222"/>
      <c r="N30" s="222"/>
      <c r="O30" s="222"/>
      <c r="P30" s="222"/>
      <c r="Q30" s="222"/>
      <c r="R30" s="222"/>
      <c r="S30" s="222"/>
      <c r="T30" s="222"/>
      <c r="U30" s="222"/>
      <c r="V30" s="222"/>
      <c r="W30" s="222"/>
      <c r="X30" s="222"/>
      <c r="Y30" s="222"/>
      <c r="Z30" s="221"/>
    </row>
    <row r="31" spans="2:26" s="277" customFormat="1">
      <c r="B31" s="221"/>
      <c r="C31" s="221"/>
      <c r="D31" s="221"/>
      <c r="E31" s="221"/>
      <c r="F31" s="221"/>
      <c r="G31" s="221"/>
      <c r="H31" s="221"/>
      <c r="I31" s="222"/>
      <c r="J31" s="222"/>
      <c r="K31" s="222"/>
      <c r="L31" s="222"/>
      <c r="M31" s="222"/>
      <c r="N31" s="222"/>
      <c r="O31" s="222"/>
      <c r="P31" s="222"/>
      <c r="Q31" s="222"/>
      <c r="R31" s="222"/>
      <c r="S31" s="222"/>
      <c r="T31" s="222"/>
      <c r="U31" s="222"/>
      <c r="V31" s="222"/>
      <c r="W31" s="222"/>
      <c r="X31" s="222"/>
      <c r="Y31" s="222"/>
      <c r="Z31" s="221"/>
    </row>
    <row r="32" spans="2:26" s="277" customFormat="1">
      <c r="B32" s="221"/>
      <c r="C32" s="221"/>
      <c r="D32" s="221"/>
      <c r="E32" s="221"/>
      <c r="F32" s="221"/>
      <c r="G32" s="221"/>
      <c r="H32" s="221"/>
      <c r="I32" s="222"/>
      <c r="J32" s="222"/>
      <c r="K32" s="222"/>
      <c r="L32" s="222"/>
      <c r="M32" s="222"/>
      <c r="N32" s="222"/>
      <c r="O32" s="222"/>
      <c r="P32" s="222"/>
      <c r="Q32" s="222"/>
      <c r="R32" s="222"/>
      <c r="S32" s="222"/>
      <c r="T32" s="222"/>
      <c r="U32" s="222"/>
      <c r="V32" s="222"/>
      <c r="W32" s="222"/>
      <c r="X32" s="222"/>
      <c r="Y32" s="222"/>
      <c r="Z32" s="221"/>
    </row>
    <row r="33" spans="2:26" s="277" customFormat="1">
      <c r="B33" s="221"/>
      <c r="C33" s="221"/>
      <c r="D33" s="221"/>
      <c r="E33" s="221"/>
      <c r="F33" s="221"/>
      <c r="G33" s="221"/>
      <c r="H33" s="221"/>
      <c r="I33" s="222"/>
      <c r="J33" s="222"/>
      <c r="K33" s="222"/>
      <c r="L33" s="222"/>
      <c r="M33" s="222"/>
      <c r="N33" s="222"/>
      <c r="O33" s="222"/>
      <c r="P33" s="222"/>
      <c r="Q33" s="222"/>
      <c r="R33" s="222"/>
      <c r="S33" s="222"/>
      <c r="T33" s="222"/>
      <c r="U33" s="222"/>
      <c r="V33" s="222"/>
      <c r="W33" s="222"/>
      <c r="X33" s="222"/>
      <c r="Y33" s="222"/>
      <c r="Z33" s="221"/>
    </row>
    <row r="34" spans="2:26" s="277" customFormat="1">
      <c r="B34" s="221"/>
      <c r="C34" s="221"/>
      <c r="D34" s="221"/>
      <c r="E34" s="221"/>
      <c r="F34" s="221"/>
      <c r="G34" s="221"/>
      <c r="H34" s="221"/>
      <c r="I34" s="222"/>
      <c r="J34" s="222"/>
      <c r="K34" s="222"/>
      <c r="L34" s="222"/>
      <c r="M34" s="222"/>
      <c r="N34" s="222"/>
      <c r="O34" s="222"/>
      <c r="P34" s="222"/>
      <c r="Q34" s="222"/>
      <c r="R34" s="222"/>
      <c r="S34" s="222"/>
      <c r="T34" s="222"/>
      <c r="U34" s="222"/>
      <c r="V34" s="222"/>
      <c r="W34" s="222"/>
      <c r="X34" s="222"/>
      <c r="Y34" s="222"/>
      <c r="Z34" s="221"/>
    </row>
    <row r="35" spans="2:26" s="277" customFormat="1">
      <c r="B35" s="221"/>
      <c r="C35" s="221"/>
      <c r="D35" s="221"/>
      <c r="E35" s="221"/>
      <c r="F35" s="221"/>
      <c r="G35" s="221"/>
      <c r="H35" s="221"/>
      <c r="I35" s="222"/>
      <c r="J35" s="222"/>
      <c r="K35" s="222"/>
      <c r="L35" s="222"/>
      <c r="M35" s="222"/>
      <c r="N35" s="222"/>
      <c r="O35" s="222"/>
      <c r="P35" s="222"/>
      <c r="Q35" s="222"/>
      <c r="R35" s="222"/>
      <c r="S35" s="222"/>
      <c r="T35" s="222"/>
      <c r="U35" s="222"/>
      <c r="V35" s="222"/>
      <c r="W35" s="222"/>
      <c r="X35" s="222"/>
      <c r="Y35" s="222"/>
      <c r="Z35" s="221"/>
    </row>
    <row r="36" spans="2:26" s="277" customFormat="1">
      <c r="B36" s="221"/>
      <c r="C36" s="221"/>
      <c r="D36" s="221"/>
      <c r="E36" s="221"/>
      <c r="F36" s="221"/>
      <c r="G36" s="221"/>
      <c r="H36" s="221"/>
      <c r="I36" s="222"/>
      <c r="J36" s="222"/>
      <c r="K36" s="222"/>
      <c r="L36" s="222"/>
      <c r="M36" s="222"/>
      <c r="N36" s="222"/>
      <c r="O36" s="222"/>
      <c r="P36" s="222"/>
      <c r="Q36" s="222"/>
      <c r="R36" s="222"/>
      <c r="S36" s="222"/>
      <c r="T36" s="222"/>
      <c r="U36" s="222"/>
      <c r="V36" s="222"/>
      <c r="W36" s="222"/>
      <c r="X36" s="222"/>
      <c r="Y36" s="222"/>
      <c r="Z36" s="221"/>
    </row>
    <row r="37" spans="2:26" s="277" customFormat="1">
      <c r="B37" s="221"/>
      <c r="C37" s="221"/>
      <c r="D37" s="221"/>
      <c r="E37" s="221"/>
      <c r="F37" s="221"/>
      <c r="G37" s="221"/>
      <c r="H37" s="221"/>
      <c r="I37" s="222"/>
      <c r="J37" s="222"/>
      <c r="K37" s="222"/>
      <c r="L37" s="222"/>
      <c r="M37" s="222"/>
      <c r="N37" s="222"/>
      <c r="O37" s="222"/>
      <c r="P37" s="222"/>
      <c r="Q37" s="222"/>
      <c r="R37" s="222"/>
      <c r="S37" s="222"/>
      <c r="T37" s="222"/>
      <c r="U37" s="222"/>
      <c r="V37" s="222"/>
      <c r="W37" s="222"/>
      <c r="X37" s="222"/>
      <c r="Y37" s="222"/>
      <c r="Z37" s="221"/>
    </row>
    <row r="38" spans="2:26" s="277" customFormat="1">
      <c r="B38" s="221"/>
      <c r="C38" s="221"/>
      <c r="D38" s="221"/>
      <c r="E38" s="221"/>
      <c r="F38" s="221"/>
      <c r="G38" s="221"/>
      <c r="H38" s="221"/>
      <c r="I38" s="222"/>
      <c r="J38" s="222"/>
      <c r="K38" s="222"/>
      <c r="L38" s="222"/>
      <c r="M38" s="222"/>
      <c r="N38" s="222"/>
      <c r="O38" s="222"/>
      <c r="P38" s="222"/>
      <c r="Q38" s="222"/>
      <c r="R38" s="222"/>
      <c r="S38" s="222"/>
      <c r="T38" s="222"/>
      <c r="U38" s="222"/>
      <c r="V38" s="222"/>
      <c r="W38" s="222"/>
      <c r="X38" s="222"/>
      <c r="Y38" s="222"/>
      <c r="Z38" s="221"/>
    </row>
    <row r="39" spans="2:26" s="277" customFormat="1">
      <c r="B39" s="221"/>
      <c r="C39" s="221"/>
      <c r="D39" s="221"/>
      <c r="E39" s="221"/>
      <c r="F39" s="221"/>
      <c r="G39" s="221"/>
      <c r="H39" s="221"/>
      <c r="I39" s="222"/>
      <c r="J39" s="222"/>
      <c r="K39" s="222"/>
      <c r="L39" s="222"/>
      <c r="M39" s="222"/>
      <c r="N39" s="222"/>
      <c r="O39" s="222"/>
      <c r="P39" s="222"/>
      <c r="Q39" s="222"/>
      <c r="R39" s="222"/>
      <c r="S39" s="222"/>
      <c r="T39" s="222"/>
      <c r="U39" s="222"/>
      <c r="V39" s="222"/>
      <c r="W39" s="222"/>
      <c r="X39" s="222"/>
      <c r="Y39" s="222"/>
      <c r="Z39" s="221"/>
    </row>
    <row r="40" spans="2:26" s="277" customFormat="1">
      <c r="B40" s="221"/>
      <c r="C40" s="221"/>
      <c r="D40" s="221"/>
      <c r="E40" s="221"/>
      <c r="F40" s="221"/>
      <c r="G40" s="221"/>
      <c r="H40" s="221"/>
      <c r="I40" s="222"/>
      <c r="J40" s="222"/>
      <c r="K40" s="222"/>
      <c r="L40" s="222"/>
      <c r="M40" s="222"/>
      <c r="N40" s="222"/>
      <c r="O40" s="222"/>
      <c r="P40" s="222"/>
      <c r="Q40" s="222"/>
      <c r="R40" s="222"/>
      <c r="S40" s="222"/>
      <c r="T40" s="222"/>
      <c r="U40" s="222"/>
      <c r="V40" s="222"/>
      <c r="W40" s="222"/>
      <c r="X40" s="222"/>
      <c r="Y40" s="222"/>
      <c r="Z40" s="221"/>
    </row>
    <row r="41" spans="2:26" s="277" customFormat="1">
      <c r="B41" s="221"/>
      <c r="C41" s="221"/>
      <c r="D41" s="221"/>
      <c r="E41" s="221"/>
      <c r="F41" s="221"/>
      <c r="G41" s="221"/>
      <c r="H41" s="221"/>
      <c r="I41" s="222"/>
      <c r="J41" s="222"/>
      <c r="K41" s="222"/>
      <c r="L41" s="222"/>
      <c r="M41" s="222"/>
      <c r="N41" s="222"/>
      <c r="O41" s="222"/>
      <c r="P41" s="222"/>
      <c r="Q41" s="222"/>
      <c r="R41" s="222"/>
      <c r="S41" s="222"/>
      <c r="T41" s="222"/>
      <c r="U41" s="222"/>
      <c r="V41" s="222"/>
      <c r="W41" s="222"/>
      <c r="X41" s="222"/>
      <c r="Y41" s="222"/>
      <c r="Z41" s="221"/>
    </row>
    <row r="42" spans="2:26" s="277" customFormat="1">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1"/>
    </row>
    <row r="43" spans="2:26" s="277" customFormat="1">
      <c r="B43" s="221"/>
      <c r="C43" s="221"/>
      <c r="D43" s="221"/>
      <c r="E43" s="221"/>
      <c r="F43" s="221"/>
      <c r="G43" s="221"/>
      <c r="H43" s="221"/>
      <c r="I43" s="222"/>
      <c r="J43" s="222"/>
      <c r="K43" s="222"/>
      <c r="L43" s="222"/>
      <c r="M43" s="222"/>
      <c r="N43" s="222"/>
      <c r="O43" s="222"/>
      <c r="P43" s="222"/>
      <c r="Q43" s="222"/>
      <c r="R43" s="222"/>
      <c r="S43" s="222"/>
      <c r="T43" s="222"/>
      <c r="U43" s="222"/>
      <c r="V43" s="222"/>
      <c r="W43" s="222"/>
      <c r="X43" s="222"/>
      <c r="Y43" s="222"/>
      <c r="Z43" s="221"/>
    </row>
    <row r="44" spans="2:26" s="277" customFormat="1">
      <c r="B44" s="221"/>
      <c r="C44" s="221"/>
      <c r="D44" s="221"/>
      <c r="E44" s="221"/>
      <c r="F44" s="221"/>
      <c r="G44" s="221"/>
      <c r="H44" s="221"/>
      <c r="I44" s="222"/>
      <c r="J44" s="222"/>
      <c r="K44" s="222"/>
      <c r="L44" s="222"/>
      <c r="M44" s="222"/>
      <c r="N44" s="222"/>
      <c r="O44" s="222"/>
      <c r="P44" s="222"/>
      <c r="Q44" s="222"/>
      <c r="R44" s="222"/>
      <c r="S44" s="222"/>
      <c r="T44" s="222"/>
      <c r="U44" s="222"/>
      <c r="V44" s="222"/>
      <c r="W44" s="222"/>
      <c r="X44" s="222"/>
      <c r="Y44" s="222"/>
      <c r="Z44" s="221"/>
    </row>
    <row r="45" spans="2:26" s="277" customFormat="1">
      <c r="B45" s="221"/>
      <c r="C45" s="221"/>
      <c r="D45" s="221"/>
      <c r="E45" s="221"/>
      <c r="F45" s="221"/>
      <c r="G45" s="221"/>
      <c r="H45" s="221"/>
      <c r="I45" s="222"/>
      <c r="J45" s="222"/>
      <c r="K45" s="222"/>
      <c r="L45" s="222"/>
      <c r="M45" s="222"/>
      <c r="N45" s="222"/>
      <c r="O45" s="222"/>
      <c r="P45" s="222"/>
      <c r="Q45" s="222"/>
      <c r="R45" s="222"/>
      <c r="S45" s="222"/>
      <c r="T45" s="222"/>
      <c r="U45" s="222"/>
      <c r="V45" s="222"/>
      <c r="W45" s="222"/>
      <c r="X45" s="222"/>
      <c r="Y45" s="222"/>
      <c r="Z45" s="221"/>
    </row>
    <row r="46" spans="2:26" s="277" customFormat="1">
      <c r="B46" s="221"/>
      <c r="C46" s="221"/>
      <c r="D46" s="221"/>
      <c r="E46" s="221"/>
      <c r="F46" s="221"/>
      <c r="G46" s="221"/>
      <c r="H46" s="221"/>
      <c r="I46" s="222"/>
      <c r="J46" s="222"/>
      <c r="K46" s="222"/>
      <c r="L46" s="222"/>
      <c r="M46" s="222"/>
      <c r="N46" s="222"/>
      <c r="O46" s="222"/>
      <c r="P46" s="222"/>
      <c r="Q46" s="222"/>
      <c r="R46" s="222"/>
      <c r="S46" s="222"/>
      <c r="T46" s="222"/>
      <c r="U46" s="222"/>
      <c r="V46" s="222"/>
      <c r="W46" s="222"/>
      <c r="X46" s="222"/>
      <c r="Y46" s="222"/>
      <c r="Z46" s="221"/>
    </row>
    <row r="47" spans="2:26" s="277" customFormat="1">
      <c r="B47" s="221"/>
      <c r="C47" s="221"/>
      <c r="D47" s="221"/>
      <c r="E47" s="221"/>
      <c r="F47" s="221"/>
      <c r="G47" s="221"/>
      <c r="H47" s="221"/>
      <c r="I47" s="222"/>
      <c r="J47" s="222"/>
      <c r="K47" s="222"/>
      <c r="L47" s="222"/>
      <c r="M47" s="222"/>
      <c r="N47" s="222"/>
      <c r="O47" s="222"/>
      <c r="P47" s="222"/>
      <c r="Q47" s="222"/>
      <c r="R47" s="222"/>
      <c r="S47" s="222"/>
      <c r="T47" s="222"/>
      <c r="U47" s="222"/>
      <c r="V47" s="222"/>
      <c r="W47" s="222"/>
      <c r="X47" s="222"/>
      <c r="Y47" s="222"/>
      <c r="Z47" s="221"/>
    </row>
    <row r="48" spans="2:26" s="277" customFormat="1">
      <c r="I48" s="222"/>
      <c r="J48" s="222"/>
      <c r="K48" s="222"/>
      <c r="L48" s="222"/>
      <c r="M48" s="222"/>
      <c r="N48" s="222"/>
      <c r="O48" s="222"/>
      <c r="P48" s="222"/>
      <c r="Q48" s="222"/>
      <c r="R48" s="222"/>
      <c r="S48" s="222"/>
      <c r="T48" s="222"/>
      <c r="U48" s="222"/>
      <c r="V48" s="222"/>
      <c r="W48" s="222"/>
      <c r="X48" s="222"/>
      <c r="Y48" s="222"/>
    </row>
    <row r="49" spans="9:25" s="277" customFormat="1">
      <c r="I49" s="222"/>
      <c r="J49" s="222"/>
      <c r="K49" s="222"/>
      <c r="L49" s="222"/>
      <c r="M49" s="222"/>
      <c r="N49" s="222"/>
      <c r="O49" s="222"/>
      <c r="P49" s="222"/>
      <c r="Q49" s="222"/>
      <c r="R49" s="222"/>
      <c r="S49" s="222"/>
      <c r="T49" s="222"/>
      <c r="U49" s="222"/>
      <c r="V49" s="222"/>
      <c r="W49" s="222"/>
      <c r="X49" s="222"/>
      <c r="Y49" s="222"/>
    </row>
    <row r="50" spans="9:25" s="277" customFormat="1">
      <c r="I50" s="222"/>
      <c r="J50" s="222"/>
      <c r="K50" s="222"/>
      <c r="L50" s="222"/>
      <c r="M50" s="222"/>
      <c r="N50" s="222"/>
      <c r="O50" s="222"/>
      <c r="P50" s="222"/>
      <c r="Q50" s="222"/>
      <c r="R50" s="222"/>
      <c r="S50" s="222"/>
      <c r="T50" s="222"/>
      <c r="U50" s="222"/>
      <c r="V50" s="222"/>
      <c r="W50" s="222"/>
      <c r="X50" s="222"/>
      <c r="Y50" s="222"/>
    </row>
    <row r="51" spans="9:25" s="277" customFormat="1">
      <c r="I51" s="222"/>
      <c r="J51" s="222"/>
      <c r="K51" s="222"/>
      <c r="L51" s="222"/>
      <c r="M51" s="222"/>
      <c r="N51" s="222"/>
      <c r="O51" s="222"/>
      <c r="P51" s="222"/>
      <c r="Q51" s="222"/>
      <c r="R51" s="222"/>
      <c r="S51" s="222"/>
      <c r="T51" s="222"/>
      <c r="U51" s="222"/>
      <c r="V51" s="222"/>
      <c r="W51" s="222"/>
      <c r="X51" s="222"/>
      <c r="Y51" s="222"/>
    </row>
    <row r="52" spans="9:25" s="277" customFormat="1">
      <c r="I52" s="222"/>
      <c r="J52" s="222"/>
      <c r="K52" s="222"/>
      <c r="L52" s="222"/>
      <c r="M52" s="222"/>
      <c r="N52" s="222"/>
      <c r="O52" s="222"/>
      <c r="P52" s="222"/>
      <c r="Q52" s="222"/>
      <c r="R52" s="222"/>
      <c r="S52" s="222"/>
      <c r="T52" s="222"/>
      <c r="U52" s="222"/>
      <c r="V52" s="222"/>
      <c r="W52" s="222"/>
      <c r="X52" s="222"/>
      <c r="Y52" s="222"/>
    </row>
    <row r="53" spans="9:25" s="277" customFormat="1">
      <c r="I53" s="222"/>
      <c r="J53" s="222"/>
      <c r="K53" s="222"/>
      <c r="L53" s="222"/>
      <c r="M53" s="222"/>
      <c r="N53" s="222"/>
      <c r="O53" s="222"/>
      <c r="P53" s="222"/>
      <c r="Q53" s="222"/>
      <c r="R53" s="222"/>
      <c r="S53" s="222"/>
      <c r="T53" s="222"/>
      <c r="U53" s="222"/>
      <c r="V53" s="222"/>
      <c r="W53" s="222"/>
      <c r="X53" s="222"/>
      <c r="Y53" s="222"/>
    </row>
    <row r="54" spans="9:25" s="277" customFormat="1">
      <c r="I54" s="222"/>
      <c r="J54" s="222"/>
      <c r="K54" s="222"/>
      <c r="L54" s="222"/>
      <c r="M54" s="222"/>
      <c r="N54" s="222"/>
      <c r="O54" s="222"/>
      <c r="P54" s="222"/>
      <c r="Q54" s="222"/>
      <c r="R54" s="222"/>
      <c r="S54" s="222"/>
      <c r="T54" s="222"/>
      <c r="U54" s="222"/>
      <c r="V54" s="222"/>
      <c r="W54" s="222"/>
      <c r="X54" s="222"/>
      <c r="Y54" s="222"/>
    </row>
    <row r="55" spans="9:25" s="277" customFormat="1">
      <c r="I55" s="222"/>
      <c r="J55" s="222"/>
      <c r="K55" s="222"/>
      <c r="L55" s="222"/>
      <c r="M55" s="222"/>
      <c r="N55" s="222"/>
      <c r="O55" s="222"/>
      <c r="P55" s="222"/>
      <c r="Q55" s="222"/>
      <c r="R55" s="222"/>
      <c r="S55" s="222"/>
      <c r="T55" s="222"/>
      <c r="U55" s="222"/>
      <c r="V55" s="222"/>
      <c r="W55" s="222"/>
      <c r="X55" s="222"/>
      <c r="Y55" s="222"/>
    </row>
    <row r="56" spans="9:25" s="277" customFormat="1">
      <c r="I56" s="222"/>
      <c r="J56" s="222"/>
      <c r="K56" s="222"/>
      <c r="L56" s="222"/>
      <c r="M56" s="222"/>
      <c r="N56" s="222"/>
      <c r="O56" s="222"/>
      <c r="P56" s="222"/>
      <c r="Q56" s="222"/>
      <c r="R56" s="222"/>
      <c r="S56" s="222"/>
      <c r="T56" s="222"/>
      <c r="U56" s="222"/>
      <c r="V56" s="222"/>
      <c r="W56" s="222"/>
      <c r="X56" s="222"/>
      <c r="Y56" s="222"/>
    </row>
    <row r="57" spans="9:25" s="277" customFormat="1">
      <c r="I57" s="222"/>
      <c r="J57" s="222"/>
      <c r="K57" s="222"/>
      <c r="L57" s="222"/>
      <c r="M57" s="222"/>
      <c r="N57" s="222"/>
      <c r="O57" s="222"/>
      <c r="P57" s="222"/>
      <c r="Q57" s="222"/>
      <c r="R57" s="222"/>
      <c r="S57" s="222"/>
      <c r="T57" s="222"/>
      <c r="U57" s="222"/>
      <c r="V57" s="222"/>
      <c r="W57" s="222"/>
      <c r="X57" s="222"/>
      <c r="Y57" s="222"/>
    </row>
    <row r="58" spans="9:25" s="277" customFormat="1">
      <c r="I58" s="222"/>
      <c r="J58" s="222"/>
      <c r="K58" s="222"/>
      <c r="L58" s="222"/>
      <c r="M58" s="222"/>
      <c r="N58" s="222"/>
      <c r="O58" s="222"/>
      <c r="P58" s="222"/>
      <c r="Q58" s="222"/>
      <c r="R58" s="222"/>
      <c r="S58" s="222"/>
      <c r="T58" s="222"/>
      <c r="U58" s="222"/>
      <c r="V58" s="222"/>
      <c r="W58" s="222"/>
      <c r="X58" s="222"/>
      <c r="Y58" s="222"/>
    </row>
    <row r="59" spans="9:25" s="277" customFormat="1">
      <c r="I59" s="222"/>
      <c r="J59" s="222"/>
      <c r="K59" s="222"/>
      <c r="L59" s="222"/>
      <c r="M59" s="222"/>
      <c r="N59" s="222"/>
      <c r="O59" s="222"/>
      <c r="P59" s="222"/>
      <c r="Q59" s="222"/>
      <c r="R59" s="222"/>
      <c r="S59" s="222"/>
      <c r="T59" s="222"/>
      <c r="U59" s="222"/>
      <c r="V59" s="222"/>
      <c r="W59" s="222"/>
      <c r="X59" s="222"/>
      <c r="Y59" s="222"/>
    </row>
    <row r="60" spans="9:25" s="277" customFormat="1">
      <c r="I60" s="222"/>
      <c r="J60" s="222"/>
      <c r="K60" s="222"/>
      <c r="L60" s="222"/>
      <c r="M60" s="222"/>
      <c r="N60" s="222"/>
      <c r="O60" s="222"/>
      <c r="P60" s="222"/>
      <c r="Q60" s="222"/>
      <c r="R60" s="222"/>
      <c r="S60" s="222"/>
      <c r="T60" s="222"/>
      <c r="U60" s="222"/>
      <c r="V60" s="222"/>
      <c r="W60" s="222"/>
      <c r="X60" s="222"/>
      <c r="Y60" s="222"/>
    </row>
    <row r="61" spans="9:25" s="277" customFormat="1">
      <c r="I61" s="222"/>
      <c r="J61" s="222"/>
      <c r="K61" s="222"/>
      <c r="L61" s="222"/>
      <c r="M61" s="222"/>
      <c r="N61" s="222"/>
      <c r="O61" s="222"/>
      <c r="P61" s="222"/>
      <c r="Q61" s="222"/>
      <c r="R61" s="222"/>
      <c r="S61" s="222"/>
      <c r="T61" s="222"/>
      <c r="U61" s="222"/>
      <c r="V61" s="222"/>
      <c r="W61" s="222"/>
      <c r="X61" s="222"/>
      <c r="Y61" s="222"/>
    </row>
    <row r="62" spans="9:25" s="277" customFormat="1">
      <c r="I62" s="222"/>
      <c r="J62" s="222"/>
      <c r="K62" s="222"/>
      <c r="L62" s="222"/>
      <c r="M62" s="222"/>
      <c r="N62" s="222"/>
      <c r="O62" s="222"/>
      <c r="P62" s="222"/>
      <c r="Q62" s="222"/>
      <c r="R62" s="222"/>
      <c r="S62" s="222"/>
      <c r="T62" s="222"/>
      <c r="U62" s="222"/>
      <c r="V62" s="222"/>
      <c r="W62" s="222"/>
      <c r="X62" s="222"/>
      <c r="Y62" s="222"/>
    </row>
    <row r="63" spans="9:25" s="277" customFormat="1">
      <c r="I63" s="222"/>
      <c r="J63" s="222"/>
      <c r="K63" s="222"/>
      <c r="L63" s="222"/>
      <c r="M63" s="222"/>
      <c r="N63" s="222"/>
      <c r="O63" s="222"/>
      <c r="P63" s="222"/>
      <c r="Q63" s="222"/>
      <c r="R63" s="222"/>
      <c r="S63" s="222"/>
      <c r="T63" s="222"/>
      <c r="U63" s="222"/>
      <c r="V63" s="222"/>
      <c r="W63" s="222"/>
      <c r="X63" s="222"/>
      <c r="Y63" s="222"/>
    </row>
    <row r="64" spans="9:25" s="277" customFormat="1">
      <c r="I64" s="222"/>
      <c r="J64" s="222"/>
      <c r="K64" s="222"/>
      <c r="L64" s="222"/>
      <c r="M64" s="222"/>
      <c r="N64" s="222"/>
      <c r="O64" s="222"/>
      <c r="P64" s="222"/>
      <c r="Q64" s="222"/>
      <c r="R64" s="222"/>
      <c r="S64" s="222"/>
      <c r="T64" s="222"/>
      <c r="U64" s="222"/>
      <c r="V64" s="222"/>
      <c r="W64" s="222"/>
      <c r="X64" s="222"/>
      <c r="Y64" s="222"/>
    </row>
    <row r="65" spans="9:25" s="277" customFormat="1">
      <c r="I65" s="222"/>
      <c r="J65" s="222"/>
      <c r="K65" s="222"/>
      <c r="L65" s="222"/>
      <c r="M65" s="222"/>
      <c r="N65" s="222"/>
      <c r="O65" s="222"/>
      <c r="P65" s="222"/>
      <c r="Q65" s="222"/>
      <c r="R65" s="222"/>
      <c r="S65" s="222"/>
      <c r="T65" s="222"/>
      <c r="U65" s="222"/>
      <c r="V65" s="222"/>
      <c r="W65" s="222"/>
      <c r="X65" s="222"/>
      <c r="Y65" s="222"/>
    </row>
    <row r="66" spans="9:25" s="277" customFormat="1">
      <c r="I66" s="222"/>
      <c r="J66" s="222"/>
      <c r="K66" s="222"/>
      <c r="L66" s="222"/>
      <c r="M66" s="222"/>
      <c r="N66" s="222"/>
      <c r="O66" s="222"/>
      <c r="P66" s="222"/>
      <c r="Q66" s="222"/>
      <c r="R66" s="222"/>
      <c r="S66" s="222"/>
      <c r="T66" s="222"/>
      <c r="U66" s="222"/>
      <c r="V66" s="222"/>
      <c r="W66" s="222"/>
      <c r="X66" s="222"/>
      <c r="Y66" s="222"/>
    </row>
    <row r="67" spans="9:25" s="277" customFormat="1">
      <c r="I67" s="222"/>
      <c r="J67" s="222"/>
      <c r="K67" s="222"/>
      <c r="L67" s="222"/>
      <c r="M67" s="222"/>
      <c r="N67" s="222"/>
      <c r="O67" s="222"/>
      <c r="P67" s="222"/>
      <c r="Q67" s="222"/>
      <c r="R67" s="222"/>
      <c r="S67" s="222"/>
      <c r="T67" s="222"/>
      <c r="U67" s="222"/>
      <c r="V67" s="222"/>
      <c r="W67" s="222"/>
      <c r="X67" s="222"/>
      <c r="Y67" s="222"/>
    </row>
    <row r="68" spans="9:25" s="277" customFormat="1">
      <c r="I68" s="222"/>
      <c r="J68" s="222"/>
      <c r="K68" s="222"/>
      <c r="L68" s="222"/>
      <c r="M68" s="222"/>
      <c r="N68" s="222"/>
      <c r="O68" s="222"/>
      <c r="P68" s="222"/>
      <c r="Q68" s="222"/>
      <c r="R68" s="222"/>
      <c r="S68" s="222"/>
      <c r="T68" s="222"/>
      <c r="U68" s="222"/>
      <c r="V68" s="222"/>
      <c r="W68" s="222"/>
      <c r="X68" s="222"/>
      <c r="Y68" s="222"/>
    </row>
    <row r="69" spans="9:25" s="277" customFormat="1">
      <c r="I69" s="222"/>
      <c r="J69" s="222"/>
      <c r="K69" s="222"/>
      <c r="L69" s="222"/>
      <c r="M69" s="222"/>
      <c r="N69" s="222"/>
      <c r="O69" s="222"/>
      <c r="P69" s="222"/>
      <c r="Q69" s="222"/>
      <c r="R69" s="222"/>
      <c r="S69" s="222"/>
      <c r="T69" s="222"/>
      <c r="U69" s="222"/>
      <c r="V69" s="222"/>
      <c r="W69" s="222"/>
      <c r="X69" s="222"/>
      <c r="Y69" s="222"/>
    </row>
    <row r="70" spans="9:25" s="277" customFormat="1">
      <c r="I70" s="222"/>
      <c r="J70" s="222"/>
      <c r="K70" s="222"/>
      <c r="L70" s="222"/>
      <c r="M70" s="222"/>
      <c r="N70" s="222"/>
      <c r="O70" s="222"/>
      <c r="P70" s="222"/>
      <c r="Q70" s="222"/>
      <c r="R70" s="222"/>
      <c r="S70" s="222"/>
      <c r="T70" s="222"/>
      <c r="U70" s="222"/>
      <c r="V70" s="222"/>
      <c r="W70" s="222"/>
      <c r="X70" s="222"/>
      <c r="Y70" s="222"/>
    </row>
    <row r="71" spans="9:25" s="277" customFormat="1">
      <c r="I71" s="222"/>
      <c r="J71" s="222"/>
      <c r="K71" s="222"/>
      <c r="L71" s="222"/>
      <c r="M71" s="222"/>
      <c r="N71" s="222"/>
      <c r="O71" s="222"/>
      <c r="P71" s="222"/>
      <c r="Q71" s="222"/>
      <c r="R71" s="222"/>
      <c r="S71" s="222"/>
      <c r="T71" s="222"/>
      <c r="U71" s="222"/>
      <c r="V71" s="222"/>
      <c r="W71" s="222"/>
      <c r="X71" s="222"/>
      <c r="Y71" s="222"/>
    </row>
    <row r="72" spans="9:25" s="277" customFormat="1">
      <c r="I72" s="222"/>
      <c r="J72" s="222"/>
      <c r="K72" s="222"/>
      <c r="L72" s="222"/>
      <c r="M72" s="222"/>
      <c r="N72" s="222"/>
      <c r="O72" s="222"/>
      <c r="P72" s="222"/>
      <c r="Q72" s="222"/>
      <c r="R72" s="222"/>
      <c r="S72" s="222"/>
      <c r="T72" s="222"/>
      <c r="U72" s="222"/>
      <c r="V72" s="222"/>
      <c r="W72" s="222"/>
      <c r="X72" s="222"/>
      <c r="Y72" s="222"/>
    </row>
    <row r="73" spans="9:25" s="277" customFormat="1">
      <c r="I73" s="222"/>
      <c r="J73" s="222"/>
      <c r="K73" s="222"/>
      <c r="L73" s="222"/>
      <c r="M73" s="222"/>
      <c r="N73" s="222"/>
      <c r="O73" s="222"/>
      <c r="P73" s="222"/>
      <c r="Q73" s="222"/>
      <c r="R73" s="222"/>
      <c r="S73" s="222"/>
      <c r="T73" s="222"/>
      <c r="U73" s="222"/>
      <c r="V73" s="222"/>
      <c r="W73" s="222"/>
      <c r="X73" s="222"/>
      <c r="Y73" s="222"/>
    </row>
    <row r="74" spans="9:25" s="277" customFormat="1">
      <c r="I74" s="222"/>
      <c r="J74" s="222"/>
      <c r="K74" s="222"/>
      <c r="L74" s="222"/>
      <c r="M74" s="222"/>
      <c r="N74" s="222"/>
      <c r="O74" s="222"/>
      <c r="P74" s="222"/>
      <c r="Q74" s="222"/>
      <c r="R74" s="222"/>
      <c r="S74" s="222"/>
      <c r="T74" s="222"/>
      <c r="U74" s="222"/>
      <c r="V74" s="222"/>
      <c r="W74" s="222"/>
      <c r="X74" s="222"/>
      <c r="Y74" s="222"/>
    </row>
    <row r="75" spans="9:25" s="277" customFormat="1">
      <c r="I75" s="222"/>
      <c r="J75" s="222"/>
      <c r="K75" s="222"/>
      <c r="L75" s="222"/>
      <c r="M75" s="222"/>
      <c r="N75" s="222"/>
      <c r="O75" s="222"/>
      <c r="P75" s="222"/>
      <c r="Q75" s="222"/>
      <c r="R75" s="222"/>
      <c r="S75" s="222"/>
      <c r="T75" s="222"/>
      <c r="U75" s="222"/>
      <c r="V75" s="222"/>
      <c r="W75" s="222"/>
      <c r="X75" s="222"/>
      <c r="Y75" s="222"/>
    </row>
    <row r="76" spans="9:25" s="277" customFormat="1">
      <c r="I76" s="222"/>
      <c r="J76" s="222"/>
      <c r="K76" s="222"/>
      <c r="L76" s="222"/>
      <c r="M76" s="222"/>
      <c r="N76" s="222"/>
      <c r="O76" s="222"/>
      <c r="P76" s="222"/>
      <c r="Q76" s="222"/>
      <c r="R76" s="222"/>
      <c r="S76" s="222"/>
      <c r="T76" s="222"/>
      <c r="U76" s="222"/>
      <c r="V76" s="222"/>
      <c r="W76" s="222"/>
      <c r="X76" s="222"/>
      <c r="Y76" s="222"/>
    </row>
    <row r="77" spans="9:25" s="277" customFormat="1">
      <c r="I77" s="222"/>
      <c r="J77" s="222"/>
      <c r="K77" s="222"/>
      <c r="L77" s="222"/>
      <c r="M77" s="222"/>
      <c r="N77" s="222"/>
      <c r="O77" s="222"/>
      <c r="P77" s="222"/>
      <c r="Q77" s="222"/>
      <c r="R77" s="222"/>
      <c r="S77" s="222"/>
      <c r="T77" s="222"/>
      <c r="U77" s="222"/>
      <c r="V77" s="222"/>
      <c r="W77" s="222"/>
      <c r="X77" s="222"/>
      <c r="Y77" s="222"/>
    </row>
    <row r="78" spans="9:25" s="277" customFormat="1">
      <c r="I78" s="222"/>
      <c r="J78" s="222"/>
      <c r="K78" s="222"/>
      <c r="L78" s="222"/>
      <c r="M78" s="222"/>
      <c r="N78" s="222"/>
      <c r="O78" s="222"/>
      <c r="P78" s="222"/>
      <c r="Q78" s="222"/>
      <c r="R78" s="222"/>
      <c r="S78" s="222"/>
      <c r="T78" s="222"/>
      <c r="U78" s="222"/>
      <c r="V78" s="222"/>
      <c r="W78" s="222"/>
      <c r="X78" s="222"/>
      <c r="Y78" s="222"/>
    </row>
    <row r="79" spans="9:25" s="277" customFormat="1">
      <c r="I79" s="222"/>
      <c r="J79" s="222"/>
      <c r="K79" s="222"/>
      <c r="L79" s="222"/>
      <c r="M79" s="222"/>
      <c r="N79" s="222"/>
      <c r="O79" s="222"/>
      <c r="P79" s="222"/>
      <c r="Q79" s="222"/>
      <c r="R79" s="222"/>
      <c r="S79" s="222"/>
      <c r="T79" s="222"/>
      <c r="U79" s="222"/>
      <c r="V79" s="222"/>
      <c r="W79" s="222"/>
      <c r="X79" s="222"/>
      <c r="Y79" s="222"/>
    </row>
    <row r="80" spans="9:25" s="277" customFormat="1">
      <c r="I80" s="222"/>
      <c r="J80" s="222"/>
      <c r="K80" s="222"/>
      <c r="L80" s="222"/>
      <c r="M80" s="222"/>
      <c r="N80" s="222"/>
      <c r="O80" s="222"/>
      <c r="P80" s="222"/>
      <c r="Q80" s="222"/>
      <c r="R80" s="222"/>
      <c r="S80" s="222"/>
      <c r="T80" s="222"/>
      <c r="U80" s="222"/>
      <c r="V80" s="222"/>
      <c r="W80" s="222"/>
      <c r="X80" s="222"/>
      <c r="Y80" s="222"/>
    </row>
    <row r="81" spans="9:25" s="277" customFormat="1">
      <c r="I81" s="222"/>
      <c r="J81" s="222"/>
      <c r="K81" s="222"/>
      <c r="L81" s="222"/>
      <c r="M81" s="222"/>
      <c r="N81" s="222"/>
      <c r="O81" s="222"/>
      <c r="P81" s="222"/>
      <c r="Q81" s="222"/>
      <c r="R81" s="222"/>
      <c r="S81" s="222"/>
      <c r="T81" s="222"/>
      <c r="U81" s="222"/>
      <c r="V81" s="222"/>
      <c r="W81" s="222"/>
      <c r="X81" s="222"/>
      <c r="Y81" s="222"/>
    </row>
    <row r="82" spans="9:25" s="277" customFormat="1">
      <c r="I82" s="222"/>
      <c r="J82" s="222"/>
      <c r="K82" s="222"/>
      <c r="L82" s="222"/>
      <c r="M82" s="222"/>
      <c r="N82" s="222"/>
      <c r="O82" s="222"/>
      <c r="P82" s="222"/>
      <c r="Q82" s="222"/>
      <c r="R82" s="222"/>
      <c r="S82" s="222"/>
      <c r="T82" s="222"/>
      <c r="U82" s="222"/>
      <c r="V82" s="222"/>
      <c r="W82" s="222"/>
      <c r="X82" s="222"/>
      <c r="Y82" s="222"/>
    </row>
    <row r="83" spans="9:25" s="277" customFormat="1">
      <c r="I83" s="222"/>
      <c r="J83" s="222"/>
      <c r="K83" s="222"/>
      <c r="L83" s="222"/>
      <c r="M83" s="222"/>
      <c r="N83" s="222"/>
      <c r="O83" s="222"/>
      <c r="P83" s="222"/>
      <c r="Q83" s="222"/>
      <c r="R83" s="222"/>
      <c r="S83" s="222"/>
      <c r="T83" s="222"/>
      <c r="U83" s="222"/>
      <c r="V83" s="222"/>
      <c r="W83" s="222"/>
      <c r="X83" s="222"/>
      <c r="Y83" s="222"/>
    </row>
    <row r="84" spans="9:25" s="277" customFormat="1">
      <c r="I84" s="222"/>
      <c r="J84" s="222"/>
      <c r="K84" s="222"/>
      <c r="L84" s="222"/>
      <c r="M84" s="222"/>
      <c r="N84" s="222"/>
      <c r="O84" s="222"/>
      <c r="P84" s="222"/>
      <c r="Q84" s="222"/>
      <c r="R84" s="222"/>
      <c r="S84" s="222"/>
      <c r="T84" s="222"/>
      <c r="U84" s="222"/>
      <c r="V84" s="222"/>
      <c r="W84" s="222"/>
      <c r="X84" s="222"/>
      <c r="Y84" s="222"/>
    </row>
    <row r="85" spans="9:25" s="277" customFormat="1">
      <c r="I85" s="222"/>
      <c r="J85" s="222"/>
      <c r="K85" s="222"/>
      <c r="L85" s="222"/>
      <c r="M85" s="222"/>
      <c r="N85" s="222"/>
      <c r="O85" s="222"/>
      <c r="P85" s="222"/>
      <c r="Q85" s="222"/>
      <c r="R85" s="222"/>
      <c r="S85" s="222"/>
      <c r="T85" s="222"/>
      <c r="U85" s="222"/>
      <c r="V85" s="222"/>
      <c r="W85" s="222"/>
      <c r="X85" s="222"/>
      <c r="Y85" s="222"/>
    </row>
    <row r="86" spans="9:25" s="277" customFormat="1">
      <c r="I86" s="222"/>
      <c r="J86" s="222"/>
      <c r="K86" s="222"/>
      <c r="L86" s="222"/>
      <c r="M86" s="222"/>
      <c r="N86" s="222"/>
      <c r="O86" s="222"/>
      <c r="P86" s="222"/>
      <c r="Q86" s="222"/>
      <c r="R86" s="222"/>
      <c r="S86" s="222"/>
      <c r="T86" s="222"/>
      <c r="U86" s="222"/>
      <c r="V86" s="222"/>
      <c r="W86" s="222"/>
      <c r="X86" s="222"/>
      <c r="Y86" s="222"/>
    </row>
    <row r="87" spans="9:25" s="277" customFormat="1">
      <c r="I87" s="222"/>
      <c r="J87" s="222"/>
      <c r="K87" s="222"/>
      <c r="L87" s="222"/>
      <c r="M87" s="222"/>
      <c r="N87" s="222"/>
      <c r="O87" s="222"/>
      <c r="P87" s="222"/>
      <c r="Q87" s="222"/>
      <c r="R87" s="222"/>
      <c r="S87" s="222"/>
      <c r="T87" s="222"/>
      <c r="U87" s="222"/>
      <c r="V87" s="222"/>
      <c r="W87" s="222"/>
      <c r="X87" s="222"/>
      <c r="Y87" s="222"/>
    </row>
    <row r="88" spans="9:25" s="277" customFormat="1">
      <c r="I88" s="222"/>
      <c r="J88" s="222"/>
      <c r="K88" s="222"/>
      <c r="L88" s="222"/>
      <c r="M88" s="222"/>
      <c r="N88" s="222"/>
      <c r="O88" s="222"/>
      <c r="P88" s="222"/>
      <c r="Q88" s="222"/>
      <c r="R88" s="222"/>
      <c r="S88" s="222"/>
      <c r="T88" s="222"/>
      <c r="U88" s="222"/>
      <c r="V88" s="222"/>
      <c r="W88" s="222"/>
      <c r="X88" s="222"/>
      <c r="Y88" s="222"/>
    </row>
    <row r="89" spans="9:25" s="277" customFormat="1">
      <c r="I89" s="222"/>
      <c r="J89" s="222"/>
      <c r="K89" s="222"/>
      <c r="L89" s="222"/>
      <c r="M89" s="222"/>
      <c r="N89" s="222"/>
      <c r="O89" s="222"/>
      <c r="P89" s="222"/>
      <c r="Q89" s="222"/>
      <c r="R89" s="222"/>
      <c r="S89" s="222"/>
      <c r="T89" s="222"/>
      <c r="U89" s="222"/>
      <c r="V89" s="222"/>
      <c r="W89" s="222"/>
      <c r="X89" s="222"/>
      <c r="Y89" s="222"/>
    </row>
    <row r="90" spans="9:25" s="277" customFormat="1">
      <c r="I90" s="222"/>
      <c r="J90" s="222"/>
      <c r="K90" s="222"/>
      <c r="L90" s="222"/>
      <c r="M90" s="222"/>
      <c r="N90" s="222"/>
      <c r="O90" s="222"/>
      <c r="P90" s="222"/>
      <c r="Q90" s="222"/>
      <c r="R90" s="222"/>
      <c r="S90" s="222"/>
      <c r="T90" s="222"/>
      <c r="U90" s="222"/>
      <c r="V90" s="222"/>
      <c r="W90" s="222"/>
      <c r="X90" s="222"/>
      <c r="Y90" s="222"/>
    </row>
    <row r="91" spans="9:25" s="277" customFormat="1">
      <c r="I91" s="222"/>
      <c r="J91" s="222"/>
      <c r="K91" s="222"/>
      <c r="L91" s="222"/>
      <c r="M91" s="222"/>
      <c r="N91" s="222"/>
      <c r="O91" s="222"/>
      <c r="P91" s="222"/>
      <c r="Q91" s="222"/>
      <c r="R91" s="222"/>
      <c r="S91" s="222"/>
      <c r="T91" s="222"/>
      <c r="U91" s="222"/>
      <c r="V91" s="222"/>
      <c r="W91" s="222"/>
      <c r="X91" s="222"/>
      <c r="Y91" s="222"/>
    </row>
    <row r="92" spans="9:25" s="277" customFormat="1">
      <c r="I92" s="222"/>
      <c r="J92" s="222"/>
      <c r="K92" s="222"/>
      <c r="L92" s="222"/>
      <c r="M92" s="222"/>
      <c r="N92" s="222"/>
      <c r="O92" s="222"/>
      <c r="P92" s="222"/>
      <c r="Q92" s="222"/>
      <c r="R92" s="222"/>
      <c r="S92" s="222"/>
      <c r="T92" s="222"/>
      <c r="U92" s="222"/>
      <c r="V92" s="222"/>
      <c r="W92" s="222"/>
      <c r="X92" s="222"/>
      <c r="Y92" s="222"/>
    </row>
    <row r="93" spans="9:25" s="277" customFormat="1">
      <c r="I93" s="222"/>
      <c r="J93" s="222"/>
      <c r="K93" s="222"/>
      <c r="L93" s="222"/>
      <c r="M93" s="222"/>
      <c r="N93" s="222"/>
      <c r="O93" s="222"/>
      <c r="P93" s="222"/>
      <c r="Q93" s="222"/>
      <c r="R93" s="222"/>
      <c r="S93" s="222"/>
      <c r="T93" s="222"/>
      <c r="U93" s="222"/>
      <c r="V93" s="222"/>
      <c r="W93" s="222"/>
      <c r="X93" s="222"/>
      <c r="Y93" s="222"/>
    </row>
    <row r="94" spans="9:25" s="277" customFormat="1">
      <c r="I94" s="222"/>
      <c r="J94" s="222"/>
      <c r="K94" s="222"/>
      <c r="L94" s="222"/>
      <c r="M94" s="222"/>
      <c r="N94" s="222"/>
      <c r="O94" s="222"/>
      <c r="P94" s="222"/>
      <c r="Q94" s="222"/>
      <c r="R94" s="222"/>
      <c r="S94" s="222"/>
      <c r="T94" s="222"/>
      <c r="U94" s="222"/>
      <c r="V94" s="222"/>
      <c r="W94" s="222"/>
      <c r="X94" s="222"/>
      <c r="Y94" s="222"/>
    </row>
    <row r="95" spans="9:25" s="277" customFormat="1">
      <c r="I95" s="222"/>
      <c r="J95" s="222"/>
      <c r="K95" s="222"/>
      <c r="L95" s="222"/>
      <c r="M95" s="222"/>
      <c r="N95" s="222"/>
      <c r="O95" s="222"/>
      <c r="P95" s="222"/>
      <c r="Q95" s="222"/>
      <c r="R95" s="222"/>
      <c r="S95" s="222"/>
      <c r="T95" s="222"/>
      <c r="U95" s="222"/>
      <c r="V95" s="222"/>
      <c r="W95" s="222"/>
      <c r="X95" s="222"/>
      <c r="Y95" s="222"/>
    </row>
    <row r="96" spans="9:25" s="277" customFormat="1">
      <c r="I96" s="222"/>
      <c r="J96" s="222"/>
      <c r="K96" s="222"/>
      <c r="L96" s="222"/>
      <c r="M96" s="222"/>
      <c r="N96" s="222"/>
      <c r="O96" s="222"/>
      <c r="P96" s="222"/>
      <c r="Q96" s="222"/>
      <c r="R96" s="222"/>
      <c r="S96" s="222"/>
      <c r="T96" s="222"/>
      <c r="U96" s="222"/>
      <c r="V96" s="222"/>
      <c r="W96" s="222"/>
      <c r="X96" s="222"/>
      <c r="Y96" s="222"/>
    </row>
    <row r="97" spans="9:25" s="277" customFormat="1">
      <c r="I97" s="222"/>
      <c r="J97" s="222"/>
      <c r="K97" s="222"/>
      <c r="L97" s="222"/>
      <c r="M97" s="222"/>
      <c r="N97" s="222"/>
      <c r="O97" s="222"/>
      <c r="P97" s="222"/>
      <c r="Q97" s="222"/>
      <c r="R97" s="222"/>
      <c r="S97" s="222"/>
      <c r="T97" s="222"/>
      <c r="U97" s="222"/>
      <c r="V97" s="222"/>
      <c r="W97" s="222"/>
      <c r="X97" s="222"/>
      <c r="Y97" s="222"/>
    </row>
    <row r="98" spans="9:25" s="277" customFormat="1">
      <c r="I98" s="222"/>
      <c r="J98" s="222"/>
      <c r="K98" s="222"/>
      <c r="L98" s="222"/>
      <c r="M98" s="222"/>
      <c r="N98" s="222"/>
      <c r="O98" s="222"/>
      <c r="P98" s="222"/>
      <c r="Q98" s="222"/>
      <c r="R98" s="222"/>
      <c r="S98" s="222"/>
      <c r="T98" s="222"/>
      <c r="U98" s="222"/>
      <c r="V98" s="222"/>
      <c r="W98" s="222"/>
      <c r="X98" s="222"/>
      <c r="Y98" s="222"/>
    </row>
    <row r="99" spans="9:25" s="277" customFormat="1">
      <c r="I99" s="222"/>
      <c r="J99" s="222"/>
      <c r="K99" s="222"/>
      <c r="L99" s="222"/>
      <c r="M99" s="222"/>
      <c r="N99" s="222"/>
      <c r="O99" s="222"/>
      <c r="P99" s="222"/>
      <c r="Q99" s="222"/>
      <c r="R99" s="222"/>
      <c r="S99" s="222"/>
      <c r="T99" s="222"/>
      <c r="U99" s="222"/>
      <c r="V99" s="222"/>
      <c r="W99" s="222"/>
      <c r="X99" s="222"/>
      <c r="Y99" s="222"/>
    </row>
    <row r="100" spans="9:25" s="277" customFormat="1">
      <c r="I100" s="222"/>
      <c r="J100" s="222"/>
      <c r="K100" s="222"/>
      <c r="L100" s="222"/>
      <c r="M100" s="222"/>
      <c r="N100" s="222"/>
      <c r="O100" s="222"/>
      <c r="P100" s="222"/>
      <c r="Q100" s="222"/>
      <c r="R100" s="222"/>
      <c r="S100" s="222"/>
      <c r="T100" s="222"/>
      <c r="U100" s="222"/>
      <c r="V100" s="222"/>
      <c r="W100" s="222"/>
      <c r="X100" s="222"/>
      <c r="Y100" s="222"/>
    </row>
    <row r="101" spans="9:25" s="277" customFormat="1">
      <c r="I101" s="222"/>
      <c r="J101" s="222"/>
      <c r="K101" s="222"/>
      <c r="L101" s="222"/>
      <c r="M101" s="222"/>
      <c r="N101" s="222"/>
      <c r="O101" s="222"/>
      <c r="P101" s="222"/>
      <c r="Q101" s="222"/>
      <c r="R101" s="222"/>
      <c r="S101" s="222"/>
      <c r="T101" s="222"/>
      <c r="U101" s="222"/>
      <c r="V101" s="222"/>
      <c r="W101" s="222"/>
      <c r="X101" s="222"/>
      <c r="Y101" s="222"/>
    </row>
    <row r="102" spans="9:25" s="277" customFormat="1">
      <c r="I102" s="222"/>
      <c r="J102" s="222"/>
      <c r="K102" s="222"/>
      <c r="L102" s="222"/>
      <c r="M102" s="222"/>
      <c r="N102" s="222"/>
      <c r="O102" s="222"/>
      <c r="P102" s="222"/>
      <c r="Q102" s="222"/>
      <c r="R102" s="222"/>
      <c r="S102" s="222"/>
      <c r="T102" s="222"/>
      <c r="U102" s="222"/>
      <c r="V102" s="222"/>
      <c r="W102" s="222"/>
      <c r="X102" s="222"/>
      <c r="Y102" s="222"/>
    </row>
    <row r="103" spans="9:25" s="277" customFormat="1">
      <c r="I103" s="222"/>
      <c r="J103" s="222"/>
      <c r="K103" s="222"/>
      <c r="L103" s="222"/>
      <c r="M103" s="222"/>
      <c r="N103" s="222"/>
      <c r="O103" s="222"/>
      <c r="P103" s="222"/>
      <c r="Q103" s="222"/>
      <c r="R103" s="222"/>
      <c r="S103" s="222"/>
      <c r="T103" s="222"/>
      <c r="U103" s="222"/>
      <c r="V103" s="222"/>
      <c r="W103" s="222"/>
      <c r="X103" s="222"/>
      <c r="Y103" s="222"/>
    </row>
    <row r="104" spans="9:25" s="277" customFormat="1">
      <c r="I104" s="222"/>
      <c r="J104" s="222"/>
      <c r="K104" s="222"/>
      <c r="L104" s="222"/>
      <c r="M104" s="222"/>
      <c r="N104" s="222"/>
      <c r="O104" s="222"/>
      <c r="P104" s="222"/>
      <c r="Q104" s="222"/>
      <c r="R104" s="222"/>
      <c r="S104" s="222"/>
      <c r="T104" s="222"/>
      <c r="U104" s="222"/>
      <c r="V104" s="222"/>
      <c r="W104" s="222"/>
      <c r="X104" s="222"/>
      <c r="Y104" s="222"/>
    </row>
    <row r="105" spans="9:25" s="277" customFormat="1">
      <c r="I105" s="222"/>
      <c r="J105" s="222"/>
      <c r="K105" s="222"/>
      <c r="L105" s="222"/>
      <c r="M105" s="222"/>
      <c r="N105" s="222"/>
      <c r="O105" s="222"/>
      <c r="P105" s="222"/>
      <c r="Q105" s="222"/>
      <c r="R105" s="222"/>
      <c r="S105" s="222"/>
      <c r="T105" s="222"/>
      <c r="U105" s="222"/>
      <c r="V105" s="222"/>
      <c r="W105" s="222"/>
      <c r="X105" s="222"/>
      <c r="Y105" s="222"/>
    </row>
    <row r="106" spans="9:25" s="277" customFormat="1">
      <c r="I106" s="222"/>
      <c r="J106" s="222"/>
      <c r="K106" s="222"/>
      <c r="L106" s="222"/>
      <c r="M106" s="222"/>
      <c r="N106" s="222"/>
      <c r="O106" s="222"/>
      <c r="P106" s="222"/>
      <c r="Q106" s="222"/>
      <c r="R106" s="222"/>
      <c r="S106" s="222"/>
      <c r="T106" s="222"/>
      <c r="U106" s="222"/>
      <c r="V106" s="222"/>
      <c r="W106" s="222"/>
      <c r="X106" s="222"/>
      <c r="Y106" s="222"/>
    </row>
    <row r="107" spans="9:25" s="277" customFormat="1">
      <c r="I107" s="222"/>
      <c r="J107" s="222"/>
      <c r="K107" s="222"/>
      <c r="L107" s="222"/>
      <c r="M107" s="222"/>
      <c r="N107" s="222"/>
      <c r="O107" s="222"/>
      <c r="P107" s="222"/>
      <c r="Q107" s="222"/>
      <c r="R107" s="222"/>
      <c r="S107" s="222"/>
      <c r="T107" s="222"/>
      <c r="U107" s="222"/>
      <c r="V107" s="222"/>
      <c r="W107" s="222"/>
      <c r="X107" s="222"/>
      <c r="Y107" s="222"/>
    </row>
    <row r="108" spans="9:25" s="277" customFormat="1">
      <c r="I108" s="222"/>
      <c r="J108" s="222"/>
      <c r="K108" s="222"/>
      <c r="L108" s="222"/>
      <c r="M108" s="222"/>
      <c r="N108" s="222"/>
      <c r="O108" s="222"/>
      <c r="P108" s="222"/>
      <c r="Q108" s="222"/>
      <c r="R108" s="222"/>
      <c r="S108" s="222"/>
      <c r="T108" s="222"/>
      <c r="U108" s="222"/>
      <c r="V108" s="222"/>
      <c r="W108" s="222"/>
      <c r="X108" s="222"/>
      <c r="Y108" s="222"/>
    </row>
    <row r="109" spans="9:25" s="277" customFormat="1">
      <c r="I109" s="222"/>
      <c r="J109" s="222"/>
      <c r="K109" s="222"/>
      <c r="L109" s="222"/>
      <c r="M109" s="222"/>
      <c r="N109" s="222"/>
      <c r="O109" s="222"/>
      <c r="P109" s="222"/>
      <c r="Q109" s="222"/>
      <c r="R109" s="222"/>
      <c r="S109" s="222"/>
      <c r="T109" s="222"/>
      <c r="U109" s="222"/>
      <c r="V109" s="222"/>
      <c r="W109" s="222"/>
      <c r="X109" s="222"/>
      <c r="Y109" s="222"/>
    </row>
    <row r="110" spans="9:25" s="277" customFormat="1">
      <c r="I110" s="222"/>
      <c r="J110" s="222"/>
      <c r="K110" s="222"/>
      <c r="L110" s="222"/>
      <c r="M110" s="222"/>
      <c r="N110" s="222"/>
      <c r="O110" s="222"/>
      <c r="P110" s="222"/>
      <c r="Q110" s="222"/>
      <c r="R110" s="222"/>
      <c r="S110" s="222"/>
      <c r="T110" s="222"/>
      <c r="U110" s="222"/>
      <c r="V110" s="222"/>
      <c r="W110" s="222"/>
      <c r="X110" s="222"/>
      <c r="Y110" s="222"/>
    </row>
    <row r="111" spans="9:25" s="277" customFormat="1">
      <c r="I111" s="222"/>
      <c r="J111" s="222"/>
      <c r="K111" s="222"/>
      <c r="L111" s="222"/>
      <c r="M111" s="222"/>
      <c r="N111" s="222"/>
      <c r="O111" s="222"/>
      <c r="P111" s="222"/>
      <c r="Q111" s="222"/>
      <c r="R111" s="222"/>
      <c r="S111" s="222"/>
      <c r="T111" s="222"/>
      <c r="U111" s="222"/>
      <c r="V111" s="222"/>
      <c r="W111" s="222"/>
      <c r="X111" s="222"/>
      <c r="Y111" s="222"/>
    </row>
    <row r="112" spans="9:25" s="277" customFormat="1">
      <c r="I112" s="222"/>
      <c r="J112" s="222"/>
      <c r="K112" s="222"/>
      <c r="L112" s="222"/>
      <c r="M112" s="222"/>
      <c r="N112" s="222"/>
      <c r="O112" s="222"/>
      <c r="P112" s="222"/>
      <c r="Q112" s="222"/>
      <c r="R112" s="222"/>
      <c r="S112" s="222"/>
      <c r="T112" s="222"/>
      <c r="U112" s="222"/>
      <c r="V112" s="222"/>
      <c r="W112" s="222"/>
      <c r="X112" s="222"/>
      <c r="Y112" s="222"/>
    </row>
    <row r="113" spans="9:25" s="277" customFormat="1">
      <c r="I113" s="222"/>
      <c r="J113" s="222"/>
      <c r="K113" s="222"/>
      <c r="L113" s="222"/>
      <c r="M113" s="222"/>
      <c r="N113" s="222"/>
      <c r="O113" s="222"/>
      <c r="P113" s="222"/>
      <c r="Q113" s="222"/>
      <c r="R113" s="222"/>
      <c r="S113" s="222"/>
      <c r="T113" s="222"/>
      <c r="U113" s="222"/>
      <c r="V113" s="222"/>
      <c r="W113" s="222"/>
      <c r="X113" s="222"/>
      <c r="Y113" s="222"/>
    </row>
    <row r="114" spans="9:25" s="277" customFormat="1">
      <c r="I114" s="222"/>
      <c r="J114" s="222"/>
      <c r="K114" s="222"/>
      <c r="L114" s="222"/>
      <c r="M114" s="222"/>
      <c r="N114" s="222"/>
      <c r="O114" s="222"/>
      <c r="P114" s="222"/>
      <c r="Q114" s="222"/>
      <c r="R114" s="222"/>
      <c r="S114" s="222"/>
      <c r="T114" s="222"/>
      <c r="U114" s="222"/>
      <c r="V114" s="222"/>
      <c r="W114" s="222"/>
      <c r="X114" s="222"/>
      <c r="Y114" s="222"/>
    </row>
    <row r="115" spans="9:25" s="277" customFormat="1">
      <c r="I115" s="222"/>
      <c r="J115" s="222"/>
      <c r="K115" s="222"/>
      <c r="L115" s="222"/>
      <c r="M115" s="222"/>
      <c r="N115" s="222"/>
      <c r="O115" s="222"/>
      <c r="P115" s="222"/>
      <c r="Q115" s="222"/>
      <c r="R115" s="222"/>
      <c r="S115" s="222"/>
      <c r="T115" s="222"/>
      <c r="U115" s="222"/>
      <c r="V115" s="222"/>
      <c r="W115" s="222"/>
      <c r="X115" s="222"/>
      <c r="Y115" s="222"/>
    </row>
    <row r="116" spans="9:25" s="277" customFormat="1">
      <c r="I116" s="222"/>
      <c r="J116" s="222"/>
      <c r="K116" s="222"/>
      <c r="L116" s="222"/>
      <c r="M116" s="222"/>
      <c r="N116" s="222"/>
      <c r="O116" s="222"/>
      <c r="P116" s="222"/>
      <c r="Q116" s="222"/>
      <c r="R116" s="222"/>
      <c r="S116" s="222"/>
      <c r="T116" s="222"/>
      <c r="U116" s="222"/>
      <c r="V116" s="222"/>
      <c r="W116" s="222"/>
      <c r="X116" s="222"/>
      <c r="Y116" s="222"/>
    </row>
    <row r="117" spans="9:25" s="277" customFormat="1">
      <c r="I117" s="222"/>
      <c r="J117" s="222"/>
      <c r="K117" s="222"/>
      <c r="L117" s="222"/>
      <c r="M117" s="222"/>
      <c r="N117" s="222"/>
      <c r="O117" s="222"/>
      <c r="P117" s="222"/>
      <c r="Q117" s="222"/>
      <c r="R117" s="222"/>
      <c r="S117" s="222"/>
      <c r="T117" s="222"/>
      <c r="U117" s="222"/>
      <c r="V117" s="222"/>
      <c r="W117" s="222"/>
      <c r="X117" s="222"/>
      <c r="Y117" s="222"/>
    </row>
    <row r="118" spans="9:25" s="277" customFormat="1">
      <c r="I118" s="222"/>
      <c r="J118" s="222"/>
      <c r="K118" s="222"/>
      <c r="L118" s="222"/>
      <c r="M118" s="222"/>
      <c r="N118" s="222"/>
      <c r="O118" s="222"/>
      <c r="P118" s="222"/>
      <c r="Q118" s="222"/>
      <c r="R118" s="222"/>
      <c r="S118" s="222"/>
      <c r="T118" s="222"/>
      <c r="U118" s="222"/>
      <c r="V118" s="222"/>
      <c r="W118" s="222"/>
      <c r="X118" s="222"/>
      <c r="Y118" s="222"/>
    </row>
    <row r="119" spans="9:25" s="277" customFormat="1">
      <c r="I119" s="222"/>
      <c r="J119" s="222"/>
      <c r="K119" s="222"/>
      <c r="L119" s="222"/>
      <c r="M119" s="222"/>
      <c r="N119" s="222"/>
      <c r="O119" s="222"/>
      <c r="P119" s="222"/>
      <c r="Q119" s="222"/>
      <c r="R119" s="222"/>
      <c r="S119" s="222"/>
      <c r="T119" s="222"/>
      <c r="U119" s="222"/>
      <c r="V119" s="222"/>
      <c r="W119" s="222"/>
      <c r="X119" s="222"/>
      <c r="Y119" s="222"/>
    </row>
    <row r="120" spans="9:25" s="277" customFormat="1">
      <c r="I120" s="222"/>
      <c r="J120" s="222"/>
      <c r="K120" s="222"/>
      <c r="L120" s="222"/>
      <c r="M120" s="222"/>
      <c r="N120" s="222"/>
      <c r="O120" s="222"/>
      <c r="P120" s="222"/>
      <c r="Q120" s="222"/>
      <c r="R120" s="222"/>
      <c r="S120" s="222"/>
      <c r="T120" s="222"/>
      <c r="U120" s="222"/>
      <c r="V120" s="222"/>
      <c r="W120" s="222"/>
      <c r="X120" s="222"/>
      <c r="Y120" s="222"/>
    </row>
    <row r="121" spans="9:25" s="277" customFormat="1">
      <c r="I121" s="222"/>
      <c r="J121" s="222"/>
      <c r="K121" s="222"/>
      <c r="L121" s="222"/>
      <c r="M121" s="222"/>
      <c r="N121" s="222"/>
      <c r="O121" s="222"/>
      <c r="P121" s="222"/>
      <c r="Q121" s="222"/>
      <c r="R121" s="222"/>
      <c r="S121" s="222"/>
      <c r="T121" s="222"/>
      <c r="U121" s="222"/>
      <c r="V121" s="222"/>
      <c r="W121" s="222"/>
      <c r="X121" s="222"/>
      <c r="Y121" s="222"/>
    </row>
    <row r="122" spans="9:25" s="277" customFormat="1">
      <c r="I122" s="222"/>
      <c r="J122" s="222"/>
      <c r="K122" s="222"/>
      <c r="L122" s="222"/>
      <c r="M122" s="222"/>
      <c r="N122" s="222"/>
      <c r="O122" s="222"/>
      <c r="P122" s="222"/>
      <c r="Q122" s="222"/>
      <c r="R122" s="222"/>
      <c r="S122" s="222"/>
      <c r="T122" s="222"/>
      <c r="U122" s="222"/>
      <c r="V122" s="222"/>
      <c r="W122" s="222"/>
      <c r="X122" s="222"/>
      <c r="Y122" s="222"/>
    </row>
    <row r="123" spans="9:25" s="277" customFormat="1">
      <c r="I123" s="222"/>
      <c r="J123" s="222"/>
      <c r="K123" s="222"/>
      <c r="L123" s="222"/>
      <c r="M123" s="222"/>
      <c r="N123" s="222"/>
      <c r="O123" s="222"/>
      <c r="P123" s="222"/>
      <c r="Q123" s="222"/>
      <c r="R123" s="222"/>
      <c r="S123" s="222"/>
      <c r="T123" s="222"/>
      <c r="U123" s="222"/>
      <c r="V123" s="222"/>
      <c r="W123" s="222"/>
      <c r="X123" s="222"/>
      <c r="Y123" s="222"/>
    </row>
    <row r="124" spans="9:25" s="277" customFormat="1">
      <c r="I124" s="222"/>
      <c r="J124" s="222"/>
      <c r="K124" s="222"/>
      <c r="L124" s="222"/>
      <c r="M124" s="222"/>
      <c r="N124" s="222"/>
      <c r="O124" s="222"/>
      <c r="P124" s="222"/>
      <c r="Q124" s="222"/>
      <c r="R124" s="222"/>
      <c r="S124" s="222"/>
      <c r="T124" s="222"/>
      <c r="U124" s="222"/>
      <c r="V124" s="222"/>
      <c r="W124" s="222"/>
      <c r="X124" s="222"/>
      <c r="Y124" s="222"/>
    </row>
    <row r="125" spans="9:25" s="277" customFormat="1">
      <c r="I125" s="222"/>
      <c r="J125" s="222"/>
      <c r="K125" s="222"/>
      <c r="L125" s="222"/>
      <c r="M125" s="222"/>
      <c r="N125" s="222"/>
      <c r="O125" s="222"/>
      <c r="P125" s="222"/>
      <c r="Q125" s="222"/>
      <c r="R125" s="222"/>
      <c r="S125" s="222"/>
      <c r="T125" s="222"/>
      <c r="U125" s="222"/>
      <c r="V125" s="222"/>
      <c r="W125" s="222"/>
      <c r="X125" s="222"/>
      <c r="Y125" s="222"/>
    </row>
    <row r="126" spans="9:25" s="277" customFormat="1">
      <c r="I126" s="222"/>
      <c r="J126" s="222"/>
      <c r="K126" s="222"/>
      <c r="L126" s="222"/>
      <c r="M126" s="222"/>
      <c r="N126" s="222"/>
      <c r="O126" s="222"/>
      <c r="P126" s="222"/>
      <c r="Q126" s="222"/>
      <c r="R126" s="222"/>
      <c r="S126" s="222"/>
      <c r="T126" s="222"/>
      <c r="U126" s="222"/>
      <c r="V126" s="222"/>
      <c r="W126" s="222"/>
      <c r="X126" s="222"/>
      <c r="Y126" s="222"/>
    </row>
    <row r="127" spans="9:25" s="277" customFormat="1">
      <c r="I127" s="222"/>
      <c r="J127" s="222"/>
      <c r="K127" s="222"/>
      <c r="L127" s="222"/>
      <c r="M127" s="222"/>
      <c r="N127" s="222"/>
      <c r="O127" s="222"/>
      <c r="P127" s="222"/>
      <c r="Q127" s="222"/>
      <c r="R127" s="222"/>
      <c r="S127" s="222"/>
      <c r="T127" s="222"/>
      <c r="U127" s="222"/>
      <c r="V127" s="222"/>
      <c r="W127" s="222"/>
      <c r="X127" s="222"/>
      <c r="Y127" s="222"/>
    </row>
    <row r="128" spans="9:25" s="277" customFormat="1">
      <c r="I128" s="222"/>
      <c r="J128" s="222"/>
      <c r="K128" s="222"/>
      <c r="L128" s="222"/>
      <c r="M128" s="222"/>
      <c r="N128" s="222"/>
      <c r="O128" s="222"/>
      <c r="P128" s="222"/>
      <c r="Q128" s="222"/>
      <c r="R128" s="222"/>
      <c r="S128" s="222"/>
      <c r="T128" s="222"/>
      <c r="U128" s="222"/>
      <c r="V128" s="222"/>
      <c r="W128" s="222"/>
      <c r="X128" s="222"/>
      <c r="Y128" s="222"/>
    </row>
    <row r="129" spans="9:25" s="277" customFormat="1">
      <c r="I129" s="222"/>
      <c r="J129" s="222"/>
      <c r="K129" s="222"/>
      <c r="L129" s="222"/>
      <c r="M129" s="222"/>
      <c r="N129" s="222"/>
      <c r="O129" s="222"/>
      <c r="P129" s="222"/>
      <c r="Q129" s="222"/>
      <c r="R129" s="222"/>
      <c r="S129" s="222"/>
      <c r="T129" s="222"/>
      <c r="U129" s="222"/>
      <c r="V129" s="222"/>
      <c r="W129" s="222"/>
      <c r="X129" s="222"/>
      <c r="Y129" s="222"/>
    </row>
    <row r="130" spans="9:25" s="277" customFormat="1">
      <c r="I130" s="222"/>
      <c r="J130" s="222"/>
      <c r="K130" s="222"/>
      <c r="L130" s="222"/>
      <c r="M130" s="222"/>
      <c r="N130" s="222"/>
      <c r="O130" s="222"/>
      <c r="P130" s="222"/>
      <c r="Q130" s="222"/>
      <c r="R130" s="222"/>
      <c r="S130" s="222"/>
      <c r="T130" s="222"/>
      <c r="U130" s="222"/>
      <c r="V130" s="222"/>
      <c r="W130" s="222"/>
      <c r="X130" s="222"/>
      <c r="Y130" s="222"/>
    </row>
    <row r="131" spans="9:25" s="277" customFormat="1">
      <c r="I131" s="222"/>
      <c r="J131" s="222"/>
      <c r="K131" s="222"/>
      <c r="L131" s="222"/>
      <c r="M131" s="222"/>
      <c r="N131" s="222"/>
      <c r="O131" s="222"/>
      <c r="P131" s="222"/>
      <c r="Q131" s="222"/>
      <c r="R131" s="222"/>
      <c r="S131" s="222"/>
      <c r="T131" s="222"/>
      <c r="U131" s="222"/>
      <c r="V131" s="222"/>
      <c r="W131" s="222"/>
      <c r="X131" s="222"/>
      <c r="Y131" s="222"/>
    </row>
    <row r="132" spans="9:25" s="277" customFormat="1">
      <c r="I132" s="222"/>
      <c r="J132" s="222"/>
      <c r="K132" s="222"/>
      <c r="L132" s="222"/>
      <c r="M132" s="222"/>
      <c r="N132" s="222"/>
      <c r="O132" s="222"/>
      <c r="P132" s="222"/>
      <c r="Q132" s="222"/>
      <c r="R132" s="222"/>
      <c r="S132" s="222"/>
      <c r="T132" s="222"/>
      <c r="U132" s="222"/>
      <c r="V132" s="222"/>
      <c r="W132" s="222"/>
      <c r="X132" s="222"/>
      <c r="Y132" s="222"/>
    </row>
    <row r="133" spans="9:25" s="277" customFormat="1">
      <c r="I133" s="222"/>
      <c r="J133" s="222"/>
      <c r="K133" s="222"/>
      <c r="L133" s="222"/>
      <c r="M133" s="222"/>
      <c r="N133" s="222"/>
      <c r="O133" s="222"/>
      <c r="P133" s="222"/>
      <c r="Q133" s="222"/>
      <c r="R133" s="222"/>
      <c r="S133" s="222"/>
      <c r="T133" s="222"/>
      <c r="U133" s="222"/>
      <c r="V133" s="222"/>
      <c r="W133" s="222"/>
      <c r="X133" s="222"/>
      <c r="Y133" s="222"/>
    </row>
    <row r="134" spans="9:25" s="277" customFormat="1">
      <c r="I134" s="222"/>
      <c r="J134" s="222"/>
      <c r="K134" s="222"/>
      <c r="L134" s="222"/>
      <c r="M134" s="222"/>
      <c r="N134" s="222"/>
      <c r="O134" s="222"/>
      <c r="P134" s="222"/>
      <c r="Q134" s="222"/>
      <c r="R134" s="222"/>
      <c r="S134" s="222"/>
      <c r="T134" s="222"/>
      <c r="U134" s="222"/>
      <c r="V134" s="222"/>
      <c r="W134" s="222"/>
      <c r="X134" s="222"/>
      <c r="Y134" s="222"/>
    </row>
    <row r="135" spans="9:25" s="277" customFormat="1">
      <c r="I135" s="222"/>
      <c r="J135" s="222"/>
      <c r="K135" s="222"/>
      <c r="L135" s="222"/>
      <c r="M135" s="222"/>
      <c r="N135" s="222"/>
      <c r="O135" s="222"/>
      <c r="P135" s="222"/>
      <c r="Q135" s="222"/>
      <c r="R135" s="222"/>
      <c r="S135" s="222"/>
      <c r="T135" s="222"/>
      <c r="U135" s="222"/>
      <c r="V135" s="222"/>
      <c r="W135" s="222"/>
      <c r="X135" s="222"/>
      <c r="Y135" s="222"/>
    </row>
    <row r="136" spans="9:25" s="277" customFormat="1">
      <c r="I136" s="222"/>
      <c r="J136" s="222"/>
      <c r="K136" s="222"/>
      <c r="L136" s="222"/>
      <c r="M136" s="222"/>
      <c r="N136" s="222"/>
      <c r="O136" s="222"/>
      <c r="P136" s="222"/>
      <c r="Q136" s="222"/>
      <c r="R136" s="222"/>
      <c r="S136" s="222"/>
      <c r="T136" s="222"/>
      <c r="U136" s="222"/>
      <c r="V136" s="222"/>
      <c r="W136" s="222"/>
      <c r="X136" s="222"/>
      <c r="Y136" s="222"/>
    </row>
    <row r="137" spans="9:25" s="277" customFormat="1">
      <c r="I137" s="222"/>
      <c r="J137" s="222"/>
      <c r="K137" s="222"/>
      <c r="L137" s="222"/>
      <c r="M137" s="222"/>
      <c r="N137" s="222"/>
      <c r="O137" s="222"/>
      <c r="P137" s="222"/>
      <c r="Q137" s="222"/>
      <c r="R137" s="222"/>
      <c r="S137" s="222"/>
      <c r="T137" s="222"/>
      <c r="U137" s="222"/>
      <c r="V137" s="222"/>
      <c r="W137" s="222"/>
      <c r="X137" s="222"/>
      <c r="Y137" s="222"/>
    </row>
    <row r="138" spans="9:25" s="277" customFormat="1">
      <c r="I138" s="222"/>
      <c r="J138" s="222"/>
      <c r="K138" s="222"/>
      <c r="L138" s="222"/>
      <c r="M138" s="222"/>
      <c r="N138" s="222"/>
      <c r="O138" s="222"/>
      <c r="P138" s="222"/>
      <c r="Q138" s="222"/>
      <c r="R138" s="222"/>
      <c r="S138" s="222"/>
      <c r="T138" s="222"/>
      <c r="U138" s="222"/>
      <c r="V138" s="222"/>
      <c r="W138" s="222"/>
      <c r="X138" s="222"/>
      <c r="Y138" s="222"/>
    </row>
    <row r="139" spans="9:25" s="277" customFormat="1">
      <c r="I139" s="222"/>
      <c r="J139" s="222"/>
      <c r="K139" s="222"/>
      <c r="L139" s="222"/>
      <c r="M139" s="222"/>
      <c r="N139" s="222"/>
      <c r="O139" s="222"/>
      <c r="P139" s="222"/>
      <c r="Q139" s="222"/>
      <c r="R139" s="222"/>
      <c r="S139" s="222"/>
      <c r="T139" s="222"/>
      <c r="U139" s="222"/>
      <c r="V139" s="222"/>
      <c r="W139" s="222"/>
      <c r="X139" s="222"/>
      <c r="Y139" s="222"/>
    </row>
    <row r="140" spans="9:25" s="277" customFormat="1">
      <c r="I140" s="222"/>
      <c r="J140" s="222"/>
      <c r="K140" s="222"/>
      <c r="L140" s="222"/>
      <c r="M140" s="222"/>
      <c r="N140" s="222"/>
      <c r="O140" s="222"/>
      <c r="P140" s="222"/>
      <c r="Q140" s="222"/>
      <c r="R140" s="222"/>
      <c r="S140" s="222"/>
      <c r="T140" s="222"/>
      <c r="U140" s="222"/>
      <c r="V140" s="222"/>
      <c r="W140" s="222"/>
      <c r="X140" s="222"/>
      <c r="Y140" s="222"/>
    </row>
    <row r="141" spans="9:25" s="277" customFormat="1">
      <c r="I141" s="222"/>
      <c r="J141" s="222"/>
      <c r="K141" s="222"/>
      <c r="L141" s="222"/>
      <c r="M141" s="222"/>
      <c r="N141" s="222"/>
      <c r="O141" s="222"/>
      <c r="P141" s="222"/>
      <c r="Q141" s="222"/>
      <c r="R141" s="222"/>
      <c r="S141" s="222"/>
      <c r="T141" s="222"/>
      <c r="U141" s="222"/>
      <c r="V141" s="222"/>
      <c r="W141" s="222"/>
      <c r="X141" s="222"/>
      <c r="Y141" s="222"/>
    </row>
    <row r="142" spans="9:25" s="277" customFormat="1">
      <c r="I142" s="222"/>
      <c r="J142" s="222"/>
      <c r="K142" s="222"/>
      <c r="L142" s="222"/>
      <c r="M142" s="222"/>
      <c r="N142" s="222"/>
      <c r="O142" s="222"/>
      <c r="P142" s="222"/>
      <c r="Q142" s="222"/>
      <c r="R142" s="222"/>
      <c r="S142" s="222"/>
      <c r="T142" s="222"/>
      <c r="U142" s="222"/>
      <c r="V142" s="222"/>
      <c r="W142" s="222"/>
      <c r="X142" s="222"/>
      <c r="Y142" s="222"/>
    </row>
    <row r="143" spans="9:25" s="277" customFormat="1">
      <c r="I143" s="222"/>
      <c r="J143" s="222"/>
      <c r="K143" s="222"/>
      <c r="L143" s="222"/>
      <c r="M143" s="222"/>
      <c r="N143" s="222"/>
      <c r="O143" s="222"/>
      <c r="P143" s="222"/>
      <c r="Q143" s="222"/>
      <c r="R143" s="222"/>
      <c r="S143" s="222"/>
      <c r="T143" s="222"/>
      <c r="U143" s="222"/>
      <c r="V143" s="222"/>
      <c r="W143" s="222"/>
      <c r="X143" s="222"/>
      <c r="Y143" s="222"/>
    </row>
    <row r="144" spans="9:25" s="277" customFormat="1">
      <c r="I144" s="222"/>
      <c r="J144" s="222"/>
      <c r="K144" s="222"/>
      <c r="L144" s="222"/>
      <c r="M144" s="222"/>
      <c r="N144" s="222"/>
      <c r="O144" s="222"/>
      <c r="P144" s="222"/>
      <c r="Q144" s="222"/>
      <c r="R144" s="222"/>
      <c r="S144" s="222"/>
      <c r="T144" s="222"/>
      <c r="U144" s="222"/>
      <c r="V144" s="222"/>
      <c r="W144" s="222"/>
      <c r="X144" s="222"/>
      <c r="Y144" s="222"/>
    </row>
    <row r="145" spans="9:25" s="277" customFormat="1">
      <c r="I145" s="222"/>
      <c r="J145" s="222"/>
      <c r="K145" s="222"/>
      <c r="L145" s="222"/>
      <c r="M145" s="222"/>
      <c r="N145" s="222"/>
      <c r="O145" s="222"/>
      <c r="P145" s="222"/>
      <c r="Q145" s="222"/>
      <c r="R145" s="222"/>
      <c r="S145" s="222"/>
      <c r="T145" s="222"/>
      <c r="U145" s="222"/>
      <c r="V145" s="222"/>
      <c r="W145" s="222"/>
      <c r="X145" s="222"/>
      <c r="Y145" s="222"/>
    </row>
    <row r="146" spans="9:25" s="277" customFormat="1">
      <c r="I146" s="222"/>
      <c r="J146" s="222"/>
      <c r="K146" s="222"/>
      <c r="L146" s="222"/>
      <c r="M146" s="222"/>
      <c r="N146" s="222"/>
      <c r="O146" s="222"/>
      <c r="P146" s="222"/>
      <c r="Q146" s="222"/>
      <c r="R146" s="222"/>
      <c r="S146" s="222"/>
      <c r="T146" s="222"/>
      <c r="U146" s="222"/>
      <c r="V146" s="222"/>
      <c r="W146" s="222"/>
      <c r="X146" s="222"/>
      <c r="Y146" s="222"/>
    </row>
    <row r="147" spans="9:25" s="277" customFormat="1">
      <c r="I147" s="222"/>
      <c r="J147" s="222"/>
      <c r="K147" s="222"/>
      <c r="L147" s="222"/>
      <c r="M147" s="222"/>
      <c r="N147" s="222"/>
      <c r="O147" s="222"/>
      <c r="P147" s="222"/>
      <c r="Q147" s="222"/>
      <c r="R147" s="222"/>
      <c r="S147" s="222"/>
      <c r="T147" s="222"/>
      <c r="U147" s="222"/>
      <c r="V147" s="222"/>
      <c r="W147" s="222"/>
      <c r="X147" s="222"/>
      <c r="Y147" s="222"/>
    </row>
    <row r="148" spans="9:25" s="277" customFormat="1">
      <c r="I148" s="222"/>
      <c r="J148" s="222"/>
      <c r="K148" s="222"/>
      <c r="L148" s="222"/>
      <c r="M148" s="222"/>
      <c r="N148" s="222"/>
      <c r="O148" s="222"/>
      <c r="P148" s="222"/>
      <c r="Q148" s="222"/>
      <c r="R148" s="222"/>
      <c r="S148" s="222"/>
      <c r="T148" s="222"/>
      <c r="U148" s="222"/>
      <c r="V148" s="222"/>
      <c r="W148" s="222"/>
      <c r="X148" s="222"/>
      <c r="Y148" s="222"/>
    </row>
    <row r="149" spans="9:25" s="277" customFormat="1">
      <c r="I149" s="222"/>
      <c r="J149" s="222"/>
      <c r="K149" s="222"/>
      <c r="L149" s="222"/>
      <c r="M149" s="222"/>
      <c r="N149" s="222"/>
      <c r="O149" s="222"/>
      <c r="P149" s="222"/>
      <c r="Q149" s="222"/>
      <c r="R149" s="222"/>
      <c r="S149" s="222"/>
      <c r="T149" s="222"/>
      <c r="U149" s="222"/>
      <c r="V149" s="222"/>
      <c r="W149" s="222"/>
      <c r="X149" s="222"/>
      <c r="Y149" s="222"/>
    </row>
    <row r="150" spans="9:25" s="277" customFormat="1">
      <c r="I150" s="222"/>
      <c r="J150" s="222"/>
      <c r="K150" s="222"/>
      <c r="L150" s="222"/>
      <c r="M150" s="222"/>
      <c r="N150" s="222"/>
      <c r="O150" s="222"/>
      <c r="P150" s="222"/>
      <c r="Q150" s="222"/>
      <c r="R150" s="222"/>
      <c r="S150" s="222"/>
      <c r="T150" s="222"/>
      <c r="U150" s="222"/>
      <c r="V150" s="222"/>
      <c r="W150" s="222"/>
      <c r="X150" s="222"/>
      <c r="Y150" s="222"/>
    </row>
    <row r="151" spans="9:25" s="277" customFormat="1">
      <c r="I151" s="222"/>
      <c r="J151" s="222"/>
      <c r="K151" s="222"/>
      <c r="L151" s="222"/>
      <c r="M151" s="222"/>
      <c r="N151" s="222"/>
      <c r="O151" s="222"/>
      <c r="P151" s="222"/>
      <c r="Q151" s="222"/>
      <c r="R151" s="222"/>
      <c r="S151" s="222"/>
      <c r="T151" s="222"/>
      <c r="U151" s="222"/>
      <c r="V151" s="222"/>
      <c r="W151" s="222"/>
      <c r="X151" s="222"/>
      <c r="Y151" s="222"/>
    </row>
    <row r="152" spans="9:25" s="277" customFormat="1">
      <c r="I152" s="222"/>
      <c r="J152" s="222"/>
      <c r="K152" s="222"/>
      <c r="L152" s="222"/>
      <c r="M152" s="222"/>
      <c r="N152" s="222"/>
      <c r="O152" s="222"/>
      <c r="P152" s="222"/>
      <c r="Q152" s="222"/>
      <c r="R152" s="222"/>
      <c r="S152" s="222"/>
      <c r="T152" s="222"/>
      <c r="U152" s="222"/>
      <c r="V152" s="222"/>
      <c r="W152" s="222"/>
      <c r="X152" s="222"/>
      <c r="Y152" s="222"/>
    </row>
    <row r="153" spans="9:25" s="277" customFormat="1">
      <c r="I153" s="222"/>
      <c r="J153" s="222"/>
      <c r="K153" s="222"/>
      <c r="L153" s="222"/>
      <c r="M153" s="222"/>
      <c r="N153" s="222"/>
      <c r="O153" s="222"/>
      <c r="P153" s="222"/>
      <c r="Q153" s="222"/>
      <c r="R153" s="222"/>
      <c r="S153" s="222"/>
      <c r="T153" s="222"/>
      <c r="U153" s="222"/>
      <c r="V153" s="222"/>
      <c r="W153" s="222"/>
      <c r="X153" s="222"/>
      <c r="Y153" s="222"/>
    </row>
    <row r="154" spans="9:25" s="277" customFormat="1">
      <c r="I154" s="222"/>
      <c r="J154" s="222"/>
      <c r="K154" s="222"/>
      <c r="L154" s="222"/>
      <c r="M154" s="222"/>
      <c r="N154" s="222"/>
      <c r="O154" s="222"/>
      <c r="P154" s="222"/>
      <c r="Q154" s="222"/>
      <c r="R154" s="222"/>
      <c r="S154" s="222"/>
      <c r="T154" s="222"/>
      <c r="U154" s="222"/>
      <c r="V154" s="222"/>
      <c r="W154" s="222"/>
      <c r="X154" s="222"/>
      <c r="Y154" s="222"/>
    </row>
    <row r="155" spans="9:25" s="277" customFormat="1">
      <c r="I155" s="222"/>
      <c r="J155" s="222"/>
      <c r="K155" s="222"/>
      <c r="L155" s="222"/>
      <c r="M155" s="222"/>
      <c r="N155" s="222"/>
      <c r="O155" s="222"/>
      <c r="P155" s="222"/>
      <c r="Q155" s="222"/>
      <c r="R155" s="222"/>
      <c r="S155" s="222"/>
      <c r="T155" s="222"/>
      <c r="U155" s="222"/>
      <c r="V155" s="222"/>
      <c r="W155" s="222"/>
      <c r="X155" s="222"/>
      <c r="Y155" s="222"/>
    </row>
    <row r="156" spans="9:25" s="277" customFormat="1">
      <c r="I156" s="222"/>
      <c r="J156" s="222"/>
      <c r="K156" s="222"/>
      <c r="L156" s="222"/>
      <c r="M156" s="222"/>
      <c r="N156" s="222"/>
      <c r="O156" s="222"/>
      <c r="P156" s="222"/>
      <c r="Q156" s="222"/>
      <c r="R156" s="222"/>
      <c r="S156" s="222"/>
      <c r="T156" s="222"/>
      <c r="U156" s="222"/>
      <c r="V156" s="222"/>
      <c r="W156" s="222"/>
      <c r="X156" s="222"/>
      <c r="Y156" s="222"/>
    </row>
    <row r="157" spans="9:25" s="277" customFormat="1">
      <c r="I157" s="222"/>
      <c r="J157" s="222"/>
      <c r="K157" s="222"/>
      <c r="L157" s="222"/>
      <c r="M157" s="222"/>
      <c r="N157" s="222"/>
      <c r="O157" s="222"/>
      <c r="P157" s="222"/>
      <c r="Q157" s="222"/>
      <c r="R157" s="222"/>
      <c r="S157" s="222"/>
      <c r="T157" s="222"/>
      <c r="U157" s="222"/>
      <c r="V157" s="222"/>
      <c r="W157" s="222"/>
      <c r="X157" s="222"/>
      <c r="Y157" s="222"/>
    </row>
    <row r="158" spans="9:25" s="277" customFormat="1">
      <c r="I158" s="222"/>
      <c r="J158" s="222"/>
      <c r="K158" s="222"/>
      <c r="L158" s="222"/>
      <c r="M158" s="222"/>
      <c r="N158" s="222"/>
      <c r="O158" s="222"/>
      <c r="P158" s="222"/>
      <c r="Q158" s="222"/>
      <c r="R158" s="222"/>
      <c r="S158" s="222"/>
      <c r="T158" s="222"/>
      <c r="U158" s="222"/>
      <c r="V158" s="222"/>
      <c r="W158" s="222"/>
      <c r="X158" s="222"/>
      <c r="Y158" s="222"/>
    </row>
    <row r="159" spans="9:25" s="277" customFormat="1">
      <c r="I159" s="222"/>
      <c r="J159" s="222"/>
      <c r="K159" s="222"/>
      <c r="L159" s="222"/>
      <c r="M159" s="222"/>
      <c r="N159" s="222"/>
      <c r="O159" s="222"/>
      <c r="P159" s="222"/>
      <c r="Q159" s="222"/>
      <c r="R159" s="222"/>
      <c r="S159" s="222"/>
      <c r="T159" s="222"/>
      <c r="U159" s="222"/>
      <c r="V159" s="222"/>
      <c r="W159" s="222"/>
      <c r="X159" s="222"/>
      <c r="Y159" s="222"/>
    </row>
    <row r="160" spans="9:25" s="277" customFormat="1">
      <c r="I160" s="222"/>
      <c r="J160" s="222"/>
      <c r="K160" s="222"/>
      <c r="L160" s="222"/>
      <c r="M160" s="222"/>
      <c r="N160" s="222"/>
      <c r="O160" s="222"/>
      <c r="P160" s="222"/>
      <c r="Q160" s="222"/>
      <c r="R160" s="222"/>
      <c r="S160" s="222"/>
      <c r="T160" s="222"/>
      <c r="U160" s="222"/>
      <c r="V160" s="222"/>
      <c r="W160" s="222"/>
      <c r="X160" s="222"/>
      <c r="Y160" s="222"/>
    </row>
    <row r="161" spans="9:25" s="277" customFormat="1">
      <c r="I161" s="222"/>
      <c r="J161" s="222"/>
      <c r="K161" s="222"/>
      <c r="L161" s="222"/>
      <c r="M161" s="222"/>
      <c r="N161" s="222"/>
      <c r="O161" s="222"/>
      <c r="P161" s="222"/>
      <c r="Q161" s="222"/>
      <c r="R161" s="222"/>
      <c r="S161" s="222"/>
      <c r="T161" s="222"/>
      <c r="U161" s="222"/>
      <c r="V161" s="222"/>
      <c r="W161" s="222"/>
      <c r="X161" s="222"/>
      <c r="Y161" s="222"/>
    </row>
    <row r="162" spans="9:25" s="277" customFormat="1">
      <c r="I162" s="222"/>
      <c r="J162" s="222"/>
      <c r="K162" s="222"/>
      <c r="L162" s="222"/>
      <c r="M162" s="222"/>
      <c r="N162" s="222"/>
      <c r="O162" s="222"/>
      <c r="P162" s="222"/>
      <c r="Q162" s="222"/>
      <c r="R162" s="222"/>
      <c r="S162" s="222"/>
      <c r="T162" s="222"/>
      <c r="U162" s="222"/>
      <c r="V162" s="222"/>
      <c r="W162" s="222"/>
      <c r="X162" s="222"/>
      <c r="Y162" s="222"/>
    </row>
    <row r="163" spans="9:25" s="277" customFormat="1">
      <c r="I163" s="222"/>
      <c r="J163" s="222"/>
      <c r="K163" s="222"/>
      <c r="L163" s="222"/>
      <c r="M163" s="222"/>
      <c r="N163" s="222"/>
      <c r="O163" s="222"/>
      <c r="P163" s="222"/>
      <c r="Q163" s="222"/>
      <c r="R163" s="222"/>
      <c r="S163" s="222"/>
      <c r="T163" s="222"/>
      <c r="U163" s="222"/>
      <c r="V163" s="222"/>
      <c r="W163" s="222"/>
      <c r="X163" s="222"/>
      <c r="Y163" s="222"/>
    </row>
    <row r="164" spans="9:25" s="277" customFormat="1">
      <c r="I164" s="222"/>
      <c r="J164" s="222"/>
      <c r="K164" s="222"/>
      <c r="L164" s="222"/>
      <c r="M164" s="222"/>
      <c r="N164" s="222"/>
      <c r="O164" s="222"/>
      <c r="P164" s="222"/>
      <c r="Q164" s="222"/>
      <c r="R164" s="222"/>
      <c r="S164" s="222"/>
      <c r="T164" s="222"/>
      <c r="U164" s="222"/>
      <c r="V164" s="222"/>
      <c r="W164" s="222"/>
      <c r="X164" s="222"/>
      <c r="Y164" s="222"/>
    </row>
    <row r="165" spans="9:25" s="277" customFormat="1">
      <c r="I165" s="222"/>
      <c r="J165" s="222"/>
      <c r="K165" s="222"/>
      <c r="L165" s="222"/>
      <c r="M165" s="222"/>
      <c r="N165" s="222"/>
      <c r="O165" s="222"/>
      <c r="P165" s="222"/>
      <c r="Q165" s="222"/>
      <c r="R165" s="222"/>
      <c r="S165" s="222"/>
      <c r="T165" s="222"/>
      <c r="U165" s="222"/>
      <c r="V165" s="222"/>
      <c r="W165" s="222"/>
      <c r="X165" s="222"/>
      <c r="Y165" s="222"/>
    </row>
    <row r="166" spans="9:25" s="277" customFormat="1">
      <c r="I166" s="222"/>
      <c r="J166" s="222"/>
      <c r="K166" s="222"/>
      <c r="L166" s="222"/>
      <c r="M166" s="222"/>
      <c r="N166" s="222"/>
      <c r="O166" s="222"/>
      <c r="P166" s="222"/>
      <c r="Q166" s="222"/>
      <c r="R166" s="222"/>
      <c r="S166" s="222"/>
      <c r="T166" s="222"/>
      <c r="U166" s="222"/>
      <c r="V166" s="222"/>
      <c r="W166" s="222"/>
      <c r="X166" s="222"/>
      <c r="Y166" s="222"/>
    </row>
    <row r="167" spans="9:25" s="277" customFormat="1">
      <c r="I167" s="222"/>
      <c r="J167" s="222"/>
      <c r="K167" s="222"/>
      <c r="L167" s="222"/>
      <c r="M167" s="222"/>
      <c r="N167" s="222"/>
      <c r="O167" s="222"/>
      <c r="P167" s="222"/>
      <c r="Q167" s="222"/>
      <c r="R167" s="222"/>
      <c r="S167" s="222"/>
      <c r="T167" s="222"/>
      <c r="U167" s="222"/>
      <c r="V167" s="222"/>
      <c r="W167" s="222"/>
      <c r="X167" s="222"/>
      <c r="Y167" s="222"/>
    </row>
    <row r="168" spans="9:25" s="277" customFormat="1">
      <c r="I168" s="222"/>
      <c r="J168" s="222"/>
      <c r="K168" s="222"/>
      <c r="L168" s="222"/>
      <c r="M168" s="222"/>
      <c r="N168" s="222"/>
      <c r="O168" s="222"/>
      <c r="P168" s="222"/>
      <c r="Q168" s="222"/>
      <c r="R168" s="222"/>
      <c r="S168" s="222"/>
      <c r="T168" s="222"/>
      <c r="U168" s="222"/>
      <c r="V168" s="222"/>
      <c r="W168" s="222"/>
      <c r="X168" s="222"/>
      <c r="Y168" s="222"/>
    </row>
    <row r="169" spans="9:25" s="277" customFormat="1">
      <c r="I169" s="222"/>
      <c r="J169" s="222"/>
      <c r="K169" s="222"/>
      <c r="L169" s="222"/>
      <c r="M169" s="222"/>
      <c r="N169" s="222"/>
      <c r="O169" s="222"/>
      <c r="P169" s="222"/>
      <c r="Q169" s="222"/>
      <c r="R169" s="222"/>
      <c r="S169" s="222"/>
      <c r="T169" s="222"/>
      <c r="U169" s="222"/>
      <c r="V169" s="222"/>
      <c r="W169" s="222"/>
      <c r="X169" s="222"/>
      <c r="Y169" s="222"/>
    </row>
    <row r="170" spans="9:25" s="277" customFormat="1">
      <c r="I170" s="222"/>
      <c r="J170" s="222"/>
      <c r="K170" s="222"/>
      <c r="L170" s="222"/>
      <c r="M170" s="222"/>
      <c r="N170" s="222"/>
      <c r="O170" s="222"/>
      <c r="P170" s="222"/>
      <c r="Q170" s="222"/>
      <c r="R170" s="222"/>
      <c r="S170" s="222"/>
      <c r="T170" s="222"/>
      <c r="U170" s="222"/>
      <c r="V170" s="222"/>
      <c r="W170" s="222"/>
      <c r="X170" s="222"/>
      <c r="Y170" s="222"/>
    </row>
    <row r="171" spans="9:25" s="277" customFormat="1">
      <c r="I171" s="222"/>
      <c r="J171" s="222"/>
      <c r="K171" s="222"/>
      <c r="L171" s="222"/>
      <c r="M171" s="222"/>
      <c r="N171" s="222"/>
      <c r="O171" s="222"/>
      <c r="P171" s="222"/>
      <c r="Q171" s="222"/>
      <c r="R171" s="222"/>
      <c r="S171" s="222"/>
      <c r="T171" s="222"/>
      <c r="U171" s="222"/>
      <c r="V171" s="222"/>
      <c r="W171" s="222"/>
      <c r="X171" s="222"/>
      <c r="Y171" s="222"/>
    </row>
    <row r="172" spans="9:25" s="277" customFormat="1">
      <c r="I172" s="222"/>
      <c r="J172" s="222"/>
      <c r="K172" s="222"/>
      <c r="L172" s="222"/>
      <c r="M172" s="222"/>
      <c r="N172" s="222"/>
      <c r="O172" s="222"/>
      <c r="P172" s="222"/>
      <c r="Q172" s="222"/>
      <c r="R172" s="222"/>
      <c r="S172" s="222"/>
      <c r="T172" s="222"/>
      <c r="U172" s="222"/>
      <c r="V172" s="222"/>
      <c r="W172" s="222"/>
      <c r="X172" s="222"/>
      <c r="Y172" s="222"/>
    </row>
    <row r="173" spans="9:25" s="277" customFormat="1">
      <c r="I173" s="222"/>
      <c r="J173" s="222"/>
      <c r="K173" s="222"/>
      <c r="L173" s="222"/>
      <c r="M173" s="222"/>
      <c r="N173" s="222"/>
      <c r="O173" s="222"/>
      <c r="P173" s="222"/>
      <c r="Q173" s="222"/>
      <c r="R173" s="222"/>
      <c r="S173" s="222"/>
      <c r="T173" s="222"/>
      <c r="U173" s="222"/>
      <c r="V173" s="222"/>
      <c r="W173" s="222"/>
      <c r="X173" s="222"/>
      <c r="Y173" s="222"/>
    </row>
    <row r="174" spans="9:25" s="277" customFormat="1">
      <c r="I174" s="222"/>
      <c r="J174" s="222"/>
      <c r="K174" s="222"/>
      <c r="L174" s="222"/>
      <c r="M174" s="222"/>
      <c r="N174" s="222"/>
      <c r="O174" s="222"/>
      <c r="P174" s="222"/>
      <c r="Q174" s="222"/>
      <c r="R174" s="222"/>
      <c r="S174" s="222"/>
      <c r="T174" s="222"/>
      <c r="U174" s="222"/>
      <c r="V174" s="222"/>
      <c r="W174" s="222"/>
      <c r="X174" s="222"/>
      <c r="Y174" s="222"/>
    </row>
    <row r="175" spans="9:25" s="277" customFormat="1">
      <c r="I175" s="222"/>
      <c r="J175" s="222"/>
      <c r="K175" s="222"/>
      <c r="L175" s="222"/>
      <c r="M175" s="222"/>
      <c r="N175" s="222"/>
      <c r="O175" s="222"/>
      <c r="P175" s="222"/>
      <c r="Q175" s="222"/>
      <c r="R175" s="222"/>
      <c r="S175" s="222"/>
      <c r="T175" s="222"/>
      <c r="U175" s="222"/>
      <c r="V175" s="222"/>
      <c r="W175" s="222"/>
      <c r="X175" s="222"/>
      <c r="Y175" s="222"/>
    </row>
    <row r="176" spans="9:25" s="277" customFormat="1">
      <c r="I176" s="222"/>
      <c r="J176" s="222"/>
      <c r="K176" s="222"/>
      <c r="L176" s="222"/>
      <c r="M176" s="222"/>
      <c r="N176" s="222"/>
      <c r="O176" s="222"/>
      <c r="P176" s="222"/>
      <c r="Q176" s="222"/>
      <c r="R176" s="222"/>
      <c r="S176" s="222"/>
      <c r="T176" s="222"/>
      <c r="U176" s="222"/>
      <c r="V176" s="222"/>
      <c r="W176" s="222"/>
      <c r="X176" s="222"/>
      <c r="Y176" s="222"/>
    </row>
    <row r="177" spans="9:25" s="277" customFormat="1">
      <c r="I177" s="222"/>
      <c r="J177" s="222"/>
      <c r="K177" s="222"/>
      <c r="L177" s="222"/>
      <c r="M177" s="222"/>
      <c r="N177" s="222"/>
      <c r="O177" s="222"/>
      <c r="P177" s="222"/>
      <c r="Q177" s="222"/>
      <c r="R177" s="222"/>
      <c r="S177" s="222"/>
      <c r="T177" s="222"/>
      <c r="U177" s="222"/>
      <c r="V177" s="222"/>
      <c r="W177" s="222"/>
      <c r="X177" s="222"/>
      <c r="Y177" s="222"/>
    </row>
    <row r="178" spans="9:25" s="277" customFormat="1">
      <c r="I178" s="222"/>
      <c r="J178" s="222"/>
      <c r="K178" s="222"/>
      <c r="L178" s="222"/>
      <c r="M178" s="222"/>
      <c r="N178" s="222"/>
      <c r="O178" s="222"/>
      <c r="P178" s="222"/>
      <c r="Q178" s="222"/>
      <c r="R178" s="222"/>
      <c r="S178" s="222"/>
      <c r="T178" s="222"/>
      <c r="U178" s="222"/>
      <c r="V178" s="222"/>
      <c r="W178" s="222"/>
      <c r="X178" s="222"/>
      <c r="Y178" s="222"/>
    </row>
    <row r="179" spans="9:25" s="277" customFormat="1">
      <c r="I179" s="222"/>
      <c r="J179" s="222"/>
      <c r="K179" s="222"/>
      <c r="L179" s="222"/>
      <c r="M179" s="222"/>
      <c r="N179" s="222"/>
      <c r="O179" s="222"/>
      <c r="P179" s="222"/>
      <c r="Q179" s="222"/>
      <c r="R179" s="222"/>
      <c r="S179" s="222"/>
      <c r="T179" s="222"/>
      <c r="U179" s="222"/>
      <c r="V179" s="222"/>
      <c r="W179" s="222"/>
      <c r="X179" s="222"/>
      <c r="Y179" s="222"/>
    </row>
    <row r="180" spans="9:25" s="277" customFormat="1">
      <c r="I180" s="222"/>
      <c r="J180" s="222"/>
      <c r="K180" s="222"/>
      <c r="L180" s="222"/>
      <c r="M180" s="222"/>
      <c r="N180" s="222"/>
      <c r="O180" s="222"/>
      <c r="P180" s="222"/>
      <c r="Q180" s="222"/>
      <c r="R180" s="222"/>
      <c r="S180" s="222"/>
      <c r="T180" s="222"/>
      <c r="U180" s="222"/>
      <c r="V180" s="222"/>
      <c r="W180" s="222"/>
      <c r="X180" s="222"/>
      <c r="Y180" s="222"/>
    </row>
    <row r="181" spans="9:25" s="277" customFormat="1">
      <c r="I181" s="222"/>
      <c r="J181" s="222"/>
      <c r="K181" s="222"/>
      <c r="L181" s="222"/>
      <c r="M181" s="222"/>
      <c r="N181" s="222"/>
      <c r="O181" s="222"/>
      <c r="P181" s="222"/>
      <c r="Q181" s="222"/>
      <c r="R181" s="222"/>
      <c r="S181" s="222"/>
      <c r="T181" s="222"/>
      <c r="U181" s="222"/>
      <c r="V181" s="222"/>
      <c r="W181" s="222"/>
      <c r="X181" s="222"/>
      <c r="Y181" s="222"/>
    </row>
    <row r="182" spans="9:25" s="277" customFormat="1">
      <c r="I182" s="222"/>
      <c r="J182" s="222"/>
      <c r="K182" s="222"/>
      <c r="L182" s="222"/>
      <c r="M182" s="222"/>
      <c r="N182" s="222"/>
      <c r="O182" s="222"/>
      <c r="P182" s="222"/>
      <c r="Q182" s="222"/>
      <c r="R182" s="222"/>
      <c r="S182" s="222"/>
      <c r="T182" s="222"/>
      <c r="U182" s="222"/>
      <c r="V182" s="222"/>
      <c r="W182" s="222"/>
      <c r="X182" s="222"/>
      <c r="Y182" s="222"/>
    </row>
    <row r="183" spans="9:25" s="277" customFormat="1">
      <c r="I183" s="222"/>
      <c r="J183" s="222"/>
      <c r="K183" s="222"/>
      <c r="L183" s="222"/>
      <c r="M183" s="222"/>
      <c r="N183" s="222"/>
      <c r="O183" s="222"/>
      <c r="P183" s="222"/>
      <c r="Q183" s="222"/>
      <c r="R183" s="222"/>
      <c r="S183" s="222"/>
      <c r="T183" s="222"/>
      <c r="U183" s="222"/>
      <c r="V183" s="222"/>
      <c r="W183" s="222"/>
      <c r="X183" s="222"/>
      <c r="Y183" s="222"/>
    </row>
    <row r="184" spans="9:25" s="277" customFormat="1">
      <c r="I184" s="222"/>
      <c r="J184" s="222"/>
      <c r="K184" s="222"/>
      <c r="L184" s="222"/>
      <c r="M184" s="222"/>
      <c r="N184" s="222"/>
      <c r="O184" s="222"/>
      <c r="P184" s="222"/>
      <c r="Q184" s="222"/>
      <c r="R184" s="222"/>
      <c r="S184" s="222"/>
      <c r="T184" s="222"/>
      <c r="U184" s="222"/>
      <c r="V184" s="222"/>
      <c r="W184" s="222"/>
      <c r="X184" s="222"/>
      <c r="Y184" s="222"/>
    </row>
    <row r="185" spans="9:25" s="277" customFormat="1">
      <c r="I185" s="222"/>
      <c r="J185" s="222"/>
      <c r="K185" s="222"/>
      <c r="L185" s="222"/>
      <c r="M185" s="222"/>
      <c r="N185" s="222"/>
      <c r="O185" s="222"/>
      <c r="P185" s="222"/>
      <c r="Q185" s="222"/>
      <c r="R185" s="222"/>
      <c r="S185" s="222"/>
      <c r="T185" s="222"/>
      <c r="U185" s="222"/>
      <c r="V185" s="222"/>
      <c r="W185" s="222"/>
      <c r="X185" s="222"/>
      <c r="Y185" s="222"/>
    </row>
    <row r="186" spans="9:25" s="277" customFormat="1">
      <c r="I186" s="222"/>
      <c r="J186" s="222"/>
      <c r="K186" s="222"/>
      <c r="L186" s="222"/>
      <c r="M186" s="222"/>
      <c r="N186" s="222"/>
      <c r="O186" s="222"/>
      <c r="P186" s="222"/>
      <c r="Q186" s="222"/>
      <c r="R186" s="222"/>
      <c r="S186" s="222"/>
      <c r="T186" s="222"/>
      <c r="U186" s="222"/>
      <c r="V186" s="222"/>
      <c r="W186" s="222"/>
      <c r="X186" s="222"/>
      <c r="Y186" s="222"/>
    </row>
    <row r="187" spans="9:25" s="277" customFormat="1">
      <c r="I187" s="222"/>
      <c r="J187" s="222"/>
      <c r="K187" s="222"/>
      <c r="L187" s="222"/>
      <c r="M187" s="222"/>
      <c r="N187" s="222"/>
      <c r="O187" s="222"/>
      <c r="P187" s="222"/>
      <c r="Q187" s="222"/>
      <c r="R187" s="222"/>
      <c r="S187" s="222"/>
      <c r="T187" s="222"/>
      <c r="U187" s="222"/>
      <c r="V187" s="222"/>
      <c r="W187" s="222"/>
      <c r="X187" s="222"/>
      <c r="Y187" s="222"/>
    </row>
    <row r="188" spans="9:25" s="277" customFormat="1">
      <c r="I188" s="222"/>
      <c r="J188" s="222"/>
      <c r="K188" s="222"/>
      <c r="L188" s="222"/>
      <c r="M188" s="222"/>
      <c r="N188" s="222"/>
      <c r="O188" s="222"/>
      <c r="P188" s="222"/>
      <c r="Q188" s="222"/>
      <c r="R188" s="222"/>
      <c r="S188" s="222"/>
      <c r="T188" s="222"/>
      <c r="U188" s="222"/>
      <c r="V188" s="222"/>
      <c r="W188" s="222"/>
      <c r="X188" s="222"/>
      <c r="Y188" s="222"/>
    </row>
    <row r="189" spans="9:25" s="277" customFormat="1">
      <c r="I189" s="222"/>
      <c r="J189" s="222"/>
      <c r="K189" s="222"/>
      <c r="L189" s="222"/>
      <c r="M189" s="222"/>
      <c r="N189" s="222"/>
      <c r="O189" s="222"/>
      <c r="P189" s="222"/>
      <c r="Q189" s="222"/>
      <c r="R189" s="222"/>
      <c r="S189" s="222"/>
      <c r="T189" s="222"/>
      <c r="U189" s="222"/>
      <c r="V189" s="222"/>
      <c r="W189" s="222"/>
      <c r="X189" s="222"/>
      <c r="Y189" s="222"/>
    </row>
    <row r="190" spans="9:25" s="277" customFormat="1">
      <c r="I190" s="222"/>
      <c r="J190" s="222"/>
      <c r="K190" s="222"/>
      <c r="L190" s="222"/>
      <c r="M190" s="222"/>
      <c r="N190" s="222"/>
      <c r="O190" s="222"/>
      <c r="P190" s="222"/>
      <c r="Q190" s="222"/>
      <c r="R190" s="222"/>
      <c r="S190" s="222"/>
      <c r="T190" s="222"/>
      <c r="U190" s="222"/>
      <c r="V190" s="222"/>
      <c r="W190" s="222"/>
      <c r="X190" s="222"/>
      <c r="Y190" s="222"/>
    </row>
    <row r="191" spans="9:25" s="277" customFormat="1">
      <c r="I191" s="222"/>
      <c r="J191" s="222"/>
      <c r="K191" s="222"/>
      <c r="L191" s="222"/>
      <c r="M191" s="222"/>
      <c r="N191" s="222"/>
      <c r="O191" s="222"/>
      <c r="P191" s="222"/>
      <c r="Q191" s="222"/>
      <c r="R191" s="222"/>
      <c r="S191" s="222"/>
      <c r="T191" s="222"/>
      <c r="U191" s="222"/>
      <c r="V191" s="222"/>
      <c r="W191" s="222"/>
      <c r="X191" s="222"/>
      <c r="Y191" s="222"/>
    </row>
    <row r="192" spans="9:25" s="277" customFormat="1">
      <c r="I192" s="222"/>
      <c r="J192" s="222"/>
      <c r="K192" s="222"/>
      <c r="L192" s="222"/>
      <c r="M192" s="222"/>
      <c r="N192" s="222"/>
      <c r="O192" s="222"/>
      <c r="P192" s="222"/>
      <c r="Q192" s="222"/>
      <c r="R192" s="222"/>
      <c r="S192" s="222"/>
      <c r="T192" s="222"/>
      <c r="U192" s="222"/>
      <c r="V192" s="222"/>
      <c r="W192" s="222"/>
      <c r="X192" s="222"/>
      <c r="Y192" s="222"/>
    </row>
    <row r="193" spans="9:25" s="277" customFormat="1">
      <c r="I193" s="222"/>
      <c r="J193" s="222"/>
      <c r="K193" s="222"/>
      <c r="L193" s="222"/>
      <c r="M193" s="222"/>
      <c r="N193" s="222"/>
      <c r="O193" s="222"/>
      <c r="P193" s="222"/>
      <c r="Q193" s="222"/>
      <c r="R193" s="222"/>
      <c r="S193" s="222"/>
      <c r="T193" s="222"/>
      <c r="U193" s="222"/>
      <c r="V193" s="222"/>
      <c r="W193" s="222"/>
      <c r="X193" s="222"/>
      <c r="Y193" s="222"/>
    </row>
    <row r="194" spans="9:25" s="277" customFormat="1">
      <c r="I194" s="222"/>
      <c r="J194" s="222"/>
      <c r="K194" s="222"/>
      <c r="L194" s="222"/>
      <c r="M194" s="222"/>
      <c r="N194" s="222"/>
      <c r="O194" s="222"/>
      <c r="P194" s="222"/>
      <c r="Q194" s="222"/>
      <c r="R194" s="222"/>
      <c r="S194" s="222"/>
      <c r="T194" s="222"/>
      <c r="U194" s="222"/>
      <c r="V194" s="222"/>
      <c r="W194" s="222"/>
      <c r="X194" s="222"/>
      <c r="Y194" s="222"/>
    </row>
    <row r="195" spans="9:25" s="277" customFormat="1">
      <c r="I195" s="222"/>
      <c r="J195" s="222"/>
      <c r="K195" s="222"/>
      <c r="L195" s="222"/>
      <c r="M195" s="222"/>
      <c r="N195" s="222"/>
      <c r="O195" s="222"/>
      <c r="P195" s="222"/>
      <c r="Q195" s="222"/>
      <c r="R195" s="222"/>
      <c r="S195" s="222"/>
      <c r="T195" s="222"/>
      <c r="U195" s="222"/>
      <c r="V195" s="222"/>
      <c r="W195" s="222"/>
      <c r="X195" s="222"/>
      <c r="Y195" s="222"/>
    </row>
    <row r="196" spans="9:25" s="277" customFormat="1">
      <c r="I196" s="222"/>
      <c r="J196" s="222"/>
      <c r="K196" s="222"/>
      <c r="L196" s="222"/>
      <c r="M196" s="222"/>
      <c r="N196" s="222"/>
      <c r="O196" s="222"/>
      <c r="P196" s="222"/>
      <c r="Q196" s="222"/>
      <c r="R196" s="222"/>
      <c r="S196" s="222"/>
      <c r="T196" s="222"/>
      <c r="U196" s="222"/>
      <c r="V196" s="222"/>
      <c r="W196" s="222"/>
      <c r="X196" s="222"/>
      <c r="Y196" s="222"/>
    </row>
    <row r="197" spans="9:25" s="277" customFormat="1">
      <c r="I197" s="222"/>
      <c r="J197" s="222"/>
      <c r="K197" s="222"/>
      <c r="L197" s="222"/>
      <c r="M197" s="222"/>
      <c r="N197" s="222"/>
      <c r="O197" s="222"/>
      <c r="P197" s="222"/>
      <c r="Q197" s="222"/>
      <c r="R197" s="222"/>
      <c r="S197" s="222"/>
      <c r="T197" s="222"/>
      <c r="U197" s="222"/>
      <c r="V197" s="222"/>
      <c r="W197" s="222"/>
      <c r="X197" s="222"/>
      <c r="Y197" s="222"/>
    </row>
    <row r="198" spans="9:25" s="277" customFormat="1">
      <c r="I198" s="222"/>
      <c r="J198" s="222"/>
      <c r="K198" s="222"/>
      <c r="L198" s="222"/>
      <c r="M198" s="222"/>
      <c r="N198" s="222"/>
      <c r="O198" s="222"/>
      <c r="P198" s="222"/>
      <c r="Q198" s="222"/>
      <c r="R198" s="222"/>
      <c r="S198" s="222"/>
      <c r="T198" s="222"/>
      <c r="U198" s="222"/>
      <c r="V198" s="222"/>
      <c r="W198" s="222"/>
      <c r="X198" s="222"/>
      <c r="Y198" s="222"/>
    </row>
    <row r="199" spans="9:25" s="277" customFormat="1">
      <c r="I199" s="222"/>
      <c r="J199" s="222"/>
      <c r="K199" s="222"/>
      <c r="L199" s="222"/>
      <c r="M199" s="222"/>
      <c r="N199" s="222"/>
      <c r="O199" s="222"/>
      <c r="P199" s="222"/>
      <c r="Q199" s="222"/>
      <c r="R199" s="222"/>
      <c r="S199" s="222"/>
      <c r="T199" s="222"/>
      <c r="U199" s="222"/>
      <c r="V199" s="222"/>
      <c r="W199" s="222"/>
      <c r="X199" s="222"/>
      <c r="Y199" s="222"/>
    </row>
    <row r="200" spans="9:25" s="277" customFormat="1">
      <c r="I200" s="222"/>
      <c r="J200" s="222"/>
      <c r="K200" s="222"/>
      <c r="L200" s="222"/>
      <c r="M200" s="222"/>
      <c r="N200" s="222"/>
      <c r="O200" s="222"/>
      <c r="P200" s="222"/>
      <c r="Q200" s="222"/>
      <c r="R200" s="222"/>
      <c r="S200" s="222"/>
      <c r="T200" s="222"/>
      <c r="U200" s="222"/>
      <c r="V200" s="222"/>
      <c r="W200" s="222"/>
      <c r="X200" s="222"/>
      <c r="Y200" s="222"/>
    </row>
    <row r="201" spans="9:25" s="277" customFormat="1">
      <c r="I201" s="222"/>
      <c r="J201" s="222"/>
      <c r="K201" s="222"/>
      <c r="L201" s="222"/>
      <c r="M201" s="222"/>
      <c r="N201" s="222"/>
      <c r="O201" s="222"/>
      <c r="P201" s="222"/>
      <c r="Q201" s="222"/>
      <c r="R201" s="222"/>
      <c r="S201" s="222"/>
      <c r="T201" s="222"/>
      <c r="U201" s="222"/>
      <c r="V201" s="222"/>
      <c r="W201" s="222"/>
      <c r="X201" s="222"/>
      <c r="Y201" s="222"/>
    </row>
    <row r="202" spans="9:25" s="277" customFormat="1">
      <c r="I202" s="222"/>
      <c r="J202" s="222"/>
      <c r="K202" s="222"/>
      <c r="L202" s="222"/>
      <c r="M202" s="222"/>
      <c r="N202" s="222"/>
      <c r="O202" s="222"/>
      <c r="P202" s="222"/>
      <c r="Q202" s="222"/>
      <c r="R202" s="222"/>
      <c r="S202" s="222"/>
      <c r="T202" s="222"/>
      <c r="U202" s="222"/>
      <c r="V202" s="222"/>
      <c r="W202" s="222"/>
      <c r="X202" s="222"/>
      <c r="Y202" s="222"/>
    </row>
    <row r="203" spans="9:25" s="277" customFormat="1">
      <c r="I203" s="222"/>
      <c r="J203" s="222"/>
      <c r="K203" s="222"/>
      <c r="L203" s="222"/>
      <c r="M203" s="222"/>
      <c r="N203" s="222"/>
      <c r="O203" s="222"/>
      <c r="P203" s="222"/>
      <c r="Q203" s="222"/>
      <c r="R203" s="222"/>
      <c r="S203" s="222"/>
      <c r="T203" s="222"/>
      <c r="U203" s="222"/>
      <c r="V203" s="222"/>
      <c r="W203" s="222"/>
      <c r="X203" s="222"/>
      <c r="Y203" s="222"/>
    </row>
    <row r="204" spans="9:25" s="277" customFormat="1">
      <c r="I204" s="222"/>
      <c r="J204" s="222"/>
      <c r="K204" s="222"/>
      <c r="L204" s="222"/>
      <c r="M204" s="222"/>
      <c r="N204" s="222"/>
      <c r="O204" s="222"/>
      <c r="P204" s="222"/>
      <c r="Q204" s="222"/>
      <c r="R204" s="222"/>
      <c r="S204" s="222"/>
      <c r="T204" s="222"/>
      <c r="U204" s="222"/>
      <c r="V204" s="222"/>
      <c r="W204" s="222"/>
      <c r="X204" s="222"/>
      <c r="Y204" s="222"/>
    </row>
    <row r="205" spans="9:25" s="277" customFormat="1">
      <c r="I205" s="222"/>
      <c r="J205" s="222"/>
      <c r="K205" s="222"/>
      <c r="L205" s="222"/>
      <c r="M205" s="222"/>
      <c r="N205" s="222"/>
      <c r="O205" s="222"/>
      <c r="P205" s="222"/>
      <c r="Q205" s="222"/>
      <c r="R205" s="222"/>
      <c r="S205" s="222"/>
      <c r="T205" s="222"/>
      <c r="U205" s="222"/>
      <c r="V205" s="222"/>
      <c r="W205" s="222"/>
      <c r="X205" s="222"/>
      <c r="Y205" s="222"/>
    </row>
    <row r="206" spans="9:25" s="277" customFormat="1">
      <c r="I206" s="222"/>
      <c r="J206" s="222"/>
      <c r="K206" s="222"/>
      <c r="L206" s="222"/>
      <c r="M206" s="222"/>
      <c r="N206" s="222"/>
      <c r="O206" s="222"/>
      <c r="P206" s="222"/>
      <c r="Q206" s="222"/>
      <c r="R206" s="222"/>
      <c r="S206" s="222"/>
      <c r="T206" s="222"/>
      <c r="U206" s="222"/>
      <c r="V206" s="222"/>
      <c r="W206" s="222"/>
      <c r="X206" s="222"/>
      <c r="Y206" s="222"/>
    </row>
    <row r="207" spans="9:25" s="277" customFormat="1">
      <c r="I207" s="222"/>
      <c r="J207" s="222"/>
      <c r="K207" s="222"/>
      <c r="L207" s="222"/>
      <c r="M207" s="222"/>
      <c r="N207" s="222"/>
      <c r="O207" s="222"/>
      <c r="P207" s="222"/>
      <c r="Q207" s="222"/>
      <c r="R207" s="222"/>
      <c r="S207" s="222"/>
      <c r="T207" s="222"/>
      <c r="U207" s="222"/>
      <c r="V207" s="222"/>
      <c r="W207" s="222"/>
      <c r="X207" s="222"/>
      <c r="Y207" s="222"/>
    </row>
    <row r="208" spans="9:25" s="277" customFormat="1">
      <c r="I208" s="222"/>
      <c r="J208" s="222"/>
      <c r="K208" s="222"/>
      <c r="L208" s="222"/>
      <c r="M208" s="222"/>
      <c r="N208" s="222"/>
      <c r="O208" s="222"/>
      <c r="P208" s="222"/>
      <c r="Q208" s="222"/>
      <c r="R208" s="222"/>
      <c r="S208" s="222"/>
      <c r="T208" s="222"/>
      <c r="U208" s="222"/>
      <c r="V208" s="222"/>
      <c r="W208" s="222"/>
      <c r="X208" s="222"/>
      <c r="Y208" s="222"/>
    </row>
    <row r="209" spans="9:25" s="277" customFormat="1">
      <c r="I209" s="222"/>
      <c r="J209" s="222"/>
      <c r="K209" s="222"/>
      <c r="L209" s="222"/>
      <c r="M209" s="222"/>
      <c r="N209" s="222"/>
      <c r="O209" s="222"/>
      <c r="P209" s="222"/>
      <c r="Q209" s="222"/>
      <c r="R209" s="222"/>
      <c r="S209" s="222"/>
      <c r="T209" s="222"/>
      <c r="U209" s="222"/>
      <c r="V209" s="222"/>
      <c r="W209" s="222"/>
      <c r="X209" s="222"/>
      <c r="Y209" s="222"/>
    </row>
    <row r="210" spans="9:25" s="277" customFormat="1">
      <c r="I210" s="222"/>
      <c r="J210" s="222"/>
      <c r="K210" s="222"/>
      <c r="L210" s="222"/>
      <c r="M210" s="222"/>
      <c r="N210" s="222"/>
      <c r="O210" s="222"/>
      <c r="P210" s="222"/>
      <c r="Q210" s="222"/>
      <c r="R210" s="222"/>
      <c r="S210" s="222"/>
      <c r="T210" s="222"/>
      <c r="U210" s="222"/>
      <c r="V210" s="222"/>
      <c r="W210" s="222"/>
      <c r="X210" s="222"/>
      <c r="Y210" s="222"/>
    </row>
    <row r="211" spans="9:25" s="277" customFormat="1">
      <c r="I211" s="222"/>
      <c r="J211" s="222"/>
      <c r="K211" s="222"/>
      <c r="L211" s="222"/>
      <c r="M211" s="222"/>
      <c r="N211" s="222"/>
      <c r="O211" s="222"/>
      <c r="P211" s="222"/>
      <c r="Q211" s="222"/>
      <c r="R211" s="222"/>
      <c r="S211" s="222"/>
      <c r="T211" s="222"/>
      <c r="U211" s="222"/>
      <c r="V211" s="222"/>
      <c r="W211" s="222"/>
      <c r="X211" s="222"/>
      <c r="Y211" s="222"/>
    </row>
    <row r="212" spans="9:25" s="277" customFormat="1">
      <c r="I212" s="222"/>
      <c r="J212" s="222"/>
      <c r="K212" s="222"/>
      <c r="L212" s="222"/>
      <c r="M212" s="222"/>
      <c r="N212" s="222"/>
      <c r="O212" s="222"/>
      <c r="P212" s="222"/>
      <c r="Q212" s="222"/>
      <c r="R212" s="222"/>
      <c r="S212" s="222"/>
      <c r="T212" s="222"/>
      <c r="U212" s="222"/>
      <c r="V212" s="222"/>
      <c r="W212" s="222"/>
      <c r="X212" s="222"/>
      <c r="Y212" s="222"/>
    </row>
    <row r="213" spans="9:25" s="277" customFormat="1">
      <c r="I213" s="222"/>
      <c r="J213" s="222"/>
      <c r="K213" s="222"/>
      <c r="L213" s="222"/>
      <c r="M213" s="222"/>
      <c r="N213" s="222"/>
      <c r="O213" s="222"/>
      <c r="P213" s="222"/>
      <c r="Q213" s="222"/>
      <c r="R213" s="222"/>
      <c r="S213" s="222"/>
      <c r="T213" s="222"/>
      <c r="U213" s="222"/>
      <c r="V213" s="222"/>
      <c r="W213" s="222"/>
      <c r="X213" s="222"/>
      <c r="Y213" s="222"/>
    </row>
    <row r="214" spans="9:25" s="277" customFormat="1">
      <c r="I214" s="222"/>
      <c r="J214" s="222"/>
      <c r="K214" s="222"/>
      <c r="L214" s="222"/>
      <c r="M214" s="222"/>
      <c r="N214" s="222"/>
      <c r="O214" s="222"/>
      <c r="P214" s="222"/>
      <c r="Q214" s="222"/>
      <c r="R214" s="222"/>
      <c r="S214" s="222"/>
      <c r="T214" s="222"/>
      <c r="U214" s="222"/>
      <c r="V214" s="222"/>
      <c r="W214" s="222"/>
      <c r="X214" s="222"/>
      <c r="Y214" s="222"/>
    </row>
    <row r="215" spans="9:25" s="277" customFormat="1">
      <c r="I215" s="222"/>
      <c r="J215" s="222"/>
      <c r="K215" s="222"/>
      <c r="L215" s="222"/>
      <c r="M215" s="222"/>
      <c r="N215" s="222"/>
      <c r="O215" s="222"/>
      <c r="P215" s="222"/>
      <c r="Q215" s="222"/>
      <c r="R215" s="222"/>
      <c r="S215" s="222"/>
      <c r="T215" s="222"/>
      <c r="U215" s="222"/>
      <c r="V215" s="222"/>
      <c r="W215" s="222"/>
      <c r="X215" s="222"/>
      <c r="Y215" s="222"/>
    </row>
    <row r="216" spans="9:25" s="277" customFormat="1">
      <c r="I216" s="222"/>
      <c r="J216" s="222"/>
      <c r="K216" s="222"/>
      <c r="L216" s="222"/>
      <c r="M216" s="222"/>
      <c r="N216" s="222"/>
      <c r="O216" s="222"/>
      <c r="P216" s="222"/>
      <c r="Q216" s="222"/>
      <c r="R216" s="222"/>
      <c r="S216" s="222"/>
      <c r="T216" s="222"/>
      <c r="U216" s="222"/>
      <c r="V216" s="222"/>
      <c r="W216" s="222"/>
      <c r="X216" s="222"/>
      <c r="Y216" s="222"/>
    </row>
    <row r="217" spans="9:25" s="277" customFormat="1">
      <c r="I217" s="222"/>
      <c r="J217" s="222"/>
      <c r="K217" s="222"/>
      <c r="L217" s="222"/>
      <c r="M217" s="222"/>
      <c r="N217" s="222"/>
      <c r="O217" s="222"/>
      <c r="P217" s="222"/>
      <c r="Q217" s="222"/>
      <c r="R217" s="222"/>
      <c r="S217" s="222"/>
      <c r="T217" s="222"/>
      <c r="U217" s="222"/>
      <c r="V217" s="222"/>
      <c r="W217" s="222"/>
      <c r="X217" s="222"/>
      <c r="Y217" s="222"/>
    </row>
    <row r="218" spans="9:25" s="277" customFormat="1">
      <c r="I218" s="222"/>
      <c r="J218" s="222"/>
      <c r="K218" s="222"/>
      <c r="L218" s="222"/>
      <c r="M218" s="222"/>
      <c r="N218" s="222"/>
      <c r="O218" s="222"/>
      <c r="P218" s="222"/>
      <c r="Q218" s="222"/>
      <c r="R218" s="222"/>
      <c r="S218" s="222"/>
      <c r="T218" s="222"/>
      <c r="U218" s="222"/>
      <c r="V218" s="222"/>
      <c r="W218" s="222"/>
      <c r="X218" s="222"/>
      <c r="Y218" s="222"/>
    </row>
    <row r="219" spans="9:25" s="277" customFormat="1">
      <c r="I219" s="222"/>
      <c r="J219" s="222"/>
      <c r="K219" s="222"/>
      <c r="L219" s="222"/>
      <c r="M219" s="222"/>
      <c r="N219" s="222"/>
      <c r="O219" s="222"/>
      <c r="P219" s="222"/>
      <c r="Q219" s="222"/>
      <c r="R219" s="222"/>
      <c r="S219" s="222"/>
      <c r="T219" s="222"/>
      <c r="U219" s="222"/>
      <c r="V219" s="222"/>
      <c r="W219" s="222"/>
      <c r="X219" s="222"/>
      <c r="Y219" s="222"/>
    </row>
    <row r="220" spans="9:25" s="277" customFormat="1">
      <c r="I220" s="222"/>
      <c r="J220" s="222"/>
      <c r="K220" s="222"/>
      <c r="L220" s="222"/>
      <c r="M220" s="222"/>
      <c r="N220" s="222"/>
      <c r="O220" s="222"/>
      <c r="P220" s="222"/>
      <c r="Q220" s="222"/>
      <c r="R220" s="222"/>
      <c r="S220" s="222"/>
      <c r="T220" s="222"/>
      <c r="U220" s="222"/>
      <c r="V220" s="222"/>
      <c r="W220" s="222"/>
      <c r="X220" s="222"/>
      <c r="Y220" s="222"/>
    </row>
    <row r="221" spans="9:25" s="277" customFormat="1">
      <c r="I221" s="222"/>
      <c r="J221" s="222"/>
      <c r="K221" s="222"/>
      <c r="L221" s="222"/>
      <c r="M221" s="222"/>
      <c r="N221" s="222"/>
      <c r="O221" s="222"/>
      <c r="P221" s="222"/>
      <c r="Q221" s="222"/>
      <c r="R221" s="222"/>
      <c r="S221" s="222"/>
      <c r="T221" s="222"/>
      <c r="U221" s="222"/>
      <c r="V221" s="222"/>
      <c r="W221" s="222"/>
      <c r="X221" s="222"/>
      <c r="Y221" s="222"/>
    </row>
    <row r="222" spans="9:25" s="277" customFormat="1">
      <c r="I222" s="222"/>
      <c r="J222" s="222"/>
      <c r="K222" s="222"/>
      <c r="L222" s="222"/>
      <c r="M222" s="222"/>
      <c r="N222" s="222"/>
      <c r="O222" s="222"/>
      <c r="P222" s="222"/>
      <c r="Q222" s="222"/>
      <c r="R222" s="222"/>
      <c r="S222" s="222"/>
      <c r="T222" s="222"/>
      <c r="U222" s="222"/>
      <c r="V222" s="222"/>
      <c r="W222" s="222"/>
      <c r="X222" s="222"/>
      <c r="Y222" s="222"/>
    </row>
    <row r="223" spans="9:25" s="277" customFormat="1">
      <c r="I223" s="222"/>
      <c r="J223" s="222"/>
      <c r="K223" s="222"/>
      <c r="L223" s="222"/>
      <c r="M223" s="222"/>
      <c r="N223" s="222"/>
      <c r="O223" s="222"/>
      <c r="P223" s="222"/>
      <c r="Q223" s="222"/>
      <c r="R223" s="222"/>
      <c r="S223" s="222"/>
      <c r="T223" s="222"/>
      <c r="U223" s="222"/>
      <c r="V223" s="222"/>
      <c r="W223" s="222"/>
      <c r="X223" s="222"/>
      <c r="Y223" s="222"/>
    </row>
    <row r="224" spans="9:25" s="277" customFormat="1">
      <c r="I224" s="222"/>
      <c r="J224" s="222"/>
      <c r="K224" s="222"/>
      <c r="L224" s="222"/>
      <c r="M224" s="222"/>
      <c r="N224" s="222"/>
      <c r="O224" s="222"/>
      <c r="P224" s="222"/>
      <c r="Q224" s="222"/>
      <c r="R224" s="222"/>
      <c r="S224" s="222"/>
      <c r="T224" s="222"/>
      <c r="U224" s="222"/>
      <c r="V224" s="222"/>
      <c r="W224" s="222"/>
      <c r="X224" s="222"/>
      <c r="Y224" s="222"/>
    </row>
    <row r="225" spans="9:25" s="277" customFormat="1">
      <c r="I225" s="222"/>
      <c r="J225" s="222"/>
      <c r="K225" s="222"/>
      <c r="L225" s="222"/>
      <c r="M225" s="222"/>
      <c r="N225" s="222"/>
      <c r="O225" s="222"/>
      <c r="P225" s="222"/>
      <c r="Q225" s="222"/>
      <c r="R225" s="222"/>
      <c r="S225" s="222"/>
      <c r="T225" s="222"/>
      <c r="U225" s="222"/>
      <c r="V225" s="222"/>
      <c r="W225" s="222"/>
      <c r="X225" s="222"/>
      <c r="Y225" s="222"/>
    </row>
  </sheetData>
  <mergeCells count="9">
    <mergeCell ref="F8:G8"/>
    <mergeCell ref="F9:G9"/>
    <mergeCell ref="F10:G10"/>
    <mergeCell ref="F6:G6"/>
    <mergeCell ref="C3:C4"/>
    <mergeCell ref="E3:E4"/>
    <mergeCell ref="F4:G4"/>
    <mergeCell ref="F5:G5"/>
    <mergeCell ref="F7:G7"/>
  </mergeCells>
  <dataValidations count="3">
    <dataValidation type="list" allowBlank="1" showInputMessage="1" showErrorMessage="1" sqref="B5:B10" xr:uid="{00000000-0002-0000-0300-000000000000}">
      <formula1>$M$1:$V$1</formula1>
    </dataValidation>
    <dataValidation type="list" allowBlank="1" showInputMessage="1" showErrorMessage="1" sqref="E5:E10" xr:uid="{00000000-0002-0000-0300-000001000000}">
      <formula1>$J$1:$J$3</formula1>
    </dataValidation>
    <dataValidation type="decimal" operator="greaterThanOrEqual" allowBlank="1" showInputMessage="1" showErrorMessage="1" sqref="C5:C10" xr:uid="{00000000-0002-0000-0300-000002000000}">
      <formula1>0</formula1>
    </dataValidation>
  </dataValidations>
  <printOptions horizontalCentered="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F99"/>
  <sheetViews>
    <sheetView showZeros="0" topLeftCell="A1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32" width="9.140625" style="277"/>
    <col min="33" max="16384" width="9.140625" style="239"/>
  </cols>
  <sheetData>
    <row r="1" spans="1:27" ht="52.5" thickBot="1">
      <c r="B1" s="44" t="s">
        <v>179</v>
      </c>
      <c r="C1" s="215"/>
      <c r="D1" s="215"/>
      <c r="E1" s="196">
        <f>Inputs!G40</f>
        <v>0</v>
      </c>
      <c r="F1" s="224" t="s">
        <v>144</v>
      </c>
      <c r="G1" s="215"/>
      <c r="H1" s="215"/>
      <c r="I1" s="44"/>
      <c r="K1" s="417"/>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Inputs!G42-Inputs!O42</f>
        <v>0</v>
      </c>
      <c r="D4" s="369">
        <f>Inputs!G43</f>
        <v>0</v>
      </c>
      <c r="E4" s="369">
        <f>Inputs!G44</f>
        <v>0</v>
      </c>
      <c r="F4" s="251" t="s">
        <v>1</v>
      </c>
      <c r="G4" s="368"/>
      <c r="H4" s="436">
        <f>C4*D4*E4/100</f>
        <v>0</v>
      </c>
      <c r="I4" s="497">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Inputs!G45-Inputs!O45</f>
        <v>0</v>
      </c>
      <c r="D5" s="189">
        <f>Inputs!G46</f>
        <v>0</v>
      </c>
      <c r="E5" s="189">
        <f>Inputs!G47</f>
        <v>0</v>
      </c>
      <c r="F5" s="251" t="s">
        <v>1</v>
      </c>
      <c r="G5" s="265"/>
      <c r="H5" s="436">
        <f>C5*D5*E5/100</f>
        <v>0</v>
      </c>
      <c r="I5" s="497">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36"/>
      <c r="I6" s="497"/>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5">
        <f>SUM(H4:H6)</f>
        <v>0</v>
      </c>
      <c r="I7" s="498">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476"/>
      <c r="I8" s="499"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477" t="s">
        <v>74</v>
      </c>
      <c r="I9" s="500"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478" t="s">
        <v>31</v>
      </c>
      <c r="I10" s="501"/>
      <c r="K10" s="417" t="s">
        <v>61</v>
      </c>
      <c r="L10" s="417"/>
      <c r="M10" s="417"/>
      <c r="N10" s="417"/>
      <c r="O10" s="417"/>
      <c r="P10" s="417"/>
      <c r="Q10" s="417"/>
      <c r="R10" s="417"/>
      <c r="S10" s="417"/>
      <c r="T10" s="417"/>
      <c r="U10" s="417"/>
      <c r="V10" s="417"/>
      <c r="W10" s="417"/>
    </row>
    <row r="11" spans="1:27" ht="12.75" customHeight="1">
      <c r="B11" s="255" t="s">
        <v>134</v>
      </c>
      <c r="C11" s="117">
        <f>Inputs!G42</f>
        <v>0</v>
      </c>
      <c r="D11" s="189">
        <f>Inputs!G33</f>
        <v>675</v>
      </c>
      <c r="E11" s="252">
        <f>Inputs!G34</f>
        <v>170</v>
      </c>
      <c r="F11" s="251" t="s">
        <v>1</v>
      </c>
      <c r="G11" s="265"/>
      <c r="H11" s="479">
        <f>IF(C11=0,0,C11*D11*E11/100)</f>
        <v>0</v>
      </c>
      <c r="I11" s="502"/>
      <c r="K11" s="417" t="s">
        <v>64</v>
      </c>
      <c r="L11" s="417"/>
      <c r="M11" s="417"/>
      <c r="N11" s="417"/>
      <c r="O11" s="417"/>
      <c r="P11" s="417"/>
      <c r="Q11" s="417"/>
      <c r="R11" s="417"/>
      <c r="S11" s="417"/>
      <c r="T11" s="417"/>
      <c r="U11" s="417"/>
      <c r="V11" s="417"/>
      <c r="W11" s="417"/>
    </row>
    <row r="12" spans="1:27" ht="12.75" customHeight="1" thickBot="1">
      <c r="B12" s="255" t="s">
        <v>135</v>
      </c>
      <c r="C12" s="117">
        <f>Inputs!G45</f>
        <v>0</v>
      </c>
      <c r="D12" s="189">
        <f>Inputs!G36</f>
        <v>625</v>
      </c>
      <c r="E12" s="252">
        <f>Inputs!G37</f>
        <v>160</v>
      </c>
      <c r="F12" s="251" t="s">
        <v>1</v>
      </c>
      <c r="G12" s="265"/>
      <c r="H12" s="480">
        <f>IF(C12=0,0,C12*D12*E12/100)</f>
        <v>0</v>
      </c>
      <c r="I12" s="503"/>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189">
        <f>SUM(H11:H12)</f>
        <v>0</v>
      </c>
      <c r="I13" s="504">
        <f>IF(H13=0,0,H13/($C$5+$C$4))</f>
        <v>0</v>
      </c>
      <c r="K13" s="419"/>
      <c r="L13" s="816"/>
      <c r="M13" s="419"/>
      <c r="N13" s="417"/>
      <c r="O13" s="417"/>
      <c r="P13" s="417"/>
      <c r="Q13" s="417"/>
      <c r="R13" s="417"/>
      <c r="S13" s="417"/>
      <c r="T13" s="417"/>
      <c r="U13" s="417" t="str">
        <f>IF(Inputs!B68="","",Inputs!B68)</f>
        <v xml:space="preserve">Pasture  </v>
      </c>
      <c r="V13" s="417"/>
      <c r="W13" s="417"/>
      <c r="Y13" s="221"/>
      <c r="Z13" s="221"/>
      <c r="AA13" s="221"/>
    </row>
    <row r="14" spans="1:27">
      <c r="B14" s="250"/>
      <c r="C14" s="371"/>
      <c r="D14" s="251"/>
      <c r="E14" s="239"/>
      <c r="F14" s="251"/>
      <c r="G14" s="251"/>
      <c r="H14" s="189"/>
      <c r="I14" s="504"/>
      <c r="K14" s="419"/>
      <c r="L14" s="816"/>
      <c r="M14" s="419"/>
      <c r="N14" s="417"/>
      <c r="O14" s="417"/>
      <c r="P14" s="417"/>
      <c r="Q14" s="417"/>
      <c r="R14" s="417"/>
      <c r="S14" s="417"/>
      <c r="T14" s="417"/>
      <c r="U14" s="417" t="str">
        <f>IF(Inputs!B69="","",Inputs!B69)</f>
        <v>Grain mix (distillers &amp; corn)</v>
      </c>
      <c r="V14" s="417"/>
      <c r="W14" s="417"/>
      <c r="Y14" s="221"/>
      <c r="Z14" s="221"/>
      <c r="AA14" s="221"/>
    </row>
    <row r="15" spans="1:27" ht="39" customHeight="1">
      <c r="A15" s="155"/>
      <c r="B15" s="255" t="s">
        <v>7</v>
      </c>
      <c r="C15" s="356" t="s">
        <v>68</v>
      </c>
      <c r="D15" s="251"/>
      <c r="E15" s="357" t="s">
        <v>63</v>
      </c>
      <c r="F15" s="270" t="s">
        <v>5</v>
      </c>
      <c r="G15" s="116"/>
      <c r="H15" s="481" t="s">
        <v>31</v>
      </c>
      <c r="I15" s="505" t="s">
        <v>31</v>
      </c>
      <c r="K15" s="430"/>
      <c r="L15" s="816"/>
      <c r="M15" s="419"/>
      <c r="N15" s="417"/>
      <c r="O15" s="417"/>
      <c r="P15" s="417"/>
      <c r="Q15" s="417"/>
      <c r="R15" s="417"/>
      <c r="S15" s="417"/>
      <c r="T15" s="417"/>
      <c r="U15" s="417" t="str">
        <f>IF(Inputs!B70="","",Inputs!B70)</f>
        <v>Prairie Hay</v>
      </c>
      <c r="V15" s="417"/>
      <c r="W15" s="417"/>
      <c r="Y15" s="221"/>
      <c r="Z15" s="221"/>
      <c r="AA15" s="221"/>
    </row>
    <row r="16" spans="1:27">
      <c r="B16" s="745"/>
      <c r="C16" s="746"/>
      <c r="D16" s="278" t="str">
        <f t="shared" ref="D16:D21" si="5">IF(B16="","",CONCATENATE(VLOOKUP(B16,Feed,5,FALSE)))</f>
        <v/>
      </c>
      <c r="E16" s="748" t="s">
        <v>61</v>
      </c>
      <c r="F16" s="257" t="str">
        <f t="shared" ref="F16:F21" si="6">IF(B16="","",VLOOKUP(B16,Feed,7,FALSE))</f>
        <v/>
      </c>
      <c r="G16" s="273" t="str">
        <f t="shared" ref="G16:G21" si="7">IF(B16="","",CONCATENATE("$ ",VLOOKUP(B16,Feed,5,FALSE)))</f>
        <v/>
      </c>
      <c r="H16" s="434" t="str">
        <f t="shared" ref="H16:H21" si="8">IF(B16="","",C16*F16*IF(E16="per animal",($C$4+$C$5+$C$11+$C$12)/2,1))</f>
        <v/>
      </c>
      <c r="I16" s="438"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44"/>
      <c r="C17" s="747"/>
      <c r="D17" s="278" t="str">
        <f t="shared" si="5"/>
        <v/>
      </c>
      <c r="E17" s="749" t="s">
        <v>61</v>
      </c>
      <c r="F17" s="257" t="str">
        <f t="shared" si="6"/>
        <v/>
      </c>
      <c r="G17" s="273" t="str">
        <f t="shared" si="7"/>
        <v/>
      </c>
      <c r="H17" s="434" t="str">
        <f t="shared" si="8"/>
        <v/>
      </c>
      <c r="I17" s="438" t="str">
        <f t="shared" si="9"/>
        <v/>
      </c>
      <c r="K17" s="417">
        <f t="shared" si="10"/>
        <v>0</v>
      </c>
      <c r="L17" s="419"/>
      <c r="M17" s="419"/>
      <c r="N17" s="417"/>
      <c r="O17" s="417"/>
      <c r="P17" s="417"/>
      <c r="Q17" s="417"/>
      <c r="R17" s="417"/>
      <c r="S17" s="417"/>
      <c r="T17" s="417"/>
      <c r="U17" s="417" t="str">
        <f>IF(Inputs!B72="","",Inputs!B72)</f>
        <v>Distiller's Grain - modified wet</v>
      </c>
      <c r="V17" s="417"/>
      <c r="W17" s="417"/>
      <c r="Y17" s="221"/>
      <c r="Z17" s="221"/>
      <c r="AA17" s="221"/>
    </row>
    <row r="18" spans="1:27">
      <c r="B18" s="204"/>
      <c r="C18" s="205"/>
      <c r="D18" s="278" t="str">
        <f t="shared" si="5"/>
        <v/>
      </c>
      <c r="E18" s="218"/>
      <c r="F18" s="257" t="str">
        <f t="shared" si="6"/>
        <v/>
      </c>
      <c r="G18" s="273" t="str">
        <f t="shared" si="7"/>
        <v/>
      </c>
      <c r="H18" s="434" t="str">
        <f t="shared" si="8"/>
        <v/>
      </c>
      <c r="I18" s="438"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5"/>
        <v/>
      </c>
      <c r="E19" s="218"/>
      <c r="F19" s="257" t="str">
        <f t="shared" si="6"/>
        <v/>
      </c>
      <c r="G19" s="273" t="str">
        <f t="shared" si="7"/>
        <v/>
      </c>
      <c r="H19" s="434" t="str">
        <f t="shared" si="8"/>
        <v/>
      </c>
      <c r="I19" s="438" t="str">
        <f t="shared" si="9"/>
        <v/>
      </c>
      <c r="K19" s="417">
        <f t="shared" si="10"/>
        <v>0</v>
      </c>
      <c r="L19" s="419"/>
      <c r="M19" s="419"/>
      <c r="N19" s="417"/>
      <c r="O19" s="417"/>
      <c r="P19" s="417"/>
      <c r="Q19" s="417"/>
      <c r="R19" s="417"/>
      <c r="S19" s="417"/>
      <c r="T19" s="417"/>
      <c r="U19" s="417" t="str">
        <f>IF(Inputs!B74="","",Inputs!B74)</f>
        <v>Dried Distiller's Cubes - bulk</v>
      </c>
      <c r="V19" s="417"/>
      <c r="W19" s="417"/>
      <c r="Y19" s="221"/>
      <c r="Z19" s="221"/>
      <c r="AA19" s="221"/>
    </row>
    <row r="20" spans="1:27">
      <c r="B20" s="204"/>
      <c r="C20" s="205"/>
      <c r="D20" s="278" t="str">
        <f t="shared" si="5"/>
        <v/>
      </c>
      <c r="E20" s="218"/>
      <c r="F20" s="257" t="str">
        <f t="shared" si="6"/>
        <v/>
      </c>
      <c r="G20" s="273" t="str">
        <f t="shared" si="7"/>
        <v/>
      </c>
      <c r="H20" s="434" t="str">
        <f t="shared" si="8"/>
        <v/>
      </c>
      <c r="I20" s="438" t="str">
        <f t="shared" si="9"/>
        <v/>
      </c>
      <c r="K20" s="417">
        <f t="shared" si="10"/>
        <v>0</v>
      </c>
      <c r="L20" s="419"/>
      <c r="M20" s="419"/>
      <c r="N20" s="417"/>
      <c r="O20" s="417"/>
      <c r="P20" s="417"/>
      <c r="Q20" s="417"/>
      <c r="R20" s="417"/>
      <c r="S20" s="417"/>
      <c r="T20" s="417"/>
      <c r="U20" s="417" t="str">
        <f>IF(Inputs!B75="","",Inputs!B75)</f>
        <v>Corn</v>
      </c>
      <c r="V20" s="417"/>
      <c r="W20" s="417"/>
      <c r="Y20" s="221"/>
      <c r="Z20" s="221"/>
      <c r="AA20" s="221"/>
    </row>
    <row r="21" spans="1:27" ht="13.5" thickBot="1">
      <c r="B21" s="204"/>
      <c r="C21" s="205"/>
      <c r="D21" s="278" t="str">
        <f t="shared" si="5"/>
        <v/>
      </c>
      <c r="E21" s="218"/>
      <c r="F21" s="257" t="str">
        <f t="shared" si="6"/>
        <v/>
      </c>
      <c r="G21" s="273" t="str">
        <f t="shared" si="7"/>
        <v/>
      </c>
      <c r="H21" s="435" t="str">
        <f t="shared" si="8"/>
        <v/>
      </c>
      <c r="I21" s="506" t="str">
        <f t="shared" si="9"/>
        <v/>
      </c>
      <c r="K21" s="417">
        <f t="shared" si="10"/>
        <v>0</v>
      </c>
      <c r="L21" s="419"/>
      <c r="M21" s="419"/>
      <c r="N21" s="417"/>
      <c r="O21" s="417"/>
      <c r="P21" s="417"/>
      <c r="Q21" s="417"/>
      <c r="R21" s="417"/>
      <c r="S21" s="417"/>
      <c r="T21" s="417"/>
      <c r="U21" s="417" t="str">
        <f>IF(Inputs!B76="","",Inputs!B76)</f>
        <v>Dried Rolled Corn</v>
      </c>
      <c r="V21" s="417"/>
      <c r="W21" s="417"/>
      <c r="Y21" s="221"/>
      <c r="Z21" s="221"/>
      <c r="AA21" s="221"/>
    </row>
    <row r="22" spans="1:27" ht="13.5" thickTop="1">
      <c r="B22" s="250"/>
      <c r="C22" s="75"/>
      <c r="D22" s="251"/>
      <c r="E22" s="258"/>
      <c r="F22" s="260"/>
      <c r="G22" s="258" t="s">
        <v>36</v>
      </c>
      <c r="H22" s="482">
        <f>SUM(H16:H21)</f>
        <v>0</v>
      </c>
      <c r="I22" s="507">
        <f>SUM(I16:I21)</f>
        <v>0</v>
      </c>
      <c r="K22" s="417"/>
      <c r="L22" s="417"/>
      <c r="M22" s="417"/>
      <c r="N22" s="417"/>
      <c r="O22" s="417"/>
      <c r="P22" s="417"/>
      <c r="Q22" s="417"/>
      <c r="R22" s="417"/>
      <c r="S22" s="417"/>
      <c r="T22" s="417"/>
      <c r="U22" s="417" t="str">
        <f>IF(Inputs!B77="","",Inputs!B77)</f>
        <v>Corn Stalks</v>
      </c>
      <c r="V22" s="417"/>
      <c r="W22" s="417"/>
      <c r="Y22" s="221"/>
      <c r="Z22" s="221"/>
      <c r="AA22" s="221"/>
    </row>
    <row r="23" spans="1:27">
      <c r="A23" s="156"/>
      <c r="B23" s="250"/>
      <c r="C23" s="243"/>
      <c r="D23" s="251"/>
      <c r="E23" s="251"/>
      <c r="F23" s="251"/>
      <c r="G23" s="251"/>
      <c r="H23" s="436"/>
      <c r="I23" s="497"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483" t="s">
        <v>31</v>
      </c>
      <c r="I24" s="50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256">
        <f>Inputs!D81</f>
        <v>30</v>
      </c>
      <c r="E25" s="359" t="str">
        <f>Inputs!E81</f>
        <v>per animal</v>
      </c>
      <c r="F25" s="124">
        <f>Inputs!S81</f>
        <v>0</v>
      </c>
      <c r="G25" s="265"/>
      <c r="H25" s="436">
        <f>D25*IF(E25="per animal",$C$11+$C$12,1)*F25</f>
        <v>0</v>
      </c>
      <c r="I25" s="438"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256">
        <f>Inputs!D82</f>
        <v>20</v>
      </c>
      <c r="E26" s="359" t="str">
        <f>Inputs!E82</f>
        <v>per animal</v>
      </c>
      <c r="F26" s="124">
        <f>Inputs!S82</f>
        <v>0</v>
      </c>
      <c r="G26" s="265"/>
      <c r="H26" s="436">
        <f t="shared" ref="H26:H33" si="11">D26*IF(E26="per animal",$C$11+$C$12,1)*F26</f>
        <v>0</v>
      </c>
      <c r="I26" s="438"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256">
        <f>Inputs!D83</f>
        <v>25</v>
      </c>
      <c r="E27" s="359" t="str">
        <f>Inputs!E83</f>
        <v>per animal</v>
      </c>
      <c r="F27" s="124">
        <f>Inputs!S83</f>
        <v>0</v>
      </c>
      <c r="G27" s="265"/>
      <c r="H27" s="436">
        <f t="shared" si="11"/>
        <v>0</v>
      </c>
      <c r="I27" s="438" t="str">
        <f t="shared" si="12"/>
        <v/>
      </c>
      <c r="K27" s="417"/>
      <c r="L27" s="417"/>
      <c r="M27" s="417"/>
      <c r="N27" s="417"/>
      <c r="O27" s="417"/>
      <c r="P27" s="417"/>
      <c r="Q27" s="417"/>
      <c r="R27" s="417"/>
      <c r="S27" s="417"/>
      <c r="T27" s="417"/>
      <c r="U27" s="417"/>
      <c r="V27" s="417"/>
      <c r="W27" s="417"/>
      <c r="Y27" s="221"/>
      <c r="Z27" s="221"/>
      <c r="AA27" s="221"/>
    </row>
    <row r="28" spans="1:27">
      <c r="B28" s="250" t="str">
        <f>Inputs!B89</f>
        <v>Stocker Marketing</v>
      </c>
      <c r="C28" s="275"/>
      <c r="D28" s="256">
        <f>Inputs!X89</f>
        <v>0</v>
      </c>
      <c r="E28" s="359" t="s">
        <v>61</v>
      </c>
      <c r="F28" s="124"/>
      <c r="G28" s="265"/>
      <c r="H28" s="591">
        <f>Inputs!Z89</f>
        <v>0</v>
      </c>
      <c r="I28" s="438"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256">
        <f>Inputs!D91</f>
        <v>0</v>
      </c>
      <c r="E29" s="359">
        <f>Inputs!E91</f>
        <v>0</v>
      </c>
      <c r="F29" s="124">
        <f>Inputs!S91</f>
        <v>0</v>
      </c>
      <c r="G29" s="265"/>
      <c r="H29" s="436">
        <f t="shared" si="11"/>
        <v>0</v>
      </c>
      <c r="I29" s="438" t="str">
        <f t="shared" si="12"/>
        <v/>
      </c>
      <c r="K29" s="417"/>
      <c r="L29" s="417"/>
      <c r="M29" s="417"/>
      <c r="N29" s="417"/>
      <c r="O29" s="417"/>
      <c r="P29" s="417"/>
      <c r="Q29" s="417"/>
      <c r="R29" s="417"/>
      <c r="S29" s="417"/>
      <c r="T29" s="417"/>
      <c r="U29" s="417"/>
      <c r="V29" s="417"/>
      <c r="W29" s="417"/>
      <c r="Y29" s="221"/>
      <c r="Z29" s="221"/>
      <c r="AA29" s="221"/>
    </row>
    <row r="30" spans="1:27" hidden="1">
      <c r="B30" s="284" t="str">
        <f>Inputs!B92</f>
        <v xml:space="preserve">Horse maintenance /feed </v>
      </c>
      <c r="C30" s="252" t="s">
        <v>9</v>
      </c>
      <c r="D30" s="256">
        <f>Inputs!D92</f>
        <v>2000</v>
      </c>
      <c r="E30" s="359" t="str">
        <f>Inputs!E92</f>
        <v>all animals</v>
      </c>
      <c r="F30" s="124">
        <f>Inputs!S92</f>
        <v>0</v>
      </c>
      <c r="G30" s="265"/>
      <c r="H30" s="436">
        <f t="shared" si="11"/>
        <v>0</v>
      </c>
      <c r="I30" s="438"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256">
        <f>Inputs!D93</f>
        <v>0</v>
      </c>
      <c r="E31" s="359">
        <f>Inputs!E93</f>
        <v>0</v>
      </c>
      <c r="F31" s="124">
        <f>Inputs!S93</f>
        <v>0</v>
      </c>
      <c r="G31" s="265"/>
      <c r="H31" s="436">
        <f t="shared" si="11"/>
        <v>0</v>
      </c>
      <c r="I31" s="438"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256">
        <f>Inputs!D94</f>
        <v>0</v>
      </c>
      <c r="E32" s="359">
        <f>Inputs!E94</f>
        <v>0</v>
      </c>
      <c r="F32" s="124">
        <f>Inputs!S94</f>
        <v>0</v>
      </c>
      <c r="G32" s="265"/>
      <c r="H32" s="436">
        <f t="shared" si="11"/>
        <v>0</v>
      </c>
      <c r="I32" s="438"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256">
        <f>Inputs!D95</f>
        <v>0</v>
      </c>
      <c r="E33" s="359">
        <f>Inputs!E95</f>
        <v>0</v>
      </c>
      <c r="F33" s="124">
        <f>Inputs!S95</f>
        <v>0</v>
      </c>
      <c r="G33" s="265"/>
      <c r="H33" s="436">
        <f t="shared" si="11"/>
        <v>0</v>
      </c>
      <c r="I33" s="438"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29" t="s">
        <v>118</v>
      </c>
      <c r="D34" s="830"/>
      <c r="E34" s="830"/>
      <c r="F34" s="830"/>
      <c r="G34" s="831"/>
      <c r="H34" s="450">
        <f>(SUM(H22,H25:H27,H29:H33,D40:D48)/2+H13)*Inputs!E111*E1/365</f>
        <v>0</v>
      </c>
      <c r="I34" s="439"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484">
        <f>SUM(H25:H34)</f>
        <v>0</v>
      </c>
      <c r="I35" s="509">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485">
        <f>H13+H22+H35</f>
        <v>0</v>
      </c>
      <c r="I36" s="510">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486"/>
      <c r="I37" s="511" t="str">
        <f>IF(H37=0,"",H37/$C$5)</f>
        <v/>
      </c>
      <c r="Y37" s="221"/>
      <c r="Z37" s="221"/>
      <c r="AA37" s="221"/>
    </row>
    <row r="38" spans="2:27" ht="26.25" thickBot="1">
      <c r="B38" s="41" t="s">
        <v>109</v>
      </c>
      <c r="C38" s="108"/>
      <c r="D38" s="109"/>
      <c r="E38" s="109"/>
      <c r="F38" s="109"/>
      <c r="G38" s="109"/>
      <c r="H38" s="477" t="s">
        <v>74</v>
      </c>
      <c r="I38" s="500" t="s">
        <v>94</v>
      </c>
      <c r="Y38" s="221"/>
      <c r="Z38" s="221"/>
      <c r="AA38" s="221"/>
    </row>
    <row r="39" spans="2:27">
      <c r="B39" s="263" t="s">
        <v>39</v>
      </c>
      <c r="C39" s="243"/>
      <c r="D39" s="364" t="s">
        <v>15</v>
      </c>
      <c r="E39" s="364"/>
      <c r="F39" s="364" t="s">
        <v>48</v>
      </c>
      <c r="G39" s="266"/>
      <c r="H39" s="487" t="s">
        <v>31</v>
      </c>
      <c r="I39" s="512" t="s">
        <v>31</v>
      </c>
      <c r="Y39" s="221"/>
      <c r="Z39" s="221"/>
      <c r="AA39" s="221"/>
    </row>
    <row r="40" spans="2:27">
      <c r="B40" s="250" t="str">
        <f>Inputs!B100</f>
        <v>General machinery &amp; equipment</v>
      </c>
      <c r="C40" s="243"/>
      <c r="D40" s="366">
        <f>Inputs!G100</f>
        <v>1000</v>
      </c>
      <c r="E40" s="256"/>
      <c r="F40" s="264">
        <f>IF(D40=0,0,Inputs!S100)</f>
        <v>0</v>
      </c>
      <c r="G40" s="272"/>
      <c r="H40" s="434">
        <f>IF(B40="","",D40*F40)</f>
        <v>0</v>
      </c>
      <c r="I40" s="438" t="str">
        <f>IF(B40="","",IF(($C$4+$C$5)=0,"",H40/($C$4+$C$5)))</f>
        <v/>
      </c>
      <c r="Y40" s="221"/>
      <c r="Z40" s="221"/>
      <c r="AA40" s="221"/>
    </row>
    <row r="41" spans="2:27">
      <c r="B41" s="250" t="str">
        <f>Inputs!B101</f>
        <v>Vehicles</v>
      </c>
      <c r="C41" s="243"/>
      <c r="D41" s="366">
        <f>Inputs!G101</f>
        <v>1200</v>
      </c>
      <c r="E41" s="256"/>
      <c r="F41" s="264">
        <f>IF(D41=0,0,Inputs!S101)</f>
        <v>0</v>
      </c>
      <c r="G41" s="272"/>
      <c r="H41" s="434">
        <f t="shared" ref="H41:H48" si="13">IF(B41="","",D41*F41)</f>
        <v>0</v>
      </c>
      <c r="I41" s="438" t="str">
        <f t="shared" ref="I41:I48" si="14">IF(B41="","",IF(($C$4+$C$5)=0,"",H41/($C$4+$C$5)))</f>
        <v/>
      </c>
      <c r="Y41" s="221"/>
      <c r="Z41" s="221"/>
      <c r="AA41" s="221"/>
    </row>
    <row r="42" spans="2:27">
      <c r="B42" s="284" t="str">
        <f>Inputs!B102</f>
        <v>2 Horses ($5,000 value each)</v>
      </c>
      <c r="C42" s="251"/>
      <c r="D42" s="366">
        <f>Inputs!G102</f>
        <v>0</v>
      </c>
      <c r="E42" s="256"/>
      <c r="F42" s="264">
        <f>IF(D42=0,0,Inputs!S102)</f>
        <v>0</v>
      </c>
      <c r="G42" s="272"/>
      <c r="H42" s="434">
        <f t="shared" si="13"/>
        <v>0</v>
      </c>
      <c r="I42" s="438" t="str">
        <f t="shared" si="14"/>
        <v/>
      </c>
      <c r="Y42" s="221"/>
      <c r="Z42" s="221"/>
      <c r="AA42" s="221"/>
    </row>
    <row r="43" spans="2:27">
      <c r="B43" s="284">
        <f>Inputs!B103</f>
        <v>0</v>
      </c>
      <c r="C43" s="251"/>
      <c r="D43" s="366">
        <f>Inputs!G103</f>
        <v>0</v>
      </c>
      <c r="E43" s="256"/>
      <c r="F43" s="264">
        <f>IF(D43=0,0,Inputs!S103)</f>
        <v>0</v>
      </c>
      <c r="G43" s="272"/>
      <c r="H43" s="434">
        <f t="shared" si="13"/>
        <v>0</v>
      </c>
      <c r="I43" s="438" t="str">
        <f t="shared" si="14"/>
        <v/>
      </c>
      <c r="Y43" s="221"/>
      <c r="Z43" s="221"/>
      <c r="AA43" s="221"/>
    </row>
    <row r="44" spans="2:27" hidden="1">
      <c r="B44" s="284">
        <f>Inputs!B104</f>
        <v>0</v>
      </c>
      <c r="C44" s="251"/>
      <c r="D44" s="366">
        <f>Inputs!G104</f>
        <v>0</v>
      </c>
      <c r="E44" s="256"/>
      <c r="F44" s="264">
        <f>IF(D44=0,0,Inputs!S104)</f>
        <v>0</v>
      </c>
      <c r="G44" s="272"/>
      <c r="H44" s="434">
        <f t="shared" si="13"/>
        <v>0</v>
      </c>
      <c r="I44" s="438" t="str">
        <f t="shared" si="14"/>
        <v/>
      </c>
      <c r="Y44" s="221"/>
      <c r="Z44" s="221"/>
      <c r="AA44" s="221"/>
    </row>
    <row r="45" spans="2:27" hidden="1">
      <c r="B45" s="284">
        <f>Inputs!B105</f>
        <v>0</v>
      </c>
      <c r="C45" s="251"/>
      <c r="D45" s="366">
        <f>Inputs!G105</f>
        <v>0</v>
      </c>
      <c r="E45" s="256"/>
      <c r="F45" s="264">
        <f>IF(D45=0,0,Inputs!S105)</f>
        <v>0</v>
      </c>
      <c r="G45" s="272"/>
      <c r="H45" s="434">
        <f t="shared" si="13"/>
        <v>0</v>
      </c>
      <c r="I45" s="438" t="str">
        <f t="shared" si="14"/>
        <v/>
      </c>
      <c r="Y45" s="221"/>
      <c r="Z45" s="221"/>
      <c r="AA45" s="221"/>
    </row>
    <row r="46" spans="2:27" hidden="1">
      <c r="B46" s="284">
        <f>Inputs!B106</f>
        <v>0</v>
      </c>
      <c r="C46" s="251"/>
      <c r="D46" s="366">
        <f>Inputs!G106</f>
        <v>0</v>
      </c>
      <c r="E46" s="256"/>
      <c r="F46" s="264">
        <f>IF(D46=0,0,Inputs!S106)</f>
        <v>0</v>
      </c>
      <c r="G46" s="272"/>
      <c r="H46" s="434">
        <f t="shared" si="13"/>
        <v>0</v>
      </c>
      <c r="I46" s="438" t="str">
        <f t="shared" si="14"/>
        <v/>
      </c>
      <c r="Y46" s="221"/>
      <c r="Z46" s="221"/>
      <c r="AA46" s="221"/>
    </row>
    <row r="47" spans="2:27" hidden="1">
      <c r="B47" s="284">
        <f>Inputs!B107</f>
        <v>0</v>
      </c>
      <c r="C47" s="251"/>
      <c r="D47" s="366">
        <f>Inputs!G107</f>
        <v>0</v>
      </c>
      <c r="E47" s="256"/>
      <c r="F47" s="264">
        <f>IF(D47=0,0,Inputs!S107)</f>
        <v>0</v>
      </c>
      <c r="G47" s="272"/>
      <c r="H47" s="434">
        <f t="shared" si="13"/>
        <v>0</v>
      </c>
      <c r="I47" s="438" t="str">
        <f t="shared" si="14"/>
        <v/>
      </c>
      <c r="Y47" s="221"/>
      <c r="Z47" s="221"/>
      <c r="AA47" s="221"/>
    </row>
    <row r="48" spans="2:27" ht="13.5" thickBot="1">
      <c r="B48" s="284">
        <f>Inputs!B108</f>
        <v>0</v>
      </c>
      <c r="C48" s="251"/>
      <c r="D48" s="366">
        <f>Inputs!G108</f>
        <v>0</v>
      </c>
      <c r="E48" s="256"/>
      <c r="F48" s="264">
        <f>IF(D48=0,0,Inputs!S108)</f>
        <v>0</v>
      </c>
      <c r="G48" s="272"/>
      <c r="H48" s="435">
        <f t="shared" si="13"/>
        <v>0</v>
      </c>
      <c r="I48" s="506" t="str">
        <f t="shared" si="14"/>
        <v/>
      </c>
      <c r="Y48" s="221"/>
      <c r="Z48" s="221"/>
      <c r="AA48" s="221"/>
    </row>
    <row r="49" spans="1:32" ht="13.5" thickTop="1">
      <c r="B49" s="250"/>
      <c r="C49" s="243"/>
      <c r="D49" s="239"/>
      <c r="E49" s="92"/>
      <c r="F49" s="92"/>
      <c r="G49" s="126" t="s">
        <v>112</v>
      </c>
      <c r="H49" s="488">
        <f>SUM(H40:H48)</f>
        <v>0</v>
      </c>
      <c r="I49" s="513">
        <f>SUM(I40:I48)</f>
        <v>0</v>
      </c>
      <c r="Y49" s="221"/>
      <c r="Z49" s="221"/>
      <c r="AA49" s="221"/>
    </row>
    <row r="50" spans="1:32">
      <c r="B50" s="250"/>
      <c r="C50" s="243"/>
      <c r="D50" s="251"/>
      <c r="E50" s="251"/>
      <c r="F50" s="251"/>
      <c r="G50" s="251"/>
      <c r="H50" s="436"/>
      <c r="I50" s="497" t="str">
        <f>IF(H50=0,"",H50/$C$5)</f>
        <v/>
      </c>
      <c r="Y50" s="221"/>
      <c r="Z50" s="221"/>
      <c r="AA50" s="221"/>
    </row>
    <row r="51" spans="1:32">
      <c r="B51" s="263" t="s">
        <v>54</v>
      </c>
      <c r="C51" s="243"/>
      <c r="D51" s="364" t="s">
        <v>56</v>
      </c>
      <c r="E51" s="251"/>
      <c r="F51" s="364" t="s">
        <v>48</v>
      </c>
      <c r="G51" s="265"/>
      <c r="H51" s="483" t="s">
        <v>31</v>
      </c>
      <c r="I51" s="505" t="s">
        <v>31</v>
      </c>
      <c r="Y51" s="221"/>
      <c r="Z51" s="221"/>
      <c r="AA51" s="221"/>
    </row>
    <row r="52" spans="1:32">
      <c r="B52" s="250" t="str">
        <f>Inputs!B117</f>
        <v>Real Estate Tax</v>
      </c>
      <c r="C52" s="243"/>
      <c r="D52" s="110">
        <f>Inputs!E117</f>
        <v>540</v>
      </c>
      <c r="E52" s="251"/>
      <c r="F52" s="279">
        <f>IF(D52=0,0,Inputs!S117)</f>
        <v>0</v>
      </c>
      <c r="G52" s="265"/>
      <c r="H52" s="436">
        <f>F52*Inputs!E117</f>
        <v>0</v>
      </c>
      <c r="I52" s="438" t="str">
        <f>IF(B52="","",IF(($C$4+$C$5)=0,"",H52/($C$4+$C$5)))</f>
        <v/>
      </c>
      <c r="Y52" s="221"/>
      <c r="Z52" s="221"/>
      <c r="AA52" s="221"/>
    </row>
    <row r="53" spans="1:32">
      <c r="B53" s="250" t="str">
        <f>Inputs!B118</f>
        <v>Annual Insurance Premium</v>
      </c>
      <c r="C53" s="243"/>
      <c r="D53" s="110">
        <f>Inputs!E118</f>
        <v>2500</v>
      </c>
      <c r="E53" s="251"/>
      <c r="F53" s="279">
        <f>IF(D53=0,0,Inputs!S118)</f>
        <v>0</v>
      </c>
      <c r="G53" s="265"/>
      <c r="H53" s="436">
        <f>F53*Inputs!E118</f>
        <v>0</v>
      </c>
      <c r="I53" s="438" t="str">
        <f>IF(B53="","",IF(($C$4+$C$5)=0,"",H53/($C$4+$C$5)))</f>
        <v/>
      </c>
      <c r="Y53" s="221"/>
      <c r="Z53" s="221"/>
      <c r="AA53" s="221"/>
    </row>
    <row r="54" spans="1:32">
      <c r="B54" s="250" t="str">
        <f>Inputs!B119</f>
        <v>Professional Fees</v>
      </c>
      <c r="C54" s="243"/>
      <c r="D54" s="110">
        <f>Inputs!E119</f>
        <v>1000</v>
      </c>
      <c r="E54" s="251"/>
      <c r="F54" s="279">
        <f>IF(D54=0,0,Inputs!S119)</f>
        <v>0</v>
      </c>
      <c r="G54" s="265"/>
      <c r="H54" s="436">
        <f>F54*Inputs!E119</f>
        <v>0</v>
      </c>
      <c r="I54" s="438" t="str">
        <f>IF(B54="","",IF(($C$4+$C$5)=0,"",H54/($C$4+$C$5)))</f>
        <v/>
      </c>
      <c r="Y54" s="221"/>
      <c r="Z54" s="221"/>
      <c r="AA54" s="221"/>
    </row>
    <row r="55" spans="1:32">
      <c r="B55" s="250" t="str">
        <f>Inputs!B120</f>
        <v>Annual Management Charge</v>
      </c>
      <c r="C55" s="243"/>
      <c r="D55" s="110">
        <f>Inputs!E120</f>
        <v>0</v>
      </c>
      <c r="E55" s="251"/>
      <c r="F55" s="279">
        <f>IF(D55=0,0,Inputs!S120)</f>
        <v>0</v>
      </c>
      <c r="G55" s="265"/>
      <c r="H55" s="436">
        <f>F55*Inputs!E120</f>
        <v>0</v>
      </c>
      <c r="I55" s="438" t="str">
        <f>IF(B55="","",IF(($C$4+$C$5)=0,"",H55/($C$4+$C$5)))</f>
        <v/>
      </c>
      <c r="Y55" s="221"/>
      <c r="Z55" s="221"/>
      <c r="AA55" s="221"/>
    </row>
    <row r="56" spans="1:32" ht="13.5" thickBot="1">
      <c r="B56" s="250" t="str">
        <f>Inputs!B121</f>
        <v>Other</v>
      </c>
      <c r="C56" s="243"/>
      <c r="D56" s="110">
        <f>Inputs!E121</f>
        <v>750</v>
      </c>
      <c r="E56" s="251"/>
      <c r="F56" s="279">
        <f>IF(D56=0,0,Inputs!S121)</f>
        <v>0</v>
      </c>
      <c r="G56" s="265"/>
      <c r="H56" s="489">
        <f>F56*Inputs!E121</f>
        <v>0</v>
      </c>
      <c r="I56" s="506" t="str">
        <f>IF(B56="","",IF(($C$4+$C$5)=0,"",H56/($C$4+$C$5)))</f>
        <v/>
      </c>
      <c r="Y56" s="221"/>
      <c r="Z56" s="221"/>
      <c r="AA56" s="221"/>
    </row>
    <row r="57" spans="1:32" ht="14.25" thickTop="1" thickBot="1">
      <c r="B57" s="253"/>
      <c r="C57" s="244"/>
      <c r="D57" s="254"/>
      <c r="E57" s="254"/>
      <c r="F57" s="239"/>
      <c r="G57" s="259" t="s">
        <v>43</v>
      </c>
      <c r="H57" s="490">
        <f>SUM(H52:H56)</f>
        <v>0</v>
      </c>
      <c r="I57" s="514">
        <f>SUM(I52:I56)</f>
        <v>0</v>
      </c>
      <c r="K57" s="223"/>
      <c r="Y57" s="221"/>
      <c r="Z57" s="221"/>
      <c r="AA57" s="221"/>
    </row>
    <row r="58" spans="1:32" ht="13.5" thickBot="1">
      <c r="B58" s="99">
        <v>217480.06701030929</v>
      </c>
      <c r="C58" s="96"/>
      <c r="D58" s="42"/>
      <c r="E58" s="42"/>
      <c r="F58" s="42"/>
      <c r="G58" s="21" t="s">
        <v>103</v>
      </c>
      <c r="H58" s="485">
        <f>H49+H57</f>
        <v>0</v>
      </c>
      <c r="I58" s="515">
        <f>I49+I57</f>
        <v>0</v>
      </c>
      <c r="J58" s="160"/>
      <c r="Y58" s="221"/>
      <c r="Z58" s="221"/>
      <c r="AA58" s="221"/>
    </row>
    <row r="59" spans="1:32" ht="13.5" thickBot="1">
      <c r="B59" s="43"/>
      <c r="C59" s="43"/>
      <c r="D59" s="43"/>
      <c r="E59" s="43"/>
      <c r="F59" s="43"/>
      <c r="G59" s="43"/>
      <c r="H59" s="491"/>
      <c r="I59" s="499" t="str">
        <f>IF(H59=0,"",H59/$C$5)</f>
        <v/>
      </c>
      <c r="Y59" s="221"/>
      <c r="Z59" s="221"/>
      <c r="AA59" s="221"/>
    </row>
    <row r="60" spans="1:32" ht="13.5" thickBot="1">
      <c r="B60" s="98"/>
      <c r="C60" s="96"/>
      <c r="D60" s="67"/>
      <c r="E60" s="67"/>
      <c r="F60" s="67"/>
      <c r="G60" s="21" t="s">
        <v>111</v>
      </c>
      <c r="H60" s="485">
        <f>H36+H58</f>
        <v>0</v>
      </c>
      <c r="I60" s="515">
        <f>I36+I58</f>
        <v>0</v>
      </c>
      <c r="Y60" s="221"/>
      <c r="Z60" s="221"/>
      <c r="AA60" s="221"/>
    </row>
    <row r="61" spans="1:32" ht="13.5" thickBot="1">
      <c r="B61" s="104"/>
      <c r="C61" s="104"/>
      <c r="D61" s="104"/>
      <c r="E61" s="104"/>
      <c r="F61" s="104"/>
      <c r="G61" s="104"/>
      <c r="H61" s="492"/>
      <c r="I61" s="516"/>
      <c r="Y61" s="221"/>
      <c r="Z61" s="221"/>
      <c r="AA61" s="221"/>
    </row>
    <row r="62" spans="1:32" ht="13.5" thickBot="1">
      <c r="B62" s="98"/>
      <c r="C62" s="96"/>
      <c r="D62" s="67"/>
      <c r="E62" s="67"/>
      <c r="F62" s="67"/>
      <c r="G62" s="21" t="s">
        <v>105</v>
      </c>
      <c r="H62" s="485">
        <f>H7-H60</f>
        <v>0</v>
      </c>
      <c r="I62" s="515">
        <f>I7-I60</f>
        <v>0</v>
      </c>
      <c r="Y62" s="221"/>
      <c r="Z62" s="221"/>
      <c r="AA62" s="221"/>
    </row>
    <row r="63" spans="1:32" s="216" customFormat="1" ht="13.5" thickBot="1">
      <c r="A63" s="277"/>
      <c r="B63" s="251"/>
      <c r="C63" s="251"/>
      <c r="D63" s="251"/>
      <c r="E63" s="251"/>
      <c r="F63" s="43"/>
      <c r="G63" s="43"/>
      <c r="H63" s="476"/>
      <c r="I63" s="499"/>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row>
    <row r="64" spans="1:32" s="216" customFormat="1" ht="26.25" thickBot="1">
      <c r="A64" s="155"/>
      <c r="B64" s="41" t="s">
        <v>98</v>
      </c>
      <c r="C64" s="108"/>
      <c r="D64" s="109"/>
      <c r="E64" s="109"/>
      <c r="F64" s="109"/>
      <c r="G64" s="109"/>
      <c r="H64" s="493" t="s">
        <v>74</v>
      </c>
      <c r="I64" s="517"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row>
    <row r="65" spans="1:32" s="216" customFormat="1" ht="25.5">
      <c r="A65" s="277"/>
      <c r="B65" s="263" t="s">
        <v>114</v>
      </c>
      <c r="C65" s="243"/>
      <c r="D65" s="364" t="s">
        <v>46</v>
      </c>
      <c r="E65" s="360" t="s">
        <v>55</v>
      </c>
      <c r="F65" s="364" t="s">
        <v>48</v>
      </c>
      <c r="G65" s="364"/>
      <c r="H65" s="483" t="s">
        <v>31</v>
      </c>
      <c r="I65" s="505"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row>
    <row r="66" spans="1:32" s="216" customFormat="1">
      <c r="A66" s="277"/>
      <c r="B66" s="250" t="str">
        <f>Inputs!B100</f>
        <v>General machinery &amp; equipment</v>
      </c>
      <c r="C66" s="243"/>
      <c r="D66" s="366">
        <f>IF(Inputs!F100=0,0,(Inputs!D100-Inputs!E100)/Inputs!F100)</f>
        <v>7500</v>
      </c>
      <c r="E66" s="365">
        <f>Inputs!D100*Inputs!$E$112</f>
        <v>3000</v>
      </c>
      <c r="F66" s="264">
        <f>IF(SUM(D66:E66)=0,0,Inputs!S100)</f>
        <v>0</v>
      </c>
      <c r="G66" s="256"/>
      <c r="H66" s="434">
        <f>(D66+E66)*F66</f>
        <v>0</v>
      </c>
      <c r="I66" s="438"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row>
    <row r="67" spans="1:32" s="216" customFormat="1">
      <c r="A67" s="277"/>
      <c r="B67" s="250" t="str">
        <f>Inputs!B101</f>
        <v>Vehicles</v>
      </c>
      <c r="C67" s="243"/>
      <c r="D67" s="366">
        <f>IF(Inputs!F101=0,0,(Inputs!D101-Inputs!E101)/Inputs!F101)</f>
        <v>3571.4285714285716</v>
      </c>
      <c r="E67" s="365">
        <f>Inputs!D101*Inputs!$E$112</f>
        <v>1050</v>
      </c>
      <c r="F67" s="264">
        <f>IF(SUM(D67:E67)=0,0,Inputs!S101)</f>
        <v>0</v>
      </c>
      <c r="G67" s="256"/>
      <c r="H67" s="434">
        <f t="shared" ref="H67:H73" si="16">(D67+E67)*F67</f>
        <v>0</v>
      </c>
      <c r="I67" s="438"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row>
    <row r="68" spans="1:32" s="216" customFormat="1">
      <c r="A68" s="277"/>
      <c r="B68" s="284" t="str">
        <f>Inputs!B102</f>
        <v>2 Horses ($5,000 value each)</v>
      </c>
      <c r="C68" s="251"/>
      <c r="D68" s="366">
        <f>IF(Inputs!F102=0,0,(Inputs!D102-Inputs!E102)/Inputs!F102)</f>
        <v>1000</v>
      </c>
      <c r="E68" s="365">
        <f>Inputs!D102*Inputs!$E$112</f>
        <v>300</v>
      </c>
      <c r="F68" s="264">
        <f>IF(SUM(D68:E68)=0,0,Inputs!S102)</f>
        <v>0</v>
      </c>
      <c r="G68" s="256"/>
      <c r="H68" s="434">
        <f t="shared" si="16"/>
        <v>0</v>
      </c>
      <c r="I68" s="438"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row>
    <row r="69" spans="1:32" s="216" customFormat="1">
      <c r="A69" s="277"/>
      <c r="B69" s="284">
        <f>Inputs!B103</f>
        <v>0</v>
      </c>
      <c r="C69" s="251"/>
      <c r="D69" s="366">
        <f>IF(Inputs!F103=0,0,(Inputs!D103-Inputs!E103)/Inputs!F103)</f>
        <v>0</v>
      </c>
      <c r="E69" s="365">
        <f>Inputs!D103*Inputs!$E$112</f>
        <v>0</v>
      </c>
      <c r="F69" s="264">
        <f>IF(SUM(D69:E69)=0,0,Inputs!S103)</f>
        <v>0</v>
      </c>
      <c r="G69" s="256"/>
      <c r="H69" s="434">
        <f t="shared" si="16"/>
        <v>0</v>
      </c>
      <c r="I69" s="438"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row>
    <row r="70" spans="1:32" s="216" customFormat="1" hidden="1">
      <c r="A70" s="277"/>
      <c r="B70" s="284">
        <f>Inputs!B104</f>
        <v>0</v>
      </c>
      <c r="C70" s="251"/>
      <c r="D70" s="366">
        <f>IF(Inputs!F104=0,0,(Inputs!D104-Inputs!E104)/Inputs!F104)</f>
        <v>0</v>
      </c>
      <c r="E70" s="365">
        <f>Inputs!D104*Inputs!$E$112</f>
        <v>0</v>
      </c>
      <c r="F70" s="264">
        <f>IF(SUM(D70:E70)=0,0,Inputs!S104)</f>
        <v>0</v>
      </c>
      <c r="G70" s="256"/>
      <c r="H70" s="434"/>
      <c r="I70" s="438"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row>
    <row r="71" spans="1:32" s="216" customFormat="1" hidden="1">
      <c r="A71" s="277"/>
      <c r="B71" s="284">
        <f>Inputs!B105</f>
        <v>0</v>
      </c>
      <c r="C71" s="251"/>
      <c r="D71" s="366">
        <f>IF(Inputs!F105=0,0,(Inputs!D105-Inputs!E105)/Inputs!F105)</f>
        <v>0</v>
      </c>
      <c r="E71" s="365">
        <f>Inputs!D105*Inputs!$E$112</f>
        <v>0</v>
      </c>
      <c r="F71" s="264">
        <f>IF(SUM(D71:E71)=0,0,Inputs!S105)</f>
        <v>0</v>
      </c>
      <c r="G71" s="256"/>
      <c r="H71" s="434"/>
      <c r="I71" s="438"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row>
    <row r="72" spans="1:32" s="216" customFormat="1" hidden="1">
      <c r="A72" s="277"/>
      <c r="B72" s="284">
        <f>Inputs!B106</f>
        <v>0</v>
      </c>
      <c r="C72" s="251"/>
      <c r="D72" s="366">
        <f>IF(Inputs!F106=0,0,(Inputs!D106-Inputs!E106)/Inputs!F106)</f>
        <v>0</v>
      </c>
      <c r="E72" s="365">
        <f>Inputs!D106*Inputs!$E$112</f>
        <v>0</v>
      </c>
      <c r="F72" s="264">
        <f>IF(SUM(D72:E72)=0,0,Inputs!S106)</f>
        <v>0</v>
      </c>
      <c r="G72" s="256"/>
      <c r="H72" s="434">
        <f t="shared" si="16"/>
        <v>0</v>
      </c>
      <c r="I72" s="438"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row>
    <row r="73" spans="1:32" s="216" customFormat="1" hidden="1">
      <c r="A73" s="277"/>
      <c r="B73" s="284">
        <f>Inputs!B107</f>
        <v>0</v>
      </c>
      <c r="C73" s="251"/>
      <c r="D73" s="366">
        <f>IF(Inputs!F107=0,0,(Inputs!D107-Inputs!E107)/Inputs!F107)</f>
        <v>0</v>
      </c>
      <c r="E73" s="365">
        <f>Inputs!D107*Inputs!$E$112</f>
        <v>0</v>
      </c>
      <c r="F73" s="264">
        <f>IF(SUM(D73:E73)=0,0,Inputs!S107)</f>
        <v>0</v>
      </c>
      <c r="G73" s="256"/>
      <c r="H73" s="434">
        <f t="shared" si="16"/>
        <v>0</v>
      </c>
      <c r="I73" s="438"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row>
    <row r="74" spans="1:32" s="216" customFormat="1" hidden="1">
      <c r="A74" s="277"/>
      <c r="B74" s="284">
        <f>Inputs!B108</f>
        <v>0</v>
      </c>
      <c r="C74" s="251"/>
      <c r="D74" s="366">
        <f>IF(Inputs!F108=0,0,(Inputs!D108-Inputs!E108)/Inputs!F108)</f>
        <v>0</v>
      </c>
      <c r="E74" s="365">
        <f>Inputs!D108*Inputs!$E$112</f>
        <v>0</v>
      </c>
      <c r="F74" s="264">
        <f>IF(SUM(D74:E74)=0,0,Inputs!S108)</f>
        <v>0</v>
      </c>
      <c r="G74" s="256"/>
      <c r="H74" s="434"/>
      <c r="I74" s="438"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row>
    <row r="75" spans="1:32" s="216" customFormat="1" ht="13.5" thickBot="1">
      <c r="A75" s="277"/>
      <c r="B75" s="240" t="s">
        <v>100</v>
      </c>
      <c r="C75" s="251"/>
      <c r="D75" s="366"/>
      <c r="E75" s="366">
        <f>Inputs!E116*Inputs!E112</f>
        <v>0</v>
      </c>
      <c r="F75" s="372">
        <f>IF(E75=0,0,Inputs!S116)</f>
        <v>0</v>
      </c>
      <c r="G75" s="256"/>
      <c r="H75" s="434">
        <f>E75*F75</f>
        <v>0</v>
      </c>
      <c r="I75" s="438"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row>
    <row r="76" spans="1:32" s="216" customFormat="1" ht="13.5" thickBot="1">
      <c r="A76" s="277"/>
      <c r="B76" s="99">
        <v>217480.06701030929</v>
      </c>
      <c r="C76" s="96"/>
      <c r="D76" s="42"/>
      <c r="E76" s="42"/>
      <c r="F76" s="42"/>
      <c r="G76" s="21" t="s">
        <v>106</v>
      </c>
      <c r="H76" s="494">
        <f>SUM(H66:H75)</f>
        <v>0</v>
      </c>
      <c r="I76" s="518">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row>
    <row r="77" spans="1:32" s="216" customFormat="1" ht="13.5" thickBot="1">
      <c r="A77" s="277"/>
      <c r="B77" s="43"/>
      <c r="C77" s="43"/>
      <c r="D77" s="43"/>
      <c r="E77" s="43"/>
      <c r="F77" s="43"/>
      <c r="G77" s="43"/>
      <c r="H77" s="476"/>
      <c r="I77" s="499"/>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row>
    <row r="78" spans="1:32" s="216" customFormat="1" ht="25.5">
      <c r="A78" s="277"/>
      <c r="B78" s="142" t="s">
        <v>108</v>
      </c>
      <c r="C78" s="139"/>
      <c r="D78" s="143"/>
      <c r="E78" s="143"/>
      <c r="F78" s="143"/>
      <c r="G78" s="144"/>
      <c r="H78" s="495" t="s">
        <v>74</v>
      </c>
      <c r="I78" s="519"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row>
    <row r="79" spans="1:32" s="216" customFormat="1" ht="13.5" thickBot="1">
      <c r="A79" s="277"/>
      <c r="B79" s="140"/>
      <c r="C79" s="141"/>
      <c r="D79" s="281"/>
      <c r="E79" s="281"/>
      <c r="F79" s="281"/>
      <c r="G79" s="247" t="s">
        <v>71</v>
      </c>
      <c r="H79" s="494">
        <f>H60+H76</f>
        <v>0</v>
      </c>
      <c r="I79" s="520">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row>
    <row r="80" spans="1:32" s="216" customFormat="1" ht="13.5" thickBot="1">
      <c r="A80" s="277"/>
      <c r="B80" s="138"/>
      <c r="C80" s="105"/>
      <c r="D80" s="105"/>
      <c r="E80" s="105"/>
      <c r="F80" s="105"/>
      <c r="G80" s="105"/>
      <c r="H80" s="496"/>
      <c r="I80" s="521"/>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row>
    <row r="81" spans="1:32" s="216" customFormat="1" ht="13.5" thickBot="1">
      <c r="A81" s="277"/>
      <c r="B81" s="98"/>
      <c r="C81" s="96"/>
      <c r="D81" s="67"/>
      <c r="E81" s="67"/>
      <c r="F81" s="67"/>
      <c r="G81" s="21" t="s">
        <v>107</v>
      </c>
      <c r="H81" s="485">
        <f>H7-H79</f>
        <v>0</v>
      </c>
      <c r="I81" s="522">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row>
    <row r="82" spans="1:32"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row>
    <row r="83" spans="1:32"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row>
    <row r="84" spans="1:32"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row>
    <row r="85" spans="1:32"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row>
    <row r="86" spans="1:32"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row>
    <row r="87" spans="1:32"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row>
    <row r="88" spans="1:32"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row>
    <row r="89" spans="1:32"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row>
    <row r="90" spans="1:32"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row>
    <row r="91" spans="1:32"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row>
    <row r="92" spans="1:32"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row>
    <row r="93" spans="1:32"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row>
    <row r="94" spans="1:32"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row>
    <row r="95" spans="1:32"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row>
    <row r="96" spans="1:32"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row>
    <row r="97" spans="1:32"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row>
    <row r="98" spans="1:32"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row>
    <row r="99" spans="1:32"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row>
  </sheetData>
  <mergeCells count="2">
    <mergeCell ref="L13:L15"/>
    <mergeCell ref="C34:G34"/>
  </mergeCells>
  <dataValidations count="3">
    <dataValidation type="list" allowBlank="1" showInputMessage="1" showErrorMessage="1" sqref="B16:B21" xr:uid="{00000000-0002-0000-0600-000000000000}">
      <formula1>$U$13:$U$22</formula1>
    </dataValidation>
    <dataValidation type="list" allowBlank="1" showInputMessage="1" showErrorMessage="1" sqref="E16:E21" xr:uid="{00000000-0002-0000-0600-000001000000}">
      <formula1>$K$10:$K$12</formula1>
    </dataValidation>
    <dataValidation type="decimal" operator="greaterThanOrEqual" allowBlank="1" showInputMessage="1" showErrorMessage="1" sqref="C16:C21" xr:uid="{00000000-0002-0000-0600-000002000000}">
      <formula1>0</formula1>
    </dataValidation>
  </dataValidations>
  <printOptions horizontalCentered="1"/>
  <pageMargins left="1" right="1" top="0.75" bottom="0.75" header="0.3" footer="0.3"/>
  <pageSetup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S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0.42578125" style="277" customWidth="1"/>
    <col min="9" max="9" width="12.140625" style="277" customWidth="1"/>
    <col min="10" max="10" width="9.140625" style="222"/>
    <col min="11" max="11" width="9.7109375" style="222" hidden="1" customWidth="1"/>
    <col min="12" max="12" width="20.42578125" style="222" hidden="1" customWidth="1"/>
    <col min="13" max="23" width="0" style="222" hidden="1" customWidth="1"/>
    <col min="24" max="24" width="9.140625" style="222"/>
    <col min="25" max="45" width="9.140625" style="277"/>
    <col min="46" max="16384" width="9.140625" style="239"/>
  </cols>
  <sheetData>
    <row r="1" spans="1:27" ht="52.5" thickBot="1">
      <c r="B1" s="44" t="s">
        <v>190</v>
      </c>
      <c r="C1" s="215"/>
      <c r="D1" s="215"/>
      <c r="E1" s="196">
        <f>Inputs!G50</f>
        <v>0</v>
      </c>
      <c r="F1" s="224" t="s">
        <v>144</v>
      </c>
      <c r="G1" s="215"/>
      <c r="H1" s="215"/>
      <c r="I1" s="44"/>
      <c r="K1" s="417"/>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row>
    <row r="2" spans="1:27" ht="26.25" thickBot="1">
      <c r="B2" s="41" t="s">
        <v>97</v>
      </c>
      <c r="C2" s="108"/>
      <c r="D2" s="109"/>
      <c r="E2" s="109"/>
      <c r="F2" s="41"/>
      <c r="G2" s="119"/>
      <c r="H2" s="108" t="s">
        <v>74</v>
      </c>
      <c r="I2" s="122" t="s">
        <v>94</v>
      </c>
      <c r="K2" s="419"/>
      <c r="L2" s="419">
        <f t="shared" ref="L2:L7" si="0">B16</f>
        <v>0</v>
      </c>
      <c r="M2" s="419">
        <f>IF(M$1=$L2,$K16,0)</f>
        <v>0</v>
      </c>
      <c r="N2" s="419">
        <f t="shared" ref="N2:V2" si="1">IF(N$1=$L2,$K16,0)</f>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63" t="s">
        <v>44</v>
      </c>
      <c r="D3" s="364" t="s">
        <v>30</v>
      </c>
      <c r="E3" s="364" t="s">
        <v>5</v>
      </c>
      <c r="F3" s="120"/>
      <c r="G3" s="121"/>
      <c r="H3" s="266" t="s">
        <v>31</v>
      </c>
      <c r="I3" s="91" t="s">
        <v>31</v>
      </c>
      <c r="K3" s="417"/>
      <c r="L3" s="419">
        <f t="shared" si="0"/>
        <v>0</v>
      </c>
      <c r="M3" s="419">
        <f t="shared" ref="M3:V7" si="3">IF(M$1=$L3,$K17,0)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7" t="s">
        <v>159</v>
      </c>
      <c r="C4" s="192">
        <f>Inputs!G52-Inputs!O52</f>
        <v>0</v>
      </c>
      <c r="D4" s="369">
        <f>Inputs!G53</f>
        <v>0</v>
      </c>
      <c r="E4" s="369">
        <f>Inputs!G54</f>
        <v>0</v>
      </c>
      <c r="F4" s="251" t="s">
        <v>1</v>
      </c>
      <c r="G4" s="368"/>
      <c r="H4" s="443">
        <f>C4*D4*E4/100</f>
        <v>0</v>
      </c>
      <c r="I4" s="471">
        <f>D4*E4/100</f>
        <v>0</v>
      </c>
      <c r="K4" s="417"/>
      <c r="L4" s="419">
        <f t="shared" si="0"/>
        <v>0</v>
      </c>
      <c r="M4" s="419">
        <f t="shared" si="3"/>
        <v>0</v>
      </c>
      <c r="N4" s="419">
        <f t="shared" si="3"/>
        <v>0</v>
      </c>
      <c r="O4" s="419">
        <f t="shared" si="3"/>
        <v>0</v>
      </c>
      <c r="P4" s="419">
        <f t="shared" si="3"/>
        <v>0</v>
      </c>
      <c r="Q4" s="419">
        <f t="shared" si="3"/>
        <v>0</v>
      </c>
      <c r="R4" s="419">
        <f t="shared" si="3"/>
        <v>0</v>
      </c>
      <c r="S4" s="419">
        <f t="shared" si="3"/>
        <v>0</v>
      </c>
      <c r="T4" s="419">
        <f t="shared" si="3"/>
        <v>0</v>
      </c>
      <c r="U4" s="419">
        <f t="shared" si="3"/>
        <v>0</v>
      </c>
      <c r="V4" s="419">
        <f t="shared" si="3"/>
        <v>0</v>
      </c>
      <c r="W4" s="419">
        <f t="shared" si="2"/>
        <v>0</v>
      </c>
    </row>
    <row r="5" spans="1:27">
      <c r="B5" s="250" t="s">
        <v>165</v>
      </c>
      <c r="C5" s="370">
        <f>Inputs!G55-Inputs!O52</f>
        <v>0</v>
      </c>
      <c r="D5" s="189">
        <f>Inputs!G56</f>
        <v>0</v>
      </c>
      <c r="E5" s="189">
        <f>Inputs!G57</f>
        <v>0</v>
      </c>
      <c r="F5" s="251" t="s">
        <v>1</v>
      </c>
      <c r="G5" s="265"/>
      <c r="H5" s="443">
        <f>C5*D5*E5/100</f>
        <v>0</v>
      </c>
      <c r="I5" s="471">
        <f>D5*E5/100</f>
        <v>0</v>
      </c>
      <c r="K5" s="417"/>
      <c r="L5" s="419">
        <f t="shared" si="0"/>
        <v>0</v>
      </c>
      <c r="M5" s="419">
        <f t="shared" si="3"/>
        <v>0</v>
      </c>
      <c r="N5" s="419">
        <f t="shared" si="3"/>
        <v>0</v>
      </c>
      <c r="O5" s="419">
        <f t="shared" si="3"/>
        <v>0</v>
      </c>
      <c r="P5" s="419">
        <f t="shared" si="3"/>
        <v>0</v>
      </c>
      <c r="Q5" s="419">
        <f t="shared" si="3"/>
        <v>0</v>
      </c>
      <c r="R5" s="419">
        <f t="shared" si="3"/>
        <v>0</v>
      </c>
      <c r="S5" s="419">
        <f t="shared" si="3"/>
        <v>0</v>
      </c>
      <c r="T5" s="419">
        <f t="shared" si="3"/>
        <v>0</v>
      </c>
      <c r="U5" s="419">
        <f t="shared" si="3"/>
        <v>0</v>
      </c>
      <c r="V5" s="419">
        <f t="shared" si="3"/>
        <v>0</v>
      </c>
      <c r="W5" s="419">
        <f t="shared" si="2"/>
        <v>0</v>
      </c>
    </row>
    <row r="6" spans="1:27" ht="13.5" thickBot="1">
      <c r="B6" s="250"/>
      <c r="C6" s="243"/>
      <c r="D6" s="251"/>
      <c r="E6" s="251"/>
      <c r="F6" s="251"/>
      <c r="G6" s="265"/>
      <c r="H6" s="443"/>
      <c r="I6" s="471"/>
      <c r="K6" s="417"/>
      <c r="L6" s="419">
        <f t="shared" si="0"/>
        <v>0</v>
      </c>
      <c r="M6" s="419">
        <f t="shared" si="3"/>
        <v>0</v>
      </c>
      <c r="N6" s="419">
        <f t="shared" si="3"/>
        <v>0</v>
      </c>
      <c r="O6" s="419">
        <f t="shared" si="3"/>
        <v>0</v>
      </c>
      <c r="P6" s="419">
        <f t="shared" si="3"/>
        <v>0</v>
      </c>
      <c r="Q6" s="419">
        <f t="shared" si="3"/>
        <v>0</v>
      </c>
      <c r="R6" s="419">
        <f t="shared" si="3"/>
        <v>0</v>
      </c>
      <c r="S6" s="419">
        <f t="shared" si="3"/>
        <v>0</v>
      </c>
      <c r="T6" s="419">
        <f t="shared" si="3"/>
        <v>0</v>
      </c>
      <c r="U6" s="419">
        <f t="shared" si="3"/>
        <v>0</v>
      </c>
      <c r="V6" s="419">
        <f t="shared" si="3"/>
        <v>0</v>
      </c>
      <c r="W6" s="419">
        <f t="shared" si="2"/>
        <v>0</v>
      </c>
    </row>
    <row r="7" spans="1:27" ht="13.5" thickBot="1">
      <c r="B7" s="123"/>
      <c r="C7" s="96"/>
      <c r="D7" s="42"/>
      <c r="E7" s="42"/>
      <c r="F7" s="42"/>
      <c r="G7" s="97" t="s">
        <v>110</v>
      </c>
      <c r="H7" s="474">
        <f>SUM(H4:H6)</f>
        <v>0</v>
      </c>
      <c r="I7" s="473">
        <f>IF(H7=0,0,H7/($C$5+$C$4))</f>
        <v>0</v>
      </c>
      <c r="K7" s="417"/>
      <c r="L7" s="419">
        <f t="shared" si="0"/>
        <v>0</v>
      </c>
      <c r="M7" s="419">
        <f t="shared" si="3"/>
        <v>0</v>
      </c>
      <c r="N7" s="419">
        <f t="shared" si="3"/>
        <v>0</v>
      </c>
      <c r="O7" s="419">
        <f t="shared" si="3"/>
        <v>0</v>
      </c>
      <c r="P7" s="419">
        <f t="shared" si="3"/>
        <v>0</v>
      </c>
      <c r="Q7" s="419">
        <f t="shared" si="3"/>
        <v>0</v>
      </c>
      <c r="R7" s="419">
        <f t="shared" si="3"/>
        <v>0</v>
      </c>
      <c r="S7" s="419">
        <f t="shared" si="3"/>
        <v>0</v>
      </c>
      <c r="T7" s="419">
        <f t="shared" si="3"/>
        <v>0</v>
      </c>
      <c r="U7" s="419">
        <f t="shared" si="3"/>
        <v>0</v>
      </c>
      <c r="V7" s="419">
        <f t="shared" si="3"/>
        <v>0</v>
      </c>
      <c r="W7" s="419">
        <f t="shared" si="2"/>
        <v>0</v>
      </c>
    </row>
    <row r="8" spans="1:27" ht="13.5" thickBot="1">
      <c r="B8" s="53"/>
      <c r="C8" s="53"/>
      <c r="D8" s="43"/>
      <c r="E8" s="43"/>
      <c r="F8" s="43"/>
      <c r="G8" s="43"/>
      <c r="H8" s="592"/>
      <c r="I8" s="611" t="str">
        <f>IF(H8=0,"",H8/$C$5)</f>
        <v/>
      </c>
      <c r="K8" s="417"/>
      <c r="L8" s="419" t="s">
        <v>31</v>
      </c>
      <c r="M8" s="419">
        <f>SUM(M2:M7)</f>
        <v>0</v>
      </c>
      <c r="N8" s="419">
        <f t="shared" ref="N8:V8" si="4">SUM(N2:N7)</f>
        <v>0</v>
      </c>
      <c r="O8" s="419">
        <f t="shared" si="4"/>
        <v>0</v>
      </c>
      <c r="P8" s="419">
        <f t="shared" si="4"/>
        <v>0</v>
      </c>
      <c r="Q8" s="419">
        <f t="shared" si="4"/>
        <v>0</v>
      </c>
      <c r="R8" s="419">
        <f t="shared" si="4"/>
        <v>0</v>
      </c>
      <c r="S8" s="419">
        <f t="shared" si="4"/>
        <v>0</v>
      </c>
      <c r="T8" s="419">
        <f t="shared" si="4"/>
        <v>0</v>
      </c>
      <c r="U8" s="419">
        <f t="shared" si="4"/>
        <v>0</v>
      </c>
      <c r="V8" s="419">
        <f t="shared" si="4"/>
        <v>0</v>
      </c>
      <c r="W8" s="419"/>
    </row>
    <row r="9" spans="1:27" ht="26.25" thickBot="1">
      <c r="B9" s="41" t="s">
        <v>96</v>
      </c>
      <c r="C9" s="108"/>
      <c r="D9" s="109"/>
      <c r="E9" s="109"/>
      <c r="F9" s="109"/>
      <c r="G9" s="109"/>
      <c r="H9" s="593" t="s">
        <v>74</v>
      </c>
      <c r="I9" s="612" t="s">
        <v>94</v>
      </c>
      <c r="K9" s="417"/>
      <c r="L9" s="417"/>
      <c r="M9" s="417"/>
      <c r="N9" s="417"/>
      <c r="O9" s="417"/>
      <c r="P9" s="417"/>
      <c r="Q9" s="417"/>
      <c r="R9" s="417"/>
      <c r="S9" s="417"/>
      <c r="T9" s="417"/>
      <c r="U9" s="417"/>
      <c r="V9" s="417"/>
      <c r="W9" s="417"/>
    </row>
    <row r="10" spans="1:27">
      <c r="B10" s="262"/>
      <c r="C10" s="361" t="s">
        <v>44</v>
      </c>
      <c r="D10" s="362" t="s">
        <v>30</v>
      </c>
      <c r="E10" s="362" t="s">
        <v>5</v>
      </c>
      <c r="F10" s="269"/>
      <c r="G10" s="285"/>
      <c r="H10" s="594" t="s">
        <v>31</v>
      </c>
      <c r="I10" s="613"/>
      <c r="K10" s="417" t="s">
        <v>61</v>
      </c>
      <c r="L10" s="417"/>
      <c r="M10" s="417"/>
      <c r="N10" s="417"/>
      <c r="O10" s="417"/>
      <c r="P10" s="417"/>
      <c r="Q10" s="417"/>
      <c r="R10" s="417"/>
      <c r="S10" s="417"/>
      <c r="T10" s="417"/>
      <c r="U10" s="417"/>
      <c r="V10" s="417"/>
      <c r="W10" s="417"/>
    </row>
    <row r="11" spans="1:27" ht="12.75" customHeight="1">
      <c r="B11" s="255" t="s">
        <v>134</v>
      </c>
      <c r="C11" s="117">
        <f>Inputs!G52</f>
        <v>0</v>
      </c>
      <c r="D11" s="189">
        <f>Inputs!G43</f>
        <v>0</v>
      </c>
      <c r="E11" s="252">
        <f>Inputs!G44</f>
        <v>0</v>
      </c>
      <c r="F11" s="251" t="s">
        <v>1</v>
      </c>
      <c r="G11" s="265"/>
      <c r="H11" s="595">
        <f>IF(C11=0,0,C11*D11*E11/100)</f>
        <v>0</v>
      </c>
      <c r="I11" s="614"/>
      <c r="K11" s="417" t="s">
        <v>64</v>
      </c>
      <c r="L11" s="417"/>
      <c r="M11" s="417"/>
      <c r="N11" s="417"/>
      <c r="O11" s="417"/>
      <c r="P11" s="417"/>
      <c r="Q11" s="417"/>
      <c r="R11" s="417"/>
      <c r="S11" s="417"/>
      <c r="T11" s="417"/>
      <c r="U11" s="417"/>
      <c r="V11" s="417"/>
      <c r="W11" s="417"/>
    </row>
    <row r="12" spans="1:27" ht="12.75" customHeight="1" thickBot="1">
      <c r="B12" s="255" t="s">
        <v>135</v>
      </c>
      <c r="C12" s="117">
        <f>Inputs!G55</f>
        <v>0</v>
      </c>
      <c r="D12" s="189">
        <f>Inputs!G46</f>
        <v>0</v>
      </c>
      <c r="E12" s="252">
        <f>Inputs!G47</f>
        <v>0</v>
      </c>
      <c r="F12" s="251" t="s">
        <v>1</v>
      </c>
      <c r="G12" s="265"/>
      <c r="H12" s="596">
        <f>IF(C12=0,0,C12*D12*E12/100)</f>
        <v>0</v>
      </c>
      <c r="I12" s="615"/>
      <c r="K12" s="419"/>
      <c r="L12" s="417"/>
      <c r="M12" s="417"/>
      <c r="N12" s="417"/>
      <c r="O12" s="417"/>
      <c r="P12" s="417"/>
      <c r="Q12" s="417"/>
      <c r="R12" s="417"/>
      <c r="S12" s="417"/>
      <c r="T12" s="417"/>
      <c r="U12" s="417"/>
      <c r="V12" s="417"/>
      <c r="W12" s="417"/>
    </row>
    <row r="13" spans="1:27" ht="13.5" customHeight="1" thickTop="1">
      <c r="B13" s="250"/>
      <c r="C13" s="239"/>
      <c r="D13" s="251"/>
      <c r="E13" s="43"/>
      <c r="F13" s="251"/>
      <c r="G13" s="258" t="s">
        <v>150</v>
      </c>
      <c r="H13" s="597">
        <f>SUM(H11:H12)</f>
        <v>0</v>
      </c>
      <c r="I13" s="561">
        <f>IF(H13=0,0,H13/($C$5+$C$4))</f>
        <v>0</v>
      </c>
      <c r="K13" s="419"/>
      <c r="L13" s="816"/>
      <c r="M13" s="419"/>
      <c r="N13" s="417"/>
      <c r="O13" s="417"/>
      <c r="P13" s="417"/>
      <c r="Q13" s="417"/>
      <c r="R13" s="417"/>
      <c r="S13" s="417"/>
      <c r="T13" s="417"/>
      <c r="U13" s="417" t="str">
        <f>IF(Inputs!B68="","",Inputs!B68)</f>
        <v xml:space="preserve">Pasture  </v>
      </c>
      <c r="V13" s="417"/>
      <c r="W13" s="417"/>
      <c r="Y13" s="221"/>
      <c r="Z13" s="221"/>
      <c r="AA13" s="221"/>
    </row>
    <row r="14" spans="1:27">
      <c r="B14" s="250"/>
      <c r="C14" s="371"/>
      <c r="D14" s="251"/>
      <c r="E14" s="239"/>
      <c r="F14" s="251"/>
      <c r="G14" s="251"/>
      <c r="H14" s="597"/>
      <c r="I14" s="561"/>
      <c r="K14" s="419"/>
      <c r="L14" s="816"/>
      <c r="M14" s="419"/>
      <c r="N14" s="417"/>
      <c r="O14" s="417"/>
      <c r="P14" s="417"/>
      <c r="Q14" s="417"/>
      <c r="R14" s="417"/>
      <c r="S14" s="417"/>
      <c r="T14" s="417"/>
      <c r="U14" s="417" t="str">
        <f>IF(Inputs!B69="","",Inputs!B69)</f>
        <v>Grain mix (distillers &amp; corn)</v>
      </c>
      <c r="V14" s="417"/>
      <c r="W14" s="417"/>
      <c r="Y14" s="221"/>
      <c r="Z14" s="221"/>
      <c r="AA14" s="221"/>
    </row>
    <row r="15" spans="1:27" ht="39" customHeight="1">
      <c r="A15" s="155"/>
      <c r="B15" s="255" t="s">
        <v>7</v>
      </c>
      <c r="C15" s="356" t="s">
        <v>68</v>
      </c>
      <c r="D15" s="251"/>
      <c r="E15" s="357" t="s">
        <v>63</v>
      </c>
      <c r="F15" s="270" t="s">
        <v>5</v>
      </c>
      <c r="G15" s="116"/>
      <c r="H15" s="598" t="s">
        <v>31</v>
      </c>
      <c r="I15" s="616" t="s">
        <v>31</v>
      </c>
      <c r="K15" s="430"/>
      <c r="L15" s="816"/>
      <c r="M15" s="419"/>
      <c r="N15" s="417"/>
      <c r="O15" s="417"/>
      <c r="P15" s="417"/>
      <c r="Q15" s="417"/>
      <c r="R15" s="417"/>
      <c r="S15" s="417"/>
      <c r="T15" s="417"/>
      <c r="U15" s="417" t="str">
        <f>IF(Inputs!B70="","",Inputs!B70)</f>
        <v>Prairie Hay</v>
      </c>
      <c r="V15" s="417"/>
      <c r="W15" s="417"/>
      <c r="Y15" s="221"/>
      <c r="Z15" s="221"/>
      <c r="AA15" s="221"/>
    </row>
    <row r="16" spans="1:27">
      <c r="B16" s="751"/>
      <c r="C16" s="752"/>
      <c r="D16" s="278" t="str">
        <f t="shared" ref="D16:D21" si="5">IF(B16="","",CONCATENATE(VLOOKUP(B16,Feed,5,FALSE)))</f>
        <v/>
      </c>
      <c r="E16" s="754" t="s">
        <v>61</v>
      </c>
      <c r="F16" s="257" t="str">
        <f t="shared" ref="F16:F21" si="6">IF(B16="","",VLOOKUP(B16,Feed,7,FALSE))</f>
        <v/>
      </c>
      <c r="G16" s="273" t="str">
        <f t="shared" ref="G16:G21" si="7">IF(B16="","",CONCATENATE("$ ",VLOOKUP(B16,Feed,5,FALSE)))</f>
        <v/>
      </c>
      <c r="H16" s="446" t="str">
        <f t="shared" ref="H16:H21" si="8">IF(B16="","",C16*F16*IF(E16="per animal",($C$4+$C$5+$C$11+$C$12)/2,1))</f>
        <v/>
      </c>
      <c r="I16" s="440" t="str">
        <f t="shared" ref="I16:I21" si="9">IF(B16="","",IF(($C$4+$C$5)=0,"",H16/($C$4+$C$5)))</f>
        <v/>
      </c>
      <c r="K16" s="417">
        <f t="shared" ref="K16:K21" si="10">C16*IF(E16="total",1,IF(E16="per animal",($C$4+$C$5+$C$11+$C$12)/2,0))</f>
        <v>0</v>
      </c>
      <c r="L16" s="419"/>
      <c r="M16" s="431"/>
      <c r="N16" s="417"/>
      <c r="O16" s="432"/>
      <c r="P16" s="417"/>
      <c r="Q16" s="417"/>
      <c r="R16" s="417"/>
      <c r="S16" s="417"/>
      <c r="T16" s="417"/>
      <c r="U16" s="417" t="str">
        <f>IF(Inputs!B71="","",Inputs!B71)</f>
        <v>Alfalfa</v>
      </c>
      <c r="V16" s="417"/>
      <c r="W16" s="417"/>
      <c r="Y16" s="221"/>
      <c r="Z16" s="221"/>
      <c r="AA16" s="221"/>
    </row>
    <row r="17" spans="1:27">
      <c r="B17" s="750"/>
      <c r="C17" s="753"/>
      <c r="D17" s="278" t="str">
        <f t="shared" si="5"/>
        <v/>
      </c>
      <c r="E17" s="755" t="s">
        <v>61</v>
      </c>
      <c r="F17" s="257" t="str">
        <f t="shared" si="6"/>
        <v/>
      </c>
      <c r="G17" s="273" t="str">
        <f t="shared" si="7"/>
        <v/>
      </c>
      <c r="H17" s="446" t="str">
        <f t="shared" si="8"/>
        <v/>
      </c>
      <c r="I17" s="440" t="str">
        <f t="shared" si="9"/>
        <v/>
      </c>
      <c r="K17" s="417">
        <f t="shared" si="10"/>
        <v>0</v>
      </c>
      <c r="L17" s="419"/>
      <c r="M17" s="419"/>
      <c r="N17" s="417"/>
      <c r="O17" s="417"/>
      <c r="P17" s="417"/>
      <c r="Q17" s="417"/>
      <c r="R17" s="417"/>
      <c r="S17" s="417"/>
      <c r="T17" s="417"/>
      <c r="U17" s="417" t="str">
        <f>IF(Inputs!B72="","",Inputs!B72)</f>
        <v>Distiller's Grain - modified wet</v>
      </c>
      <c r="V17" s="417"/>
      <c r="W17" s="417"/>
      <c r="Y17" s="221"/>
      <c r="Z17" s="221"/>
      <c r="AA17" s="221"/>
    </row>
    <row r="18" spans="1:27">
      <c r="B18" s="750"/>
      <c r="C18" s="752"/>
      <c r="D18" s="278" t="str">
        <f t="shared" si="5"/>
        <v/>
      </c>
      <c r="E18" s="754" t="s">
        <v>61</v>
      </c>
      <c r="F18" s="257" t="str">
        <f t="shared" si="6"/>
        <v/>
      </c>
      <c r="G18" s="273" t="str">
        <f t="shared" si="7"/>
        <v/>
      </c>
      <c r="H18" s="446" t="str">
        <f t="shared" si="8"/>
        <v/>
      </c>
      <c r="I18" s="440" t="str">
        <f t="shared" si="9"/>
        <v/>
      </c>
      <c r="K18" s="417">
        <f t="shared" si="10"/>
        <v>0</v>
      </c>
      <c r="L18" s="419"/>
      <c r="M18" s="419"/>
      <c r="N18" s="417"/>
      <c r="O18" s="417"/>
      <c r="P18" s="417"/>
      <c r="Q18" s="417"/>
      <c r="R18" s="417"/>
      <c r="S18" s="417"/>
      <c r="T18" s="417"/>
      <c r="U18" s="417" t="str">
        <f>IF(Inputs!B73="","",Inputs!B73)</f>
        <v>Salt and Mineral</v>
      </c>
      <c r="V18" s="417"/>
      <c r="W18" s="417"/>
      <c r="Y18" s="221"/>
      <c r="Z18" s="221"/>
      <c r="AA18" s="221"/>
    </row>
    <row r="19" spans="1:27">
      <c r="B19" s="750"/>
      <c r="C19" s="752"/>
      <c r="D19" s="278" t="str">
        <f t="shared" si="5"/>
        <v/>
      </c>
      <c r="E19" s="754" t="s">
        <v>61</v>
      </c>
      <c r="F19" s="257" t="str">
        <f t="shared" si="6"/>
        <v/>
      </c>
      <c r="G19" s="273" t="str">
        <f t="shared" si="7"/>
        <v/>
      </c>
      <c r="H19" s="446" t="str">
        <f t="shared" si="8"/>
        <v/>
      </c>
      <c r="I19" s="440" t="str">
        <f t="shared" si="9"/>
        <v/>
      </c>
      <c r="K19" s="417">
        <f t="shared" si="10"/>
        <v>0</v>
      </c>
      <c r="L19" s="419"/>
      <c r="M19" s="419"/>
      <c r="N19" s="417"/>
      <c r="O19" s="417"/>
      <c r="P19" s="417"/>
      <c r="Q19" s="417"/>
      <c r="R19" s="417"/>
      <c r="S19" s="417"/>
      <c r="T19" s="417"/>
      <c r="U19" s="417" t="str">
        <f>IF(Inputs!B74="","",Inputs!B74)</f>
        <v>Dried Distiller's Cubes - bulk</v>
      </c>
      <c r="V19" s="417"/>
      <c r="W19" s="417"/>
      <c r="Y19" s="221"/>
      <c r="Z19" s="221"/>
      <c r="AA19" s="221"/>
    </row>
    <row r="20" spans="1:27">
      <c r="B20" s="204"/>
      <c r="C20" s="205"/>
      <c r="D20" s="278" t="str">
        <f t="shared" si="5"/>
        <v/>
      </c>
      <c r="E20" s="218"/>
      <c r="F20" s="257" t="str">
        <f t="shared" si="6"/>
        <v/>
      </c>
      <c r="G20" s="273" t="str">
        <f t="shared" si="7"/>
        <v/>
      </c>
      <c r="H20" s="446" t="str">
        <f t="shared" si="8"/>
        <v/>
      </c>
      <c r="I20" s="440" t="str">
        <f t="shared" si="9"/>
        <v/>
      </c>
      <c r="K20" s="417">
        <f t="shared" si="10"/>
        <v>0</v>
      </c>
      <c r="L20" s="419"/>
      <c r="M20" s="419"/>
      <c r="N20" s="417"/>
      <c r="O20" s="417"/>
      <c r="P20" s="417"/>
      <c r="Q20" s="417"/>
      <c r="R20" s="417"/>
      <c r="S20" s="417"/>
      <c r="T20" s="417"/>
      <c r="U20" s="417" t="str">
        <f>IF(Inputs!B75="","",Inputs!B75)</f>
        <v>Corn</v>
      </c>
      <c r="V20" s="417"/>
      <c r="W20" s="417"/>
      <c r="Y20" s="221"/>
      <c r="Z20" s="221"/>
      <c r="AA20" s="221"/>
    </row>
    <row r="21" spans="1:27" ht="13.5" thickBot="1">
      <c r="B21" s="204"/>
      <c r="C21" s="205"/>
      <c r="D21" s="278" t="str">
        <f t="shared" si="5"/>
        <v/>
      </c>
      <c r="E21" s="218"/>
      <c r="F21" s="257" t="str">
        <f t="shared" si="6"/>
        <v/>
      </c>
      <c r="G21" s="273" t="str">
        <f t="shared" si="7"/>
        <v/>
      </c>
      <c r="H21" s="451" t="str">
        <f t="shared" si="8"/>
        <v/>
      </c>
      <c r="I21" s="441" t="str">
        <f t="shared" si="9"/>
        <v/>
      </c>
      <c r="K21" s="417">
        <f t="shared" si="10"/>
        <v>0</v>
      </c>
      <c r="L21" s="419"/>
      <c r="M21" s="419"/>
      <c r="N21" s="417"/>
      <c r="O21" s="417"/>
      <c r="P21" s="417"/>
      <c r="Q21" s="417"/>
      <c r="R21" s="417"/>
      <c r="S21" s="417"/>
      <c r="T21" s="417"/>
      <c r="U21" s="417" t="str">
        <f>IF(Inputs!B76="","",Inputs!B76)</f>
        <v>Dried Rolled Corn</v>
      </c>
      <c r="V21" s="417"/>
      <c r="W21" s="417"/>
      <c r="Y21" s="221"/>
      <c r="Z21" s="221"/>
      <c r="AA21" s="221"/>
    </row>
    <row r="22" spans="1:27" ht="13.5" thickTop="1">
      <c r="B22" s="250"/>
      <c r="C22" s="75"/>
      <c r="D22" s="251"/>
      <c r="E22" s="258"/>
      <c r="F22" s="260"/>
      <c r="G22" s="258" t="s">
        <v>36</v>
      </c>
      <c r="H22" s="599">
        <f>SUM(H16:H21)</f>
        <v>0</v>
      </c>
      <c r="I22" s="617">
        <f>SUM(I16:I21)</f>
        <v>0</v>
      </c>
      <c r="K22" s="417"/>
      <c r="L22" s="417"/>
      <c r="M22" s="417"/>
      <c r="N22" s="417"/>
      <c r="O22" s="417"/>
      <c r="P22" s="417"/>
      <c r="Q22" s="417"/>
      <c r="R22" s="417"/>
      <c r="S22" s="417"/>
      <c r="T22" s="417"/>
      <c r="U22" s="417" t="str">
        <f>IF(Inputs!B77="","",Inputs!B77)</f>
        <v>Corn Stalks</v>
      </c>
      <c r="V22" s="417"/>
      <c r="W22" s="417"/>
      <c r="Y22" s="221"/>
      <c r="Z22" s="221"/>
      <c r="AA22" s="221"/>
    </row>
    <row r="23" spans="1:27">
      <c r="A23" s="156"/>
      <c r="B23" s="250"/>
      <c r="C23" s="243"/>
      <c r="D23" s="251"/>
      <c r="E23" s="251"/>
      <c r="F23" s="251"/>
      <c r="G23" s="251"/>
      <c r="H23" s="443"/>
      <c r="I23" s="471" t="str">
        <f>IF(H23=0,"",H23/$C$5)</f>
        <v/>
      </c>
      <c r="K23" s="417"/>
      <c r="L23" s="417"/>
      <c r="M23" s="417"/>
      <c r="N23" s="417"/>
      <c r="O23" s="417"/>
      <c r="P23" s="417"/>
      <c r="Q23" s="417"/>
      <c r="R23" s="417"/>
      <c r="S23" s="417"/>
      <c r="T23" s="417"/>
      <c r="U23" s="417"/>
      <c r="V23" s="417"/>
      <c r="W23" s="417"/>
      <c r="Y23" s="221"/>
      <c r="Z23" s="221"/>
      <c r="AA23" s="221"/>
    </row>
    <row r="24" spans="1:27">
      <c r="B24" s="263" t="s">
        <v>45</v>
      </c>
      <c r="C24" s="274"/>
      <c r="D24" s="358" t="s">
        <v>56</v>
      </c>
      <c r="E24" s="358" t="s">
        <v>177</v>
      </c>
      <c r="F24" s="364" t="s">
        <v>48</v>
      </c>
      <c r="G24" s="266"/>
      <c r="H24" s="528" t="s">
        <v>31</v>
      </c>
      <c r="I24" s="618" t="s">
        <v>31</v>
      </c>
      <c r="J24" s="223"/>
      <c r="K24" s="417"/>
      <c r="L24" s="417"/>
      <c r="M24" s="417"/>
      <c r="N24" s="417"/>
      <c r="O24" s="417"/>
      <c r="P24" s="417"/>
      <c r="Q24" s="417"/>
      <c r="R24" s="417"/>
      <c r="S24" s="417"/>
      <c r="T24" s="417"/>
      <c r="U24" s="417"/>
      <c r="V24" s="417"/>
      <c r="W24" s="417"/>
      <c r="Y24" s="221"/>
      <c r="Z24" s="221"/>
      <c r="AA24" s="221"/>
    </row>
    <row r="25" spans="1:27">
      <c r="B25" s="250" t="str">
        <f>Inputs!B81</f>
        <v>Labor</v>
      </c>
      <c r="C25" s="242"/>
      <c r="D25" s="366">
        <f>Inputs!D81</f>
        <v>30</v>
      </c>
      <c r="E25" s="359" t="str">
        <f>Inputs!E81</f>
        <v>per animal</v>
      </c>
      <c r="F25" s="124">
        <f>Inputs!T81</f>
        <v>0</v>
      </c>
      <c r="G25" s="265"/>
      <c r="H25" s="600">
        <f>D25*IF(E25="per animal",$C$11+$C$12,1)*F25</f>
        <v>0</v>
      </c>
      <c r="I25" s="440" t="str">
        <f>IF(B25="","",IF(($C$4+$C$5)=0,"",H25/($C$4+$C$5)))</f>
        <v/>
      </c>
      <c r="K25" s="417"/>
      <c r="L25" s="417"/>
      <c r="M25" s="417"/>
      <c r="N25" s="417"/>
      <c r="O25" s="417"/>
      <c r="P25" s="417"/>
      <c r="Q25" s="417"/>
      <c r="R25" s="417"/>
      <c r="S25" s="417"/>
      <c r="T25" s="417"/>
      <c r="U25" s="417"/>
      <c r="V25" s="417"/>
      <c r="W25" s="417"/>
      <c r="Y25" s="221"/>
      <c r="Z25" s="221"/>
      <c r="AA25" s="221"/>
    </row>
    <row r="26" spans="1:27">
      <c r="B26" s="250" t="str">
        <f>Inputs!B82</f>
        <v>Fuel</v>
      </c>
      <c r="C26" s="242"/>
      <c r="D26" s="366">
        <f>Inputs!D82</f>
        <v>20</v>
      </c>
      <c r="E26" s="359" t="str">
        <f>Inputs!E82</f>
        <v>per animal</v>
      </c>
      <c r="F26" s="124">
        <f>Inputs!T82</f>
        <v>0</v>
      </c>
      <c r="G26" s="265"/>
      <c r="H26" s="600">
        <f t="shared" ref="H26:H33" si="11">D26*IF(E26="per animal",$C$11+$C$12,1)*F26</f>
        <v>0</v>
      </c>
      <c r="I26" s="440" t="str">
        <f t="shared" ref="I26:I33" si="12">IF(B26="","",IF(($C$4+$C$5)=0,"",H26/($C$4+$C$5)))</f>
        <v/>
      </c>
      <c r="K26" s="417"/>
      <c r="L26" s="417"/>
      <c r="M26" s="417"/>
      <c r="N26" s="417"/>
      <c r="O26" s="417"/>
      <c r="P26" s="417"/>
      <c r="Q26" s="417"/>
      <c r="R26" s="417"/>
      <c r="S26" s="417"/>
      <c r="T26" s="417"/>
      <c r="U26" s="417"/>
      <c r="V26" s="417"/>
      <c r="W26" s="417"/>
      <c r="Y26" s="221"/>
      <c r="Z26" s="221"/>
      <c r="AA26" s="221"/>
    </row>
    <row r="27" spans="1:27">
      <c r="B27" s="250" t="str">
        <f>Inputs!B83</f>
        <v>Veterinary and Medical</v>
      </c>
      <c r="C27" s="242"/>
      <c r="D27" s="366">
        <f>Inputs!D83</f>
        <v>25</v>
      </c>
      <c r="E27" s="359" t="str">
        <f>Inputs!E83</f>
        <v>per animal</v>
      </c>
      <c r="F27" s="124">
        <f>Inputs!T83</f>
        <v>0</v>
      </c>
      <c r="G27" s="265"/>
      <c r="H27" s="600">
        <f t="shared" si="11"/>
        <v>0</v>
      </c>
      <c r="I27" s="440" t="str">
        <f t="shared" si="12"/>
        <v/>
      </c>
      <c r="K27" s="417"/>
      <c r="L27" s="417"/>
      <c r="M27" s="417"/>
      <c r="N27" s="417"/>
      <c r="O27" s="417"/>
      <c r="P27" s="417"/>
      <c r="Q27" s="417"/>
      <c r="R27" s="417"/>
      <c r="S27" s="417"/>
      <c r="T27" s="417"/>
      <c r="U27" s="417"/>
      <c r="V27" s="417"/>
      <c r="W27" s="417"/>
      <c r="Y27" s="221"/>
      <c r="Z27" s="221"/>
      <c r="AA27" s="221"/>
    </row>
    <row r="28" spans="1:27">
      <c r="B28" s="250" t="str">
        <f>Inputs!B90</f>
        <v>Feedlot Marketing</v>
      </c>
      <c r="C28" s="275"/>
      <c r="D28" s="366">
        <f>Inputs!X90</f>
        <v>0</v>
      </c>
      <c r="E28" s="359" t="s">
        <v>61</v>
      </c>
      <c r="F28" s="124"/>
      <c r="G28" s="265"/>
      <c r="H28" s="366">
        <f>Inputs!Z90</f>
        <v>0</v>
      </c>
      <c r="I28" s="440" t="str">
        <f t="shared" si="12"/>
        <v/>
      </c>
      <c r="K28" s="417"/>
      <c r="L28" s="417"/>
      <c r="M28" s="417"/>
      <c r="N28" s="417"/>
      <c r="O28" s="417"/>
      <c r="P28" s="417"/>
      <c r="Q28" s="417"/>
      <c r="R28" s="417"/>
      <c r="S28" s="417"/>
      <c r="T28" s="417"/>
      <c r="U28" s="417"/>
      <c r="V28" s="417"/>
      <c r="W28" s="417"/>
      <c r="Y28" s="221"/>
      <c r="Z28" s="221"/>
      <c r="AA28" s="221"/>
    </row>
    <row r="29" spans="1:27" hidden="1">
      <c r="B29" s="284">
        <f>Inputs!B91</f>
        <v>0</v>
      </c>
      <c r="C29" s="252"/>
      <c r="D29" s="366">
        <f>Inputs!D91</f>
        <v>0</v>
      </c>
      <c r="E29" s="359">
        <f>Inputs!E91</f>
        <v>0</v>
      </c>
      <c r="F29" s="124">
        <f>Inputs!T91</f>
        <v>0</v>
      </c>
      <c r="G29" s="265"/>
      <c r="H29" s="600">
        <f t="shared" si="11"/>
        <v>0</v>
      </c>
      <c r="I29" s="440" t="str">
        <f t="shared" si="12"/>
        <v/>
      </c>
      <c r="K29" s="417"/>
      <c r="L29" s="417"/>
      <c r="M29" s="417"/>
      <c r="N29" s="417"/>
      <c r="O29" s="417"/>
      <c r="P29" s="417"/>
      <c r="Q29" s="417"/>
      <c r="R29" s="417"/>
      <c r="S29" s="417"/>
      <c r="T29" s="417"/>
      <c r="U29" s="417"/>
      <c r="V29" s="417"/>
      <c r="W29" s="417"/>
      <c r="Y29" s="221"/>
      <c r="Z29" s="221"/>
      <c r="AA29" s="221"/>
    </row>
    <row r="30" spans="1:27" hidden="1">
      <c r="B30" s="284" t="str">
        <f>Inputs!B92</f>
        <v xml:space="preserve">Horse maintenance /feed </v>
      </c>
      <c r="C30" s="252" t="s">
        <v>9</v>
      </c>
      <c r="D30" s="366">
        <f>Inputs!D92</f>
        <v>2000</v>
      </c>
      <c r="E30" s="359" t="str">
        <f>Inputs!E92</f>
        <v>all animals</v>
      </c>
      <c r="F30" s="124">
        <f>Inputs!T92</f>
        <v>0</v>
      </c>
      <c r="G30" s="265"/>
      <c r="H30" s="600">
        <f t="shared" si="11"/>
        <v>0</v>
      </c>
      <c r="I30" s="440" t="str">
        <f t="shared" si="12"/>
        <v/>
      </c>
      <c r="K30" s="417"/>
      <c r="L30" s="417"/>
      <c r="M30" s="417"/>
      <c r="N30" s="417"/>
      <c r="O30" s="417"/>
      <c r="P30" s="417"/>
      <c r="Q30" s="417"/>
      <c r="R30" s="417"/>
      <c r="S30" s="417"/>
      <c r="T30" s="417"/>
      <c r="U30" s="417"/>
      <c r="V30" s="417"/>
      <c r="W30" s="417"/>
      <c r="Y30" s="221"/>
      <c r="Z30" s="221"/>
      <c r="AA30" s="221"/>
    </row>
    <row r="31" spans="1:27" hidden="1">
      <c r="B31" s="284">
        <f>Inputs!B93</f>
        <v>0</v>
      </c>
      <c r="C31" s="252" t="s">
        <v>9</v>
      </c>
      <c r="D31" s="366">
        <f>Inputs!D93</f>
        <v>0</v>
      </c>
      <c r="E31" s="359">
        <f>Inputs!E93</f>
        <v>0</v>
      </c>
      <c r="F31" s="124">
        <f>Inputs!T93</f>
        <v>0</v>
      </c>
      <c r="G31" s="265"/>
      <c r="H31" s="600">
        <f t="shared" si="11"/>
        <v>0</v>
      </c>
      <c r="I31" s="440" t="str">
        <f t="shared" si="12"/>
        <v/>
      </c>
      <c r="K31" s="417"/>
      <c r="L31" s="417"/>
      <c r="M31" s="417"/>
      <c r="N31" s="417"/>
      <c r="O31" s="417"/>
      <c r="P31" s="417"/>
      <c r="Q31" s="417"/>
      <c r="R31" s="417"/>
      <c r="S31" s="417"/>
      <c r="T31" s="417"/>
      <c r="U31" s="417"/>
      <c r="V31" s="417"/>
      <c r="W31" s="417"/>
      <c r="Y31" s="221"/>
      <c r="Z31" s="221"/>
      <c r="AA31" s="221"/>
    </row>
    <row r="32" spans="1:27" hidden="1">
      <c r="B32" s="284">
        <f>Inputs!B94</f>
        <v>0</v>
      </c>
      <c r="C32" s="252"/>
      <c r="D32" s="366">
        <f>Inputs!D94</f>
        <v>0</v>
      </c>
      <c r="E32" s="359">
        <f>Inputs!E94</f>
        <v>0</v>
      </c>
      <c r="F32" s="124">
        <f>Inputs!T94</f>
        <v>0</v>
      </c>
      <c r="G32" s="265"/>
      <c r="H32" s="600">
        <f t="shared" si="11"/>
        <v>0</v>
      </c>
      <c r="I32" s="440" t="str">
        <f t="shared" si="12"/>
        <v/>
      </c>
      <c r="K32" s="417"/>
      <c r="L32" s="417"/>
      <c r="M32" s="417"/>
      <c r="N32" s="417"/>
      <c r="O32" s="417"/>
      <c r="P32" s="417"/>
      <c r="Q32" s="417"/>
      <c r="R32" s="417"/>
      <c r="S32" s="417"/>
      <c r="T32" s="417"/>
      <c r="U32" s="417"/>
      <c r="V32" s="417"/>
      <c r="W32" s="417"/>
      <c r="Y32" s="221"/>
      <c r="Z32" s="221"/>
      <c r="AA32" s="221"/>
    </row>
    <row r="33" spans="2:27" hidden="1">
      <c r="B33" s="284">
        <f>Inputs!B95</f>
        <v>0</v>
      </c>
      <c r="C33" s="252" t="s">
        <v>9</v>
      </c>
      <c r="D33" s="366">
        <f>Inputs!D95</f>
        <v>0</v>
      </c>
      <c r="E33" s="359">
        <f>Inputs!E95</f>
        <v>0</v>
      </c>
      <c r="F33" s="124">
        <f>Inputs!T95</f>
        <v>0</v>
      </c>
      <c r="G33" s="265"/>
      <c r="H33" s="600">
        <f t="shared" si="11"/>
        <v>0</v>
      </c>
      <c r="I33" s="440" t="str">
        <f t="shared" si="12"/>
        <v/>
      </c>
      <c r="K33" s="417"/>
      <c r="L33" s="417"/>
      <c r="M33" s="417"/>
      <c r="N33" s="417"/>
      <c r="O33" s="417"/>
      <c r="P33" s="417"/>
      <c r="Q33" s="417"/>
      <c r="R33" s="417"/>
      <c r="S33" s="417"/>
      <c r="T33" s="417"/>
      <c r="U33" s="417"/>
      <c r="V33" s="417"/>
      <c r="W33" s="417"/>
      <c r="Y33" s="221"/>
      <c r="Z33" s="221"/>
      <c r="AA33" s="221"/>
    </row>
    <row r="34" spans="2:27" ht="27" customHeight="1" thickBot="1">
      <c r="B34" s="172" t="s">
        <v>37</v>
      </c>
      <c r="C34" s="829" t="s">
        <v>118</v>
      </c>
      <c r="D34" s="830"/>
      <c r="E34" s="830"/>
      <c r="F34" s="830"/>
      <c r="G34" s="831"/>
      <c r="H34" s="449">
        <f>(SUM(H22,H25:H27,H29:H33,D40:D48)/2+H13)*Inputs!E111*E1/365</f>
        <v>0</v>
      </c>
      <c r="I34" s="448" t="str">
        <f>IF(B34="","",IF(($C$4+$C$5)=0,"",H34/($C$4+$C$5)))</f>
        <v/>
      </c>
      <c r="K34" s="417"/>
      <c r="L34" s="417"/>
      <c r="M34" s="417"/>
      <c r="N34" s="417"/>
      <c r="O34" s="417"/>
      <c r="P34" s="417"/>
      <c r="Q34" s="417"/>
      <c r="R34" s="417"/>
      <c r="S34" s="417"/>
      <c r="T34" s="417"/>
      <c r="U34" s="417"/>
      <c r="V34" s="417"/>
      <c r="W34" s="417"/>
      <c r="Y34" s="221"/>
      <c r="Z34" s="221"/>
      <c r="AA34" s="221"/>
    </row>
    <row r="35" spans="2:27" ht="14.25" thickTop="1" thickBot="1">
      <c r="B35" s="253"/>
      <c r="C35" s="244"/>
      <c r="D35" s="259"/>
      <c r="E35" s="259"/>
      <c r="F35" s="282"/>
      <c r="G35" s="259" t="s">
        <v>145</v>
      </c>
      <c r="H35" s="601">
        <f>SUM(H25:H34)</f>
        <v>0</v>
      </c>
      <c r="I35" s="562">
        <f>SUM(I25:I34)</f>
        <v>0</v>
      </c>
      <c r="K35" s="417"/>
      <c r="L35" s="417"/>
      <c r="M35" s="417"/>
      <c r="N35" s="417"/>
      <c r="O35" s="417"/>
      <c r="P35" s="417"/>
      <c r="Q35" s="417"/>
      <c r="R35" s="417"/>
      <c r="S35" s="417"/>
      <c r="T35" s="417"/>
      <c r="U35" s="417"/>
      <c r="V35" s="417"/>
      <c r="W35" s="417"/>
      <c r="Y35" s="221"/>
      <c r="Z35" s="221"/>
      <c r="AA35" s="221"/>
    </row>
    <row r="36" spans="2:27" ht="13.5" thickBot="1">
      <c r="B36" s="123"/>
      <c r="C36" s="96"/>
      <c r="D36" s="42"/>
      <c r="E36" s="42"/>
      <c r="F36" s="42"/>
      <c r="G36" s="21" t="s">
        <v>104</v>
      </c>
      <c r="H36" s="602">
        <f>H13+H22+H35</f>
        <v>0</v>
      </c>
      <c r="I36" s="619">
        <f>I13+I22+I35</f>
        <v>0</v>
      </c>
      <c r="K36" s="417"/>
      <c r="L36" s="417"/>
      <c r="M36" s="417"/>
      <c r="N36" s="417"/>
      <c r="O36" s="417"/>
      <c r="P36" s="417"/>
      <c r="Q36" s="417"/>
      <c r="R36" s="417"/>
      <c r="S36" s="417"/>
      <c r="T36" s="417"/>
      <c r="U36" s="417"/>
      <c r="V36" s="417"/>
      <c r="W36" s="417"/>
      <c r="Y36" s="221"/>
      <c r="Z36" s="221"/>
      <c r="AA36" s="221"/>
    </row>
    <row r="37" spans="2:27" ht="13.5" thickBot="1">
      <c r="B37" s="251"/>
      <c r="C37" s="251"/>
      <c r="D37" s="251"/>
      <c r="E37" s="251"/>
      <c r="F37" s="258"/>
      <c r="G37" s="258"/>
      <c r="H37" s="603"/>
      <c r="I37" s="620" t="str">
        <f>IF(H37=0,"",H37/$C$5)</f>
        <v/>
      </c>
      <c r="Y37" s="221"/>
      <c r="Z37" s="221"/>
      <c r="AA37" s="221"/>
    </row>
    <row r="38" spans="2:27" ht="26.25" thickBot="1">
      <c r="B38" s="41" t="s">
        <v>109</v>
      </c>
      <c r="C38" s="108"/>
      <c r="D38" s="109"/>
      <c r="E38" s="109"/>
      <c r="F38" s="109"/>
      <c r="G38" s="109"/>
      <c r="H38" s="593" t="s">
        <v>74</v>
      </c>
      <c r="I38" s="612" t="s">
        <v>94</v>
      </c>
      <c r="Y38" s="221"/>
      <c r="Z38" s="221"/>
      <c r="AA38" s="221"/>
    </row>
    <row r="39" spans="2:27">
      <c r="B39" s="263" t="s">
        <v>39</v>
      </c>
      <c r="C39" s="243"/>
      <c r="D39" s="364" t="s">
        <v>15</v>
      </c>
      <c r="E39" s="364"/>
      <c r="F39" s="364" t="s">
        <v>48</v>
      </c>
      <c r="G39" s="266"/>
      <c r="H39" s="604" t="s">
        <v>31</v>
      </c>
      <c r="I39" s="621" t="s">
        <v>31</v>
      </c>
      <c r="Y39" s="221"/>
      <c r="Z39" s="221"/>
      <c r="AA39" s="221"/>
    </row>
    <row r="40" spans="2:27">
      <c r="B40" s="250" t="str">
        <f>Inputs!B100</f>
        <v>General machinery &amp; equipment</v>
      </c>
      <c r="C40" s="243"/>
      <c r="D40" s="366">
        <f>Inputs!G100</f>
        <v>1000</v>
      </c>
      <c r="E40" s="256"/>
      <c r="F40" s="264">
        <f>IF(D40=0,0,Inputs!T100)</f>
        <v>0</v>
      </c>
      <c r="G40" s="272"/>
      <c r="H40" s="446">
        <f>IF(B40="","",D40*F40)</f>
        <v>0</v>
      </c>
      <c r="I40" s="440" t="str">
        <f>IF(B40="","",IF(($C$4+$C$5)=0,"",H40/($C$4+$C$5)))</f>
        <v/>
      </c>
      <c r="Y40" s="221"/>
      <c r="Z40" s="221"/>
      <c r="AA40" s="221"/>
    </row>
    <row r="41" spans="2:27">
      <c r="B41" s="250" t="str">
        <f>Inputs!B101</f>
        <v>Vehicles</v>
      </c>
      <c r="C41" s="243"/>
      <c r="D41" s="366">
        <f>Inputs!G101</f>
        <v>1200</v>
      </c>
      <c r="E41" s="256"/>
      <c r="F41" s="264">
        <f>IF(D41=0,0,Inputs!T101)</f>
        <v>0</v>
      </c>
      <c r="G41" s="272"/>
      <c r="H41" s="446">
        <f t="shared" ref="H41:H48" si="13">IF(B41="","",D41*F41)</f>
        <v>0</v>
      </c>
      <c r="I41" s="440" t="str">
        <f t="shared" ref="I41:I48" si="14">IF(B41="","",IF(($C$4+$C$5)=0,"",H41/($C$4+$C$5)))</f>
        <v/>
      </c>
      <c r="Y41" s="221"/>
      <c r="Z41" s="221"/>
      <c r="AA41" s="221"/>
    </row>
    <row r="42" spans="2:27">
      <c r="B42" s="284" t="str">
        <f>Inputs!B102</f>
        <v>2 Horses ($5,000 value each)</v>
      </c>
      <c r="C42" s="251"/>
      <c r="D42" s="366">
        <f>Inputs!G102</f>
        <v>0</v>
      </c>
      <c r="E42" s="256"/>
      <c r="F42" s="264">
        <f>IF(D42=0,0,Inputs!T102)</f>
        <v>0</v>
      </c>
      <c r="G42" s="272"/>
      <c r="H42" s="446">
        <f t="shared" si="13"/>
        <v>0</v>
      </c>
      <c r="I42" s="440" t="str">
        <f t="shared" si="14"/>
        <v/>
      </c>
      <c r="Y42" s="221"/>
      <c r="Z42" s="221"/>
      <c r="AA42" s="221"/>
    </row>
    <row r="43" spans="2:27">
      <c r="B43" s="284">
        <f>Inputs!B103</f>
        <v>0</v>
      </c>
      <c r="C43" s="251"/>
      <c r="D43" s="366">
        <f>Inputs!G103</f>
        <v>0</v>
      </c>
      <c r="E43" s="256"/>
      <c r="F43" s="264">
        <f>IF(D43=0,0,Inputs!T103)</f>
        <v>0</v>
      </c>
      <c r="G43" s="272"/>
      <c r="H43" s="446">
        <f t="shared" si="13"/>
        <v>0</v>
      </c>
      <c r="I43" s="440" t="str">
        <f t="shared" si="14"/>
        <v/>
      </c>
      <c r="Y43" s="221"/>
      <c r="Z43" s="221"/>
      <c r="AA43" s="221"/>
    </row>
    <row r="44" spans="2:27" hidden="1">
      <c r="B44" s="284">
        <f>Inputs!B104</f>
        <v>0</v>
      </c>
      <c r="C44" s="251"/>
      <c r="D44" s="366">
        <f>Inputs!G104</f>
        <v>0</v>
      </c>
      <c r="E44" s="256"/>
      <c r="F44" s="264">
        <f>IF(D44=0,0,Inputs!T104)</f>
        <v>0</v>
      </c>
      <c r="G44" s="272"/>
      <c r="H44" s="446">
        <f t="shared" si="13"/>
        <v>0</v>
      </c>
      <c r="I44" s="440" t="str">
        <f t="shared" si="14"/>
        <v/>
      </c>
      <c r="Y44" s="221"/>
      <c r="Z44" s="221"/>
      <c r="AA44" s="221"/>
    </row>
    <row r="45" spans="2:27" hidden="1">
      <c r="B45" s="284">
        <f>Inputs!B105</f>
        <v>0</v>
      </c>
      <c r="C45" s="251"/>
      <c r="D45" s="366">
        <f>Inputs!G105</f>
        <v>0</v>
      </c>
      <c r="E45" s="256"/>
      <c r="F45" s="264">
        <f>IF(D45=0,0,Inputs!T105)</f>
        <v>0</v>
      </c>
      <c r="G45" s="272"/>
      <c r="H45" s="446">
        <f t="shared" si="13"/>
        <v>0</v>
      </c>
      <c r="I45" s="440" t="str">
        <f t="shared" si="14"/>
        <v/>
      </c>
      <c r="Y45" s="221"/>
      <c r="Z45" s="221"/>
      <c r="AA45" s="221"/>
    </row>
    <row r="46" spans="2:27" hidden="1">
      <c r="B46" s="284">
        <f>Inputs!B106</f>
        <v>0</v>
      </c>
      <c r="C46" s="251"/>
      <c r="D46" s="366">
        <f>Inputs!G106</f>
        <v>0</v>
      </c>
      <c r="E46" s="256"/>
      <c r="F46" s="264">
        <f>IF(D46=0,0,Inputs!T106)</f>
        <v>0</v>
      </c>
      <c r="G46" s="272"/>
      <c r="H46" s="446">
        <f t="shared" si="13"/>
        <v>0</v>
      </c>
      <c r="I46" s="440" t="str">
        <f t="shared" si="14"/>
        <v/>
      </c>
      <c r="Y46" s="221"/>
      <c r="Z46" s="221"/>
      <c r="AA46" s="221"/>
    </row>
    <row r="47" spans="2:27" hidden="1">
      <c r="B47" s="284">
        <f>Inputs!B107</f>
        <v>0</v>
      </c>
      <c r="C47" s="251"/>
      <c r="D47" s="366">
        <f>Inputs!G107</f>
        <v>0</v>
      </c>
      <c r="E47" s="256"/>
      <c r="F47" s="264">
        <f>IF(D47=0,0,Inputs!T107)</f>
        <v>0</v>
      </c>
      <c r="G47" s="272"/>
      <c r="H47" s="446">
        <f t="shared" si="13"/>
        <v>0</v>
      </c>
      <c r="I47" s="440" t="str">
        <f t="shared" si="14"/>
        <v/>
      </c>
      <c r="Y47" s="221"/>
      <c r="Z47" s="221"/>
      <c r="AA47" s="221"/>
    </row>
    <row r="48" spans="2:27" ht="13.5" thickBot="1">
      <c r="B48" s="284">
        <f>Inputs!B108</f>
        <v>0</v>
      </c>
      <c r="C48" s="251"/>
      <c r="D48" s="366">
        <f>Inputs!G108</f>
        <v>0</v>
      </c>
      <c r="E48" s="256"/>
      <c r="F48" s="264">
        <f>IF(D48=0,0,Inputs!T108)</f>
        <v>0</v>
      </c>
      <c r="G48" s="272"/>
      <c r="H48" s="451">
        <f t="shared" si="13"/>
        <v>0</v>
      </c>
      <c r="I48" s="441" t="str">
        <f t="shared" si="14"/>
        <v/>
      </c>
      <c r="Y48" s="221"/>
      <c r="Z48" s="221"/>
      <c r="AA48" s="221"/>
    </row>
    <row r="49" spans="1:45" ht="13.5" thickTop="1">
      <c r="B49" s="250"/>
      <c r="C49" s="243"/>
      <c r="D49" s="239"/>
      <c r="E49" s="92"/>
      <c r="F49" s="92"/>
      <c r="G49" s="126" t="s">
        <v>112</v>
      </c>
      <c r="H49" s="605">
        <f>SUM(H40:H48)</f>
        <v>0</v>
      </c>
      <c r="I49" s="442">
        <f>SUM(I40:I48)</f>
        <v>0</v>
      </c>
      <c r="Y49" s="221"/>
      <c r="Z49" s="221"/>
      <c r="AA49" s="221"/>
    </row>
    <row r="50" spans="1:45">
      <c r="B50" s="250"/>
      <c r="C50" s="243"/>
      <c r="D50" s="251"/>
      <c r="E50" s="251"/>
      <c r="F50" s="251"/>
      <c r="G50" s="251"/>
      <c r="H50" s="443"/>
      <c r="I50" s="471" t="str">
        <f>IF(H50=0,"",H50/$C$5)</f>
        <v/>
      </c>
      <c r="Y50" s="221"/>
      <c r="Z50" s="221"/>
      <c r="AA50" s="221"/>
    </row>
    <row r="51" spans="1:45">
      <c r="B51" s="263" t="s">
        <v>54</v>
      </c>
      <c r="C51" s="243"/>
      <c r="D51" s="364" t="s">
        <v>56</v>
      </c>
      <c r="E51" s="251"/>
      <c r="F51" s="364" t="s">
        <v>48</v>
      </c>
      <c r="G51" s="265"/>
      <c r="H51" s="528" t="s">
        <v>31</v>
      </c>
      <c r="I51" s="616" t="s">
        <v>31</v>
      </c>
      <c r="Y51" s="221"/>
      <c r="Z51" s="221"/>
      <c r="AA51" s="221"/>
    </row>
    <row r="52" spans="1:45">
      <c r="B52" s="250" t="str">
        <f>Inputs!B117</f>
        <v>Real Estate Tax</v>
      </c>
      <c r="C52" s="243"/>
      <c r="D52" s="110">
        <f>Inputs!E117</f>
        <v>540</v>
      </c>
      <c r="E52" s="251"/>
      <c r="F52" s="279">
        <f>IF(D52=0,0,Inputs!T117)</f>
        <v>0</v>
      </c>
      <c r="G52" s="265"/>
      <c r="H52" s="446">
        <f>F52*Inputs!E117</f>
        <v>0</v>
      </c>
      <c r="I52" s="440" t="str">
        <f>IF(B52="","",IF(($C$4+$C$5)=0,"",H52/($C$4+$C$5)))</f>
        <v/>
      </c>
      <c r="Y52" s="221"/>
      <c r="Z52" s="221"/>
      <c r="AA52" s="221"/>
    </row>
    <row r="53" spans="1:45">
      <c r="B53" s="250" t="str">
        <f>Inputs!B118</f>
        <v>Annual Insurance Premium</v>
      </c>
      <c r="C53" s="243"/>
      <c r="D53" s="110">
        <f>Inputs!E118</f>
        <v>2500</v>
      </c>
      <c r="E53" s="251"/>
      <c r="F53" s="279">
        <f>IF(D53=0,0,Inputs!T118)</f>
        <v>0</v>
      </c>
      <c r="G53" s="265"/>
      <c r="H53" s="446">
        <f>F53*Inputs!E118</f>
        <v>0</v>
      </c>
      <c r="I53" s="440" t="str">
        <f>IF(B53="","",IF(($C$4+$C$5)=0,"",H53/($C$4+$C$5)))</f>
        <v/>
      </c>
      <c r="Y53" s="221"/>
      <c r="Z53" s="221"/>
      <c r="AA53" s="221"/>
    </row>
    <row r="54" spans="1:45">
      <c r="B54" s="250" t="str">
        <f>Inputs!B119</f>
        <v>Professional Fees</v>
      </c>
      <c r="C54" s="243"/>
      <c r="D54" s="110">
        <f>Inputs!E119</f>
        <v>1000</v>
      </c>
      <c r="E54" s="251"/>
      <c r="F54" s="279">
        <f>IF(D54=0,0,Inputs!T119)</f>
        <v>0</v>
      </c>
      <c r="G54" s="265"/>
      <c r="H54" s="446">
        <f>F54*Inputs!E119</f>
        <v>0</v>
      </c>
      <c r="I54" s="440" t="str">
        <f>IF(B54="","",IF(($C$4+$C$5)=0,"",H54/($C$4+$C$5)))</f>
        <v/>
      </c>
      <c r="Y54" s="221"/>
      <c r="Z54" s="221"/>
      <c r="AA54" s="221"/>
    </row>
    <row r="55" spans="1:45">
      <c r="B55" s="250" t="str">
        <f>Inputs!B120</f>
        <v>Annual Management Charge</v>
      </c>
      <c r="C55" s="243"/>
      <c r="D55" s="110">
        <f>Inputs!E120</f>
        <v>0</v>
      </c>
      <c r="E55" s="251"/>
      <c r="F55" s="279">
        <f>IF(D55=0,0,Inputs!T120)</f>
        <v>0</v>
      </c>
      <c r="G55" s="265"/>
      <c r="H55" s="446">
        <f>F55*Inputs!E120</f>
        <v>0</v>
      </c>
      <c r="I55" s="440" t="str">
        <f>IF(B55="","",IF(($C$4+$C$5)=0,"",H55/($C$4+$C$5)))</f>
        <v/>
      </c>
      <c r="Y55" s="221"/>
      <c r="Z55" s="221"/>
      <c r="AA55" s="221"/>
    </row>
    <row r="56" spans="1:45" ht="13.5" thickBot="1">
      <c r="B56" s="250" t="str">
        <f>Inputs!B121</f>
        <v>Other</v>
      </c>
      <c r="C56" s="243"/>
      <c r="D56" s="110">
        <f>Inputs!E121</f>
        <v>750</v>
      </c>
      <c r="E56" s="251"/>
      <c r="F56" s="279">
        <f>IF(D56=0,0,Inputs!T121)</f>
        <v>0</v>
      </c>
      <c r="G56" s="265"/>
      <c r="H56" s="451">
        <f>F56*Inputs!E121</f>
        <v>0</v>
      </c>
      <c r="I56" s="441" t="str">
        <f>IF(B56="","",IF(($C$4+$C$5)=0,"",H56/($C$4+$C$5)))</f>
        <v/>
      </c>
      <c r="Y56" s="221"/>
      <c r="Z56" s="221"/>
      <c r="AA56" s="221"/>
    </row>
    <row r="57" spans="1:45" ht="14.25" thickTop="1" thickBot="1">
      <c r="B57" s="253"/>
      <c r="C57" s="244"/>
      <c r="D57" s="254"/>
      <c r="E57" s="254"/>
      <c r="F57" s="239"/>
      <c r="G57" s="259" t="s">
        <v>43</v>
      </c>
      <c r="H57" s="444">
        <f>SUM(H52:H56)</f>
        <v>0</v>
      </c>
      <c r="I57" s="445">
        <f>SUM(I52:I56)</f>
        <v>0</v>
      </c>
      <c r="K57" s="223"/>
      <c r="Y57" s="221"/>
      <c r="Z57" s="221"/>
      <c r="AA57" s="221"/>
    </row>
    <row r="58" spans="1:45" ht="13.5" thickBot="1">
      <c r="B58" s="99">
        <v>217480.06701030929</v>
      </c>
      <c r="C58" s="96"/>
      <c r="D58" s="42"/>
      <c r="E58" s="42"/>
      <c r="F58" s="42"/>
      <c r="G58" s="21" t="s">
        <v>103</v>
      </c>
      <c r="H58" s="602">
        <f>H49+H57</f>
        <v>0</v>
      </c>
      <c r="I58" s="622">
        <f>I49+I57</f>
        <v>0</v>
      </c>
      <c r="J58" s="160"/>
      <c r="Y58" s="221"/>
      <c r="Z58" s="221"/>
      <c r="AA58" s="221"/>
    </row>
    <row r="59" spans="1:45" ht="13.5" thickBot="1">
      <c r="B59" s="43"/>
      <c r="C59" s="43"/>
      <c r="D59" s="43"/>
      <c r="E59" s="43"/>
      <c r="F59" s="43"/>
      <c r="G59" s="43"/>
      <c r="H59" s="447"/>
      <c r="I59" s="611" t="str">
        <f>IF(H59=0,"",H59/$C$5)</f>
        <v/>
      </c>
      <c r="Y59" s="221"/>
      <c r="Z59" s="221"/>
      <c r="AA59" s="221"/>
    </row>
    <row r="60" spans="1:45" ht="13.5" thickBot="1">
      <c r="B60" s="98"/>
      <c r="C60" s="96"/>
      <c r="D60" s="67"/>
      <c r="E60" s="67"/>
      <c r="F60" s="67"/>
      <c r="G60" s="21" t="s">
        <v>111</v>
      </c>
      <c r="H60" s="602">
        <f>H36+H58</f>
        <v>0</v>
      </c>
      <c r="I60" s="622">
        <f>I36+I58</f>
        <v>0</v>
      </c>
      <c r="Y60" s="221"/>
      <c r="Z60" s="221"/>
      <c r="AA60" s="221"/>
    </row>
    <row r="61" spans="1:45" ht="13.5" thickBot="1">
      <c r="B61" s="104"/>
      <c r="C61" s="104"/>
      <c r="D61" s="104"/>
      <c r="E61" s="104"/>
      <c r="F61" s="104"/>
      <c r="G61" s="104"/>
      <c r="H61" s="606"/>
      <c r="I61" s="623"/>
      <c r="Y61" s="221"/>
      <c r="Z61" s="221"/>
      <c r="AA61" s="221"/>
    </row>
    <row r="62" spans="1:45" ht="13.5" thickBot="1">
      <c r="B62" s="98"/>
      <c r="C62" s="96"/>
      <c r="D62" s="67"/>
      <c r="E62" s="67"/>
      <c r="F62" s="67"/>
      <c r="G62" s="21" t="s">
        <v>105</v>
      </c>
      <c r="H62" s="602">
        <f>H7-H60</f>
        <v>0</v>
      </c>
      <c r="I62" s="624">
        <f>I7-I60</f>
        <v>0</v>
      </c>
      <c r="Y62" s="221"/>
      <c r="Z62" s="221"/>
      <c r="AA62" s="221"/>
    </row>
    <row r="63" spans="1:45" s="216" customFormat="1" ht="13.5" thickBot="1">
      <c r="A63" s="277"/>
      <c r="B63" s="251"/>
      <c r="C63" s="251"/>
      <c r="D63" s="251"/>
      <c r="E63" s="251"/>
      <c r="F63" s="43"/>
      <c r="G63" s="43"/>
      <c r="H63" s="592"/>
      <c r="I63" s="611"/>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c r="AK63" s="277"/>
      <c r="AL63" s="277"/>
      <c r="AM63" s="277"/>
      <c r="AN63" s="277"/>
      <c r="AO63" s="277"/>
      <c r="AP63" s="277"/>
      <c r="AQ63" s="277"/>
      <c r="AR63" s="277"/>
      <c r="AS63" s="277"/>
    </row>
    <row r="64" spans="1:45" s="216" customFormat="1" ht="26.25" thickBot="1">
      <c r="A64" s="155"/>
      <c r="B64" s="41" t="s">
        <v>98</v>
      </c>
      <c r="C64" s="108"/>
      <c r="D64" s="109"/>
      <c r="E64" s="109"/>
      <c r="F64" s="109"/>
      <c r="G64" s="109"/>
      <c r="H64" s="607" t="s">
        <v>74</v>
      </c>
      <c r="I64" s="625" t="s">
        <v>94</v>
      </c>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c r="AK64" s="277"/>
      <c r="AL64" s="277"/>
      <c r="AM64" s="277"/>
      <c r="AN64" s="277"/>
      <c r="AO64" s="277"/>
      <c r="AP64" s="277"/>
      <c r="AQ64" s="277"/>
      <c r="AR64" s="277"/>
      <c r="AS64" s="277"/>
    </row>
    <row r="65" spans="1:45" s="216" customFormat="1" ht="25.5">
      <c r="A65" s="277"/>
      <c r="B65" s="263" t="s">
        <v>114</v>
      </c>
      <c r="C65" s="243"/>
      <c r="D65" s="364" t="s">
        <v>46</v>
      </c>
      <c r="E65" s="360" t="s">
        <v>55</v>
      </c>
      <c r="F65" s="364" t="s">
        <v>48</v>
      </c>
      <c r="G65" s="364"/>
      <c r="H65" s="528" t="s">
        <v>31</v>
      </c>
      <c r="I65" s="616" t="s">
        <v>31</v>
      </c>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c r="AK65" s="277"/>
      <c r="AL65" s="277"/>
      <c r="AM65" s="277"/>
      <c r="AN65" s="277"/>
      <c r="AO65" s="277"/>
      <c r="AP65" s="277"/>
      <c r="AQ65" s="277"/>
      <c r="AR65" s="277"/>
      <c r="AS65" s="277"/>
    </row>
    <row r="66" spans="1:45" s="216" customFormat="1">
      <c r="A66" s="277"/>
      <c r="B66" s="250" t="str">
        <f>Inputs!B100</f>
        <v>General machinery &amp; equipment</v>
      </c>
      <c r="C66" s="243"/>
      <c r="D66" s="366">
        <f>IF(Inputs!F100=0,0,(Inputs!D100-Inputs!E100)/Inputs!F100)</f>
        <v>7500</v>
      </c>
      <c r="E66" s="365">
        <f>Inputs!D100*Inputs!$E$112</f>
        <v>3000</v>
      </c>
      <c r="F66" s="264">
        <f>IF(SUM(D66:E66)=0,0,Inputs!T100)</f>
        <v>0</v>
      </c>
      <c r="G66" s="256"/>
      <c r="H66" s="446">
        <f>(D66+E66)*F66</f>
        <v>0</v>
      </c>
      <c r="I66" s="440" t="str">
        <f t="shared" ref="I66:I75" si="15">IF(B66="","",IF(($C$4+$C$5)=0,"",H66/($C$4+$C$5)))</f>
        <v/>
      </c>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c r="AK66" s="277"/>
      <c r="AL66" s="277"/>
      <c r="AM66" s="277"/>
      <c r="AN66" s="277"/>
      <c r="AO66" s="277"/>
      <c r="AP66" s="277"/>
      <c r="AQ66" s="277"/>
      <c r="AR66" s="277"/>
      <c r="AS66" s="277"/>
    </row>
    <row r="67" spans="1:45" s="216" customFormat="1">
      <c r="A67" s="277"/>
      <c r="B67" s="250" t="str">
        <f>Inputs!B101</f>
        <v>Vehicles</v>
      </c>
      <c r="C67" s="243"/>
      <c r="D67" s="366">
        <f>IF(Inputs!F101=0,0,(Inputs!D101-Inputs!E101)/Inputs!F101)</f>
        <v>3571.4285714285716</v>
      </c>
      <c r="E67" s="365">
        <f>Inputs!D101*Inputs!$E$112</f>
        <v>1050</v>
      </c>
      <c r="F67" s="264">
        <f>IF(SUM(D67:E67)=0,0,Inputs!T101)</f>
        <v>0</v>
      </c>
      <c r="G67" s="256"/>
      <c r="H67" s="446">
        <f t="shared" ref="H67:H73" si="16">(D67+E67)*F67</f>
        <v>0</v>
      </c>
      <c r="I67" s="440" t="str">
        <f t="shared" si="15"/>
        <v/>
      </c>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c r="AK67" s="277"/>
      <c r="AL67" s="277"/>
      <c r="AM67" s="277"/>
      <c r="AN67" s="277"/>
      <c r="AO67" s="277"/>
      <c r="AP67" s="277"/>
      <c r="AQ67" s="277"/>
      <c r="AR67" s="277"/>
      <c r="AS67" s="277"/>
    </row>
    <row r="68" spans="1:45" s="216" customFormat="1">
      <c r="A68" s="277"/>
      <c r="B68" s="284" t="str">
        <f>Inputs!B102</f>
        <v>2 Horses ($5,000 value each)</v>
      </c>
      <c r="C68" s="251"/>
      <c r="D68" s="366">
        <f>IF(Inputs!F102=0,0,(Inputs!D102-Inputs!E102)/Inputs!F102)</f>
        <v>1000</v>
      </c>
      <c r="E68" s="365">
        <f>Inputs!D102*Inputs!$E$112</f>
        <v>300</v>
      </c>
      <c r="F68" s="264">
        <f>IF(SUM(D68:E68)=0,0,Inputs!T102)</f>
        <v>0</v>
      </c>
      <c r="G68" s="256"/>
      <c r="H68" s="446">
        <f t="shared" si="16"/>
        <v>0</v>
      </c>
      <c r="I68" s="440" t="str">
        <f t="shared" si="15"/>
        <v/>
      </c>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c r="AK68" s="277"/>
      <c r="AL68" s="277"/>
      <c r="AM68" s="277"/>
      <c r="AN68" s="277"/>
      <c r="AO68" s="277"/>
      <c r="AP68" s="277"/>
      <c r="AQ68" s="277"/>
      <c r="AR68" s="277"/>
      <c r="AS68" s="277"/>
    </row>
    <row r="69" spans="1:45" s="216" customFormat="1">
      <c r="A69" s="277"/>
      <c r="B69" s="284">
        <f>Inputs!B103</f>
        <v>0</v>
      </c>
      <c r="C69" s="251"/>
      <c r="D69" s="366">
        <f>IF(Inputs!F103=0,0,(Inputs!D103-Inputs!E103)/Inputs!F103)</f>
        <v>0</v>
      </c>
      <c r="E69" s="365">
        <f>Inputs!D103*Inputs!$E$112</f>
        <v>0</v>
      </c>
      <c r="F69" s="264">
        <f>IF(SUM(D69:E69)=0,0,Inputs!T103)</f>
        <v>0</v>
      </c>
      <c r="G69" s="256"/>
      <c r="H69" s="446">
        <f t="shared" si="16"/>
        <v>0</v>
      </c>
      <c r="I69" s="440" t="str">
        <f t="shared" si="15"/>
        <v/>
      </c>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c r="AK69" s="277"/>
      <c r="AL69" s="277"/>
      <c r="AM69" s="277"/>
      <c r="AN69" s="277"/>
      <c r="AO69" s="277"/>
      <c r="AP69" s="277"/>
      <c r="AQ69" s="277"/>
      <c r="AR69" s="277"/>
      <c r="AS69" s="277"/>
    </row>
    <row r="70" spans="1:45" s="216" customFormat="1" hidden="1">
      <c r="A70" s="277"/>
      <c r="B70" s="284">
        <f>Inputs!B104</f>
        <v>0</v>
      </c>
      <c r="C70" s="251"/>
      <c r="D70" s="366">
        <f>IF(Inputs!F104=0,0,(Inputs!D104-Inputs!E104)/Inputs!F104)</f>
        <v>0</v>
      </c>
      <c r="E70" s="365">
        <f>Inputs!D104*Inputs!$E$112</f>
        <v>0</v>
      </c>
      <c r="F70" s="264">
        <f>IF(SUM(D70:E70)=0,0,Inputs!T104)</f>
        <v>0</v>
      </c>
      <c r="G70" s="256"/>
      <c r="H70" s="446"/>
      <c r="I70" s="440" t="str">
        <f t="shared" si="15"/>
        <v/>
      </c>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c r="AK70" s="277"/>
      <c r="AL70" s="277"/>
      <c r="AM70" s="277"/>
      <c r="AN70" s="277"/>
      <c r="AO70" s="277"/>
      <c r="AP70" s="277"/>
      <c r="AQ70" s="277"/>
      <c r="AR70" s="277"/>
      <c r="AS70" s="277"/>
    </row>
    <row r="71" spans="1:45" s="216" customFormat="1" hidden="1">
      <c r="A71" s="277"/>
      <c r="B71" s="284">
        <f>Inputs!B105</f>
        <v>0</v>
      </c>
      <c r="C71" s="251"/>
      <c r="D71" s="366">
        <f>IF(Inputs!F105=0,0,(Inputs!D105-Inputs!E105)/Inputs!F105)</f>
        <v>0</v>
      </c>
      <c r="E71" s="365">
        <f>Inputs!D105*Inputs!$E$112</f>
        <v>0</v>
      </c>
      <c r="F71" s="264">
        <f>IF(SUM(D71:E71)=0,0,Inputs!T105)</f>
        <v>0</v>
      </c>
      <c r="G71" s="256"/>
      <c r="H71" s="446"/>
      <c r="I71" s="440" t="str">
        <f t="shared" si="15"/>
        <v/>
      </c>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c r="AK71" s="277"/>
      <c r="AL71" s="277"/>
      <c r="AM71" s="277"/>
      <c r="AN71" s="277"/>
      <c r="AO71" s="277"/>
      <c r="AP71" s="277"/>
      <c r="AQ71" s="277"/>
      <c r="AR71" s="277"/>
      <c r="AS71" s="277"/>
    </row>
    <row r="72" spans="1:45" s="216" customFormat="1" hidden="1">
      <c r="A72" s="277"/>
      <c r="B72" s="284">
        <f>Inputs!B106</f>
        <v>0</v>
      </c>
      <c r="C72" s="251"/>
      <c r="D72" s="366">
        <f>IF(Inputs!F106=0,0,(Inputs!D106-Inputs!E106)/Inputs!F106)</f>
        <v>0</v>
      </c>
      <c r="E72" s="365">
        <f>Inputs!D106*Inputs!$E$112</f>
        <v>0</v>
      </c>
      <c r="F72" s="264">
        <f>IF(SUM(D72:E72)=0,0,Inputs!T106)</f>
        <v>0</v>
      </c>
      <c r="G72" s="256"/>
      <c r="H72" s="446">
        <f t="shared" si="16"/>
        <v>0</v>
      </c>
      <c r="I72" s="440" t="str">
        <f t="shared" si="15"/>
        <v/>
      </c>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c r="AK72" s="277"/>
      <c r="AL72" s="277"/>
      <c r="AM72" s="277"/>
      <c r="AN72" s="277"/>
      <c r="AO72" s="277"/>
      <c r="AP72" s="277"/>
      <c r="AQ72" s="277"/>
      <c r="AR72" s="277"/>
      <c r="AS72" s="277"/>
    </row>
    <row r="73" spans="1:45" s="216" customFormat="1" hidden="1">
      <c r="A73" s="277"/>
      <c r="B73" s="284">
        <f>Inputs!B107</f>
        <v>0</v>
      </c>
      <c r="C73" s="251"/>
      <c r="D73" s="366">
        <f>IF(Inputs!F107=0,0,(Inputs!D107-Inputs!E107)/Inputs!F107)</f>
        <v>0</v>
      </c>
      <c r="E73" s="365">
        <f>Inputs!D107*Inputs!$E$112</f>
        <v>0</v>
      </c>
      <c r="F73" s="264">
        <f>IF(SUM(D73:E73)=0,0,Inputs!T107)</f>
        <v>0</v>
      </c>
      <c r="G73" s="256"/>
      <c r="H73" s="446">
        <f t="shared" si="16"/>
        <v>0</v>
      </c>
      <c r="I73" s="440" t="str">
        <f t="shared" si="15"/>
        <v/>
      </c>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c r="AK73" s="277"/>
      <c r="AL73" s="277"/>
      <c r="AM73" s="277"/>
      <c r="AN73" s="277"/>
      <c r="AO73" s="277"/>
      <c r="AP73" s="277"/>
      <c r="AQ73" s="277"/>
      <c r="AR73" s="277"/>
      <c r="AS73" s="277"/>
    </row>
    <row r="74" spans="1:45" s="216" customFormat="1" hidden="1">
      <c r="A74" s="277"/>
      <c r="B74" s="284">
        <f>Inputs!B108</f>
        <v>0</v>
      </c>
      <c r="C74" s="251"/>
      <c r="D74" s="366">
        <f>IF(Inputs!F108=0,0,(Inputs!D108-Inputs!E108)/Inputs!F108)</f>
        <v>0</v>
      </c>
      <c r="E74" s="365">
        <f>Inputs!D108*Inputs!$E$112</f>
        <v>0</v>
      </c>
      <c r="F74" s="264">
        <f>IF(SUM(D74:E74)=0,0,Inputs!T108)</f>
        <v>0</v>
      </c>
      <c r="G74" s="256"/>
      <c r="H74" s="446"/>
      <c r="I74" s="440" t="str">
        <f t="shared" si="15"/>
        <v/>
      </c>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c r="AK74" s="277"/>
      <c r="AL74" s="277"/>
      <c r="AM74" s="277"/>
      <c r="AN74" s="277"/>
      <c r="AO74" s="277"/>
      <c r="AP74" s="277"/>
      <c r="AQ74" s="277"/>
      <c r="AR74" s="277"/>
      <c r="AS74" s="277"/>
    </row>
    <row r="75" spans="1:45" s="216" customFormat="1" ht="13.5" thickBot="1">
      <c r="A75" s="277"/>
      <c r="B75" s="240" t="s">
        <v>100</v>
      </c>
      <c r="C75" s="251"/>
      <c r="D75" s="366"/>
      <c r="E75" s="366">
        <f>Inputs!E116*Inputs!E112</f>
        <v>0</v>
      </c>
      <c r="F75" s="372">
        <f>IF(E75=0,0,Inputs!T116)</f>
        <v>0</v>
      </c>
      <c r="G75" s="256"/>
      <c r="H75" s="446">
        <f>E75*F75</f>
        <v>0</v>
      </c>
      <c r="I75" s="440" t="str">
        <f t="shared" si="15"/>
        <v/>
      </c>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c r="AK75" s="277"/>
      <c r="AL75" s="277"/>
      <c r="AM75" s="277"/>
      <c r="AN75" s="277"/>
      <c r="AO75" s="277"/>
      <c r="AP75" s="277"/>
      <c r="AQ75" s="277"/>
      <c r="AR75" s="277"/>
      <c r="AS75" s="277"/>
    </row>
    <row r="76" spans="1:45" s="216" customFormat="1" ht="13.5" thickBot="1">
      <c r="A76" s="277"/>
      <c r="B76" s="99">
        <v>217480.06701030929</v>
      </c>
      <c r="C76" s="96"/>
      <c r="D76" s="42"/>
      <c r="E76" s="42"/>
      <c r="F76" s="42"/>
      <c r="G76" s="21" t="s">
        <v>106</v>
      </c>
      <c r="H76" s="608">
        <f>SUM(H66:H75)</f>
        <v>0</v>
      </c>
      <c r="I76" s="626">
        <f>SUM(I66:I75)</f>
        <v>0</v>
      </c>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c r="AK76" s="277"/>
      <c r="AL76" s="277"/>
      <c r="AM76" s="277"/>
      <c r="AN76" s="277"/>
      <c r="AO76" s="277"/>
      <c r="AP76" s="277"/>
      <c r="AQ76" s="277"/>
      <c r="AR76" s="277"/>
      <c r="AS76" s="277"/>
    </row>
    <row r="77" spans="1:45" s="216" customFormat="1" ht="13.5" thickBot="1">
      <c r="A77" s="277"/>
      <c r="B77" s="43"/>
      <c r="C77" s="43"/>
      <c r="D77" s="43"/>
      <c r="E77" s="43"/>
      <c r="F77" s="43"/>
      <c r="G77" s="43"/>
      <c r="H77" s="592"/>
      <c r="I77" s="611"/>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c r="AK77" s="277"/>
      <c r="AL77" s="277"/>
      <c r="AM77" s="277"/>
      <c r="AN77" s="277"/>
      <c r="AO77" s="277"/>
      <c r="AP77" s="277"/>
      <c r="AQ77" s="277"/>
      <c r="AR77" s="277"/>
      <c r="AS77" s="277"/>
    </row>
    <row r="78" spans="1:45" s="216" customFormat="1" ht="25.5">
      <c r="A78" s="277"/>
      <c r="B78" s="142" t="s">
        <v>108</v>
      </c>
      <c r="C78" s="139"/>
      <c r="D78" s="143"/>
      <c r="E78" s="143"/>
      <c r="F78" s="143"/>
      <c r="G78" s="144"/>
      <c r="H78" s="609" t="s">
        <v>74</v>
      </c>
      <c r="I78" s="627" t="s">
        <v>94</v>
      </c>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c r="AK78" s="277"/>
      <c r="AL78" s="277"/>
      <c r="AM78" s="277"/>
      <c r="AN78" s="277"/>
      <c r="AO78" s="277"/>
      <c r="AP78" s="277"/>
      <c r="AQ78" s="277"/>
      <c r="AR78" s="277"/>
      <c r="AS78" s="277"/>
    </row>
    <row r="79" spans="1:45" s="216" customFormat="1" ht="13.5" thickBot="1">
      <c r="A79" s="277"/>
      <c r="B79" s="140"/>
      <c r="C79" s="141"/>
      <c r="D79" s="281"/>
      <c r="E79" s="281"/>
      <c r="F79" s="281"/>
      <c r="G79" s="247" t="s">
        <v>71</v>
      </c>
      <c r="H79" s="608">
        <f>H60+H76</f>
        <v>0</v>
      </c>
      <c r="I79" s="628">
        <f>I60+I76</f>
        <v>0</v>
      </c>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c r="AK79" s="277"/>
      <c r="AL79" s="277"/>
      <c r="AM79" s="277"/>
      <c r="AN79" s="277"/>
      <c r="AO79" s="277"/>
      <c r="AP79" s="277"/>
      <c r="AQ79" s="277"/>
      <c r="AR79" s="277"/>
      <c r="AS79" s="277"/>
    </row>
    <row r="80" spans="1:45" s="216" customFormat="1" ht="13.5" thickBot="1">
      <c r="A80" s="277"/>
      <c r="B80" s="138"/>
      <c r="C80" s="105"/>
      <c r="D80" s="105"/>
      <c r="E80" s="105"/>
      <c r="F80" s="105"/>
      <c r="G80" s="105"/>
      <c r="H80" s="610"/>
      <c r="I80" s="629"/>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c r="AK80" s="277"/>
      <c r="AL80" s="277"/>
      <c r="AM80" s="277"/>
      <c r="AN80" s="277"/>
      <c r="AO80" s="277"/>
      <c r="AP80" s="277"/>
      <c r="AQ80" s="277"/>
      <c r="AR80" s="277"/>
      <c r="AS80" s="277"/>
    </row>
    <row r="81" spans="1:45" s="216" customFormat="1" ht="13.5" thickBot="1">
      <c r="A81" s="277"/>
      <c r="B81" s="98"/>
      <c r="C81" s="96"/>
      <c r="D81" s="67"/>
      <c r="E81" s="67"/>
      <c r="F81" s="67"/>
      <c r="G81" s="21" t="s">
        <v>107</v>
      </c>
      <c r="H81" s="602">
        <f>H7-H79</f>
        <v>0</v>
      </c>
      <c r="I81" s="630">
        <f>I7-I79</f>
        <v>0</v>
      </c>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c r="AK81" s="277"/>
      <c r="AL81" s="277"/>
      <c r="AM81" s="277"/>
      <c r="AN81" s="277"/>
      <c r="AO81" s="277"/>
      <c r="AP81" s="277"/>
      <c r="AQ81" s="277"/>
      <c r="AR81" s="277"/>
      <c r="AS81" s="277"/>
    </row>
    <row r="82" spans="1:45" s="216" customFormat="1">
      <c r="A82" s="277"/>
      <c r="B82" s="277"/>
      <c r="C82" s="277"/>
      <c r="D82" s="277"/>
      <c r="E82" s="277"/>
      <c r="F82" s="277"/>
      <c r="G82" s="277"/>
      <c r="H82" s="277"/>
      <c r="I82" s="277"/>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c r="AK82" s="277"/>
      <c r="AL82" s="277"/>
      <c r="AM82" s="277"/>
      <c r="AN82" s="277"/>
      <c r="AO82" s="277"/>
      <c r="AP82" s="277"/>
      <c r="AQ82" s="277"/>
      <c r="AR82" s="277"/>
      <c r="AS82" s="277"/>
    </row>
    <row r="83" spans="1:45" s="216" customFormat="1">
      <c r="A83" s="277"/>
      <c r="B83" s="277"/>
      <c r="C83" s="277"/>
      <c r="D83" s="277"/>
      <c r="E83" s="277"/>
      <c r="F83" s="277"/>
      <c r="G83" s="277"/>
      <c r="H83" s="277"/>
      <c r="I83" s="277"/>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c r="AK83" s="277"/>
      <c r="AL83" s="277"/>
      <c r="AM83" s="277"/>
      <c r="AN83" s="277"/>
      <c r="AO83" s="277"/>
      <c r="AP83" s="277"/>
      <c r="AQ83" s="277"/>
      <c r="AR83" s="277"/>
      <c r="AS83" s="277"/>
    </row>
    <row r="84" spans="1:45" s="216" customFormat="1">
      <c r="A84" s="277"/>
      <c r="B84" s="277"/>
      <c r="C84" s="277"/>
      <c r="D84" s="277"/>
      <c r="E84" s="277"/>
      <c r="F84" s="277"/>
      <c r="G84" s="277"/>
      <c r="H84" s="277"/>
      <c r="I84" s="277"/>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c r="AK84" s="277"/>
      <c r="AL84" s="277"/>
      <c r="AM84" s="277"/>
      <c r="AN84" s="277"/>
      <c r="AO84" s="277"/>
      <c r="AP84" s="277"/>
      <c r="AQ84" s="277"/>
      <c r="AR84" s="277"/>
      <c r="AS84" s="277"/>
    </row>
    <row r="85" spans="1:45" s="216" customFormat="1">
      <c r="A85" s="277"/>
      <c r="B85" s="277"/>
      <c r="C85" s="277"/>
      <c r="D85" s="277"/>
      <c r="E85" s="277"/>
      <c r="F85" s="277"/>
      <c r="G85" s="277"/>
      <c r="H85" s="277"/>
      <c r="I85" s="277"/>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c r="AK85" s="277"/>
      <c r="AL85" s="277"/>
      <c r="AM85" s="277"/>
      <c r="AN85" s="277"/>
      <c r="AO85" s="277"/>
      <c r="AP85" s="277"/>
      <c r="AQ85" s="277"/>
      <c r="AR85" s="277"/>
      <c r="AS85" s="277"/>
    </row>
    <row r="86" spans="1:45" s="216" customFormat="1">
      <c r="A86" s="277"/>
      <c r="B86" s="277"/>
      <c r="C86" s="277"/>
      <c r="D86" s="277"/>
      <c r="E86" s="277"/>
      <c r="F86" s="277"/>
      <c r="G86" s="277"/>
      <c r="H86" s="277"/>
      <c r="I86" s="277"/>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c r="AK86" s="277"/>
      <c r="AL86" s="277"/>
      <c r="AM86" s="277"/>
      <c r="AN86" s="277"/>
      <c r="AO86" s="277"/>
      <c r="AP86" s="277"/>
      <c r="AQ86" s="277"/>
      <c r="AR86" s="277"/>
      <c r="AS86" s="277"/>
    </row>
    <row r="87" spans="1:45" s="216" customFormat="1">
      <c r="A87" s="277"/>
      <c r="B87" s="277"/>
      <c r="C87" s="277"/>
      <c r="D87" s="277"/>
      <c r="E87" s="277"/>
      <c r="F87" s="277"/>
      <c r="G87" s="277"/>
      <c r="H87" s="277"/>
      <c r="I87" s="277"/>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c r="AK87" s="277"/>
      <c r="AL87" s="277"/>
      <c r="AM87" s="277"/>
      <c r="AN87" s="277"/>
      <c r="AO87" s="277"/>
      <c r="AP87" s="277"/>
      <c r="AQ87" s="277"/>
      <c r="AR87" s="277"/>
      <c r="AS87" s="277"/>
    </row>
    <row r="88" spans="1:45" s="216" customFormat="1">
      <c r="A88" s="277"/>
      <c r="B88" s="277"/>
      <c r="C88" s="277"/>
      <c r="D88" s="277"/>
      <c r="E88" s="277"/>
      <c r="F88" s="277"/>
      <c r="G88" s="277"/>
      <c r="H88" s="277"/>
      <c r="I88" s="277"/>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c r="AK88" s="277"/>
      <c r="AL88" s="277"/>
      <c r="AM88" s="277"/>
      <c r="AN88" s="277"/>
      <c r="AO88" s="277"/>
      <c r="AP88" s="277"/>
      <c r="AQ88" s="277"/>
      <c r="AR88" s="277"/>
      <c r="AS88" s="277"/>
    </row>
    <row r="89" spans="1:45" s="216" customFormat="1">
      <c r="A89" s="277"/>
      <c r="B89" s="277"/>
      <c r="C89" s="277"/>
      <c r="D89" s="277"/>
      <c r="E89" s="277"/>
      <c r="F89" s="277"/>
      <c r="G89" s="277"/>
      <c r="H89" s="277"/>
      <c r="I89" s="277"/>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c r="AK89" s="277"/>
      <c r="AL89" s="277"/>
      <c r="AM89" s="277"/>
      <c r="AN89" s="277"/>
      <c r="AO89" s="277"/>
      <c r="AP89" s="277"/>
      <c r="AQ89" s="277"/>
      <c r="AR89" s="277"/>
      <c r="AS89" s="277"/>
    </row>
    <row r="90" spans="1:45" s="216" customFormat="1">
      <c r="A90" s="277"/>
      <c r="B90" s="277"/>
      <c r="C90" s="277"/>
      <c r="D90" s="277"/>
      <c r="E90" s="277"/>
      <c r="F90" s="277"/>
      <c r="G90" s="277"/>
      <c r="H90" s="277"/>
      <c r="I90" s="277"/>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c r="AK90" s="277"/>
      <c r="AL90" s="277"/>
      <c r="AM90" s="277"/>
      <c r="AN90" s="277"/>
      <c r="AO90" s="277"/>
      <c r="AP90" s="277"/>
      <c r="AQ90" s="277"/>
      <c r="AR90" s="277"/>
      <c r="AS90" s="277"/>
    </row>
    <row r="91" spans="1:45" s="216" customFormat="1">
      <c r="A91" s="277"/>
      <c r="B91" s="277"/>
      <c r="C91" s="277"/>
      <c r="D91" s="277"/>
      <c r="E91" s="277"/>
      <c r="F91" s="277"/>
      <c r="G91" s="277"/>
      <c r="H91" s="277"/>
      <c r="I91" s="277"/>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c r="AK91" s="277"/>
      <c r="AL91" s="277"/>
      <c r="AM91" s="277"/>
      <c r="AN91" s="277"/>
      <c r="AO91" s="277"/>
      <c r="AP91" s="277"/>
      <c r="AQ91" s="277"/>
      <c r="AR91" s="277"/>
      <c r="AS91" s="277"/>
    </row>
    <row r="92" spans="1:45" s="216" customFormat="1">
      <c r="A92" s="277"/>
      <c r="B92" s="277"/>
      <c r="C92" s="277"/>
      <c r="D92" s="277"/>
      <c r="E92" s="277"/>
      <c r="F92" s="277"/>
      <c r="G92" s="277"/>
      <c r="H92" s="277"/>
      <c r="I92" s="277"/>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c r="AK92" s="277"/>
      <c r="AL92" s="277"/>
      <c r="AM92" s="277"/>
      <c r="AN92" s="277"/>
      <c r="AO92" s="277"/>
      <c r="AP92" s="277"/>
      <c r="AQ92" s="277"/>
      <c r="AR92" s="277"/>
      <c r="AS92" s="277"/>
    </row>
    <row r="93" spans="1:45" s="216" customFormat="1">
      <c r="A93" s="277"/>
      <c r="B93" s="277"/>
      <c r="C93" s="277"/>
      <c r="D93" s="277"/>
      <c r="E93" s="277"/>
      <c r="F93" s="277"/>
      <c r="G93" s="277"/>
      <c r="H93" s="277"/>
      <c r="I93" s="277"/>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c r="AK93" s="277"/>
      <c r="AL93" s="277"/>
      <c r="AM93" s="277"/>
      <c r="AN93" s="277"/>
      <c r="AO93" s="277"/>
      <c r="AP93" s="277"/>
      <c r="AQ93" s="277"/>
      <c r="AR93" s="277"/>
      <c r="AS93" s="277"/>
    </row>
    <row r="94" spans="1:45" s="216" customFormat="1">
      <c r="A94" s="277"/>
      <c r="B94" s="277"/>
      <c r="C94" s="277"/>
      <c r="D94" s="277"/>
      <c r="E94" s="277"/>
      <c r="F94" s="277"/>
      <c r="G94" s="277"/>
      <c r="H94" s="277"/>
      <c r="I94" s="277"/>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c r="AK94" s="277"/>
      <c r="AL94" s="277"/>
      <c r="AM94" s="277"/>
      <c r="AN94" s="277"/>
      <c r="AO94" s="277"/>
      <c r="AP94" s="277"/>
      <c r="AQ94" s="277"/>
      <c r="AR94" s="277"/>
      <c r="AS94" s="277"/>
    </row>
    <row r="95" spans="1:45" s="216" customFormat="1">
      <c r="A95" s="277"/>
      <c r="B95" s="277"/>
      <c r="C95" s="277"/>
      <c r="D95" s="277"/>
      <c r="E95" s="277"/>
      <c r="F95" s="277"/>
      <c r="G95" s="277"/>
      <c r="H95" s="277"/>
      <c r="I95" s="277"/>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c r="AK95" s="277"/>
      <c r="AL95" s="277"/>
      <c r="AM95" s="277"/>
      <c r="AN95" s="277"/>
      <c r="AO95" s="277"/>
      <c r="AP95" s="277"/>
      <c r="AQ95" s="277"/>
      <c r="AR95" s="277"/>
      <c r="AS95" s="277"/>
    </row>
    <row r="96" spans="1:45" s="216" customFormat="1">
      <c r="A96" s="277"/>
      <c r="B96" s="277"/>
      <c r="C96" s="277"/>
      <c r="D96" s="277"/>
      <c r="E96" s="277"/>
      <c r="F96" s="277"/>
      <c r="G96" s="277"/>
      <c r="H96" s="277"/>
      <c r="I96" s="277"/>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c r="AK96" s="277"/>
      <c r="AL96" s="277"/>
      <c r="AM96" s="277"/>
      <c r="AN96" s="277"/>
      <c r="AO96" s="277"/>
      <c r="AP96" s="277"/>
      <c r="AQ96" s="277"/>
      <c r="AR96" s="277"/>
      <c r="AS96" s="277"/>
    </row>
    <row r="97" spans="1:45" s="216" customFormat="1">
      <c r="A97" s="277"/>
      <c r="B97" s="277"/>
      <c r="C97" s="277"/>
      <c r="D97" s="277"/>
      <c r="E97" s="277"/>
      <c r="F97" s="277"/>
      <c r="G97" s="277"/>
      <c r="H97" s="277"/>
      <c r="I97" s="277"/>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c r="AK97" s="277"/>
      <c r="AL97" s="277"/>
      <c r="AM97" s="277"/>
      <c r="AN97" s="277"/>
      <c r="AO97" s="277"/>
      <c r="AP97" s="277"/>
      <c r="AQ97" s="277"/>
      <c r="AR97" s="277"/>
      <c r="AS97" s="277"/>
    </row>
    <row r="98" spans="1:45" s="216" customFormat="1">
      <c r="A98" s="277"/>
      <c r="B98" s="277"/>
      <c r="C98" s="277"/>
      <c r="D98" s="277"/>
      <c r="E98" s="277"/>
      <c r="F98" s="277"/>
      <c r="G98" s="277"/>
      <c r="H98" s="277"/>
      <c r="I98" s="277"/>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c r="AK98" s="277"/>
      <c r="AL98" s="277"/>
      <c r="AM98" s="277"/>
      <c r="AN98" s="277"/>
      <c r="AO98" s="277"/>
      <c r="AP98" s="277"/>
      <c r="AQ98" s="277"/>
      <c r="AR98" s="277"/>
      <c r="AS98" s="277"/>
    </row>
    <row r="99" spans="1:45" s="216" customFormat="1">
      <c r="A99" s="277"/>
      <c r="B99" s="277"/>
      <c r="C99" s="277"/>
      <c r="D99" s="277"/>
      <c r="E99" s="277"/>
      <c r="F99" s="277"/>
      <c r="G99" s="277"/>
      <c r="H99" s="277"/>
      <c r="I99" s="277"/>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c r="AK99" s="277"/>
      <c r="AL99" s="277"/>
      <c r="AM99" s="277"/>
      <c r="AN99" s="277"/>
      <c r="AO99" s="277"/>
      <c r="AP99" s="277"/>
      <c r="AQ99" s="277"/>
      <c r="AR99" s="277"/>
      <c r="AS99" s="277"/>
    </row>
  </sheetData>
  <mergeCells count="2">
    <mergeCell ref="L13:L15"/>
    <mergeCell ref="C34:G34"/>
  </mergeCells>
  <dataValidations count="3">
    <dataValidation type="list" allowBlank="1" showInputMessage="1" showErrorMessage="1" sqref="E16:E21" xr:uid="{00000000-0002-0000-0700-000000000000}">
      <formula1>$K$10:$K$12</formula1>
    </dataValidation>
    <dataValidation type="list" allowBlank="1" showInputMessage="1" showErrorMessage="1" sqref="B16:B21" xr:uid="{00000000-0002-0000-0700-000001000000}">
      <formula1>$U$13:$U$22</formula1>
    </dataValidation>
    <dataValidation type="decimal" operator="greaterThanOrEqual" allowBlank="1" showInputMessage="1" showErrorMessage="1" sqref="C16:C21" xr:uid="{00000000-0002-0000-0700-000002000000}">
      <formula1>0</formula1>
    </dataValidation>
  </dataValidations>
  <printOptions horizontalCentered="1"/>
  <pageMargins left="1" right="1"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J99"/>
  <sheetViews>
    <sheetView showZeros="0" workbookViewId="0"/>
  </sheetViews>
  <sheetFormatPr defaultColWidth="9.140625" defaultRowHeight="12.75"/>
  <cols>
    <col min="1" max="1" width="43.28515625" style="277" customWidth="1"/>
    <col min="2" max="2" width="26.85546875" style="277" customWidth="1"/>
    <col min="3" max="3" width="11" style="277" customWidth="1"/>
    <col min="4" max="4" width="10.7109375" style="277" customWidth="1"/>
    <col min="5" max="5" width="11.28515625" style="277" customWidth="1"/>
    <col min="6" max="6" width="9.42578125" style="277" customWidth="1"/>
    <col min="7" max="7" width="7.7109375" style="277" customWidth="1"/>
    <col min="8" max="8" width="14.140625" style="277" customWidth="1"/>
    <col min="9" max="9" width="18" style="222" customWidth="1"/>
    <col min="10" max="11" width="9.7109375" style="222" hidden="1" customWidth="1"/>
    <col min="12" max="12" width="20.42578125" style="222" hidden="1" customWidth="1"/>
    <col min="13" max="23" width="0" style="222" hidden="1" customWidth="1"/>
    <col min="24" max="24" width="9.140625" style="222"/>
    <col min="25" max="36" width="9.140625" style="277"/>
    <col min="37" max="16384" width="9.140625" style="239"/>
  </cols>
  <sheetData>
    <row r="1" spans="1:27" ht="52.5" thickBot="1">
      <c r="B1" s="44" t="s">
        <v>236</v>
      </c>
      <c r="C1" s="215"/>
      <c r="D1" s="215"/>
      <c r="E1" s="196">
        <f>Inputs!G60</f>
        <v>0</v>
      </c>
      <c r="F1" s="224" t="s">
        <v>144</v>
      </c>
      <c r="G1" s="215"/>
      <c r="H1" s="215"/>
      <c r="J1" s="417"/>
      <c r="K1" s="417"/>
      <c r="L1" s="418" t="s">
        <v>187</v>
      </c>
      <c r="M1" s="418" t="str">
        <f>IF(Inputs!$B$68=0,"",Inputs!$B$68)</f>
        <v xml:space="preserve">Pasture  </v>
      </c>
      <c r="N1" s="418" t="str">
        <f>IF(Inputs!$B$69=0,"",Inputs!$B$69)</f>
        <v>Grain mix (distillers &amp; corn)</v>
      </c>
      <c r="O1" s="418" t="str">
        <f>IF(Inputs!B70=0,"",Inputs!B70)</f>
        <v>Prairie Hay</v>
      </c>
      <c r="P1" s="418" t="str">
        <f>IF(Inputs!B71=0,"",Inputs!B71)</f>
        <v>Alfalfa</v>
      </c>
      <c r="Q1" s="418" t="str">
        <f>IF(Inputs!B72=0,"",Inputs!B72)</f>
        <v>Distiller's Grain - modified wet</v>
      </c>
      <c r="R1" s="418" t="str">
        <f>IF(Inputs!B73=0,"",Inputs!B73)</f>
        <v>Salt and Mineral</v>
      </c>
      <c r="S1" s="418" t="str">
        <f>IF(Inputs!B74=0,"",Inputs!B74)</f>
        <v>Dried Distiller's Cubes - bulk</v>
      </c>
      <c r="T1" s="418" t="str">
        <f>IF(Inputs!B75=0,"",Inputs!B75)</f>
        <v>Corn</v>
      </c>
      <c r="U1" s="418" t="str">
        <f>IF(Inputs!B76=0,"",Inputs!B76)</f>
        <v>Dried Rolled Corn</v>
      </c>
      <c r="V1" s="418" t="str">
        <f>IF(Inputs!B77=0,"",Inputs!B77)</f>
        <v>Corn Stalks</v>
      </c>
      <c r="W1" s="420" t="s">
        <v>31</v>
      </c>
    </row>
    <row r="2" spans="1:27" ht="16.5" thickBot="1">
      <c r="B2" s="41" t="s">
        <v>97</v>
      </c>
      <c r="C2" s="108"/>
      <c r="D2" s="109"/>
      <c r="E2" s="109"/>
      <c r="F2" s="41"/>
      <c r="G2" s="119"/>
      <c r="H2" s="401" t="s">
        <v>74</v>
      </c>
      <c r="J2" s="419"/>
      <c r="K2" s="419"/>
      <c r="L2" s="419">
        <f t="shared" ref="L2:L7" si="0">B15</f>
        <v>0</v>
      </c>
      <c r="M2" s="419">
        <f t="shared" ref="M2:V2" si="1">IF(M$1=$L2,$J15,0)</f>
        <v>0</v>
      </c>
      <c r="N2" s="419">
        <f t="shared" si="1"/>
        <v>0</v>
      </c>
      <c r="O2" s="419">
        <f t="shared" si="1"/>
        <v>0</v>
      </c>
      <c r="P2" s="419">
        <f t="shared" si="1"/>
        <v>0</v>
      </c>
      <c r="Q2" s="419">
        <f t="shared" si="1"/>
        <v>0</v>
      </c>
      <c r="R2" s="419">
        <f t="shared" si="1"/>
        <v>0</v>
      </c>
      <c r="S2" s="419">
        <f t="shared" si="1"/>
        <v>0</v>
      </c>
      <c r="T2" s="419">
        <f t="shared" si="1"/>
        <v>0</v>
      </c>
      <c r="U2" s="419">
        <f t="shared" si="1"/>
        <v>0</v>
      </c>
      <c r="V2" s="419">
        <f t="shared" si="1"/>
        <v>0</v>
      </c>
      <c r="W2" s="419">
        <f t="shared" ref="W2:W7" si="2">SUM(M2:V2)</f>
        <v>0</v>
      </c>
    </row>
    <row r="3" spans="1:27">
      <c r="B3" s="255"/>
      <c r="C3" s="392" t="s">
        <v>44</v>
      </c>
      <c r="D3" s="393" t="s">
        <v>30</v>
      </c>
      <c r="E3" s="393" t="s">
        <v>5</v>
      </c>
      <c r="F3" s="120"/>
      <c r="G3" s="121"/>
      <c r="H3" s="91" t="s">
        <v>31</v>
      </c>
      <c r="J3" s="417"/>
      <c r="K3" s="417"/>
      <c r="L3" s="419">
        <f t="shared" si="0"/>
        <v>0</v>
      </c>
      <c r="M3" s="419">
        <f t="shared" ref="M3:V3" si="3">IF(M$1=$L3,$J16,0)</f>
        <v>0</v>
      </c>
      <c r="N3" s="419">
        <f t="shared" si="3"/>
        <v>0</v>
      </c>
      <c r="O3" s="419">
        <f t="shared" si="3"/>
        <v>0</v>
      </c>
      <c r="P3" s="419">
        <f t="shared" si="3"/>
        <v>0</v>
      </c>
      <c r="Q3" s="419">
        <f t="shared" si="3"/>
        <v>0</v>
      </c>
      <c r="R3" s="419">
        <f t="shared" si="3"/>
        <v>0</v>
      </c>
      <c r="S3" s="419">
        <f t="shared" si="3"/>
        <v>0</v>
      </c>
      <c r="T3" s="419">
        <f t="shared" si="3"/>
        <v>0</v>
      </c>
      <c r="U3" s="419">
        <f t="shared" si="3"/>
        <v>0</v>
      </c>
      <c r="V3" s="419">
        <f t="shared" si="3"/>
        <v>0</v>
      </c>
      <c r="W3" s="419">
        <f t="shared" si="2"/>
        <v>0</v>
      </c>
    </row>
    <row r="4" spans="1:27">
      <c r="B4" s="250" t="s">
        <v>235</v>
      </c>
      <c r="C4" s="192">
        <f>Inputs!O63</f>
        <v>0</v>
      </c>
      <c r="D4" s="369">
        <f>Inputs!G63</f>
        <v>0</v>
      </c>
      <c r="E4" s="404">
        <f>Inputs!G64</f>
        <v>0</v>
      </c>
      <c r="F4" s="251" t="s">
        <v>1</v>
      </c>
      <c r="G4" s="368"/>
      <c r="H4" s="454">
        <f>C4*D4*E4/100</f>
        <v>0</v>
      </c>
      <c r="J4" s="417"/>
      <c r="K4" s="417"/>
      <c r="L4" s="419">
        <f t="shared" si="0"/>
        <v>0</v>
      </c>
      <c r="M4" s="419">
        <f t="shared" ref="M4:V4" si="4">IF(M$1=$L4,$J17,0)</f>
        <v>0</v>
      </c>
      <c r="N4" s="419">
        <f t="shared" si="4"/>
        <v>0</v>
      </c>
      <c r="O4" s="419">
        <f t="shared" si="4"/>
        <v>0</v>
      </c>
      <c r="P4" s="419">
        <f t="shared" si="4"/>
        <v>0</v>
      </c>
      <c r="Q4" s="419">
        <f t="shared" si="4"/>
        <v>0</v>
      </c>
      <c r="R4" s="419">
        <f t="shared" si="4"/>
        <v>0</v>
      </c>
      <c r="S4" s="419">
        <f t="shared" si="4"/>
        <v>0</v>
      </c>
      <c r="T4" s="419">
        <f t="shared" si="4"/>
        <v>0</v>
      </c>
      <c r="U4" s="419">
        <f t="shared" si="4"/>
        <v>0</v>
      </c>
      <c r="V4" s="419">
        <f t="shared" si="4"/>
        <v>0</v>
      </c>
      <c r="W4" s="419">
        <f t="shared" si="2"/>
        <v>0</v>
      </c>
    </row>
    <row r="5" spans="1:27" ht="13.5" thickBot="1">
      <c r="B5" s="250"/>
      <c r="C5" s="243"/>
      <c r="D5" s="251"/>
      <c r="E5" s="251"/>
      <c r="F5" s="251"/>
      <c r="G5" s="265"/>
      <c r="H5" s="454"/>
      <c r="J5" s="417"/>
      <c r="K5" s="417"/>
      <c r="L5" s="419">
        <f t="shared" si="0"/>
        <v>0</v>
      </c>
      <c r="M5" s="419">
        <f t="shared" ref="M5:V5" si="5">IF(M$1=$L5,$J18,0)</f>
        <v>0</v>
      </c>
      <c r="N5" s="419">
        <f t="shared" si="5"/>
        <v>0</v>
      </c>
      <c r="O5" s="419">
        <f t="shared" si="5"/>
        <v>0</v>
      </c>
      <c r="P5" s="419">
        <f t="shared" si="5"/>
        <v>0</v>
      </c>
      <c r="Q5" s="419">
        <f t="shared" si="5"/>
        <v>0</v>
      </c>
      <c r="R5" s="419">
        <f t="shared" si="5"/>
        <v>0</v>
      </c>
      <c r="S5" s="419">
        <f t="shared" si="5"/>
        <v>0</v>
      </c>
      <c r="T5" s="419">
        <f t="shared" si="5"/>
        <v>0</v>
      </c>
      <c r="U5" s="419">
        <f t="shared" si="5"/>
        <v>0</v>
      </c>
      <c r="V5" s="419">
        <f t="shared" si="5"/>
        <v>0</v>
      </c>
      <c r="W5" s="419">
        <f t="shared" si="2"/>
        <v>0</v>
      </c>
    </row>
    <row r="6" spans="1:27" ht="13.5" thickBot="1">
      <c r="B6" s="123"/>
      <c r="C6" s="96"/>
      <c r="D6" s="42"/>
      <c r="E6" s="42"/>
      <c r="F6" s="42"/>
      <c r="G6" s="97" t="s">
        <v>110</v>
      </c>
      <c r="H6" s="631">
        <f>SUM(H4:H5)</f>
        <v>0</v>
      </c>
      <c r="J6" s="417"/>
      <c r="K6" s="417"/>
      <c r="L6" s="419">
        <f t="shared" si="0"/>
        <v>0</v>
      </c>
      <c r="M6" s="419">
        <f t="shared" ref="M6:V6" si="6">IF(M$1=$L6,$J19,0)</f>
        <v>0</v>
      </c>
      <c r="N6" s="419">
        <f t="shared" si="6"/>
        <v>0</v>
      </c>
      <c r="O6" s="419">
        <f t="shared" si="6"/>
        <v>0</v>
      </c>
      <c r="P6" s="419">
        <f t="shared" si="6"/>
        <v>0</v>
      </c>
      <c r="Q6" s="419">
        <f t="shared" si="6"/>
        <v>0</v>
      </c>
      <c r="R6" s="419">
        <f t="shared" si="6"/>
        <v>0</v>
      </c>
      <c r="S6" s="419">
        <f t="shared" si="6"/>
        <v>0</v>
      </c>
      <c r="T6" s="419">
        <f t="shared" si="6"/>
        <v>0</v>
      </c>
      <c r="U6" s="419">
        <f t="shared" si="6"/>
        <v>0</v>
      </c>
      <c r="V6" s="419">
        <f t="shared" si="6"/>
        <v>0</v>
      </c>
      <c r="W6" s="419">
        <f t="shared" si="2"/>
        <v>0</v>
      </c>
    </row>
    <row r="7" spans="1:27" ht="13.5" thickBot="1">
      <c r="B7" s="53"/>
      <c r="C7" s="53"/>
      <c r="D7" s="43"/>
      <c r="E7" s="43"/>
      <c r="F7" s="43"/>
      <c r="G7" s="43"/>
      <c r="H7" s="592"/>
      <c r="J7" s="417"/>
      <c r="K7" s="417"/>
      <c r="L7" s="419">
        <f t="shared" si="0"/>
        <v>0</v>
      </c>
      <c r="M7" s="419">
        <f t="shared" ref="M7:V7" si="7">IF(M$1=$L7,$J20,0)</f>
        <v>0</v>
      </c>
      <c r="N7" s="419">
        <f t="shared" si="7"/>
        <v>0</v>
      </c>
      <c r="O7" s="419">
        <f t="shared" si="7"/>
        <v>0</v>
      </c>
      <c r="P7" s="419">
        <f t="shared" si="7"/>
        <v>0</v>
      </c>
      <c r="Q7" s="419">
        <f t="shared" si="7"/>
        <v>0</v>
      </c>
      <c r="R7" s="419">
        <f t="shared" si="7"/>
        <v>0</v>
      </c>
      <c r="S7" s="419">
        <f t="shared" si="7"/>
        <v>0</v>
      </c>
      <c r="T7" s="419">
        <f t="shared" si="7"/>
        <v>0</v>
      </c>
      <c r="U7" s="419">
        <f t="shared" si="7"/>
        <v>0</v>
      </c>
      <c r="V7" s="419">
        <f t="shared" si="7"/>
        <v>0</v>
      </c>
      <c r="W7" s="419">
        <f t="shared" si="2"/>
        <v>0</v>
      </c>
    </row>
    <row r="8" spans="1:27" ht="16.5" thickBot="1">
      <c r="B8" s="41" t="s">
        <v>96</v>
      </c>
      <c r="C8" s="108"/>
      <c r="D8" s="109"/>
      <c r="E8" s="109"/>
      <c r="F8" s="109"/>
      <c r="G8" s="109"/>
      <c r="H8" s="632" t="s">
        <v>74</v>
      </c>
      <c r="J8" s="417"/>
      <c r="K8" s="417"/>
      <c r="L8" s="419" t="s">
        <v>31</v>
      </c>
      <c r="M8" s="419">
        <f>SUM(M2:M7)</f>
        <v>0</v>
      </c>
      <c r="N8" s="419">
        <f t="shared" ref="N8:V8" si="8">SUM(N2:N7)</f>
        <v>0</v>
      </c>
      <c r="O8" s="419">
        <f t="shared" si="8"/>
        <v>0</v>
      </c>
      <c r="P8" s="419">
        <f t="shared" si="8"/>
        <v>0</v>
      </c>
      <c r="Q8" s="419">
        <f t="shared" si="8"/>
        <v>0</v>
      </c>
      <c r="R8" s="419">
        <f t="shared" si="8"/>
        <v>0</v>
      </c>
      <c r="S8" s="419">
        <f t="shared" si="8"/>
        <v>0</v>
      </c>
      <c r="T8" s="419">
        <f t="shared" si="8"/>
        <v>0</v>
      </c>
      <c r="U8" s="419">
        <f t="shared" si="8"/>
        <v>0</v>
      </c>
      <c r="V8" s="419">
        <f t="shared" si="8"/>
        <v>0</v>
      </c>
      <c r="W8" s="419"/>
    </row>
    <row r="9" spans="1:27">
      <c r="B9" s="262"/>
      <c r="C9" s="395" t="s">
        <v>44</v>
      </c>
      <c r="D9" s="396" t="s">
        <v>30</v>
      </c>
      <c r="E9" s="396" t="s">
        <v>5</v>
      </c>
      <c r="F9" s="269"/>
      <c r="G9" s="285"/>
      <c r="H9" s="633" t="s">
        <v>31</v>
      </c>
      <c r="J9" s="417" t="s">
        <v>61</v>
      </c>
      <c r="K9" s="417"/>
      <c r="L9" s="417"/>
      <c r="M9" s="417"/>
      <c r="N9" s="417"/>
      <c r="O9" s="417"/>
      <c r="P9" s="417"/>
      <c r="Q9" s="417"/>
      <c r="R9" s="417"/>
      <c r="S9" s="417"/>
      <c r="T9" s="417"/>
      <c r="U9" s="417"/>
      <c r="V9" s="417"/>
      <c r="W9" s="417"/>
    </row>
    <row r="10" spans="1:27">
      <c r="B10" s="27" t="s">
        <v>234</v>
      </c>
      <c r="C10" s="117">
        <f>Inputs!G62</f>
        <v>0</v>
      </c>
      <c r="D10" s="189">
        <f>Inputs!G15</f>
        <v>1400</v>
      </c>
      <c r="E10" s="252">
        <f>Inputs!G16</f>
        <v>60</v>
      </c>
      <c r="F10" s="251" t="s">
        <v>1</v>
      </c>
      <c r="G10" s="265"/>
      <c r="H10" s="634">
        <f>IF(C10=0,0,C10*D10*E10/100)</f>
        <v>0</v>
      </c>
      <c r="J10" s="417" t="s">
        <v>64</v>
      </c>
      <c r="K10" s="417"/>
      <c r="L10" s="417"/>
      <c r="M10" s="417"/>
      <c r="N10" s="417"/>
      <c r="O10" s="417"/>
      <c r="P10" s="417"/>
      <c r="Q10" s="417"/>
      <c r="R10" s="417"/>
      <c r="S10" s="417"/>
      <c r="T10" s="417"/>
      <c r="U10" s="417"/>
      <c r="V10" s="417"/>
      <c r="W10" s="417"/>
    </row>
    <row r="11" spans="1:27" ht="12.75" customHeight="1" thickBot="1">
      <c r="B11" s="255"/>
      <c r="C11" s="117"/>
      <c r="D11" s="189"/>
      <c r="E11" s="252"/>
      <c r="F11" s="251"/>
      <c r="G11" s="265"/>
      <c r="H11" s="635"/>
      <c r="J11" s="419"/>
      <c r="K11" s="419"/>
      <c r="L11" s="417"/>
      <c r="M11" s="417"/>
      <c r="N11" s="417"/>
      <c r="O11" s="417"/>
      <c r="P11" s="417"/>
      <c r="Q11" s="417"/>
      <c r="R11" s="417"/>
      <c r="S11" s="417"/>
      <c r="T11" s="417"/>
      <c r="U11" s="417"/>
      <c r="V11" s="417"/>
      <c r="W11" s="417"/>
    </row>
    <row r="12" spans="1:27" ht="12.75" customHeight="1" thickTop="1">
      <c r="B12" s="284"/>
      <c r="C12" s="260"/>
      <c r="D12" s="251"/>
      <c r="E12" s="251"/>
      <c r="F12" s="251"/>
      <c r="G12" s="258" t="s">
        <v>150</v>
      </c>
      <c r="H12" s="636">
        <f>SUM(H10:H11)</f>
        <v>0</v>
      </c>
      <c r="J12" s="419"/>
      <c r="K12" s="419"/>
      <c r="L12" s="417"/>
      <c r="M12" s="417"/>
      <c r="N12" s="417"/>
      <c r="O12" s="417"/>
      <c r="P12" s="417"/>
      <c r="Q12" s="417"/>
      <c r="R12" s="417"/>
      <c r="S12" s="417"/>
      <c r="T12" s="417"/>
      <c r="U12" s="417"/>
      <c r="V12" s="417"/>
      <c r="W12" s="417"/>
    </row>
    <row r="13" spans="1:27" ht="13.5" customHeight="1">
      <c r="B13" s="250"/>
      <c r="C13" s="371"/>
      <c r="D13" s="251"/>
      <c r="E13" s="260"/>
      <c r="F13" s="251"/>
      <c r="G13" s="251"/>
      <c r="H13" s="636"/>
      <c r="J13" s="419"/>
      <c r="K13" s="419"/>
      <c r="L13" s="816"/>
      <c r="M13" s="419"/>
      <c r="N13" s="417"/>
      <c r="O13" s="417"/>
      <c r="P13" s="417"/>
      <c r="Q13" s="417"/>
      <c r="R13" s="417"/>
      <c r="S13" s="417"/>
      <c r="T13" s="417"/>
      <c r="U13" s="417" t="str">
        <f>IF(Inputs!B68="","",Inputs!B68)</f>
        <v xml:space="preserve">Pasture  </v>
      </c>
      <c r="V13" s="417"/>
      <c r="W13" s="417"/>
      <c r="Y13" s="221"/>
      <c r="Z13" s="221"/>
      <c r="AA13" s="221"/>
    </row>
    <row r="14" spans="1:27" ht="38.25">
      <c r="A14" s="155"/>
      <c r="B14" s="255" t="s">
        <v>7</v>
      </c>
      <c r="C14" s="389" t="s">
        <v>68</v>
      </c>
      <c r="D14" s="251"/>
      <c r="E14" s="390" t="s">
        <v>63</v>
      </c>
      <c r="F14" s="270" t="s">
        <v>5</v>
      </c>
      <c r="G14" s="116"/>
      <c r="H14" s="637" t="s">
        <v>31</v>
      </c>
      <c r="J14" s="430"/>
      <c r="K14" s="430"/>
      <c r="L14" s="816"/>
      <c r="M14" s="419"/>
      <c r="N14" s="417"/>
      <c r="O14" s="417"/>
      <c r="P14" s="417"/>
      <c r="Q14" s="417"/>
      <c r="R14" s="417"/>
      <c r="S14" s="417"/>
      <c r="T14" s="417"/>
      <c r="U14" s="417" t="str">
        <f>IF(Inputs!B69="","",Inputs!B69)</f>
        <v>Grain mix (distillers &amp; corn)</v>
      </c>
      <c r="V14" s="417"/>
      <c r="W14" s="417"/>
      <c r="Y14" s="221"/>
      <c r="Z14" s="221"/>
      <c r="AA14" s="221"/>
    </row>
    <row r="15" spans="1:27" ht="18" customHeight="1">
      <c r="B15" s="757"/>
      <c r="C15" s="758"/>
      <c r="D15" s="278" t="str">
        <f t="shared" ref="D15:D20" si="9">IF(B15="","",CONCATENATE(VLOOKUP(B15,Feed,5,FALSE)))</f>
        <v/>
      </c>
      <c r="E15" s="760" t="s">
        <v>61</v>
      </c>
      <c r="F15" s="257" t="str">
        <f t="shared" ref="F15:F20" si="10">IF(B15="","",VLOOKUP(B15,Feed,7,FALSE))</f>
        <v/>
      </c>
      <c r="G15" s="273" t="str">
        <f t="shared" ref="G15:G20" si="11">IF(B15="","",CONCATENATE("$ ",VLOOKUP(B15,Feed,5,FALSE)))</f>
        <v/>
      </c>
      <c r="H15" s="452">
        <f t="shared" ref="H15:H20" si="12">IF(C15="",0,F15*J15)</f>
        <v>0</v>
      </c>
      <c r="J15" s="417">
        <f t="shared" ref="J15:J20" si="13">C15*IF(E15="total",1,IF(E15="per animal",($C$4+$C$10)/2,0))</f>
        <v>0</v>
      </c>
      <c r="K15" s="417"/>
      <c r="L15" s="816"/>
      <c r="M15" s="419"/>
      <c r="N15" s="417"/>
      <c r="O15" s="417"/>
      <c r="P15" s="417"/>
      <c r="Q15" s="417"/>
      <c r="R15" s="417"/>
      <c r="S15" s="417"/>
      <c r="T15" s="417"/>
      <c r="U15" s="417" t="str">
        <f>IF(Inputs!B70="","",Inputs!B70)</f>
        <v>Prairie Hay</v>
      </c>
      <c r="V15" s="417"/>
      <c r="W15" s="417"/>
      <c r="Y15" s="221"/>
      <c r="Z15" s="221"/>
      <c r="AA15" s="221"/>
    </row>
    <row r="16" spans="1:27">
      <c r="B16" s="756"/>
      <c r="C16" s="759"/>
      <c r="D16" s="278" t="str">
        <f t="shared" si="9"/>
        <v/>
      </c>
      <c r="E16" s="761" t="s">
        <v>61</v>
      </c>
      <c r="F16" s="257" t="str">
        <f t="shared" si="10"/>
        <v/>
      </c>
      <c r="G16" s="273" t="str">
        <f t="shared" si="11"/>
        <v/>
      </c>
      <c r="H16" s="452">
        <f t="shared" si="12"/>
        <v>0</v>
      </c>
      <c r="J16" s="417">
        <f t="shared" si="13"/>
        <v>0</v>
      </c>
      <c r="K16" s="417"/>
      <c r="L16" s="419"/>
      <c r="M16" s="431"/>
      <c r="N16" s="417"/>
      <c r="O16" s="432"/>
      <c r="P16" s="417"/>
      <c r="Q16" s="417"/>
      <c r="R16" s="417"/>
      <c r="S16" s="417"/>
      <c r="T16" s="417"/>
      <c r="U16" s="417" t="str">
        <f>IF(Inputs!B71="","",Inputs!B71)</f>
        <v>Alfalfa</v>
      </c>
      <c r="V16" s="417"/>
      <c r="W16" s="417"/>
      <c r="Y16" s="221"/>
      <c r="Z16" s="221"/>
      <c r="AA16" s="221"/>
    </row>
    <row r="17" spans="1:27">
      <c r="B17" s="204"/>
      <c r="C17" s="205"/>
      <c r="D17" s="278" t="str">
        <f t="shared" si="9"/>
        <v/>
      </c>
      <c r="E17" s="218"/>
      <c r="F17" s="257" t="str">
        <f t="shared" si="10"/>
        <v/>
      </c>
      <c r="G17" s="273" t="str">
        <f t="shared" si="11"/>
        <v/>
      </c>
      <c r="H17" s="452">
        <f t="shared" si="12"/>
        <v>0</v>
      </c>
      <c r="J17" s="417">
        <f t="shared" si="13"/>
        <v>0</v>
      </c>
      <c r="K17" s="417"/>
      <c r="L17" s="419"/>
      <c r="M17" s="419"/>
      <c r="N17" s="417"/>
      <c r="O17" s="417"/>
      <c r="P17" s="417"/>
      <c r="Q17" s="417"/>
      <c r="R17" s="417"/>
      <c r="S17" s="417"/>
      <c r="T17" s="417"/>
      <c r="U17" s="417" t="str">
        <f>IF(Inputs!B72="","",Inputs!B72)</f>
        <v>Distiller's Grain - modified wet</v>
      </c>
      <c r="V17" s="417"/>
      <c r="W17" s="417"/>
      <c r="Y17" s="221"/>
      <c r="Z17" s="221"/>
      <c r="AA17" s="221"/>
    </row>
    <row r="18" spans="1:27">
      <c r="B18" s="204"/>
      <c r="C18" s="205"/>
      <c r="D18" s="278" t="str">
        <f t="shared" si="9"/>
        <v/>
      </c>
      <c r="E18" s="218"/>
      <c r="F18" s="257" t="str">
        <f t="shared" si="10"/>
        <v/>
      </c>
      <c r="G18" s="273" t="str">
        <f t="shared" si="11"/>
        <v/>
      </c>
      <c r="H18" s="452">
        <f t="shared" si="12"/>
        <v>0</v>
      </c>
      <c r="J18" s="417">
        <f t="shared" si="13"/>
        <v>0</v>
      </c>
      <c r="K18" s="417"/>
      <c r="L18" s="419"/>
      <c r="M18" s="419"/>
      <c r="N18" s="417"/>
      <c r="O18" s="417"/>
      <c r="P18" s="417"/>
      <c r="Q18" s="417"/>
      <c r="R18" s="417"/>
      <c r="S18" s="417"/>
      <c r="T18" s="417"/>
      <c r="U18" s="417" t="str">
        <f>IF(Inputs!B73="","",Inputs!B73)</f>
        <v>Salt and Mineral</v>
      </c>
      <c r="V18" s="417"/>
      <c r="W18" s="417"/>
      <c r="Y18" s="221"/>
      <c r="Z18" s="221"/>
      <c r="AA18" s="221"/>
    </row>
    <row r="19" spans="1:27">
      <c r="B19" s="204"/>
      <c r="C19" s="205"/>
      <c r="D19" s="278" t="str">
        <f t="shared" si="9"/>
        <v/>
      </c>
      <c r="E19" s="218"/>
      <c r="F19" s="257" t="str">
        <f t="shared" si="10"/>
        <v/>
      </c>
      <c r="G19" s="273" t="str">
        <f t="shared" si="11"/>
        <v/>
      </c>
      <c r="H19" s="452">
        <f t="shared" si="12"/>
        <v>0</v>
      </c>
      <c r="J19" s="417">
        <f t="shared" si="13"/>
        <v>0</v>
      </c>
      <c r="K19" s="417"/>
      <c r="L19" s="419"/>
      <c r="M19" s="419"/>
      <c r="N19" s="417"/>
      <c r="O19" s="417"/>
      <c r="P19" s="417"/>
      <c r="Q19" s="417"/>
      <c r="R19" s="417"/>
      <c r="S19" s="417"/>
      <c r="T19" s="417"/>
      <c r="U19" s="417" t="str">
        <f>IF(Inputs!B74="","",Inputs!B74)</f>
        <v>Dried Distiller's Cubes - bulk</v>
      </c>
      <c r="V19" s="417"/>
      <c r="W19" s="417"/>
      <c r="Y19" s="221"/>
      <c r="Z19" s="221"/>
      <c r="AA19" s="221"/>
    </row>
    <row r="20" spans="1:27" ht="13.5" thickBot="1">
      <c r="B20" s="204"/>
      <c r="C20" s="205"/>
      <c r="D20" s="278" t="str">
        <f t="shared" si="9"/>
        <v/>
      </c>
      <c r="E20" s="218"/>
      <c r="F20" s="257" t="str">
        <f t="shared" si="10"/>
        <v/>
      </c>
      <c r="G20" s="273" t="str">
        <f t="shared" si="11"/>
        <v/>
      </c>
      <c r="H20" s="453">
        <f t="shared" si="12"/>
        <v>0</v>
      </c>
      <c r="J20" s="417">
        <f t="shared" si="13"/>
        <v>0</v>
      </c>
      <c r="K20" s="417"/>
      <c r="L20" s="419"/>
      <c r="M20" s="419"/>
      <c r="N20" s="417"/>
      <c r="O20" s="417"/>
      <c r="P20" s="417"/>
      <c r="Q20" s="417"/>
      <c r="R20" s="417"/>
      <c r="S20" s="417"/>
      <c r="T20" s="417"/>
      <c r="U20" s="417" t="str">
        <f>IF(Inputs!B75="","",Inputs!B75)</f>
        <v>Corn</v>
      </c>
      <c r="V20" s="417"/>
      <c r="W20" s="417"/>
      <c r="Y20" s="221"/>
      <c r="Z20" s="221"/>
      <c r="AA20" s="221"/>
    </row>
    <row r="21" spans="1:27" ht="13.5" thickTop="1">
      <c r="B21" s="250"/>
      <c r="C21" s="75"/>
      <c r="D21" s="251"/>
      <c r="E21" s="258"/>
      <c r="F21" s="260"/>
      <c r="G21" s="258" t="s">
        <v>36</v>
      </c>
      <c r="H21" s="638">
        <f>SUM(H15:H20)</f>
        <v>0</v>
      </c>
      <c r="J21" s="417"/>
      <c r="K21" s="417"/>
      <c r="L21" s="419"/>
      <c r="M21" s="419"/>
      <c r="N21" s="417"/>
      <c r="O21" s="417"/>
      <c r="P21" s="417"/>
      <c r="Q21" s="417"/>
      <c r="R21" s="417"/>
      <c r="S21" s="417"/>
      <c r="T21" s="417"/>
      <c r="U21" s="417" t="str">
        <f>IF(Inputs!B76="","",Inputs!B76)</f>
        <v>Dried Rolled Corn</v>
      </c>
      <c r="V21" s="417"/>
      <c r="W21" s="417"/>
      <c r="Y21" s="221"/>
      <c r="Z21" s="221"/>
      <c r="AA21" s="221"/>
    </row>
    <row r="22" spans="1:27">
      <c r="A22" s="156"/>
      <c r="B22" s="250"/>
      <c r="C22" s="243"/>
      <c r="D22" s="251"/>
      <c r="E22" s="251"/>
      <c r="F22" s="251"/>
      <c r="G22" s="251"/>
      <c r="H22" s="454"/>
      <c r="J22" s="417"/>
      <c r="K22" s="417"/>
      <c r="L22" s="417"/>
      <c r="M22" s="417"/>
      <c r="N22" s="417"/>
      <c r="O22" s="417"/>
      <c r="P22" s="417"/>
      <c r="Q22" s="417"/>
      <c r="R22" s="417"/>
      <c r="S22" s="417"/>
      <c r="T22" s="417"/>
      <c r="U22" s="417" t="str">
        <f>IF(Inputs!B77="","",Inputs!B77)</f>
        <v>Corn Stalks</v>
      </c>
      <c r="V22" s="417"/>
      <c r="W22" s="417"/>
      <c r="Y22" s="221"/>
      <c r="Z22" s="221"/>
      <c r="AA22" s="221"/>
    </row>
    <row r="23" spans="1:27">
      <c r="B23" s="263" t="s">
        <v>45</v>
      </c>
      <c r="C23" s="274"/>
      <c r="D23" s="391" t="s">
        <v>56</v>
      </c>
      <c r="E23" s="391" t="s">
        <v>177</v>
      </c>
      <c r="F23" s="393" t="s">
        <v>48</v>
      </c>
      <c r="G23" s="266"/>
      <c r="H23" s="639" t="s">
        <v>31</v>
      </c>
      <c r="I23" s="223"/>
      <c r="J23" s="417"/>
      <c r="K23" s="417"/>
      <c r="L23" s="417"/>
      <c r="M23" s="417"/>
      <c r="N23" s="417"/>
      <c r="O23" s="417"/>
      <c r="P23" s="417"/>
      <c r="Q23" s="417"/>
      <c r="R23" s="417"/>
      <c r="S23" s="417"/>
      <c r="T23" s="417"/>
      <c r="U23" s="417"/>
      <c r="V23" s="417"/>
      <c r="W23" s="417"/>
      <c r="Y23" s="221"/>
      <c r="Z23" s="221"/>
      <c r="AA23" s="221"/>
    </row>
    <row r="24" spans="1:27">
      <c r="B24" s="250" t="str">
        <f>Inputs!B81</f>
        <v>Labor</v>
      </c>
      <c r="C24" s="242"/>
      <c r="D24" s="366">
        <f>Inputs!D81</f>
        <v>30</v>
      </c>
      <c r="E24" s="397" t="str">
        <f>Inputs!E81</f>
        <v>per animal</v>
      </c>
      <c r="F24" s="124">
        <f>Inputs!U81</f>
        <v>0</v>
      </c>
      <c r="G24" s="265"/>
      <c r="H24" s="455">
        <f t="shared" ref="H24:H32" si="14">D24*IF(E24="per animal",$C$10+$C$11,1)*F24</f>
        <v>0</v>
      </c>
      <c r="J24" s="417"/>
      <c r="K24" s="417"/>
      <c r="L24" s="417"/>
      <c r="M24" s="417"/>
      <c r="N24" s="417"/>
      <c r="O24" s="417"/>
      <c r="P24" s="417"/>
      <c r="Q24" s="417"/>
      <c r="R24" s="417"/>
      <c r="S24" s="417"/>
      <c r="T24" s="417"/>
      <c r="U24" s="417"/>
      <c r="V24" s="417"/>
      <c r="W24" s="417"/>
      <c r="Y24" s="221"/>
      <c r="Z24" s="221"/>
      <c r="AA24" s="221"/>
    </row>
    <row r="25" spans="1:27">
      <c r="B25" s="250" t="str">
        <f>Inputs!B82</f>
        <v>Fuel</v>
      </c>
      <c r="C25" s="242"/>
      <c r="D25" s="366">
        <f>Inputs!D82</f>
        <v>20</v>
      </c>
      <c r="E25" s="397" t="str">
        <f>Inputs!E82</f>
        <v>per animal</v>
      </c>
      <c r="F25" s="124">
        <f>Inputs!U82</f>
        <v>0</v>
      </c>
      <c r="G25" s="265"/>
      <c r="H25" s="455">
        <f t="shared" si="14"/>
        <v>0</v>
      </c>
      <c r="J25" s="417"/>
      <c r="K25" s="417"/>
      <c r="L25" s="417"/>
      <c r="M25" s="417"/>
      <c r="N25" s="417"/>
      <c r="O25" s="417"/>
      <c r="P25" s="417"/>
      <c r="Q25" s="417"/>
      <c r="R25" s="417"/>
      <c r="S25" s="417"/>
      <c r="T25" s="417"/>
      <c r="U25" s="417"/>
      <c r="V25" s="417"/>
      <c r="W25" s="417"/>
      <c r="Y25" s="221"/>
      <c r="Z25" s="221"/>
      <c r="AA25" s="221"/>
    </row>
    <row r="26" spans="1:27">
      <c r="B26" s="250" t="str">
        <f>Inputs!B83</f>
        <v>Veterinary and Medical</v>
      </c>
      <c r="C26" s="242"/>
      <c r="D26" s="366">
        <f>Inputs!D83</f>
        <v>25</v>
      </c>
      <c r="E26" s="397" t="str">
        <f>Inputs!E83</f>
        <v>per animal</v>
      </c>
      <c r="F26" s="124">
        <f>Inputs!U83</f>
        <v>0</v>
      </c>
      <c r="G26" s="265"/>
      <c r="H26" s="455">
        <f t="shared" si="14"/>
        <v>0</v>
      </c>
      <c r="J26" s="417"/>
      <c r="K26" s="417"/>
      <c r="L26" s="417"/>
      <c r="M26" s="417"/>
      <c r="N26" s="417"/>
      <c r="O26" s="417"/>
      <c r="P26" s="417"/>
      <c r="Q26" s="417"/>
      <c r="R26" s="417"/>
      <c r="S26" s="417"/>
      <c r="T26" s="417"/>
      <c r="U26" s="417"/>
      <c r="V26" s="417"/>
      <c r="W26" s="417"/>
      <c r="Y26" s="221"/>
      <c r="Z26" s="221"/>
      <c r="AA26" s="221"/>
    </row>
    <row r="27" spans="1:27">
      <c r="B27" s="250" t="str">
        <f>Inputs!B84</f>
        <v>Cull Cow Marketing</v>
      </c>
      <c r="C27" s="275"/>
      <c r="D27" s="366">
        <f>Inputs!X84</f>
        <v>25</v>
      </c>
      <c r="E27" s="397" t="s">
        <v>61</v>
      </c>
      <c r="F27" s="124"/>
      <c r="G27" s="265"/>
      <c r="H27" s="455">
        <f>C4*D27</f>
        <v>0</v>
      </c>
      <c r="J27" s="417"/>
      <c r="K27" s="417"/>
      <c r="L27" s="417"/>
      <c r="M27" s="417"/>
      <c r="N27" s="417"/>
      <c r="O27" s="417"/>
      <c r="P27" s="417"/>
      <c r="Q27" s="417"/>
      <c r="R27" s="417"/>
      <c r="S27" s="417"/>
      <c r="T27" s="417"/>
      <c r="U27" s="417"/>
      <c r="V27" s="417"/>
      <c r="W27" s="417"/>
      <c r="Y27" s="221"/>
      <c r="Z27" s="221"/>
      <c r="AA27" s="221"/>
    </row>
    <row r="28" spans="1:27">
      <c r="B28" s="284">
        <f>Inputs!B91</f>
        <v>0</v>
      </c>
      <c r="C28" s="252"/>
      <c r="D28" s="366">
        <f>Inputs!D91</f>
        <v>0</v>
      </c>
      <c r="E28" s="397">
        <f>Inputs!E91</f>
        <v>0</v>
      </c>
      <c r="F28" s="124">
        <f>Inputs!U91</f>
        <v>0</v>
      </c>
      <c r="G28" s="265"/>
      <c r="H28" s="455">
        <f t="shared" si="14"/>
        <v>0</v>
      </c>
      <c r="J28" s="417"/>
      <c r="K28" s="417"/>
      <c r="L28" s="417"/>
      <c r="M28" s="417"/>
      <c r="N28" s="417"/>
      <c r="O28" s="417"/>
      <c r="P28" s="417"/>
      <c r="Q28" s="417"/>
      <c r="R28" s="417"/>
      <c r="S28" s="417"/>
      <c r="T28" s="417"/>
      <c r="U28" s="417"/>
      <c r="V28" s="417"/>
      <c r="W28" s="417"/>
      <c r="Y28" s="221"/>
      <c r="Z28" s="221"/>
      <c r="AA28" s="221"/>
    </row>
    <row r="29" spans="1:27">
      <c r="B29" s="284" t="str">
        <f>Inputs!B92</f>
        <v xml:space="preserve">Horse maintenance /feed </v>
      </c>
      <c r="C29" s="252" t="s">
        <v>9</v>
      </c>
      <c r="D29" s="366">
        <f>Inputs!D92</f>
        <v>2000</v>
      </c>
      <c r="E29" s="397" t="str">
        <f>Inputs!E92</f>
        <v>all animals</v>
      </c>
      <c r="F29" s="124">
        <f>Inputs!U92</f>
        <v>0</v>
      </c>
      <c r="G29" s="265"/>
      <c r="H29" s="455">
        <f t="shared" si="14"/>
        <v>0</v>
      </c>
      <c r="J29" s="417"/>
      <c r="K29" s="417"/>
      <c r="L29" s="417"/>
      <c r="M29" s="417"/>
      <c r="N29" s="417"/>
      <c r="O29" s="417"/>
      <c r="P29" s="417"/>
      <c r="Q29" s="417"/>
      <c r="R29" s="417"/>
      <c r="S29" s="417"/>
      <c r="T29" s="417"/>
      <c r="U29" s="417"/>
      <c r="V29" s="417"/>
      <c r="W29" s="417"/>
      <c r="Y29" s="221"/>
      <c r="Z29" s="221"/>
      <c r="AA29" s="221"/>
    </row>
    <row r="30" spans="1:27">
      <c r="B30" s="284">
        <f>Inputs!B93</f>
        <v>0</v>
      </c>
      <c r="C30" s="252" t="s">
        <v>9</v>
      </c>
      <c r="D30" s="366">
        <f>Inputs!D93</f>
        <v>0</v>
      </c>
      <c r="E30" s="397">
        <f>Inputs!E93</f>
        <v>0</v>
      </c>
      <c r="F30" s="124">
        <f>Inputs!U93</f>
        <v>0</v>
      </c>
      <c r="G30" s="265"/>
      <c r="H30" s="455">
        <f t="shared" si="14"/>
        <v>0</v>
      </c>
      <c r="J30" s="417"/>
      <c r="K30" s="417"/>
      <c r="L30" s="417"/>
      <c r="M30" s="417"/>
      <c r="N30" s="417"/>
      <c r="O30" s="417"/>
      <c r="P30" s="417"/>
      <c r="Q30" s="417"/>
      <c r="R30" s="417"/>
      <c r="S30" s="417"/>
      <c r="T30" s="417"/>
      <c r="U30" s="417"/>
      <c r="V30" s="417"/>
      <c r="W30" s="417"/>
      <c r="Y30" s="221"/>
      <c r="Z30" s="221"/>
      <c r="AA30" s="221"/>
    </row>
    <row r="31" spans="1:27">
      <c r="B31" s="284">
        <f>Inputs!B94</f>
        <v>0</v>
      </c>
      <c r="C31" s="252"/>
      <c r="D31" s="366">
        <f>Inputs!D94</f>
        <v>0</v>
      </c>
      <c r="E31" s="397">
        <f>Inputs!E94</f>
        <v>0</v>
      </c>
      <c r="F31" s="124">
        <f>Inputs!U94</f>
        <v>0</v>
      </c>
      <c r="G31" s="265"/>
      <c r="H31" s="455">
        <f t="shared" si="14"/>
        <v>0</v>
      </c>
      <c r="J31" s="417"/>
      <c r="K31" s="417"/>
      <c r="L31" s="417"/>
      <c r="M31" s="417"/>
      <c r="N31" s="417"/>
      <c r="O31" s="417"/>
      <c r="P31" s="417"/>
      <c r="Q31" s="417"/>
      <c r="R31" s="417"/>
      <c r="S31" s="417"/>
      <c r="T31" s="417"/>
      <c r="U31" s="417"/>
      <c r="V31" s="417"/>
      <c r="W31" s="417"/>
      <c r="Y31" s="221"/>
      <c r="Z31" s="221"/>
      <c r="AA31" s="221"/>
    </row>
    <row r="32" spans="1:27">
      <c r="B32" s="284">
        <f>Inputs!B95</f>
        <v>0</v>
      </c>
      <c r="C32" s="252" t="s">
        <v>9</v>
      </c>
      <c r="D32" s="366">
        <f>Inputs!D95</f>
        <v>0</v>
      </c>
      <c r="E32" s="397">
        <f>Inputs!E95</f>
        <v>0</v>
      </c>
      <c r="F32" s="124">
        <f>Inputs!U95</f>
        <v>0</v>
      </c>
      <c r="G32" s="265"/>
      <c r="H32" s="455">
        <f t="shared" si="14"/>
        <v>0</v>
      </c>
      <c r="J32" s="417"/>
      <c r="K32" s="417"/>
      <c r="L32" s="417"/>
      <c r="M32" s="417"/>
      <c r="N32" s="417"/>
      <c r="O32" s="417"/>
      <c r="P32" s="417"/>
      <c r="Q32" s="417"/>
      <c r="R32" s="417"/>
      <c r="S32" s="417"/>
      <c r="T32" s="417"/>
      <c r="U32" s="417"/>
      <c r="V32" s="417"/>
      <c r="W32" s="417"/>
      <c r="Y32" s="221"/>
      <c r="Z32" s="221"/>
      <c r="AA32" s="221"/>
    </row>
    <row r="33" spans="2:27" ht="13.5" thickBot="1">
      <c r="B33" s="172" t="s">
        <v>37</v>
      </c>
      <c r="C33" s="829" t="s">
        <v>118</v>
      </c>
      <c r="D33" s="830"/>
      <c r="E33" s="830"/>
      <c r="F33" s="830"/>
      <c r="G33" s="831"/>
      <c r="H33" s="456">
        <f>(SUM(H21,H24:H26,H28:H32,D39:D47)/2+H12)*Inputs!E111*E1/365</f>
        <v>0</v>
      </c>
      <c r="J33" s="417"/>
      <c r="K33" s="417"/>
      <c r="L33" s="417"/>
      <c r="M33" s="417"/>
      <c r="N33" s="417"/>
      <c r="O33" s="417"/>
      <c r="P33" s="417"/>
      <c r="Q33" s="417"/>
      <c r="R33" s="417"/>
      <c r="S33" s="417"/>
      <c r="T33" s="417"/>
      <c r="U33" s="417"/>
      <c r="V33" s="417"/>
      <c r="W33" s="417"/>
      <c r="Y33" s="221"/>
      <c r="Z33" s="221"/>
      <c r="AA33" s="221"/>
    </row>
    <row r="34" spans="2:27" ht="27" customHeight="1" thickTop="1" thickBot="1">
      <c r="B34" s="253"/>
      <c r="C34" s="244"/>
      <c r="D34" s="259"/>
      <c r="E34" s="259"/>
      <c r="F34" s="282"/>
      <c r="G34" s="259" t="s">
        <v>145</v>
      </c>
      <c r="H34" s="640">
        <f>SUM(H24:H33)</f>
        <v>0</v>
      </c>
      <c r="J34" s="417"/>
      <c r="K34" s="417"/>
      <c r="L34" s="417"/>
      <c r="M34" s="417"/>
      <c r="N34" s="417"/>
      <c r="O34" s="417"/>
      <c r="P34" s="417"/>
      <c r="Q34" s="417"/>
      <c r="R34" s="417"/>
      <c r="S34" s="417"/>
      <c r="T34" s="417"/>
      <c r="U34" s="417"/>
      <c r="V34" s="417"/>
      <c r="W34" s="417"/>
      <c r="Y34" s="221"/>
      <c r="Z34" s="221"/>
      <c r="AA34" s="221"/>
    </row>
    <row r="35" spans="2:27" ht="13.5" thickBot="1">
      <c r="B35" s="123"/>
      <c r="C35" s="96"/>
      <c r="D35" s="42"/>
      <c r="E35" s="42"/>
      <c r="F35" s="42"/>
      <c r="G35" s="21" t="s">
        <v>104</v>
      </c>
      <c r="H35" s="641">
        <f>H12+H21+H34</f>
        <v>0</v>
      </c>
      <c r="J35" s="417"/>
      <c r="K35" s="417"/>
      <c r="L35" s="417"/>
      <c r="M35" s="417"/>
      <c r="N35" s="417"/>
      <c r="O35" s="417"/>
      <c r="P35" s="417"/>
      <c r="Q35" s="417"/>
      <c r="R35" s="417"/>
      <c r="S35" s="417"/>
      <c r="T35" s="417"/>
      <c r="U35" s="417"/>
      <c r="V35" s="417"/>
      <c r="W35" s="417"/>
      <c r="Y35" s="221"/>
      <c r="Z35" s="221"/>
      <c r="AA35" s="221"/>
    </row>
    <row r="36" spans="2:27" ht="13.5" thickBot="1">
      <c r="B36" s="251"/>
      <c r="C36" s="251"/>
      <c r="D36" s="251"/>
      <c r="E36" s="251"/>
      <c r="F36" s="258"/>
      <c r="G36" s="258"/>
      <c r="H36" s="603"/>
      <c r="Y36" s="221"/>
      <c r="Z36" s="221"/>
      <c r="AA36" s="221"/>
    </row>
    <row r="37" spans="2:27" ht="16.5" thickBot="1">
      <c r="B37" s="41" t="s">
        <v>109</v>
      </c>
      <c r="C37" s="108"/>
      <c r="D37" s="109"/>
      <c r="E37" s="109"/>
      <c r="F37" s="109"/>
      <c r="G37" s="109"/>
      <c r="H37" s="632" t="s">
        <v>74</v>
      </c>
      <c r="Y37" s="221"/>
      <c r="Z37" s="221"/>
      <c r="AA37" s="221"/>
    </row>
    <row r="38" spans="2:27">
      <c r="B38" s="263" t="s">
        <v>39</v>
      </c>
      <c r="C38" s="243"/>
      <c r="D38" s="393" t="s">
        <v>15</v>
      </c>
      <c r="E38" s="393"/>
      <c r="F38" s="393" t="s">
        <v>48</v>
      </c>
      <c r="G38" s="266"/>
      <c r="H38" s="642" t="s">
        <v>31</v>
      </c>
      <c r="Y38" s="221"/>
      <c r="Z38" s="221"/>
      <c r="AA38" s="221"/>
    </row>
    <row r="39" spans="2:27">
      <c r="B39" s="250" t="str">
        <f>Inputs!B100</f>
        <v>General machinery &amp; equipment</v>
      </c>
      <c r="C39" s="243"/>
      <c r="D39" s="366">
        <f>Inputs!G100</f>
        <v>1000</v>
      </c>
      <c r="E39" s="256"/>
      <c r="F39" s="264">
        <f>IF(D39=0,0,Inputs!U100)</f>
        <v>0</v>
      </c>
      <c r="G39" s="272"/>
      <c r="H39" s="452">
        <f>IF(B39="","",D39*F39)</f>
        <v>0</v>
      </c>
      <c r="Y39" s="221"/>
      <c r="Z39" s="221"/>
      <c r="AA39" s="221"/>
    </row>
    <row r="40" spans="2:27">
      <c r="B40" s="250" t="str">
        <f>Inputs!B101</f>
        <v>Vehicles</v>
      </c>
      <c r="C40" s="243"/>
      <c r="D40" s="366">
        <f>Inputs!G101</f>
        <v>1200</v>
      </c>
      <c r="E40" s="256"/>
      <c r="F40" s="264">
        <f>IF(D40=0,0,Inputs!U101)</f>
        <v>0</v>
      </c>
      <c r="G40" s="272"/>
      <c r="H40" s="452">
        <f t="shared" ref="H40:H47" si="15">IF(B40="","",D40*F40)</f>
        <v>0</v>
      </c>
      <c r="Y40" s="221"/>
      <c r="Z40" s="221"/>
      <c r="AA40" s="221"/>
    </row>
    <row r="41" spans="2:27">
      <c r="B41" s="284" t="str">
        <f>Inputs!B102</f>
        <v>2 Horses ($5,000 value each)</v>
      </c>
      <c r="C41" s="251"/>
      <c r="D41" s="366">
        <f>Inputs!G102</f>
        <v>0</v>
      </c>
      <c r="E41" s="256"/>
      <c r="F41" s="264">
        <f>IF(D41=0,0,Inputs!U102)</f>
        <v>0</v>
      </c>
      <c r="G41" s="272"/>
      <c r="H41" s="452">
        <f t="shared" si="15"/>
        <v>0</v>
      </c>
      <c r="Y41" s="221"/>
      <c r="Z41" s="221"/>
      <c r="AA41" s="221"/>
    </row>
    <row r="42" spans="2:27">
      <c r="B42" s="284">
        <f>Inputs!B103</f>
        <v>0</v>
      </c>
      <c r="C42" s="251"/>
      <c r="D42" s="366">
        <f>Inputs!G103</f>
        <v>0</v>
      </c>
      <c r="E42" s="256"/>
      <c r="F42" s="264">
        <f>IF(D42=0,0,Inputs!U103)</f>
        <v>0</v>
      </c>
      <c r="G42" s="272"/>
      <c r="H42" s="452">
        <f t="shared" si="15"/>
        <v>0</v>
      </c>
      <c r="Y42" s="221"/>
      <c r="Z42" s="221"/>
      <c r="AA42" s="221"/>
    </row>
    <row r="43" spans="2:27">
      <c r="B43" s="284">
        <f>Inputs!B104</f>
        <v>0</v>
      </c>
      <c r="C43" s="251"/>
      <c r="D43" s="366">
        <f>Inputs!G104</f>
        <v>0</v>
      </c>
      <c r="E43" s="256"/>
      <c r="F43" s="264">
        <f>IF(D43=0,0,Inputs!U104)</f>
        <v>0</v>
      </c>
      <c r="G43" s="272"/>
      <c r="H43" s="452">
        <f t="shared" si="15"/>
        <v>0</v>
      </c>
      <c r="Y43" s="221"/>
      <c r="Z43" s="221"/>
      <c r="AA43" s="221"/>
    </row>
    <row r="44" spans="2:27">
      <c r="B44" s="284">
        <f>Inputs!B105</f>
        <v>0</v>
      </c>
      <c r="C44" s="251"/>
      <c r="D44" s="366">
        <f>Inputs!G105</f>
        <v>0</v>
      </c>
      <c r="E44" s="256"/>
      <c r="F44" s="264">
        <f>IF(D44=0,0,Inputs!U105)</f>
        <v>0</v>
      </c>
      <c r="G44" s="272"/>
      <c r="H44" s="452">
        <f t="shared" si="15"/>
        <v>0</v>
      </c>
      <c r="Y44" s="221"/>
      <c r="Z44" s="221"/>
      <c r="AA44" s="221"/>
    </row>
    <row r="45" spans="2:27">
      <c r="B45" s="284">
        <f>Inputs!B106</f>
        <v>0</v>
      </c>
      <c r="C45" s="251"/>
      <c r="D45" s="366">
        <f>Inputs!G106</f>
        <v>0</v>
      </c>
      <c r="E45" s="256"/>
      <c r="F45" s="264">
        <f>IF(D45=0,0,Inputs!U106)</f>
        <v>0</v>
      </c>
      <c r="G45" s="272"/>
      <c r="H45" s="452">
        <f t="shared" si="15"/>
        <v>0</v>
      </c>
      <c r="Y45" s="221"/>
      <c r="Z45" s="221"/>
      <c r="AA45" s="221"/>
    </row>
    <row r="46" spans="2:27">
      <c r="B46" s="284">
        <f>Inputs!B107</f>
        <v>0</v>
      </c>
      <c r="C46" s="251"/>
      <c r="D46" s="366">
        <f>Inputs!G107</f>
        <v>0</v>
      </c>
      <c r="E46" s="256"/>
      <c r="F46" s="264">
        <f>IF(D46=0,0,Inputs!U107)</f>
        <v>0</v>
      </c>
      <c r="G46" s="272"/>
      <c r="H46" s="452">
        <f t="shared" si="15"/>
        <v>0</v>
      </c>
      <c r="Y46" s="221"/>
      <c r="Z46" s="221"/>
      <c r="AA46" s="221"/>
    </row>
    <row r="47" spans="2:27" ht="13.5" thickBot="1">
      <c r="B47" s="284">
        <f>Inputs!B108</f>
        <v>0</v>
      </c>
      <c r="C47" s="251"/>
      <c r="D47" s="366">
        <f>Inputs!G108</f>
        <v>0</v>
      </c>
      <c r="E47" s="256"/>
      <c r="F47" s="264">
        <f>IF(D47=0,0,Inputs!U108)</f>
        <v>0</v>
      </c>
      <c r="G47" s="272"/>
      <c r="H47" s="453">
        <f t="shared" si="15"/>
        <v>0</v>
      </c>
      <c r="Y47" s="221"/>
      <c r="Z47" s="221"/>
      <c r="AA47" s="221"/>
    </row>
    <row r="48" spans="2:27" ht="13.5" thickTop="1">
      <c r="B48" s="250"/>
      <c r="C48" s="243"/>
      <c r="D48" s="260"/>
      <c r="E48" s="92"/>
      <c r="F48" s="92"/>
      <c r="G48" s="126" t="s">
        <v>112</v>
      </c>
      <c r="H48" s="643">
        <f>SUM(H39:H47)</f>
        <v>0</v>
      </c>
      <c r="Y48" s="221"/>
      <c r="Z48" s="221"/>
      <c r="AA48" s="221"/>
    </row>
    <row r="49" spans="1:36">
      <c r="B49" s="250"/>
      <c r="C49" s="243"/>
      <c r="D49" s="251"/>
      <c r="E49" s="251"/>
      <c r="F49" s="251"/>
      <c r="G49" s="251"/>
      <c r="H49" s="454"/>
      <c r="Y49" s="221"/>
      <c r="Z49" s="221"/>
      <c r="AA49" s="221"/>
    </row>
    <row r="50" spans="1:36">
      <c r="B50" s="263" t="s">
        <v>54</v>
      </c>
      <c r="C50" s="243"/>
      <c r="D50" s="393" t="s">
        <v>56</v>
      </c>
      <c r="E50" s="251"/>
      <c r="F50" s="393" t="s">
        <v>48</v>
      </c>
      <c r="G50" s="265"/>
      <c r="H50" s="639" t="s">
        <v>31</v>
      </c>
      <c r="Y50" s="221"/>
      <c r="Z50" s="221"/>
      <c r="AA50" s="221"/>
    </row>
    <row r="51" spans="1:36">
      <c r="B51" s="250" t="str">
        <f>Inputs!B117</f>
        <v>Real Estate Tax</v>
      </c>
      <c r="C51" s="243"/>
      <c r="D51" s="366">
        <f>Inputs!E117</f>
        <v>540</v>
      </c>
      <c r="E51" s="251"/>
      <c r="F51" s="279">
        <f>IF(D51=0,0,Inputs!U117)</f>
        <v>0</v>
      </c>
      <c r="G51" s="265"/>
      <c r="H51" s="454">
        <f>F51*Inputs!E117</f>
        <v>0</v>
      </c>
      <c r="Y51" s="221"/>
      <c r="Z51" s="221"/>
      <c r="AA51" s="221"/>
    </row>
    <row r="52" spans="1:36">
      <c r="B52" s="250" t="str">
        <f>Inputs!B118</f>
        <v>Annual Insurance Premium</v>
      </c>
      <c r="C52" s="243"/>
      <c r="D52" s="366">
        <f>Inputs!E118</f>
        <v>2500</v>
      </c>
      <c r="E52" s="251"/>
      <c r="F52" s="279">
        <f>IF(D52=0,0,Inputs!U118)</f>
        <v>0</v>
      </c>
      <c r="G52" s="265"/>
      <c r="H52" s="454">
        <f>F52*Inputs!E118</f>
        <v>0</v>
      </c>
      <c r="Y52" s="221"/>
      <c r="Z52" s="221"/>
      <c r="AA52" s="221"/>
    </row>
    <row r="53" spans="1:36">
      <c r="B53" s="250" t="str">
        <f>Inputs!B119</f>
        <v>Professional Fees</v>
      </c>
      <c r="C53" s="243"/>
      <c r="D53" s="366">
        <f>Inputs!E119</f>
        <v>1000</v>
      </c>
      <c r="E53" s="251"/>
      <c r="F53" s="279">
        <f>IF(D53=0,0,Inputs!U119)</f>
        <v>0</v>
      </c>
      <c r="G53" s="265"/>
      <c r="H53" s="454">
        <f>F53*Inputs!E119</f>
        <v>0</v>
      </c>
      <c r="Y53" s="221"/>
      <c r="Z53" s="221"/>
      <c r="AA53" s="221"/>
    </row>
    <row r="54" spans="1:36">
      <c r="B54" s="250" t="str">
        <f>Inputs!B120</f>
        <v>Annual Management Charge</v>
      </c>
      <c r="C54" s="243"/>
      <c r="D54" s="366">
        <f>Inputs!E120</f>
        <v>0</v>
      </c>
      <c r="E54" s="251"/>
      <c r="F54" s="279">
        <f>IF(D54=0,0,Inputs!U120)</f>
        <v>0</v>
      </c>
      <c r="G54" s="265"/>
      <c r="H54" s="454">
        <f>F54*Inputs!E120</f>
        <v>0</v>
      </c>
      <c r="Y54" s="221"/>
      <c r="Z54" s="221"/>
      <c r="AA54" s="221"/>
    </row>
    <row r="55" spans="1:36" ht="13.5" thickBot="1">
      <c r="B55" s="250" t="str">
        <f>Inputs!B121</f>
        <v>Other</v>
      </c>
      <c r="C55" s="243"/>
      <c r="D55" s="366">
        <f>Inputs!E121</f>
        <v>750</v>
      </c>
      <c r="E55" s="251"/>
      <c r="F55" s="279">
        <f>IF(D55=0,0,Inputs!U121)</f>
        <v>0</v>
      </c>
      <c r="G55" s="265"/>
      <c r="H55" s="457">
        <f>F55*Inputs!E121</f>
        <v>0</v>
      </c>
      <c r="Y55" s="221"/>
      <c r="Z55" s="221"/>
      <c r="AA55" s="221"/>
    </row>
    <row r="56" spans="1:36" ht="14.25" thickTop="1" thickBot="1">
      <c r="B56" s="253"/>
      <c r="C56" s="244"/>
      <c r="D56" s="254"/>
      <c r="E56" s="254"/>
      <c r="F56" s="260"/>
      <c r="G56" s="259" t="s">
        <v>43</v>
      </c>
      <c r="H56" s="644">
        <f>SUM(H51:H55)</f>
        <v>0</v>
      </c>
      <c r="J56" s="223"/>
      <c r="K56" s="223"/>
      <c r="Y56" s="221"/>
      <c r="Z56" s="221"/>
      <c r="AA56" s="221"/>
    </row>
    <row r="57" spans="1:36" ht="13.5" thickBot="1">
      <c r="B57" s="99">
        <v>217480.06701030929</v>
      </c>
      <c r="C57" s="96"/>
      <c r="D57" s="42"/>
      <c r="E57" s="42"/>
      <c r="F57" s="42"/>
      <c r="G57" s="21" t="s">
        <v>103</v>
      </c>
      <c r="H57" s="641">
        <f>H48+H56</f>
        <v>0</v>
      </c>
      <c r="I57" s="160"/>
      <c r="Y57" s="221"/>
      <c r="Z57" s="221"/>
      <c r="AA57" s="221"/>
    </row>
    <row r="58" spans="1:36" ht="13.5" thickBot="1">
      <c r="B58" s="43"/>
      <c r="C58" s="43"/>
      <c r="D58" s="43"/>
      <c r="E58" s="43"/>
      <c r="F58" s="43"/>
      <c r="G58" s="43"/>
      <c r="H58" s="447"/>
      <c r="Y58" s="221"/>
      <c r="Z58" s="221"/>
      <c r="AA58" s="221"/>
    </row>
    <row r="59" spans="1:36" ht="13.5" thickBot="1">
      <c r="B59" s="98"/>
      <c r="C59" s="96"/>
      <c r="D59" s="67"/>
      <c r="E59" s="67"/>
      <c r="F59" s="67"/>
      <c r="G59" s="21" t="s">
        <v>111</v>
      </c>
      <c r="H59" s="602">
        <f>H35+H57</f>
        <v>0</v>
      </c>
      <c r="Y59" s="221"/>
      <c r="Z59" s="221"/>
      <c r="AA59" s="221"/>
    </row>
    <row r="60" spans="1:36" ht="13.5" thickBot="1">
      <c r="B60" s="104"/>
      <c r="C60" s="104"/>
      <c r="D60" s="104"/>
      <c r="E60" s="104"/>
      <c r="F60" s="104"/>
      <c r="G60" s="104"/>
      <c r="H60" s="606"/>
      <c r="Y60" s="221"/>
      <c r="Z60" s="221"/>
      <c r="AA60" s="221"/>
    </row>
    <row r="61" spans="1:36" ht="13.5" thickBot="1">
      <c r="B61" s="98"/>
      <c r="C61" s="96"/>
      <c r="D61" s="67"/>
      <c r="E61" s="67"/>
      <c r="F61" s="67"/>
      <c r="G61" s="21" t="s">
        <v>105</v>
      </c>
      <c r="H61" s="602">
        <f>H6-H59</f>
        <v>0</v>
      </c>
      <c r="Y61" s="221"/>
      <c r="Z61" s="221"/>
      <c r="AA61" s="221"/>
    </row>
    <row r="62" spans="1:36" ht="13.5" thickBot="1">
      <c r="B62" s="251"/>
      <c r="C62" s="251"/>
      <c r="D62" s="251"/>
      <c r="E62" s="251"/>
      <c r="F62" s="43"/>
      <c r="G62" s="43"/>
      <c r="H62" s="592"/>
      <c r="Y62" s="221"/>
      <c r="Z62" s="221"/>
      <c r="AA62" s="221"/>
    </row>
    <row r="63" spans="1:36" s="216" customFormat="1" ht="16.5" thickBot="1">
      <c r="A63" s="155"/>
      <c r="B63" s="41" t="s">
        <v>98</v>
      </c>
      <c r="C63" s="108"/>
      <c r="D63" s="109"/>
      <c r="E63" s="109"/>
      <c r="F63" s="109"/>
      <c r="G63" s="109"/>
      <c r="H63" s="632" t="s">
        <v>74</v>
      </c>
      <c r="I63" s="222"/>
      <c r="J63" s="222"/>
      <c r="K63" s="222"/>
      <c r="L63" s="222"/>
      <c r="M63" s="222"/>
      <c r="N63" s="222"/>
      <c r="O63" s="222"/>
      <c r="P63" s="222"/>
      <c r="Q63" s="222"/>
      <c r="R63" s="222"/>
      <c r="S63" s="222"/>
      <c r="T63" s="222"/>
      <c r="U63" s="222"/>
      <c r="V63" s="222"/>
      <c r="W63" s="222"/>
      <c r="X63" s="222"/>
      <c r="Y63" s="221"/>
      <c r="Z63" s="221"/>
      <c r="AA63" s="221"/>
      <c r="AB63" s="277"/>
      <c r="AC63" s="277"/>
      <c r="AD63" s="277"/>
      <c r="AE63" s="277"/>
      <c r="AF63" s="277"/>
      <c r="AG63" s="277"/>
      <c r="AH63" s="277"/>
      <c r="AI63" s="277"/>
      <c r="AJ63" s="277"/>
    </row>
    <row r="64" spans="1:36" s="216" customFormat="1" ht="25.5">
      <c r="A64" s="277"/>
      <c r="B64" s="263" t="s">
        <v>114</v>
      </c>
      <c r="C64" s="243"/>
      <c r="D64" s="393" t="s">
        <v>46</v>
      </c>
      <c r="E64" s="394" t="s">
        <v>55</v>
      </c>
      <c r="F64" s="393" t="s">
        <v>48</v>
      </c>
      <c r="G64" s="393"/>
      <c r="H64" s="639" t="s">
        <v>31</v>
      </c>
      <c r="I64" s="222"/>
      <c r="J64" s="222"/>
      <c r="K64" s="222"/>
      <c r="L64" s="222"/>
      <c r="M64" s="222"/>
      <c r="N64" s="222"/>
      <c r="O64" s="222"/>
      <c r="P64" s="222"/>
      <c r="Q64" s="222"/>
      <c r="R64" s="222"/>
      <c r="S64" s="222"/>
      <c r="T64" s="222"/>
      <c r="U64" s="222"/>
      <c r="V64" s="222"/>
      <c r="W64" s="222"/>
      <c r="X64" s="222"/>
      <c r="Y64" s="221"/>
      <c r="Z64" s="221"/>
      <c r="AA64" s="221"/>
      <c r="AB64" s="277"/>
      <c r="AC64" s="277"/>
      <c r="AD64" s="277"/>
      <c r="AE64" s="277"/>
      <c r="AF64" s="277"/>
      <c r="AG64" s="277"/>
      <c r="AH64" s="277"/>
      <c r="AI64" s="277"/>
      <c r="AJ64" s="277"/>
    </row>
    <row r="65" spans="1:36" s="216" customFormat="1">
      <c r="A65" s="277"/>
      <c r="B65" s="250" t="str">
        <f>Inputs!B100</f>
        <v>General machinery &amp; equipment</v>
      </c>
      <c r="C65" s="243"/>
      <c r="D65" s="366">
        <f>IF(Inputs!F100=0,0,(Inputs!D100-Inputs!E100)/Inputs!F100)</f>
        <v>7500</v>
      </c>
      <c r="E65" s="365">
        <f>Inputs!D100*Inputs!$E$112</f>
        <v>3000</v>
      </c>
      <c r="F65" s="264">
        <f>IF(SUM(D65:E65)=0,0,Inputs!U100)</f>
        <v>0</v>
      </c>
      <c r="G65" s="256"/>
      <c r="H65" s="452">
        <f>(D65+E65)*F65</f>
        <v>0</v>
      </c>
      <c r="I65" s="222"/>
      <c r="J65" s="222"/>
      <c r="K65" s="222"/>
      <c r="L65" s="222"/>
      <c r="M65" s="222"/>
      <c r="N65" s="222"/>
      <c r="O65" s="222"/>
      <c r="P65" s="222"/>
      <c r="Q65" s="222"/>
      <c r="R65" s="222"/>
      <c r="S65" s="222"/>
      <c r="T65" s="222"/>
      <c r="U65" s="222"/>
      <c r="V65" s="222"/>
      <c r="W65" s="222"/>
      <c r="X65" s="222"/>
      <c r="Y65" s="221"/>
      <c r="Z65" s="221"/>
      <c r="AA65" s="221"/>
      <c r="AB65" s="277"/>
      <c r="AC65" s="277"/>
      <c r="AD65" s="277"/>
      <c r="AE65" s="277"/>
      <c r="AF65" s="277"/>
      <c r="AG65" s="277"/>
      <c r="AH65" s="277"/>
      <c r="AI65" s="277"/>
      <c r="AJ65" s="277"/>
    </row>
    <row r="66" spans="1:36" s="216" customFormat="1">
      <c r="A66" s="277"/>
      <c r="B66" s="250" t="str">
        <f>Inputs!B101</f>
        <v>Vehicles</v>
      </c>
      <c r="C66" s="243"/>
      <c r="D66" s="366">
        <f>IF(Inputs!F101=0,0,(Inputs!D101-Inputs!E101)/Inputs!F101)</f>
        <v>3571.4285714285716</v>
      </c>
      <c r="E66" s="365">
        <f>Inputs!D101*Inputs!$E$112</f>
        <v>1050</v>
      </c>
      <c r="F66" s="264">
        <f>IF(SUM(D66:E66)=0,0,Inputs!U101)</f>
        <v>0</v>
      </c>
      <c r="G66" s="256"/>
      <c r="H66" s="452">
        <f t="shared" ref="H66:H72" si="16">(D66+E66)*F66</f>
        <v>0</v>
      </c>
      <c r="I66" s="222"/>
      <c r="J66" s="222"/>
      <c r="K66" s="222"/>
      <c r="L66" s="222"/>
      <c r="M66" s="222"/>
      <c r="N66" s="222"/>
      <c r="O66" s="222"/>
      <c r="P66" s="222"/>
      <c r="Q66" s="222"/>
      <c r="R66" s="222"/>
      <c r="S66" s="222"/>
      <c r="T66" s="222"/>
      <c r="U66" s="222"/>
      <c r="V66" s="222"/>
      <c r="W66" s="222"/>
      <c r="X66" s="222"/>
      <c r="Y66" s="221"/>
      <c r="Z66" s="221"/>
      <c r="AA66" s="221"/>
      <c r="AB66" s="277"/>
      <c r="AC66" s="277"/>
      <c r="AD66" s="277"/>
      <c r="AE66" s="277"/>
      <c r="AF66" s="277"/>
      <c r="AG66" s="277"/>
      <c r="AH66" s="277"/>
      <c r="AI66" s="277"/>
      <c r="AJ66" s="277"/>
    </row>
    <row r="67" spans="1:36" s="216" customFormat="1">
      <c r="A67" s="277"/>
      <c r="B67" s="284" t="str">
        <f>Inputs!B102</f>
        <v>2 Horses ($5,000 value each)</v>
      </c>
      <c r="C67" s="251"/>
      <c r="D67" s="366">
        <f>IF(Inputs!F102=0,0,(Inputs!D102-Inputs!E102)/Inputs!F102)</f>
        <v>1000</v>
      </c>
      <c r="E67" s="365">
        <f>Inputs!D102*Inputs!$E$112</f>
        <v>300</v>
      </c>
      <c r="F67" s="264">
        <f>IF(SUM(D67:E67)=0,0,Inputs!U102)</f>
        <v>0</v>
      </c>
      <c r="G67" s="256"/>
      <c r="H67" s="452">
        <f t="shared" si="16"/>
        <v>0</v>
      </c>
      <c r="I67" s="222"/>
      <c r="J67" s="222"/>
      <c r="K67" s="222"/>
      <c r="L67" s="222"/>
      <c r="M67" s="222"/>
      <c r="N67" s="222"/>
      <c r="O67" s="222"/>
      <c r="P67" s="222"/>
      <c r="Q67" s="222"/>
      <c r="R67" s="222"/>
      <c r="S67" s="222"/>
      <c r="T67" s="222"/>
      <c r="U67" s="222"/>
      <c r="V67" s="222"/>
      <c r="W67" s="222"/>
      <c r="X67" s="222"/>
      <c r="Y67" s="221"/>
      <c r="Z67" s="221"/>
      <c r="AA67" s="221"/>
      <c r="AB67" s="277"/>
      <c r="AC67" s="277"/>
      <c r="AD67" s="277"/>
      <c r="AE67" s="277"/>
      <c r="AF67" s="277"/>
      <c r="AG67" s="277"/>
      <c r="AH67" s="277"/>
      <c r="AI67" s="277"/>
      <c r="AJ67" s="277"/>
    </row>
    <row r="68" spans="1:36" s="216" customFormat="1">
      <c r="A68" s="277"/>
      <c r="B68" s="284">
        <f>Inputs!B103</f>
        <v>0</v>
      </c>
      <c r="C68" s="251"/>
      <c r="D68" s="366">
        <f>IF(Inputs!F103=0,0,(Inputs!D103-Inputs!E103)/Inputs!F103)</f>
        <v>0</v>
      </c>
      <c r="E68" s="365">
        <f>Inputs!D103*Inputs!$E$112</f>
        <v>0</v>
      </c>
      <c r="F68" s="264">
        <f>IF(SUM(D68:E68)=0,0,Inputs!U103)</f>
        <v>0</v>
      </c>
      <c r="G68" s="256"/>
      <c r="H68" s="452">
        <f t="shared" si="16"/>
        <v>0</v>
      </c>
      <c r="I68" s="222"/>
      <c r="J68" s="222"/>
      <c r="K68" s="222"/>
      <c r="L68" s="222"/>
      <c r="M68" s="222"/>
      <c r="N68" s="222"/>
      <c r="O68" s="222"/>
      <c r="P68" s="222"/>
      <c r="Q68" s="222"/>
      <c r="R68" s="222"/>
      <c r="S68" s="222"/>
      <c r="T68" s="222"/>
      <c r="U68" s="222"/>
      <c r="V68" s="222"/>
      <c r="W68" s="222"/>
      <c r="X68" s="222"/>
      <c r="Y68" s="221"/>
      <c r="Z68" s="221"/>
      <c r="AA68" s="221"/>
      <c r="AB68" s="277"/>
      <c r="AC68" s="277"/>
      <c r="AD68" s="277"/>
      <c r="AE68" s="277"/>
      <c r="AF68" s="277"/>
      <c r="AG68" s="277"/>
      <c r="AH68" s="277"/>
      <c r="AI68" s="277"/>
      <c r="AJ68" s="277"/>
    </row>
    <row r="69" spans="1:36" s="216" customFormat="1">
      <c r="A69" s="277"/>
      <c r="B69" s="284">
        <f>Inputs!B104</f>
        <v>0</v>
      </c>
      <c r="C69" s="251"/>
      <c r="D69" s="366">
        <f>IF(Inputs!F104=0,0,(Inputs!D104-Inputs!E104)/Inputs!F104)</f>
        <v>0</v>
      </c>
      <c r="E69" s="365">
        <f>Inputs!D104*Inputs!$E$112</f>
        <v>0</v>
      </c>
      <c r="F69" s="264">
        <f>IF(SUM(D69:E69)=0,0,Inputs!U104)</f>
        <v>0</v>
      </c>
      <c r="G69" s="256"/>
      <c r="H69" s="452"/>
      <c r="I69" s="222"/>
      <c r="J69" s="222"/>
      <c r="K69" s="222"/>
      <c r="L69" s="222"/>
      <c r="M69" s="222"/>
      <c r="N69" s="222"/>
      <c r="O69" s="222"/>
      <c r="P69" s="222"/>
      <c r="Q69" s="222"/>
      <c r="R69" s="222"/>
      <c r="S69" s="222"/>
      <c r="T69" s="222"/>
      <c r="U69" s="222"/>
      <c r="V69" s="222"/>
      <c r="W69" s="222"/>
      <c r="X69" s="222"/>
      <c r="Y69" s="221"/>
      <c r="Z69" s="221"/>
      <c r="AA69" s="221"/>
      <c r="AB69" s="277"/>
      <c r="AC69" s="277"/>
      <c r="AD69" s="277"/>
      <c r="AE69" s="277"/>
      <c r="AF69" s="277"/>
      <c r="AG69" s="277"/>
      <c r="AH69" s="277"/>
      <c r="AI69" s="277"/>
      <c r="AJ69" s="277"/>
    </row>
    <row r="70" spans="1:36" s="216" customFormat="1">
      <c r="A70" s="277"/>
      <c r="B70" s="284">
        <f>Inputs!B105</f>
        <v>0</v>
      </c>
      <c r="C70" s="251"/>
      <c r="D70" s="366">
        <f>IF(Inputs!F105=0,0,(Inputs!D105-Inputs!E105)/Inputs!F105)</f>
        <v>0</v>
      </c>
      <c r="E70" s="365">
        <f>Inputs!D105*Inputs!$E$112</f>
        <v>0</v>
      </c>
      <c r="F70" s="264">
        <f>IF(SUM(D70:E70)=0,0,Inputs!U105)</f>
        <v>0</v>
      </c>
      <c r="G70" s="256"/>
      <c r="H70" s="452"/>
      <c r="I70" s="222"/>
      <c r="J70" s="222"/>
      <c r="K70" s="222"/>
      <c r="L70" s="222"/>
      <c r="M70" s="222"/>
      <c r="N70" s="222"/>
      <c r="O70" s="222"/>
      <c r="P70" s="222"/>
      <c r="Q70" s="222"/>
      <c r="R70" s="222"/>
      <c r="S70" s="222"/>
      <c r="T70" s="222"/>
      <c r="U70" s="222"/>
      <c r="V70" s="222"/>
      <c r="W70" s="222"/>
      <c r="X70" s="222"/>
      <c r="Y70" s="221"/>
      <c r="Z70" s="221"/>
      <c r="AA70" s="221"/>
      <c r="AB70" s="277"/>
      <c r="AC70" s="277"/>
      <c r="AD70" s="277"/>
      <c r="AE70" s="277"/>
      <c r="AF70" s="277"/>
      <c r="AG70" s="277"/>
      <c r="AH70" s="277"/>
      <c r="AI70" s="277"/>
      <c r="AJ70" s="277"/>
    </row>
    <row r="71" spans="1:36" s="216" customFormat="1">
      <c r="A71" s="277"/>
      <c r="B71" s="284">
        <f>Inputs!B106</f>
        <v>0</v>
      </c>
      <c r="C71" s="251"/>
      <c r="D71" s="366">
        <f>IF(Inputs!F106=0,0,(Inputs!D106-Inputs!E106)/Inputs!F106)</f>
        <v>0</v>
      </c>
      <c r="E71" s="365">
        <f>Inputs!D106*Inputs!$E$112</f>
        <v>0</v>
      </c>
      <c r="F71" s="264">
        <f>IF(SUM(D71:E71)=0,0,Inputs!U106)</f>
        <v>0</v>
      </c>
      <c r="G71" s="256"/>
      <c r="H71" s="452">
        <f t="shared" si="16"/>
        <v>0</v>
      </c>
      <c r="I71" s="222"/>
      <c r="J71" s="222"/>
      <c r="K71" s="222"/>
      <c r="L71" s="222"/>
      <c r="M71" s="222"/>
      <c r="N71" s="222"/>
      <c r="O71" s="222"/>
      <c r="P71" s="222"/>
      <c r="Q71" s="222"/>
      <c r="R71" s="222"/>
      <c r="S71" s="222"/>
      <c r="T71" s="222"/>
      <c r="U71" s="222"/>
      <c r="V71" s="222"/>
      <c r="W71" s="222"/>
      <c r="X71" s="222"/>
      <c r="Y71" s="221"/>
      <c r="Z71" s="221"/>
      <c r="AA71" s="221"/>
      <c r="AB71" s="277"/>
      <c r="AC71" s="277"/>
      <c r="AD71" s="277"/>
      <c r="AE71" s="277"/>
      <c r="AF71" s="277"/>
      <c r="AG71" s="277"/>
      <c r="AH71" s="277"/>
      <c r="AI71" s="277"/>
      <c r="AJ71" s="277"/>
    </row>
    <row r="72" spans="1:36" s="216" customFormat="1">
      <c r="A72" s="277"/>
      <c r="B72" s="284">
        <f>Inputs!B107</f>
        <v>0</v>
      </c>
      <c r="C72" s="251"/>
      <c r="D72" s="366">
        <f>IF(Inputs!F107=0,0,(Inputs!D107-Inputs!E107)/Inputs!F107)</f>
        <v>0</v>
      </c>
      <c r="E72" s="365">
        <f>Inputs!D107*Inputs!$E$112</f>
        <v>0</v>
      </c>
      <c r="F72" s="264">
        <f>IF(SUM(D72:E72)=0,0,Inputs!U107)</f>
        <v>0</v>
      </c>
      <c r="G72" s="256"/>
      <c r="H72" s="452">
        <f t="shared" si="16"/>
        <v>0</v>
      </c>
      <c r="I72" s="222"/>
      <c r="J72" s="222"/>
      <c r="K72" s="222"/>
      <c r="L72" s="222"/>
      <c r="M72" s="222"/>
      <c r="N72" s="222"/>
      <c r="O72" s="222"/>
      <c r="P72" s="222"/>
      <c r="Q72" s="222"/>
      <c r="R72" s="222"/>
      <c r="S72" s="222"/>
      <c r="T72" s="222"/>
      <c r="U72" s="222"/>
      <c r="V72" s="222"/>
      <c r="W72" s="222"/>
      <c r="X72" s="222"/>
      <c r="Y72" s="221"/>
      <c r="Z72" s="221"/>
      <c r="AA72" s="221"/>
      <c r="AB72" s="277"/>
      <c r="AC72" s="277"/>
      <c r="AD72" s="277"/>
      <c r="AE72" s="277"/>
      <c r="AF72" s="277"/>
      <c r="AG72" s="277"/>
      <c r="AH72" s="277"/>
      <c r="AI72" s="277"/>
      <c r="AJ72" s="277"/>
    </row>
    <row r="73" spans="1:36" s="216" customFormat="1">
      <c r="A73" s="277"/>
      <c r="B73" s="284">
        <f>Inputs!B108</f>
        <v>0</v>
      </c>
      <c r="C73" s="251"/>
      <c r="D73" s="366">
        <f>IF(Inputs!F108=0,0,(Inputs!D108-Inputs!E108)/Inputs!F108)</f>
        <v>0</v>
      </c>
      <c r="E73" s="365">
        <f>Inputs!D108*Inputs!$E$112</f>
        <v>0</v>
      </c>
      <c r="F73" s="264">
        <f>IF(SUM(D73:E73)=0,0,Inputs!U108)</f>
        <v>0</v>
      </c>
      <c r="G73" s="256"/>
      <c r="H73" s="452"/>
      <c r="I73" s="222"/>
      <c r="J73" s="222"/>
      <c r="K73" s="222"/>
      <c r="L73" s="222"/>
      <c r="M73" s="222"/>
      <c r="N73" s="222"/>
      <c r="O73" s="222"/>
      <c r="P73" s="222"/>
      <c r="Q73" s="222"/>
      <c r="R73" s="222"/>
      <c r="S73" s="222"/>
      <c r="T73" s="222"/>
      <c r="U73" s="222"/>
      <c r="V73" s="222"/>
      <c r="W73" s="222"/>
      <c r="X73" s="222"/>
      <c r="Y73" s="221"/>
      <c r="Z73" s="221"/>
      <c r="AA73" s="221"/>
      <c r="AB73" s="277"/>
      <c r="AC73" s="277"/>
      <c r="AD73" s="277"/>
      <c r="AE73" s="277"/>
      <c r="AF73" s="277"/>
      <c r="AG73" s="277"/>
      <c r="AH73" s="277"/>
      <c r="AI73" s="277"/>
      <c r="AJ73" s="277"/>
    </row>
    <row r="74" spans="1:36" s="216" customFormat="1" ht="13.5" thickBot="1">
      <c r="A74" s="277"/>
      <c r="B74" s="240" t="s">
        <v>100</v>
      </c>
      <c r="C74" s="251"/>
      <c r="D74" s="366"/>
      <c r="E74" s="366">
        <f>Inputs!E116*Inputs!E112</f>
        <v>0</v>
      </c>
      <c r="F74" s="372">
        <f>IF(E74=0,0,Inputs!U116)</f>
        <v>0</v>
      </c>
      <c r="G74" s="256"/>
      <c r="H74" s="452">
        <f>E74*F74</f>
        <v>0</v>
      </c>
      <c r="I74" s="222"/>
      <c r="J74" s="222"/>
      <c r="K74" s="222"/>
      <c r="L74" s="222"/>
      <c r="M74" s="222"/>
      <c r="N74" s="222"/>
      <c r="O74" s="222"/>
      <c r="P74" s="222"/>
      <c r="Q74" s="222"/>
      <c r="R74" s="222"/>
      <c r="S74" s="222"/>
      <c r="T74" s="222"/>
      <c r="U74" s="222"/>
      <c r="V74" s="222"/>
      <c r="W74" s="222"/>
      <c r="X74" s="222"/>
      <c r="Y74" s="221"/>
      <c r="Z74" s="221"/>
      <c r="AA74" s="221"/>
      <c r="AB74" s="277"/>
      <c r="AC74" s="277"/>
      <c r="AD74" s="277"/>
      <c r="AE74" s="277"/>
      <c r="AF74" s="277"/>
      <c r="AG74" s="277"/>
      <c r="AH74" s="277"/>
      <c r="AI74" s="277"/>
      <c r="AJ74" s="277"/>
    </row>
    <row r="75" spans="1:36" s="216" customFormat="1" ht="13.5" thickBot="1">
      <c r="A75" s="277"/>
      <c r="B75" s="99">
        <v>217480.06701030929</v>
      </c>
      <c r="C75" s="96"/>
      <c r="D75" s="42"/>
      <c r="E75" s="42"/>
      <c r="F75" s="42"/>
      <c r="G75" s="21" t="s">
        <v>106</v>
      </c>
      <c r="H75" s="645">
        <f>SUM(H65:H74)</f>
        <v>0</v>
      </c>
      <c r="I75" s="222"/>
      <c r="J75" s="222"/>
      <c r="K75" s="222"/>
      <c r="L75" s="222"/>
      <c r="M75" s="222"/>
      <c r="N75" s="222"/>
      <c r="O75" s="222"/>
      <c r="P75" s="222"/>
      <c r="Q75" s="222"/>
      <c r="R75" s="222"/>
      <c r="S75" s="222"/>
      <c r="T75" s="222"/>
      <c r="U75" s="222"/>
      <c r="V75" s="222"/>
      <c r="W75" s="222"/>
      <c r="X75" s="222"/>
      <c r="Y75" s="221"/>
      <c r="Z75" s="221"/>
      <c r="AA75" s="221"/>
      <c r="AB75" s="277"/>
      <c r="AC75" s="277"/>
      <c r="AD75" s="277"/>
      <c r="AE75" s="277"/>
      <c r="AF75" s="277"/>
      <c r="AG75" s="277"/>
      <c r="AH75" s="277"/>
      <c r="AI75" s="277"/>
      <c r="AJ75" s="277"/>
    </row>
    <row r="76" spans="1:36" s="216" customFormat="1" ht="13.5" thickBot="1">
      <c r="A76" s="277"/>
      <c r="B76" s="43"/>
      <c r="C76" s="43"/>
      <c r="D76" s="43"/>
      <c r="E76" s="43"/>
      <c r="F76" s="43"/>
      <c r="G76" s="43"/>
      <c r="H76" s="592"/>
      <c r="I76" s="222"/>
      <c r="J76" s="222"/>
      <c r="K76" s="222"/>
      <c r="L76" s="222"/>
      <c r="M76" s="222"/>
      <c r="N76" s="222"/>
      <c r="O76" s="222"/>
      <c r="P76" s="222"/>
      <c r="Q76" s="222"/>
      <c r="R76" s="222"/>
      <c r="S76" s="222"/>
      <c r="T76" s="222"/>
      <c r="U76" s="222"/>
      <c r="V76" s="222"/>
      <c r="W76" s="222"/>
      <c r="X76" s="222"/>
      <c r="Y76" s="221"/>
      <c r="Z76" s="221"/>
      <c r="AA76" s="221"/>
      <c r="AB76" s="277"/>
      <c r="AC76" s="277"/>
      <c r="AD76" s="277"/>
      <c r="AE76" s="277"/>
      <c r="AF76" s="277"/>
      <c r="AG76" s="277"/>
      <c r="AH76" s="277"/>
      <c r="AI76" s="277"/>
      <c r="AJ76" s="277"/>
    </row>
    <row r="77" spans="1:36" s="216" customFormat="1" ht="15.75">
      <c r="A77" s="277"/>
      <c r="B77" s="142" t="s">
        <v>108</v>
      </c>
      <c r="C77" s="139"/>
      <c r="D77" s="143"/>
      <c r="E77" s="143"/>
      <c r="F77" s="143"/>
      <c r="G77" s="144"/>
      <c r="H77" s="646" t="s">
        <v>74</v>
      </c>
      <c r="I77" s="222"/>
      <c r="J77" s="222"/>
      <c r="K77" s="222"/>
      <c r="L77" s="222"/>
      <c r="M77" s="222"/>
      <c r="N77" s="222"/>
      <c r="O77" s="222"/>
      <c r="P77" s="222"/>
      <c r="Q77" s="222"/>
      <c r="R77" s="222"/>
      <c r="S77" s="222"/>
      <c r="T77" s="222"/>
      <c r="U77" s="222"/>
      <c r="V77" s="222"/>
      <c r="W77" s="222"/>
      <c r="X77" s="222"/>
      <c r="Y77" s="221"/>
      <c r="Z77" s="221"/>
      <c r="AA77" s="221"/>
      <c r="AB77" s="277"/>
      <c r="AC77" s="277"/>
      <c r="AD77" s="277"/>
      <c r="AE77" s="277"/>
      <c r="AF77" s="277"/>
      <c r="AG77" s="277"/>
      <c r="AH77" s="277"/>
      <c r="AI77" s="277"/>
      <c r="AJ77" s="277"/>
    </row>
    <row r="78" spans="1:36" s="216" customFormat="1" ht="13.5" thickBot="1">
      <c r="A78" s="277"/>
      <c r="B78" s="140"/>
      <c r="C78" s="141"/>
      <c r="D78" s="281"/>
      <c r="E78" s="281"/>
      <c r="F78" s="281"/>
      <c r="G78" s="247" t="s">
        <v>71</v>
      </c>
      <c r="H78" s="645">
        <f>H59+H75</f>
        <v>0</v>
      </c>
      <c r="I78" s="222"/>
      <c r="J78" s="222"/>
      <c r="K78" s="222"/>
      <c r="L78" s="222"/>
      <c r="M78" s="222"/>
      <c r="N78" s="222"/>
      <c r="O78" s="222"/>
      <c r="P78" s="222"/>
      <c r="Q78" s="222"/>
      <c r="R78" s="222"/>
      <c r="S78" s="222"/>
      <c r="T78" s="222"/>
      <c r="U78" s="222"/>
      <c r="V78" s="222"/>
      <c r="W78" s="222"/>
      <c r="X78" s="222"/>
      <c r="Y78" s="221"/>
      <c r="Z78" s="221"/>
      <c r="AA78" s="221"/>
      <c r="AB78" s="277"/>
      <c r="AC78" s="277"/>
      <c r="AD78" s="277"/>
      <c r="AE78" s="277"/>
      <c r="AF78" s="277"/>
      <c r="AG78" s="277"/>
      <c r="AH78" s="277"/>
      <c r="AI78" s="277"/>
      <c r="AJ78" s="277"/>
    </row>
    <row r="79" spans="1:36" s="216" customFormat="1" ht="13.5" thickBot="1">
      <c r="A79" s="277"/>
      <c r="B79" s="138"/>
      <c r="C79" s="105"/>
      <c r="D79" s="105"/>
      <c r="E79" s="105"/>
      <c r="F79" s="105"/>
      <c r="G79" s="105"/>
      <c r="H79" s="610"/>
      <c r="I79" s="222"/>
      <c r="J79" s="222"/>
      <c r="K79" s="222"/>
      <c r="L79" s="222"/>
      <c r="M79" s="222"/>
      <c r="N79" s="222"/>
      <c r="O79" s="222"/>
      <c r="P79" s="222"/>
      <c r="Q79" s="222"/>
      <c r="R79" s="222"/>
      <c r="S79" s="222"/>
      <c r="T79" s="222"/>
      <c r="U79" s="222"/>
      <c r="V79" s="222"/>
      <c r="W79" s="222"/>
      <c r="X79" s="222"/>
      <c r="Y79" s="221"/>
      <c r="Z79" s="221"/>
      <c r="AA79" s="221"/>
      <c r="AB79" s="277"/>
      <c r="AC79" s="277"/>
      <c r="AD79" s="277"/>
      <c r="AE79" s="277"/>
      <c r="AF79" s="277"/>
      <c r="AG79" s="277"/>
      <c r="AH79" s="277"/>
      <c r="AI79" s="277"/>
      <c r="AJ79" s="277"/>
    </row>
    <row r="80" spans="1:36" s="216" customFormat="1" ht="13.5" thickBot="1">
      <c r="A80" s="277"/>
      <c r="B80" s="98"/>
      <c r="C80" s="96"/>
      <c r="D80" s="67"/>
      <c r="E80" s="67"/>
      <c r="F80" s="67"/>
      <c r="G80" s="21" t="s">
        <v>107</v>
      </c>
      <c r="H80" s="602">
        <f>H6-H78</f>
        <v>0</v>
      </c>
      <c r="I80" s="222"/>
      <c r="J80" s="222"/>
      <c r="K80" s="222"/>
      <c r="L80" s="222"/>
      <c r="M80" s="222"/>
      <c r="N80" s="222"/>
      <c r="O80" s="222"/>
      <c r="P80" s="222"/>
      <c r="Q80" s="222"/>
      <c r="R80" s="222"/>
      <c r="S80" s="222"/>
      <c r="T80" s="222"/>
      <c r="U80" s="222"/>
      <c r="V80" s="222"/>
      <c r="W80" s="222"/>
      <c r="X80" s="222"/>
      <c r="Y80" s="221"/>
      <c r="Z80" s="221"/>
      <c r="AA80" s="221"/>
      <c r="AB80" s="277"/>
      <c r="AC80" s="277"/>
      <c r="AD80" s="277"/>
      <c r="AE80" s="277"/>
      <c r="AF80" s="277"/>
      <c r="AG80" s="277"/>
      <c r="AH80" s="277"/>
      <c r="AI80" s="277"/>
      <c r="AJ80" s="277"/>
    </row>
    <row r="81" spans="1:36" s="216" customFormat="1">
      <c r="A81" s="277"/>
      <c r="B81" s="277"/>
      <c r="C81" s="277"/>
      <c r="D81" s="277"/>
      <c r="E81" s="277"/>
      <c r="F81" s="277"/>
      <c r="G81" s="277"/>
      <c r="H81" s="277"/>
      <c r="I81" s="222"/>
      <c r="J81" s="222"/>
      <c r="K81" s="222"/>
      <c r="L81" s="222"/>
      <c r="M81" s="222"/>
      <c r="N81" s="222"/>
      <c r="O81" s="222"/>
      <c r="P81" s="222"/>
      <c r="Q81" s="222"/>
      <c r="R81" s="222"/>
      <c r="S81" s="222"/>
      <c r="T81" s="222"/>
      <c r="U81" s="222"/>
      <c r="V81" s="222"/>
      <c r="W81" s="222"/>
      <c r="X81" s="222"/>
      <c r="Y81" s="221"/>
      <c r="Z81" s="221"/>
      <c r="AA81" s="221"/>
      <c r="AB81" s="277"/>
      <c r="AC81" s="277"/>
      <c r="AD81" s="277"/>
      <c r="AE81" s="277"/>
      <c r="AF81" s="277"/>
      <c r="AG81" s="277"/>
      <c r="AH81" s="277"/>
      <c r="AI81" s="277"/>
      <c r="AJ81" s="277"/>
    </row>
    <row r="82" spans="1:36" s="216" customFormat="1">
      <c r="A82" s="277"/>
      <c r="B82" s="277"/>
      <c r="C82" s="277"/>
      <c r="D82" s="277"/>
      <c r="E82" s="277"/>
      <c r="F82" s="277"/>
      <c r="G82" s="277"/>
      <c r="H82" s="277"/>
      <c r="I82" s="222"/>
      <c r="J82" s="222"/>
      <c r="K82" s="222"/>
      <c r="L82" s="222"/>
      <c r="M82" s="222"/>
      <c r="N82" s="222"/>
      <c r="O82" s="222"/>
      <c r="P82" s="222"/>
      <c r="Q82" s="222"/>
      <c r="R82" s="222"/>
      <c r="S82" s="222"/>
      <c r="T82" s="222"/>
      <c r="U82" s="222"/>
      <c r="V82" s="222"/>
      <c r="W82" s="222"/>
      <c r="X82" s="222"/>
      <c r="Y82" s="221"/>
      <c r="Z82" s="221"/>
      <c r="AA82" s="221"/>
      <c r="AB82" s="277"/>
      <c r="AC82" s="277"/>
      <c r="AD82" s="277"/>
      <c r="AE82" s="277"/>
      <c r="AF82" s="277"/>
      <c r="AG82" s="277"/>
      <c r="AH82" s="277"/>
      <c r="AI82" s="277"/>
      <c r="AJ82" s="277"/>
    </row>
    <row r="83" spans="1:36" s="216" customFormat="1">
      <c r="A83" s="277"/>
      <c r="B83" s="277"/>
      <c r="C83" s="277"/>
      <c r="D83" s="277"/>
      <c r="E83" s="277"/>
      <c r="F83" s="277"/>
      <c r="G83" s="277"/>
      <c r="H83" s="277"/>
      <c r="I83" s="222"/>
      <c r="J83" s="222"/>
      <c r="K83" s="222"/>
      <c r="L83" s="222"/>
      <c r="M83" s="222"/>
      <c r="N83" s="222"/>
      <c r="O83" s="222"/>
      <c r="P83" s="222"/>
      <c r="Q83" s="222"/>
      <c r="R83" s="222"/>
      <c r="S83" s="222"/>
      <c r="T83" s="222"/>
      <c r="U83" s="222"/>
      <c r="V83" s="222"/>
      <c r="W83" s="222"/>
      <c r="X83" s="222"/>
      <c r="Y83" s="221"/>
      <c r="Z83" s="221"/>
      <c r="AA83" s="221"/>
      <c r="AB83" s="277"/>
      <c r="AC83" s="277"/>
      <c r="AD83" s="277"/>
      <c r="AE83" s="277"/>
      <c r="AF83" s="277"/>
      <c r="AG83" s="277"/>
      <c r="AH83" s="277"/>
      <c r="AI83" s="277"/>
      <c r="AJ83" s="277"/>
    </row>
    <row r="84" spans="1:36" s="216" customFormat="1">
      <c r="A84" s="277"/>
      <c r="B84" s="277"/>
      <c r="C84" s="277"/>
      <c r="D84" s="277"/>
      <c r="E84" s="277"/>
      <c r="F84" s="277"/>
      <c r="G84" s="277"/>
      <c r="H84" s="277"/>
      <c r="I84" s="222"/>
      <c r="J84" s="222"/>
      <c r="K84" s="222"/>
      <c r="L84" s="222"/>
      <c r="M84" s="222"/>
      <c r="N84" s="222"/>
      <c r="O84" s="222"/>
      <c r="P84" s="222"/>
      <c r="Q84" s="222"/>
      <c r="R84" s="222"/>
      <c r="S84" s="222"/>
      <c r="T84" s="222"/>
      <c r="U84" s="222"/>
      <c r="V84" s="222"/>
      <c r="W84" s="222"/>
      <c r="X84" s="222"/>
      <c r="Y84" s="221"/>
      <c r="Z84" s="221"/>
      <c r="AA84" s="221"/>
      <c r="AB84" s="277"/>
      <c r="AC84" s="277"/>
      <c r="AD84" s="277"/>
      <c r="AE84" s="277"/>
      <c r="AF84" s="277"/>
      <c r="AG84" s="277"/>
      <c r="AH84" s="277"/>
      <c r="AI84" s="277"/>
      <c r="AJ84" s="277"/>
    </row>
    <row r="85" spans="1:36" s="216" customFormat="1">
      <c r="A85" s="277"/>
      <c r="B85" s="277"/>
      <c r="C85" s="277"/>
      <c r="D85" s="277"/>
      <c r="E85" s="277"/>
      <c r="F85" s="277"/>
      <c r="G85" s="277"/>
      <c r="H85" s="277"/>
      <c r="I85" s="222"/>
      <c r="J85" s="222"/>
      <c r="K85" s="222"/>
      <c r="L85" s="222"/>
      <c r="M85" s="222"/>
      <c r="N85" s="222"/>
      <c r="O85" s="222"/>
      <c r="P85" s="222"/>
      <c r="Q85" s="222"/>
      <c r="R85" s="222"/>
      <c r="S85" s="222"/>
      <c r="T85" s="222"/>
      <c r="U85" s="222"/>
      <c r="V85" s="222"/>
      <c r="W85" s="222"/>
      <c r="X85" s="222"/>
      <c r="Y85" s="221"/>
      <c r="Z85" s="221"/>
      <c r="AA85" s="221"/>
      <c r="AB85" s="277"/>
      <c r="AC85" s="277"/>
      <c r="AD85" s="277"/>
      <c r="AE85" s="277"/>
      <c r="AF85" s="277"/>
      <c r="AG85" s="277"/>
      <c r="AH85" s="277"/>
      <c r="AI85" s="277"/>
      <c r="AJ85" s="277"/>
    </row>
    <row r="86" spans="1:36" s="216" customFormat="1">
      <c r="A86" s="277"/>
      <c r="B86" s="277"/>
      <c r="C86" s="277"/>
      <c r="D86" s="277"/>
      <c r="E86" s="277"/>
      <c r="F86" s="277"/>
      <c r="G86" s="277"/>
      <c r="H86" s="277"/>
      <c r="I86" s="222"/>
      <c r="J86" s="222"/>
      <c r="K86" s="222"/>
      <c r="L86" s="222"/>
      <c r="M86" s="222"/>
      <c r="N86" s="222"/>
      <c r="O86" s="222"/>
      <c r="P86" s="222"/>
      <c r="Q86" s="222"/>
      <c r="R86" s="222"/>
      <c r="S86" s="222"/>
      <c r="T86" s="222"/>
      <c r="U86" s="222"/>
      <c r="V86" s="222"/>
      <c r="W86" s="222"/>
      <c r="X86" s="222"/>
      <c r="Y86" s="221"/>
      <c r="Z86" s="221"/>
      <c r="AA86" s="221"/>
      <c r="AB86" s="277"/>
      <c r="AC86" s="277"/>
      <c r="AD86" s="277"/>
      <c r="AE86" s="277"/>
      <c r="AF86" s="277"/>
      <c r="AG86" s="277"/>
      <c r="AH86" s="277"/>
      <c r="AI86" s="277"/>
      <c r="AJ86" s="277"/>
    </row>
    <row r="87" spans="1:36" s="216" customFormat="1">
      <c r="A87" s="277"/>
      <c r="B87" s="277"/>
      <c r="C87" s="277"/>
      <c r="D87" s="277"/>
      <c r="E87" s="277"/>
      <c r="F87" s="277"/>
      <c r="G87" s="277"/>
      <c r="H87" s="277"/>
      <c r="I87" s="222"/>
      <c r="J87" s="222"/>
      <c r="K87" s="222"/>
      <c r="L87" s="222"/>
      <c r="M87" s="222"/>
      <c r="N87" s="222"/>
      <c r="O87" s="222"/>
      <c r="P87" s="222"/>
      <c r="Q87" s="222"/>
      <c r="R87" s="222"/>
      <c r="S87" s="222"/>
      <c r="T87" s="222"/>
      <c r="U87" s="222"/>
      <c r="V87" s="222"/>
      <c r="W87" s="222"/>
      <c r="X87" s="222"/>
      <c r="Y87" s="221"/>
      <c r="Z87" s="221"/>
      <c r="AA87" s="221"/>
      <c r="AB87" s="277"/>
      <c r="AC87" s="277"/>
      <c r="AD87" s="277"/>
      <c r="AE87" s="277"/>
      <c r="AF87" s="277"/>
      <c r="AG87" s="277"/>
      <c r="AH87" s="277"/>
      <c r="AI87" s="277"/>
      <c r="AJ87" s="277"/>
    </row>
    <row r="88" spans="1:36" s="216" customFormat="1">
      <c r="A88" s="277"/>
      <c r="B88" s="277"/>
      <c r="C88" s="277"/>
      <c r="D88" s="277"/>
      <c r="E88" s="277"/>
      <c r="F88" s="277"/>
      <c r="G88" s="277"/>
      <c r="H88" s="277"/>
      <c r="I88" s="222"/>
      <c r="J88" s="222"/>
      <c r="K88" s="222"/>
      <c r="L88" s="222"/>
      <c r="M88" s="222"/>
      <c r="N88" s="222"/>
      <c r="O88" s="222"/>
      <c r="P88" s="222"/>
      <c r="Q88" s="222"/>
      <c r="R88" s="222"/>
      <c r="S88" s="222"/>
      <c r="T88" s="222"/>
      <c r="U88" s="222"/>
      <c r="V88" s="222"/>
      <c r="W88" s="222"/>
      <c r="X88" s="222"/>
      <c r="Y88" s="221"/>
      <c r="Z88" s="221"/>
      <c r="AA88" s="221"/>
      <c r="AB88" s="277"/>
      <c r="AC88" s="277"/>
      <c r="AD88" s="277"/>
      <c r="AE88" s="277"/>
      <c r="AF88" s="277"/>
      <c r="AG88" s="277"/>
      <c r="AH88" s="277"/>
      <c r="AI88" s="277"/>
      <c r="AJ88" s="277"/>
    </row>
    <row r="89" spans="1:36" s="216" customFormat="1">
      <c r="A89" s="277"/>
      <c r="B89" s="277"/>
      <c r="C89" s="277"/>
      <c r="D89" s="277"/>
      <c r="E89" s="277"/>
      <c r="F89" s="277"/>
      <c r="G89" s="277"/>
      <c r="H89" s="277"/>
      <c r="I89" s="222"/>
      <c r="J89" s="222"/>
      <c r="K89" s="222"/>
      <c r="L89" s="222"/>
      <c r="M89" s="222"/>
      <c r="N89" s="222"/>
      <c r="O89" s="222"/>
      <c r="P89" s="222"/>
      <c r="Q89" s="222"/>
      <c r="R89" s="222"/>
      <c r="S89" s="222"/>
      <c r="T89" s="222"/>
      <c r="U89" s="222"/>
      <c r="V89" s="222"/>
      <c r="W89" s="222"/>
      <c r="X89" s="222"/>
      <c r="Y89" s="221"/>
      <c r="Z89" s="221"/>
      <c r="AA89" s="221"/>
      <c r="AB89" s="277"/>
      <c r="AC89" s="277"/>
      <c r="AD89" s="277"/>
      <c r="AE89" s="277"/>
      <c r="AF89" s="277"/>
      <c r="AG89" s="277"/>
      <c r="AH89" s="277"/>
      <c r="AI89" s="277"/>
      <c r="AJ89" s="277"/>
    </row>
    <row r="90" spans="1:36" s="216" customFormat="1">
      <c r="A90" s="277"/>
      <c r="B90" s="277"/>
      <c r="C90" s="277"/>
      <c r="D90" s="277"/>
      <c r="E90" s="277"/>
      <c r="F90" s="277"/>
      <c r="G90" s="277"/>
      <c r="H90" s="277"/>
      <c r="I90" s="222"/>
      <c r="J90" s="222"/>
      <c r="K90" s="222"/>
      <c r="L90" s="222"/>
      <c r="M90" s="222"/>
      <c r="N90" s="222"/>
      <c r="O90" s="222"/>
      <c r="P90" s="222"/>
      <c r="Q90" s="222"/>
      <c r="R90" s="222"/>
      <c r="S90" s="222"/>
      <c r="T90" s="222"/>
      <c r="U90" s="222"/>
      <c r="V90" s="222"/>
      <c r="W90" s="222"/>
      <c r="X90" s="222"/>
      <c r="Y90" s="221"/>
      <c r="Z90" s="221"/>
      <c r="AA90" s="221"/>
      <c r="AB90" s="277"/>
      <c r="AC90" s="277"/>
      <c r="AD90" s="277"/>
      <c r="AE90" s="277"/>
      <c r="AF90" s="277"/>
      <c r="AG90" s="277"/>
      <c r="AH90" s="277"/>
      <c r="AI90" s="277"/>
      <c r="AJ90" s="277"/>
    </row>
    <row r="91" spans="1:36" s="216" customFormat="1">
      <c r="A91" s="277"/>
      <c r="B91" s="277"/>
      <c r="C91" s="277"/>
      <c r="D91" s="277"/>
      <c r="E91" s="277"/>
      <c r="F91" s="277"/>
      <c r="G91" s="277"/>
      <c r="H91" s="277"/>
      <c r="I91" s="222"/>
      <c r="J91" s="222"/>
      <c r="K91" s="222"/>
      <c r="L91" s="222"/>
      <c r="M91" s="222"/>
      <c r="N91" s="222"/>
      <c r="O91" s="222"/>
      <c r="P91" s="222"/>
      <c r="Q91" s="222"/>
      <c r="R91" s="222"/>
      <c r="S91" s="222"/>
      <c r="T91" s="222"/>
      <c r="U91" s="222"/>
      <c r="V91" s="222"/>
      <c r="W91" s="222"/>
      <c r="X91" s="222"/>
      <c r="Y91" s="221"/>
      <c r="Z91" s="221"/>
      <c r="AA91" s="221"/>
      <c r="AB91" s="277"/>
      <c r="AC91" s="277"/>
      <c r="AD91" s="277"/>
      <c r="AE91" s="277"/>
      <c r="AF91" s="277"/>
      <c r="AG91" s="277"/>
      <c r="AH91" s="277"/>
      <c r="AI91" s="277"/>
      <c r="AJ91" s="277"/>
    </row>
    <row r="92" spans="1:36" s="216" customFormat="1">
      <c r="A92" s="277"/>
      <c r="B92" s="277"/>
      <c r="C92" s="277"/>
      <c r="D92" s="277"/>
      <c r="E92" s="277"/>
      <c r="F92" s="277"/>
      <c r="G92" s="277"/>
      <c r="H92" s="277"/>
      <c r="I92" s="222"/>
      <c r="J92" s="222"/>
      <c r="K92" s="222"/>
      <c r="L92" s="222"/>
      <c r="M92" s="222"/>
      <c r="N92" s="222"/>
      <c r="O92" s="222"/>
      <c r="P92" s="222"/>
      <c r="Q92" s="222"/>
      <c r="R92" s="222"/>
      <c r="S92" s="222"/>
      <c r="T92" s="222"/>
      <c r="U92" s="222"/>
      <c r="V92" s="222"/>
      <c r="W92" s="222"/>
      <c r="X92" s="222"/>
      <c r="Y92" s="221"/>
      <c r="Z92" s="221"/>
      <c r="AA92" s="221"/>
      <c r="AB92" s="277"/>
      <c r="AC92" s="277"/>
      <c r="AD92" s="277"/>
      <c r="AE92" s="277"/>
      <c r="AF92" s="277"/>
      <c r="AG92" s="277"/>
      <c r="AH92" s="277"/>
      <c r="AI92" s="277"/>
      <c r="AJ92" s="277"/>
    </row>
    <row r="93" spans="1:36" s="216" customFormat="1">
      <c r="A93" s="277"/>
      <c r="B93" s="277"/>
      <c r="C93" s="277"/>
      <c r="D93" s="277"/>
      <c r="E93" s="277"/>
      <c r="F93" s="277"/>
      <c r="G93" s="277"/>
      <c r="H93" s="277"/>
      <c r="I93" s="222"/>
      <c r="J93" s="222"/>
      <c r="K93" s="222"/>
      <c r="L93" s="222"/>
      <c r="M93" s="222"/>
      <c r="N93" s="222"/>
      <c r="O93" s="222"/>
      <c r="P93" s="222"/>
      <c r="Q93" s="222"/>
      <c r="R93" s="222"/>
      <c r="S93" s="222"/>
      <c r="T93" s="222"/>
      <c r="U93" s="222"/>
      <c r="V93" s="222"/>
      <c r="W93" s="222"/>
      <c r="X93" s="222"/>
      <c r="Y93" s="221"/>
      <c r="Z93" s="221"/>
      <c r="AA93" s="221"/>
      <c r="AB93" s="277"/>
      <c r="AC93" s="277"/>
      <c r="AD93" s="277"/>
      <c r="AE93" s="277"/>
      <c r="AF93" s="277"/>
      <c r="AG93" s="277"/>
      <c r="AH93" s="277"/>
      <c r="AI93" s="277"/>
      <c r="AJ93" s="277"/>
    </row>
    <row r="94" spans="1:36" s="216" customFormat="1">
      <c r="A94" s="277"/>
      <c r="B94" s="277"/>
      <c r="C94" s="277"/>
      <c r="D94" s="277"/>
      <c r="E94" s="277"/>
      <c r="F94" s="277"/>
      <c r="G94" s="277"/>
      <c r="H94" s="277"/>
      <c r="I94" s="222"/>
      <c r="J94" s="222"/>
      <c r="K94" s="222"/>
      <c r="L94" s="222"/>
      <c r="M94" s="222"/>
      <c r="N94" s="222"/>
      <c r="O94" s="222"/>
      <c r="P94" s="222"/>
      <c r="Q94" s="222"/>
      <c r="R94" s="222"/>
      <c r="S94" s="222"/>
      <c r="T94" s="222"/>
      <c r="U94" s="222"/>
      <c r="V94" s="222"/>
      <c r="W94" s="222"/>
      <c r="X94" s="222"/>
      <c r="Y94" s="221"/>
      <c r="Z94" s="221"/>
      <c r="AA94" s="221"/>
      <c r="AB94" s="277"/>
      <c r="AC94" s="277"/>
      <c r="AD94" s="277"/>
      <c r="AE94" s="277"/>
      <c r="AF94" s="277"/>
      <c r="AG94" s="277"/>
      <c r="AH94" s="277"/>
      <c r="AI94" s="277"/>
      <c r="AJ94" s="277"/>
    </row>
    <row r="95" spans="1:36" s="216" customFormat="1">
      <c r="A95" s="277"/>
      <c r="B95" s="277"/>
      <c r="C95" s="277"/>
      <c r="D95" s="277"/>
      <c r="E95" s="277"/>
      <c r="F95" s="277"/>
      <c r="G95" s="277"/>
      <c r="H95" s="277"/>
      <c r="I95" s="222"/>
      <c r="J95" s="222"/>
      <c r="K95" s="222"/>
      <c r="L95" s="222"/>
      <c r="M95" s="222"/>
      <c r="N95" s="222"/>
      <c r="O95" s="222"/>
      <c r="P95" s="222"/>
      <c r="Q95" s="222"/>
      <c r="R95" s="222"/>
      <c r="S95" s="222"/>
      <c r="T95" s="222"/>
      <c r="U95" s="222"/>
      <c r="V95" s="222"/>
      <c r="W95" s="222"/>
      <c r="X95" s="222"/>
      <c r="Y95" s="221"/>
      <c r="Z95" s="221"/>
      <c r="AA95" s="221"/>
      <c r="AB95" s="277"/>
      <c r="AC95" s="277"/>
      <c r="AD95" s="277"/>
      <c r="AE95" s="277"/>
      <c r="AF95" s="277"/>
      <c r="AG95" s="277"/>
      <c r="AH95" s="277"/>
      <c r="AI95" s="277"/>
      <c r="AJ95" s="277"/>
    </row>
    <row r="96" spans="1:36" s="216" customFormat="1">
      <c r="A96" s="277"/>
      <c r="B96" s="277"/>
      <c r="C96" s="277"/>
      <c r="D96" s="277"/>
      <c r="E96" s="277"/>
      <c r="F96" s="277"/>
      <c r="G96" s="277"/>
      <c r="H96" s="277"/>
      <c r="I96" s="222"/>
      <c r="J96" s="222"/>
      <c r="K96" s="222"/>
      <c r="L96" s="222"/>
      <c r="M96" s="222"/>
      <c r="N96" s="222"/>
      <c r="O96" s="222"/>
      <c r="P96" s="222"/>
      <c r="Q96" s="222"/>
      <c r="R96" s="222"/>
      <c r="S96" s="222"/>
      <c r="T96" s="222"/>
      <c r="U96" s="222"/>
      <c r="V96" s="222"/>
      <c r="W96" s="222"/>
      <c r="X96" s="222"/>
      <c r="Y96" s="221"/>
      <c r="Z96" s="221"/>
      <c r="AA96" s="221"/>
      <c r="AB96" s="277"/>
      <c r="AC96" s="277"/>
      <c r="AD96" s="277"/>
      <c r="AE96" s="277"/>
      <c r="AF96" s="277"/>
      <c r="AG96" s="277"/>
      <c r="AH96" s="277"/>
      <c r="AI96" s="277"/>
      <c r="AJ96" s="277"/>
    </row>
    <row r="97" spans="1:36" s="216" customFormat="1">
      <c r="A97" s="277"/>
      <c r="B97" s="277"/>
      <c r="C97" s="277"/>
      <c r="D97" s="277"/>
      <c r="E97" s="277"/>
      <c r="F97" s="277"/>
      <c r="G97" s="277"/>
      <c r="H97" s="277"/>
      <c r="I97" s="222"/>
      <c r="J97" s="222"/>
      <c r="K97" s="222"/>
      <c r="L97" s="222"/>
      <c r="M97" s="222"/>
      <c r="N97" s="222"/>
      <c r="O97" s="222"/>
      <c r="P97" s="222"/>
      <c r="Q97" s="222"/>
      <c r="R97" s="222"/>
      <c r="S97" s="222"/>
      <c r="T97" s="222"/>
      <c r="U97" s="222"/>
      <c r="V97" s="222"/>
      <c r="W97" s="222"/>
      <c r="X97" s="222"/>
      <c r="Y97" s="221"/>
      <c r="Z97" s="221"/>
      <c r="AA97" s="221"/>
      <c r="AB97" s="277"/>
      <c r="AC97" s="277"/>
      <c r="AD97" s="277"/>
      <c r="AE97" s="277"/>
      <c r="AF97" s="277"/>
      <c r="AG97" s="277"/>
      <c r="AH97" s="277"/>
      <c r="AI97" s="277"/>
      <c r="AJ97" s="277"/>
    </row>
    <row r="98" spans="1:36" s="216" customFormat="1">
      <c r="A98" s="277"/>
      <c r="B98" s="277"/>
      <c r="C98" s="277"/>
      <c r="D98" s="277"/>
      <c r="E98" s="277"/>
      <c r="F98" s="277"/>
      <c r="G98" s="277"/>
      <c r="H98" s="277"/>
      <c r="I98" s="222"/>
      <c r="J98" s="222"/>
      <c r="K98" s="222"/>
      <c r="L98" s="222"/>
      <c r="M98" s="222"/>
      <c r="N98" s="222"/>
      <c r="O98" s="222"/>
      <c r="P98" s="222"/>
      <c r="Q98" s="222"/>
      <c r="R98" s="222"/>
      <c r="S98" s="222"/>
      <c r="T98" s="222"/>
      <c r="U98" s="222"/>
      <c r="V98" s="222"/>
      <c r="W98" s="222"/>
      <c r="X98" s="222"/>
      <c r="Y98" s="221"/>
      <c r="Z98" s="221"/>
      <c r="AA98" s="221"/>
      <c r="AB98" s="277"/>
      <c r="AC98" s="277"/>
      <c r="AD98" s="277"/>
      <c r="AE98" s="277"/>
      <c r="AF98" s="277"/>
      <c r="AG98" s="277"/>
      <c r="AH98" s="277"/>
      <c r="AI98" s="277"/>
      <c r="AJ98" s="277"/>
    </row>
    <row r="99" spans="1:36" s="216" customFormat="1">
      <c r="A99" s="277"/>
      <c r="B99" s="277"/>
      <c r="C99" s="277"/>
      <c r="D99" s="277"/>
      <c r="E99" s="277"/>
      <c r="F99" s="277"/>
      <c r="G99" s="277"/>
      <c r="H99" s="277"/>
      <c r="I99" s="222"/>
      <c r="J99" s="222"/>
      <c r="K99" s="222"/>
      <c r="L99" s="222"/>
      <c r="M99" s="222"/>
      <c r="N99" s="222"/>
      <c r="O99" s="222"/>
      <c r="P99" s="222"/>
      <c r="Q99" s="222"/>
      <c r="R99" s="222"/>
      <c r="S99" s="222"/>
      <c r="T99" s="222"/>
      <c r="U99" s="222"/>
      <c r="V99" s="222"/>
      <c r="W99" s="222"/>
      <c r="X99" s="222"/>
      <c r="Y99" s="277"/>
      <c r="Z99" s="277"/>
      <c r="AA99" s="277"/>
      <c r="AB99" s="277"/>
      <c r="AC99" s="277"/>
      <c r="AD99" s="277"/>
      <c r="AE99" s="277"/>
      <c r="AF99" s="277"/>
      <c r="AG99" s="277"/>
      <c r="AH99" s="277"/>
      <c r="AI99" s="277"/>
      <c r="AJ99" s="277"/>
    </row>
  </sheetData>
  <mergeCells count="2">
    <mergeCell ref="L13:L15"/>
    <mergeCell ref="C33:G33"/>
  </mergeCells>
  <dataValidations count="3">
    <dataValidation type="decimal" operator="greaterThanOrEqual" allowBlank="1" showInputMessage="1" showErrorMessage="1" sqref="C15:C20" xr:uid="{00000000-0002-0000-0800-000000000000}">
      <formula1>0</formula1>
    </dataValidation>
    <dataValidation type="list" allowBlank="1" showInputMessage="1" showErrorMessage="1" sqref="B15:B20" xr:uid="{00000000-0002-0000-0800-000001000000}">
      <formula1>$U$13:$U$22</formula1>
    </dataValidation>
    <dataValidation type="list" allowBlank="1" showInputMessage="1" showErrorMessage="1" sqref="E15:E20" xr:uid="{00000000-0002-0000-0800-000002000000}">
      <formula1>$J$9:$J$11</formula1>
    </dataValidation>
  </dataValidations>
  <printOptions horizontalCentered="1"/>
  <pageMargins left="1" right="1" top="0.75" bottom="0.75" header="0.3" footer="0.3"/>
  <pageSetup scale="9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Title Page</vt:lpstr>
      <vt:lpstr>Inputs</vt:lpstr>
      <vt:lpstr>Bulls</vt:lpstr>
      <vt:lpstr>Breeding Herd</vt:lpstr>
      <vt:lpstr>Background Calf</vt:lpstr>
      <vt:lpstr>Replacements</vt:lpstr>
      <vt:lpstr>Stocker</vt:lpstr>
      <vt:lpstr>Feedlot</vt:lpstr>
      <vt:lpstr>Fed Cull Cow</vt:lpstr>
      <vt:lpstr>System</vt:lpstr>
      <vt:lpstr>Feed</vt:lpstr>
      <vt:lpstr>HerdSize</vt:lpstr>
      <vt:lpstr>Overhead</vt:lpstr>
      <vt:lpstr>'Background Calf'!Print_Area</vt:lpstr>
      <vt:lpstr>'Breeding Herd'!Print_Area</vt:lpstr>
      <vt:lpstr>Bulls!Print_Area</vt:lpstr>
      <vt:lpstr>'Fed Cull Cow'!Print_Area</vt:lpstr>
      <vt:lpstr>Feedlot!Print_Area</vt:lpstr>
      <vt:lpstr>Inputs!Print_Area</vt:lpstr>
      <vt:lpstr>Replacements!Print_Area</vt:lpstr>
      <vt:lpstr>Stocker!Print_Area</vt:lpstr>
      <vt:lpstr>System!Print_Area</vt:lpstr>
      <vt:lpstr>'Title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Wilson</dc:creator>
  <cp:lastModifiedBy>Glennis McClure</cp:lastModifiedBy>
  <cp:lastPrinted>2021-12-20T20:17:29Z</cp:lastPrinted>
  <dcterms:created xsi:type="dcterms:W3CDTF">2009-03-11T18:48:46Z</dcterms:created>
  <dcterms:modified xsi:type="dcterms:W3CDTF">2021-12-20T20:31:54Z</dcterms:modified>
</cp:coreProperties>
</file>