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updateLinks="never" codeName="ThisWorkbook" defaultThemeVersion="124226"/>
  <mc:AlternateContent xmlns:mc="http://schemas.openxmlformats.org/markup-compatibility/2006">
    <mc:Choice Requires="x15">
      <x15ac:absPath xmlns:x15ac="http://schemas.microsoft.com/office/spreadsheetml/2010/11/ac" url="https://uofnelincoln-my.sharepoint.com/personal/gmcclure3_unl_edu/Documents/Crop Budget Info/2025 Crop Budgets/"/>
    </mc:Choice>
  </mc:AlternateContent>
  <xr:revisionPtr revIDLastSave="2" documentId="8_{99C6869E-692F-40DF-8176-0E4DD9AA43C2}" xr6:coauthVersionLast="47" xr6:coauthVersionMax="47" xr10:uidLastSave="{C3E5C532-9171-46D9-8A09-75F9579DFBD8}"/>
  <bookViews>
    <workbookView xWindow="28680" yWindow="-120" windowWidth="29040" windowHeight="15840" xr2:uid="{00000000-000D-0000-FFFF-FFFF00000000}"/>
  </bookViews>
  <sheets>
    <sheet name="Title" sheetId="154" r:id="rId1"/>
    <sheet name="General Variables" sheetId="49" r:id="rId2"/>
    <sheet name="Materials" sheetId="2" r:id="rId3"/>
    <sheet name="Power Units" sheetId="48" r:id="rId4"/>
    <sheet name="Operations" sheetId="1" r:id="rId5"/>
    <sheet name="Crop Insurance" sheetId="155" r:id="rId6"/>
    <sheet name="1-Alfalfa" sheetId="60" r:id="rId7"/>
    <sheet name="2-Alfalfa" sheetId="118" r:id="rId8"/>
    <sheet name="3-Alfalfa" sheetId="119" r:id="rId9"/>
    <sheet name="4-Alfalfa" sheetId="61" r:id="rId10"/>
    <sheet name="5-Alfalfa" sheetId="120" r:id="rId11"/>
    <sheet name="6-Alfalfa" sheetId="62" r:id="rId12"/>
    <sheet name="7-Alfalfa" sheetId="121" r:id="rId13"/>
    <sheet name="8-Alfalfa" sheetId="63" r:id="rId14"/>
    <sheet name="9-Alfalfa" sheetId="64" r:id="rId15"/>
    <sheet name="10-Alfalfa" sheetId="65" r:id="rId16"/>
    <sheet name="11-Alfalfa" sheetId="122" r:id="rId17"/>
    <sheet name="12-Alfalfa" sheetId="124" r:id="rId18"/>
    <sheet name="13-Alfalfa" sheetId="66" r:id="rId19"/>
    <sheet name="14-Alfalfa" sheetId="123" r:id="rId20"/>
    <sheet name="15-Corn" sheetId="67" r:id="rId21"/>
    <sheet name="16-Corn" sheetId="149" r:id="rId22"/>
    <sheet name="17-Corn" sheetId="141" r:id="rId23"/>
    <sheet name="18-Corn" sheetId="150" r:id="rId24"/>
    <sheet name="19-Corn" sheetId="68" r:id="rId25"/>
    <sheet name="20-Corn" sheetId="142" r:id="rId26"/>
    <sheet name="21-Corn" sheetId="69" r:id="rId27"/>
    <sheet name="22-Corn" sheetId="143" r:id="rId28"/>
    <sheet name="23-Corn" sheetId="70" r:id="rId29"/>
    <sheet name="24-Corn" sheetId="144" r:id="rId30"/>
    <sheet name="25-Corn" sheetId="71" r:id="rId31"/>
    <sheet name="26-Corn" sheetId="3" r:id="rId32"/>
    <sheet name="27-Corn" sheetId="152" r:id="rId33"/>
    <sheet name="28-Corn" sheetId="73" r:id="rId34"/>
    <sheet name="29-Corn" sheetId="125" r:id="rId35"/>
    <sheet name="30-Corn" sheetId="74" r:id="rId36"/>
    <sheet name="31-Corn" sheetId="161" r:id="rId37"/>
    <sheet name="32-Corn" sheetId="163" r:id="rId38"/>
    <sheet name="33-Corn" sheetId="78" r:id="rId39"/>
    <sheet name="34-Corn" sheetId="156" r:id="rId40"/>
    <sheet name="35-Corn" sheetId="157" r:id="rId41"/>
    <sheet name="36-Corn" sheetId="76" r:id="rId42"/>
    <sheet name="37-Corn" sheetId="151" r:id="rId43"/>
    <sheet name="38-Corn" sheetId="126" r:id="rId44"/>
    <sheet name="39-Corn" sheetId="153" r:id="rId45"/>
    <sheet name="40-Corn" sheetId="77" r:id="rId46"/>
    <sheet name="41-Corn" sheetId="79" r:id="rId47"/>
    <sheet name="42-Popcorn" sheetId="164" r:id="rId48"/>
    <sheet name="43-Dry Beans" sheetId="80" r:id="rId49"/>
    <sheet name="44-Dry Beans" sheetId="108" r:id="rId50"/>
    <sheet name="45-Dry Beans" sheetId="109" r:id="rId51"/>
    <sheet name="46-Dry Beans" sheetId="135" r:id="rId52"/>
    <sheet name="47-Grain Sorghum" sheetId="81" r:id="rId53"/>
    <sheet name="48-Grain Sorghum" sheetId="82" r:id="rId54"/>
    <sheet name="49-Grain Sorghum" sheetId="83" r:id="rId55"/>
    <sheet name="50-Grain Sorghum" sheetId="84" r:id="rId56"/>
    <sheet name="51-Grass" sheetId="85" r:id="rId57"/>
    <sheet name="52-Grass Hay" sheetId="86" r:id="rId58"/>
    <sheet name="53-Millet-Proso" sheetId="89" r:id="rId59"/>
    <sheet name="54-Millet-Proso" sheetId="132" r:id="rId60"/>
    <sheet name="55-Oats" sheetId="87" r:id="rId61"/>
    <sheet name="56-Pasture" sheetId="88" r:id="rId62"/>
    <sheet name="57-Peas" sheetId="133" r:id="rId63"/>
    <sheet name="58-Sorghum-Sudan" sheetId="90" r:id="rId64"/>
    <sheet name="59-Soybeans" sheetId="91" r:id="rId65"/>
    <sheet name="60-Soybeans" sheetId="92" r:id="rId66"/>
    <sheet name="61-Soybeans" sheetId="93" r:id="rId67"/>
    <sheet name="62-Soybeans" sheetId="94" r:id="rId68"/>
    <sheet name="63-Soybeans" sheetId="95" r:id="rId69"/>
    <sheet name="64-Soybeans" sheetId="97" r:id="rId70"/>
    <sheet name="65-Soybeans" sheetId="98" r:id="rId71"/>
    <sheet name="66-Soybeans" sheetId="158" r:id="rId72"/>
    <sheet name="67-Sugarbeet" sheetId="127" r:id="rId73"/>
    <sheet name="68-Sugarbeet" sheetId="128" r:id="rId74"/>
    <sheet name="69-Sugarbeet" sheetId="129" r:id="rId75"/>
    <sheet name="70-Sugarbeet" sheetId="130" r:id="rId76"/>
    <sheet name="71-Sunflower" sheetId="101" r:id="rId77"/>
    <sheet name="72-Sunflower" sheetId="102" r:id="rId78"/>
    <sheet name="73-Sunflower" sheetId="134" r:id="rId79"/>
    <sheet name="74-Wheat-Spring" sheetId="160" r:id="rId80"/>
    <sheet name="75-Wheat-Winter" sheetId="103" r:id="rId81"/>
    <sheet name="76-Wheat-Winter" sheetId="113" r:id="rId82"/>
    <sheet name="77-Wheat-Winter" sheetId="104" r:id="rId83"/>
    <sheet name="78-Wheat-Winter" sheetId="105" r:id="rId84"/>
    <sheet name="79-Wheat-Winter" sheetId="106" r:id="rId85"/>
    <sheet name="80-Wheat-Winter" sheetId="107" r:id="rId86"/>
    <sheet name="81-Wheat-Winter" sheetId="131" r:id="rId87"/>
    <sheet name="82-Cover Crop" sheetId="137" r:id="rId88"/>
    <sheet name="Start" sheetId="145" state="hidden" r:id="rId89"/>
    <sheet name="83-Cover Crop Grazing" sheetId="138" r:id="rId90"/>
    <sheet name="Master" sheetId="72" r:id="rId91"/>
    <sheet name="Stop" sheetId="146" state="hidden" r:id="rId92"/>
    <sheet name="Budget Listing" sheetId="140" state="hidden" r:id="rId93"/>
    <sheet name="Crop after Crop Data" sheetId="148" state="hidden" r:id="rId94"/>
    <sheet name="Formulas" sheetId="57" state="hidden" r:id="rId95"/>
    <sheet name="Depreciation Graph" sheetId="52" state="hidden" r:id="rId96"/>
  </sheets>
  <functionGroups builtInGroupCount="19"/>
  <externalReferences>
    <externalReference r:id="rId97"/>
    <externalReference r:id="rId98"/>
  </externalReferences>
  <definedNames>
    <definedName name="_xlnm._FilterDatabase" localSheetId="4" hidden="1">Operations!$A$1:$B$79</definedName>
    <definedName name="CommodityPrices">'Crop after Crop Data'!$B$4:$C$12</definedName>
    <definedName name="CropInsurance" localSheetId="36">'Crop Insurance'!$A$13:$F$86</definedName>
    <definedName name="CropInsurance" localSheetId="37">'Crop Insurance'!$A$13:$F$86</definedName>
    <definedName name="CropInsurance">'Crop Insurance'!$A$14:$F$87</definedName>
    <definedName name="croppingsystem">'General Variables'!$P$20:$P$28</definedName>
    <definedName name="Dryland">'Crop after Crop Data'!$B$41:$Q$49</definedName>
    <definedName name="ImpDepLookup" localSheetId="36">Operations!$AE$2:$AH$11</definedName>
    <definedName name="ImpDepLookup" localSheetId="37">Operations!$AE$2:$AH$11</definedName>
    <definedName name="ImpDepLookup">Operations!$AE$2:$AH$11</definedName>
    <definedName name="InputPrices">'Crop after Crop Data'!$B$16:$C$22</definedName>
    <definedName name="Irrigated">'Crop after Crop Data'!$B$28:$R$36</definedName>
    <definedName name="MaterialList" localSheetId="21">Table2[Material]</definedName>
    <definedName name="MaterialList" localSheetId="23">Table2[Material]</definedName>
    <definedName name="MaterialList" localSheetId="32">Table2[Material]</definedName>
    <definedName name="MaterialList" localSheetId="36">Table2[Material]</definedName>
    <definedName name="MaterialList" localSheetId="37">Table2[Material]</definedName>
    <definedName name="MaterialList" localSheetId="39">Table2[Material]</definedName>
    <definedName name="MaterialList" localSheetId="40">Table2[Material]</definedName>
    <definedName name="MaterialList" localSheetId="42">Table2[Material]</definedName>
    <definedName name="MaterialList" localSheetId="44">Table2[Material]</definedName>
    <definedName name="MaterialList" localSheetId="47">Table2[Material]</definedName>
    <definedName name="MaterialList" localSheetId="71">Table2[Material]</definedName>
    <definedName name="MaterialList" localSheetId="79">Table2[Material]</definedName>
    <definedName name="MaterialList">Table2[Material]</definedName>
    <definedName name="Materials" localSheetId="21">Table2[]</definedName>
    <definedName name="Materials" localSheetId="23">Table2[]</definedName>
    <definedName name="Materials" localSheetId="32">Table2[]</definedName>
    <definedName name="Materials" localSheetId="36">Table2[#Data]</definedName>
    <definedName name="Materials" localSheetId="37">Table2[#Data]</definedName>
    <definedName name="Materials" localSheetId="39">Table2[]</definedName>
    <definedName name="Materials" localSheetId="40">Table2[]</definedName>
    <definedName name="Materials" localSheetId="42">Table2[]</definedName>
    <definedName name="Materials" localSheetId="44">Table2[]</definedName>
    <definedName name="Materials" localSheetId="47">Table2[]</definedName>
    <definedName name="Materials" localSheetId="71">Table2[]</definedName>
    <definedName name="Materials" localSheetId="79">Table2[]</definedName>
    <definedName name="Materials">Table2[]</definedName>
    <definedName name="OperationList" localSheetId="21">Table3[Operation Name]</definedName>
    <definedName name="OperationList" localSheetId="23">Table3[Operation Name]</definedName>
    <definedName name="OperationList" localSheetId="32">Table3[Operation Name]</definedName>
    <definedName name="OperationList" localSheetId="36">Table3[Operation Name]</definedName>
    <definedName name="OperationList" localSheetId="37">Table3[Operation Name]</definedName>
    <definedName name="OperationList" localSheetId="39">Table3[Operation Name]</definedName>
    <definedName name="OperationList" localSheetId="40">Table3[Operation Name]</definedName>
    <definedName name="OperationList" localSheetId="42">Table3[Operation Name]</definedName>
    <definedName name="OperationList" localSheetId="44">Table3[Operation Name]</definedName>
    <definedName name="OperationList" localSheetId="47">Table3[Operation Name]</definedName>
    <definedName name="OperationList" localSheetId="71">Table3[Operation Name]</definedName>
    <definedName name="OperationList" localSheetId="79">Table3[Operation Name]</definedName>
    <definedName name="OperationList">Table3[Operation Name]</definedName>
    <definedName name="pd" localSheetId="21">Table1[[Machine]:[ C3 ]]</definedName>
    <definedName name="pd" localSheetId="22">Table1[[Machine]:[ C3 ]]</definedName>
    <definedName name="pd" localSheetId="23">Table1[[Machine]:[ C3 ]]</definedName>
    <definedName name="pd" localSheetId="25">Table1[[Machine]:[ C3 ]]</definedName>
    <definedName name="pd" localSheetId="27">Table1[[Machine]:[ C3 ]]</definedName>
    <definedName name="pd" localSheetId="29">Table1[[Machine]:[ C3 ]]</definedName>
    <definedName name="pd" localSheetId="32">Table1[[Machine]:[ C3 ]]</definedName>
    <definedName name="pd" localSheetId="36">Table1[[Machine]:[ C3 ]]</definedName>
    <definedName name="pd" localSheetId="37">Table1[[Machine]:[ C3 ]]</definedName>
    <definedName name="pd" localSheetId="39">Table1[[Machine]:[ C3 ]]</definedName>
    <definedName name="pd" localSheetId="40">Table1[[Machine]:[ C3 ]]</definedName>
    <definedName name="pd" localSheetId="42">Table1[[Machine]:[ C3 ]]</definedName>
    <definedName name="pd" localSheetId="44">Table1[[Machine]:[ C3 ]]</definedName>
    <definedName name="pd" localSheetId="47">Table1[[Machine]:[ C3 ]]</definedName>
    <definedName name="pd" localSheetId="71">Table1[[Machine]:[ C3 ]]</definedName>
    <definedName name="pd" localSheetId="79">Table1[[Machine]:[ C3 ]]</definedName>
    <definedName name="pd" localSheetId="92">Table1[[Machine]:[ C3 ]]</definedName>
    <definedName name="pd">Table1[[Machine]:[ C3 ]]</definedName>
    <definedName name="perpound" localSheetId="21">[1]Calculations!#REF!</definedName>
    <definedName name="perpound" localSheetId="23">[1]Calculations!#REF!</definedName>
    <definedName name="perpound" localSheetId="32">[1]Calculations!#REF!</definedName>
    <definedName name="perpound" localSheetId="36">[1]Calculations!#REF!</definedName>
    <definedName name="perpound" localSheetId="37">[1]Calculations!#REF!</definedName>
    <definedName name="perpound" localSheetId="39">[1]Calculations!#REF!</definedName>
    <definedName name="perpound" localSheetId="40">[1]Calculations!#REF!</definedName>
    <definedName name="perpound" localSheetId="42">[1]Calculations!#REF!</definedName>
    <definedName name="perpound" localSheetId="44">[1]Calculations!#REF!</definedName>
    <definedName name="perpound" localSheetId="71">[1]Calculations!#REF!</definedName>
    <definedName name="perpound">[1]Calculations!#REF!</definedName>
    <definedName name="_xlnm.Print_Area" localSheetId="15">'10-Alfalfa'!$A$1:$M$80</definedName>
    <definedName name="_xlnm.Print_Area" localSheetId="16">'11-Alfalfa'!$A$1:$M$80</definedName>
    <definedName name="_xlnm.Print_Area" localSheetId="17">'12-Alfalfa'!$A$1:$M$80</definedName>
    <definedName name="_xlnm.Print_Area" localSheetId="18">'13-Alfalfa'!$A$1:$M$80</definedName>
    <definedName name="_xlnm.Print_Area" localSheetId="19">'14-Alfalfa'!$A$1:$M$81</definedName>
    <definedName name="_xlnm.Print_Area" localSheetId="20">'15-Corn'!$A$1:$M$80</definedName>
    <definedName name="_xlnm.Print_Area" localSheetId="21">'16-Corn'!$A$1:$M$79</definedName>
    <definedName name="_xlnm.Print_Area" localSheetId="22">'17-Corn'!$A$1:$M$79</definedName>
    <definedName name="_xlnm.Print_Area" localSheetId="23">'18-Corn'!$A$1:$M$80</definedName>
    <definedName name="_xlnm.Print_Area" localSheetId="24">'19-Corn'!$A$1:$M$80</definedName>
    <definedName name="_xlnm.Print_Area" localSheetId="6">'1-Alfalfa'!$A$1:$M$77</definedName>
    <definedName name="_xlnm.Print_Area" localSheetId="25">'20-Corn'!$A$1:$M$79</definedName>
    <definedName name="_xlnm.Print_Area" localSheetId="26">'21-Corn'!$A$1:$M$80</definedName>
    <definedName name="_xlnm.Print_Area" localSheetId="27">'22-Corn'!$A$1:$M$81</definedName>
    <definedName name="_xlnm.Print_Area" localSheetId="28">'23-Corn'!$A$1:$M$80</definedName>
    <definedName name="_xlnm.Print_Area" localSheetId="29">'24-Corn'!$A$1:$M$80</definedName>
    <definedName name="_xlnm.Print_Area" localSheetId="30">'25-Corn'!$A$1:$M$81</definedName>
    <definedName name="_xlnm.Print_Area" localSheetId="31">'26-Corn'!$A$1:$M$82</definedName>
    <definedName name="_xlnm.Print_Area" localSheetId="32">'27-Corn'!$A$1:$M$81</definedName>
    <definedName name="_xlnm.Print_Area" localSheetId="33">'28-Corn'!$A$1:$M$80</definedName>
    <definedName name="_xlnm.Print_Area" localSheetId="34">'29-Corn'!$A$1:$M$83</definedName>
    <definedName name="_xlnm.Print_Area" localSheetId="7">'2-Alfalfa'!$A$1:$M$78</definedName>
    <definedName name="_xlnm.Print_Area" localSheetId="35">'30-Corn'!$A$1:$M$80</definedName>
    <definedName name="_xlnm.Print_Area" localSheetId="36">'31-Corn'!$A$1:$M$81</definedName>
    <definedName name="_xlnm.Print_Area" localSheetId="37">'32-Corn'!$A$1:$M$82</definedName>
    <definedName name="_xlnm.Print_Area" localSheetId="38">'33-Corn'!$A$1:$M$80</definedName>
    <definedName name="_xlnm.Print_Area" localSheetId="39">'34-Corn'!$A$1:$M$80</definedName>
    <definedName name="_xlnm.Print_Area" localSheetId="40">'35-Corn'!$A$1:$M$78</definedName>
    <definedName name="_xlnm.Print_Area" localSheetId="41">'36-Corn'!$A$1:$M$80</definedName>
    <definedName name="_xlnm.Print_Area" localSheetId="42">'37-Corn'!$A$1:$M$80</definedName>
    <definedName name="_xlnm.Print_Area" localSheetId="43">'38-Corn'!$A$1:$M$81</definedName>
    <definedName name="_xlnm.Print_Area" localSheetId="44">'39-Corn'!$A$1:$M$80</definedName>
    <definedName name="_xlnm.Print_Area" localSheetId="8">'3-Alfalfa'!$A$1:$M$78</definedName>
    <definedName name="_xlnm.Print_Area" localSheetId="45">'40-Corn'!$A$1:$M$82</definedName>
    <definedName name="_xlnm.Print_Area" localSheetId="46">'41-Corn'!$A$1:$M$79</definedName>
    <definedName name="_xlnm.Print_Area" localSheetId="47">'42-Popcorn'!$A$1:$M$80</definedName>
    <definedName name="_xlnm.Print_Area" localSheetId="48">'43-Dry Beans'!$A$1:$M$80</definedName>
    <definedName name="_xlnm.Print_Area" localSheetId="49">'44-Dry Beans'!$A$1:$M$79</definedName>
    <definedName name="_xlnm.Print_Area" localSheetId="50">'45-Dry Beans'!$A$1:$M$80</definedName>
    <definedName name="_xlnm.Print_Area" localSheetId="51">'46-Dry Beans'!$A$1:$L$81</definedName>
    <definedName name="_xlnm.Print_Area" localSheetId="52">'47-Grain Sorghum'!$A$1:$M$80</definedName>
    <definedName name="_xlnm.Print_Area" localSheetId="53">'48-Grain Sorghum'!$A$1:$M$81</definedName>
    <definedName name="_xlnm.Print_Area" localSheetId="54">'49-Grain Sorghum'!$A$1:$M$79</definedName>
    <definedName name="_xlnm.Print_Area" localSheetId="9">'4-Alfalfa'!$A$1:$M$79</definedName>
    <definedName name="_xlnm.Print_Area" localSheetId="55">'50-Grain Sorghum'!$A$1:$M$80</definedName>
    <definedName name="_xlnm.Print_Area" localSheetId="56">'51-Grass'!$A$1:$M$76</definedName>
    <definedName name="_xlnm.Print_Area" localSheetId="57">'52-Grass Hay'!$A$1:$M$80</definedName>
    <definedName name="_xlnm.Print_Area" localSheetId="58">'53-Millet-Proso'!$A$1:$M$81</definedName>
    <definedName name="_xlnm.Print_Area" localSheetId="59">'54-Millet-Proso'!$A$1:$M$81</definedName>
    <definedName name="_xlnm.Print_Area" localSheetId="60">'55-Oats'!$A$1:$M$80</definedName>
    <definedName name="_xlnm.Print_Area" localSheetId="61">'56-Pasture'!$A$1:$M$78</definedName>
    <definedName name="_xlnm.Print_Area" localSheetId="62">'57-Peas'!$A$1:$M$79</definedName>
    <definedName name="_xlnm.Print_Area" localSheetId="63">'58-Sorghum-Sudan'!$A$1:$M$79</definedName>
    <definedName name="_xlnm.Print_Area" localSheetId="64">'59-Soybeans'!$A$1:$M$85</definedName>
    <definedName name="_xlnm.Print_Area" localSheetId="10">'5-Alfalfa'!$A$1:$M$80</definedName>
    <definedName name="_xlnm.Print_Area" localSheetId="65">'60-Soybeans'!$A$1:$M$83</definedName>
    <definedName name="_xlnm.Print_Area" localSheetId="66">'61-Soybeans'!$A$1:$M$83</definedName>
    <definedName name="_xlnm.Print_Area" localSheetId="67">'62-Soybeans'!$A$1:$M$81</definedName>
    <definedName name="_xlnm.Print_Area" localSheetId="68">'63-Soybeans'!$A$1:$M$82</definedName>
    <definedName name="_xlnm.Print_Area" localSheetId="69">'64-Soybeans'!$A$1:$M$83</definedName>
    <definedName name="_xlnm.Print_Area" localSheetId="70">'65-Soybeans'!$A$1:$M$82</definedName>
    <definedName name="_xlnm.Print_Area" localSheetId="71">'66-Soybeans'!$A$1:$M$81</definedName>
    <definedName name="_xlnm.Print_Area" localSheetId="72">'67-Sugarbeet'!$A$1:$M$81</definedName>
    <definedName name="_xlnm.Print_Area" localSheetId="73">'68-Sugarbeet'!$A$1:$M$81</definedName>
    <definedName name="_xlnm.Print_Area" localSheetId="74">'69-Sugarbeet'!$A$1:$M$82</definedName>
    <definedName name="_xlnm.Print_Area" localSheetId="11">'6-Alfalfa'!$A$1:$M$79</definedName>
    <definedName name="_xlnm.Print_Area" localSheetId="75">'70-Sugarbeet'!$A$1:$M$85</definedName>
    <definedName name="_xlnm.Print_Area" localSheetId="76">'71-Sunflower'!$A$1:$M$81</definedName>
    <definedName name="_xlnm.Print_Area" localSheetId="77">'72-Sunflower'!$A$1:$M$81</definedName>
    <definedName name="_xlnm.Print_Area" localSheetId="78">'73-Sunflower'!$A$1:$M$81</definedName>
    <definedName name="_xlnm.Print_Area" localSheetId="79">'74-Wheat-Spring'!$A$1:$M$81</definedName>
    <definedName name="_xlnm.Print_Area" localSheetId="80">'75-Wheat-Winter'!$A$1:$M$81</definedName>
    <definedName name="_xlnm.Print_Area" localSheetId="81">'76-Wheat-Winter'!$A$1:$M$81</definedName>
    <definedName name="_xlnm.Print_Area" localSheetId="82">'77-Wheat-Winter'!$A$1:$M$81</definedName>
    <definedName name="_xlnm.Print_Area" localSheetId="83">'78-Wheat-Winter'!$A$1:$M$81</definedName>
    <definedName name="_xlnm.Print_Area" localSheetId="84">'79-Wheat-Winter'!$A$1:$M$81</definedName>
    <definedName name="_xlnm.Print_Area" localSheetId="12">'7-Alfalfa'!$A$1:$M$80</definedName>
    <definedName name="_xlnm.Print_Area" localSheetId="85">'80-Wheat-Winter'!$A$1:$M$81</definedName>
    <definedName name="_xlnm.Print_Area" localSheetId="86">'81-Wheat-Winter'!$A$1:$M$81</definedName>
    <definedName name="_xlnm.Print_Area" localSheetId="87">'82-Cover Crop'!$A$1:$M$81</definedName>
    <definedName name="_xlnm.Print_Area" localSheetId="89">'83-Cover Crop Grazing'!$A$1:$M$80</definedName>
    <definedName name="_xlnm.Print_Area" localSheetId="13">'8-Alfalfa'!$A$1:$M$80</definedName>
    <definedName name="_xlnm.Print_Area" localSheetId="14">'9-Alfalfa'!$A$1:$M$79</definedName>
    <definedName name="_xlnm.Print_Area" localSheetId="92">'Budget Listing'!$K$1:$L$84</definedName>
    <definedName name="_xlnm.Print_Area" localSheetId="1">'General Variables'!$A$1:$I$18</definedName>
    <definedName name="_xlnm.Print_Area" localSheetId="90">Master!$A$2:$L$75</definedName>
    <definedName name="_xlnm.Print_Area" localSheetId="2">Table2[#All]</definedName>
    <definedName name="_xlnm.Print_Area" localSheetId="4">Operations!$A$1:$V$73</definedName>
    <definedName name="PwrDepreciation" localSheetId="21">Table1[[Machine]:[ C3 ]]</definedName>
    <definedName name="PwrDepreciation" localSheetId="22">Table1[[Machine]:[ C3 ]]</definedName>
    <definedName name="PwrDepreciation" localSheetId="23">Table1[[Machine]:[ C3 ]]</definedName>
    <definedName name="PwrDepreciation" localSheetId="25">Table1[[Machine]:[ C3 ]]</definedName>
    <definedName name="PwrDepreciation" localSheetId="27">Table1[[Machine]:[ C3 ]]</definedName>
    <definedName name="PwrDepreciation" localSheetId="29">Table1[[Machine]:[ C3 ]]</definedName>
    <definedName name="PwrDepreciation" localSheetId="32">Table1[[Machine]:[ C3 ]]</definedName>
    <definedName name="PwrDepreciation" localSheetId="36">Table1[[Machine]:[ C3 ]]</definedName>
    <definedName name="PwrDepreciation" localSheetId="37">Table1[[Machine]:[ C3 ]]</definedName>
    <definedName name="PwrDepreciation" localSheetId="39">Table1[[Machine]:[ C3 ]]</definedName>
    <definedName name="PwrDepreciation" localSheetId="40">Table1[[Machine]:[ C3 ]]</definedName>
    <definedName name="PwrDepreciation" localSheetId="42">Table1[[Machine]:[ C3 ]]</definedName>
    <definedName name="PwrDepreciation" localSheetId="44">Table1[[Machine]:[ C3 ]]</definedName>
    <definedName name="PwrDepreciation" localSheetId="47">Table1[[Machine]:[ C3 ]]</definedName>
    <definedName name="PwrDepreciation" localSheetId="51">Table1[[Machine]:[ C3 ]]</definedName>
    <definedName name="PwrDepreciation" localSheetId="59">Table1[[Machine]:[ C3 ]]</definedName>
    <definedName name="PwrDepreciation" localSheetId="62">Table1[[Machine]:[ C3 ]]</definedName>
    <definedName name="PwrDepreciation" localSheetId="71">Table1[[Machine]:[ C3 ]]</definedName>
    <definedName name="PwrDepreciation" localSheetId="78">Table1[[Machine]:[ C3 ]]</definedName>
    <definedName name="PwrDepreciation" localSheetId="79">Table1[[Machine]:[ C3 ]]</definedName>
    <definedName name="PwrDepreciation" localSheetId="86">Table1[[Machine]:[ C3 ]]</definedName>
    <definedName name="PwrDepreciation" localSheetId="87">Table1[[Machine]:[ C3 ]]</definedName>
    <definedName name="PwrDepreciation" localSheetId="89">Table1[[Machine]:[ C3 ]]</definedName>
    <definedName name="PwrDepreciation" localSheetId="92">Table1[[Machine]:[ C3 ]]</definedName>
    <definedName name="PwrDepreciation" localSheetId="95">Table1[[Machine]:[ C3 ]]</definedName>
    <definedName name="PwrDepreciation">Table1[[Machine]:[ C3 ]]</definedName>
    <definedName name="PwrUnit">Operations!$AO$1:$AO$11</definedName>
    <definedName name="RealEstateList" localSheetId="21">Table9[Description]</definedName>
    <definedName name="RealEstateList" localSheetId="23">Table9[Description]</definedName>
    <definedName name="RealEstateList" localSheetId="32">Table9[Description]</definedName>
    <definedName name="RealEstateList" localSheetId="36">Table9[Description]</definedName>
    <definedName name="RealEstateList" localSheetId="37">Table9[Description]</definedName>
    <definedName name="RealEstateList" localSheetId="39">Table9[Description]</definedName>
    <definedName name="RealEstateList" localSheetId="40">Table9[Description]</definedName>
    <definedName name="RealEstateList" localSheetId="42">Table9[Description]</definedName>
    <definedName name="RealEstateList" localSheetId="44">Table9[Description]</definedName>
    <definedName name="RealEstateList" localSheetId="47">Table9[Description]</definedName>
    <definedName name="RealEstateList" localSheetId="71">Table9[Description]</definedName>
    <definedName name="RealEstateList" localSheetId="79">Table9[Description]</definedName>
    <definedName name="RealEstateList">Table9[Description]</definedName>
    <definedName name="Region">'General Variables'!$P$3:$P$6</definedName>
    <definedName name="RETable" localSheetId="21">Table9[#All]</definedName>
    <definedName name="RETable" localSheetId="22">Table9[#All]</definedName>
    <definedName name="RETable" localSheetId="23">Table9[#All]</definedName>
    <definedName name="RETable" localSheetId="25">Table9[#All]</definedName>
    <definedName name="RETable" localSheetId="27">Table9[#All]</definedName>
    <definedName name="RETable" localSheetId="29">Table9[#All]</definedName>
    <definedName name="RETable" localSheetId="32">Table9[#All]</definedName>
    <definedName name="RETable" localSheetId="36">Table9[#All]</definedName>
    <definedName name="RETable" localSheetId="37">Table9[#All]</definedName>
    <definedName name="RETable" localSheetId="39">Table9[#All]</definedName>
    <definedName name="RETable" localSheetId="40">Table9[#All]</definedName>
    <definedName name="RETable" localSheetId="42">Table9[#All]</definedName>
    <definedName name="RETable" localSheetId="44">Table9[#All]</definedName>
    <definedName name="RETable" localSheetId="47">Table9[#All]</definedName>
    <definedName name="RETable" localSheetId="51">Table9[#All]</definedName>
    <definedName name="RETable" localSheetId="59">Table9[#All]</definedName>
    <definedName name="RETable" localSheetId="62">Table9[#All]</definedName>
    <definedName name="RETable" localSheetId="71">Table9[#All]</definedName>
    <definedName name="RETable" localSheetId="78">Table9[#All]</definedName>
    <definedName name="RETable" localSheetId="79">Table9[#All]</definedName>
    <definedName name="RETable" localSheetId="86">Table9[#All]</definedName>
    <definedName name="RETable" localSheetId="87">Table9[#All]</definedName>
    <definedName name="RETable" localSheetId="89">Table9[#All]</definedName>
    <definedName name="RETable" localSheetId="92">Table9[#All]</definedName>
    <definedName name="RETable">Table9[#All]</definedName>
    <definedName name="REValue">'General Variables'!$E$5:$F$16</definedName>
    <definedName name="TillageSystem" localSheetId="36">'General Variables'!$P$9:$P$19</definedName>
    <definedName name="TillageSystem" localSheetId="37">'General Variables'!$P$9:$P$19</definedName>
    <definedName name="TillageSystem">'General Variables'!$P$9:$P$19</definedName>
    <definedName name="watersource" localSheetId="36">'General Variables'!$P$30:$P$35</definedName>
    <definedName name="watersource" localSheetId="37">'General Variables'!$P$30:$P$35</definedName>
    <definedName name="watersource">'General Variables'!$P$30:$P$35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2" i="60" l="1"/>
  <c r="I71" i="60"/>
  <c r="K70" i="60"/>
  <c r="I67" i="60"/>
  <c r="H67" i="60"/>
  <c r="F31" i="60"/>
  <c r="E31" i="60"/>
  <c r="F30" i="60"/>
  <c r="E30" i="60"/>
  <c r="F29" i="60"/>
  <c r="E29" i="60"/>
  <c r="F28" i="60"/>
  <c r="E28" i="60"/>
  <c r="F27" i="60"/>
  <c r="E27" i="60"/>
  <c r="F26" i="60"/>
  <c r="E26" i="60"/>
  <c r="F25" i="60"/>
  <c r="E25" i="60"/>
  <c r="F24" i="60"/>
  <c r="E24" i="60"/>
  <c r="F23" i="60"/>
  <c r="E23" i="60"/>
  <c r="F22" i="60"/>
  <c r="E22" i="60"/>
  <c r="F21" i="60"/>
  <c r="E21" i="60"/>
  <c r="F20" i="60"/>
  <c r="E20" i="60"/>
  <c r="F19" i="60"/>
  <c r="E19" i="60"/>
  <c r="F18" i="60"/>
  <c r="E18" i="60"/>
  <c r="F17" i="60"/>
  <c r="E17" i="60"/>
  <c r="F16" i="60"/>
  <c r="E16" i="60"/>
  <c r="F15" i="60"/>
  <c r="E15" i="60"/>
  <c r="F14" i="60"/>
  <c r="E14" i="60"/>
  <c r="F13" i="60"/>
  <c r="E13" i="60"/>
  <c r="F12" i="60"/>
  <c r="E12" i="60"/>
  <c r="F10" i="60"/>
  <c r="E10" i="60"/>
  <c r="B8" i="60"/>
  <c r="B7" i="60"/>
  <c r="A6" i="60"/>
  <c r="G4" i="60"/>
  <c r="B76" i="60" s="1"/>
  <c r="K72" i="131"/>
  <c r="K72" i="107"/>
  <c r="K72" i="106"/>
  <c r="K72" i="105"/>
  <c r="K72" i="104"/>
  <c r="K72" i="113"/>
  <c r="K71" i="107"/>
  <c r="K71" i="106"/>
  <c r="K71" i="105"/>
  <c r="K71" i="104"/>
  <c r="K71" i="113"/>
  <c r="N26" i="1" a="1"/>
  <c r="N26" i="1" s="1"/>
  <c r="N56" i="1"/>
  <c r="J18" i="131"/>
  <c r="I18" i="131"/>
  <c r="J19" i="102"/>
  <c r="I19" i="102"/>
  <c r="J17" i="101"/>
  <c r="I17" i="101"/>
  <c r="I18" i="158"/>
  <c r="I18" i="98"/>
  <c r="I18" i="97"/>
  <c r="J18" i="97"/>
  <c r="J17" i="93"/>
  <c r="I17" i="93"/>
  <c r="J18" i="92"/>
  <c r="I18" i="92"/>
  <c r="J19" i="91"/>
  <c r="I19" i="91"/>
  <c r="G15" i="87"/>
  <c r="J15" i="87"/>
  <c r="I15" i="87"/>
  <c r="E14" i="133"/>
  <c r="J14" i="133"/>
  <c r="C71" i="140"/>
  <c r="C67" i="140"/>
  <c r="F16" i="160"/>
  <c r="E16" i="160"/>
  <c r="F18" i="92"/>
  <c r="E18" i="92"/>
  <c r="F19" i="91"/>
  <c r="E19" i="91"/>
  <c r="F14" i="133"/>
  <c r="A6" i="164"/>
  <c r="C27" i="155"/>
  <c r="D84" i="155"/>
  <c r="C44" i="155"/>
  <c r="B34" i="155"/>
  <c r="B80" i="155"/>
  <c r="C31" i="155"/>
  <c r="C30" i="155"/>
  <c r="D83" i="155"/>
  <c r="B23" i="155"/>
  <c r="D63" i="155"/>
  <c r="D18" i="155"/>
  <c r="B35" i="155"/>
  <c r="D16" i="155"/>
  <c r="B37" i="155"/>
  <c r="B73" i="155"/>
  <c r="E2" i="140"/>
  <c r="C33" i="155"/>
  <c r="C75" i="155"/>
  <c r="B68" i="155"/>
  <c r="C47" i="155"/>
  <c r="D38" i="155"/>
  <c r="B83" i="155"/>
  <c r="C5" i="155"/>
  <c r="B39" i="155"/>
  <c r="B57" i="155"/>
  <c r="B69" i="155"/>
  <c r="C14" i="155"/>
  <c r="C18" i="155"/>
  <c r="C76" i="155"/>
  <c r="C10" i="155"/>
  <c r="D6" i="155"/>
  <c r="C84" i="155"/>
  <c r="B60" i="155"/>
  <c r="D72" i="155"/>
  <c r="B78" i="155"/>
  <c r="D42" i="155"/>
  <c r="B66" i="155"/>
  <c r="C58" i="155"/>
  <c r="D32" i="155"/>
  <c r="B43" i="155"/>
  <c r="E62" i="140"/>
  <c r="B36" i="155"/>
  <c r="E74" i="140"/>
  <c r="B42" i="155"/>
  <c r="C87" i="155"/>
  <c r="D77" i="155"/>
  <c r="C73" i="155"/>
  <c r="C48" i="155"/>
  <c r="D21" i="155"/>
  <c r="E70" i="140"/>
  <c r="D7" i="155"/>
  <c r="D82" i="155"/>
  <c r="D86" i="155"/>
  <c r="D22" i="155"/>
  <c r="B51" i="155"/>
  <c r="D68" i="155"/>
  <c r="D87" i="155"/>
  <c r="D17" i="155"/>
  <c r="C61" i="155"/>
  <c r="D79" i="155"/>
  <c r="E67" i="140"/>
  <c r="B82" i="155"/>
  <c r="D23" i="155"/>
  <c r="C23" i="155"/>
  <c r="B22" i="155"/>
  <c r="B70" i="155"/>
  <c r="C50" i="155"/>
  <c r="B59" i="155"/>
  <c r="B14" i="155"/>
  <c r="B30" i="155"/>
  <c r="C42" i="155"/>
  <c r="D61" i="155"/>
  <c r="C83" i="155"/>
  <c r="B31" i="155"/>
  <c r="B26" i="155"/>
  <c r="C46" i="155"/>
  <c r="B67" i="155"/>
  <c r="D34" i="155"/>
  <c r="B32" i="155"/>
  <c r="D8" i="155"/>
  <c r="C29" i="155"/>
  <c r="C69" i="155"/>
  <c r="C26" i="155"/>
  <c r="B74" i="155"/>
  <c r="D53" i="155"/>
  <c r="C41" i="155"/>
  <c r="C45" i="155"/>
  <c r="C67" i="155"/>
  <c r="B58" i="155"/>
  <c r="B6" i="155"/>
  <c r="D19" i="155"/>
  <c r="C16" i="155"/>
  <c r="C32" i="155"/>
  <c r="D37" i="155"/>
  <c r="B62" i="155"/>
  <c r="D74" i="155"/>
  <c r="D10" i="155"/>
  <c r="B48" i="155"/>
  <c r="D13" i="155"/>
  <c r="B84" i="155"/>
  <c r="B63" i="155"/>
  <c r="B15" i="155"/>
  <c r="D59" i="155"/>
  <c r="B12" i="155"/>
  <c r="C74" i="155"/>
  <c r="B71" i="155"/>
  <c r="D70" i="155"/>
  <c r="C8" i="155"/>
  <c r="D46" i="155"/>
  <c r="C38" i="155"/>
  <c r="C11" i="155"/>
  <c r="B18" i="155"/>
  <c r="D27" i="155"/>
  <c r="C17" i="155"/>
  <c r="B64" i="155"/>
  <c r="D69" i="155"/>
  <c r="C21" i="155"/>
  <c r="E71" i="140"/>
  <c r="D60" i="155"/>
  <c r="D28" i="155"/>
  <c r="B79" i="155"/>
  <c r="B46" i="155"/>
  <c r="D11" i="155"/>
  <c r="D29" i="155"/>
  <c r="B29" i="155"/>
  <c r="D64" i="155"/>
  <c r="D9" i="155"/>
  <c r="C52" i="155"/>
  <c r="B19" i="155"/>
  <c r="D66" i="155"/>
  <c r="D24" i="155"/>
  <c r="D80" i="155"/>
  <c r="C66" i="155"/>
  <c r="B45" i="155"/>
  <c r="B8" i="155"/>
  <c r="C37" i="155"/>
  <c r="C34" i="155"/>
  <c r="C80" i="155"/>
  <c r="B7" i="155"/>
  <c r="B72" i="155"/>
  <c r="D73" i="155"/>
  <c r="D81" i="155"/>
  <c r="B9" i="155"/>
  <c r="C6" i="155"/>
  <c r="B33" i="155"/>
  <c r="D75" i="155"/>
  <c r="E52" i="140"/>
  <c r="D25" i="155"/>
  <c r="D26" i="155"/>
  <c r="D39" i="155"/>
  <c r="D14" i="155"/>
  <c r="C60" i="155"/>
  <c r="B41" i="155"/>
  <c r="B50" i="155"/>
  <c r="C77" i="155"/>
  <c r="B65" i="155"/>
  <c r="D76" i="155"/>
  <c r="D40" i="155"/>
  <c r="D54" i="155"/>
  <c r="B27" i="155"/>
  <c r="D52" i="155"/>
  <c r="D35" i="155"/>
  <c r="C28" i="155"/>
  <c r="D12" i="155"/>
  <c r="D48" i="155"/>
  <c r="C78" i="155"/>
  <c r="C13" i="155"/>
  <c r="C79" i="155"/>
  <c r="B81" i="155"/>
  <c r="C68" i="155"/>
  <c r="C86" i="155"/>
  <c r="D30" i="155"/>
  <c r="B28" i="155"/>
  <c r="E63" i="140"/>
  <c r="C36" i="155"/>
  <c r="E66" i="140"/>
  <c r="C22" i="155"/>
  <c r="D65" i="155"/>
  <c r="D31" i="155"/>
  <c r="C72" i="155"/>
  <c r="D55" i="155"/>
  <c r="C65" i="155"/>
  <c r="C63" i="155"/>
  <c r="D36" i="155"/>
  <c r="C57" i="155"/>
  <c r="C82" i="155"/>
  <c r="B5" i="155"/>
  <c r="B76" i="155"/>
  <c r="B75" i="155"/>
  <c r="C24" i="155"/>
  <c r="C20" i="155"/>
  <c r="D51" i="155"/>
  <c r="D67" i="155"/>
  <c r="C81" i="155"/>
  <c r="E68" i="140"/>
  <c r="B53" i="155"/>
  <c r="C71" i="155"/>
  <c r="C35" i="155"/>
  <c r="D41" i="155"/>
  <c r="E4" i="140"/>
  <c r="B25" i="155"/>
  <c r="D47" i="155"/>
  <c r="C51" i="155"/>
  <c r="B85" i="155"/>
  <c r="B17" i="155"/>
  <c r="D85" i="155"/>
  <c r="D43" i="155"/>
  <c r="B24" i="155"/>
  <c r="D49" i="155"/>
  <c r="B40" i="155"/>
  <c r="D50" i="155"/>
  <c r="C43" i="155"/>
  <c r="C59" i="155"/>
  <c r="B61" i="155"/>
  <c r="B38" i="155"/>
  <c r="B10" i="155"/>
  <c r="C49" i="155"/>
  <c r="E3" i="140"/>
  <c r="B77" i="155"/>
  <c r="C19" i="155"/>
  <c r="D15" i="155"/>
  <c r="D71" i="155"/>
  <c r="C12" i="155"/>
  <c r="D78" i="155"/>
  <c r="D56" i="155"/>
  <c r="B16" i="155"/>
  <c r="B54" i="155"/>
  <c r="B44" i="155"/>
  <c r="B55" i="155"/>
  <c r="B20" i="155"/>
  <c r="C15" i="155"/>
  <c r="C40" i="155"/>
  <c r="D57" i="155"/>
  <c r="B11" i="155"/>
  <c r="C39" i="155"/>
  <c r="D20" i="155"/>
  <c r="D33" i="155"/>
  <c r="D58" i="155"/>
  <c r="C70" i="155"/>
  <c r="C64" i="155"/>
  <c r="D45" i="155"/>
  <c r="C9" i="155"/>
  <c r="C53" i="155"/>
  <c r="B49" i="155"/>
  <c r="E64" i="140"/>
  <c r="C25" i="155"/>
  <c r="B21" i="155"/>
  <c r="D5" i="155"/>
  <c r="B47" i="155"/>
  <c r="B52" i="155"/>
  <c r="B13" i="155"/>
  <c r="C85" i="155"/>
  <c r="C7" i="155"/>
  <c r="D44" i="155"/>
  <c r="F72" i="105" l="1"/>
  <c r="F71" i="105"/>
  <c r="F72" i="104"/>
  <c r="F71" i="104"/>
  <c r="F72" i="113"/>
  <c r="F71" i="113"/>
  <c r="F71" i="84"/>
  <c r="F70" i="84"/>
  <c r="F71" i="83"/>
  <c r="F70" i="83"/>
  <c r="F71" i="82"/>
  <c r="F71" i="81"/>
  <c r="F70" i="82"/>
  <c r="C43" i="140"/>
  <c r="J42" i="138"/>
  <c r="K42" i="138" s="1"/>
  <c r="C42" i="138"/>
  <c r="C43" i="137"/>
  <c r="J43" i="137"/>
  <c r="K43" i="137" s="1"/>
  <c r="J42" i="130"/>
  <c r="K42" i="130" s="1"/>
  <c r="J41" i="130"/>
  <c r="K41" i="130" s="1"/>
  <c r="J40" i="130"/>
  <c r="K40" i="130" s="1"/>
  <c r="I40" i="130"/>
  <c r="C40" i="130"/>
  <c r="J41" i="129"/>
  <c r="K41" i="129" s="1"/>
  <c r="J41" i="128"/>
  <c r="K41" i="128" s="1"/>
  <c r="J41" i="127"/>
  <c r="K41" i="127" s="1"/>
  <c r="J38" i="79"/>
  <c r="K38" i="79" s="1"/>
  <c r="C38" i="79"/>
  <c r="K43" i="73"/>
  <c r="C43" i="73"/>
  <c r="J45" i="152"/>
  <c r="K45" i="152" s="1"/>
  <c r="I45" i="152"/>
  <c r="C45" i="152"/>
  <c r="J45" i="3"/>
  <c r="K45" i="3" s="1"/>
  <c r="C45" i="3"/>
  <c r="K38" i="71"/>
  <c r="C38" i="71"/>
  <c r="A159" i="2"/>
  <c r="H83" i="2"/>
  <c r="B8" i="164"/>
  <c r="E10" i="164"/>
  <c r="F10" i="164"/>
  <c r="E12" i="164"/>
  <c r="E13" i="164"/>
  <c r="E14" i="164"/>
  <c r="C15" i="164"/>
  <c r="E15" i="164" s="1"/>
  <c r="E16" i="164"/>
  <c r="E17" i="164"/>
  <c r="F17" i="164"/>
  <c r="G17" i="164"/>
  <c r="H17" i="164"/>
  <c r="I17" i="164"/>
  <c r="J17" i="164"/>
  <c r="K17" i="164"/>
  <c r="E19" i="164"/>
  <c r="J21" i="164"/>
  <c r="H14" i="2"/>
  <c r="H21" i="2"/>
  <c r="H156" i="2"/>
  <c r="C246" i="164"/>
  <c r="B246" i="164"/>
  <c r="C245" i="164"/>
  <c r="B245" i="164"/>
  <c r="C244" i="164"/>
  <c r="B244" i="164"/>
  <c r="C243" i="164"/>
  <c r="B243" i="164"/>
  <c r="C242" i="164"/>
  <c r="B242" i="164"/>
  <c r="H127" i="164"/>
  <c r="H126" i="164"/>
  <c r="H125" i="164"/>
  <c r="H124" i="164"/>
  <c r="H123" i="164"/>
  <c r="H122" i="164"/>
  <c r="H121" i="164"/>
  <c r="H120" i="164"/>
  <c r="H119" i="164"/>
  <c r="H118" i="164"/>
  <c r="H117" i="164"/>
  <c r="H116" i="164"/>
  <c r="H115" i="164"/>
  <c r="H114" i="164"/>
  <c r="H113" i="164"/>
  <c r="H112" i="164"/>
  <c r="I72" i="164"/>
  <c r="F72" i="164"/>
  <c r="K72" i="164" s="1"/>
  <c r="I71" i="164"/>
  <c r="F71" i="164"/>
  <c r="K70" i="164"/>
  <c r="I67" i="164"/>
  <c r="H67" i="164"/>
  <c r="K61" i="164"/>
  <c r="J61" i="164"/>
  <c r="I61" i="164"/>
  <c r="C61" i="164"/>
  <c r="J60" i="164"/>
  <c r="I60" i="164"/>
  <c r="K59" i="164"/>
  <c r="J59" i="164"/>
  <c r="I59" i="164"/>
  <c r="C59" i="164"/>
  <c r="I58" i="164"/>
  <c r="C58" i="164"/>
  <c r="I57" i="164"/>
  <c r="C57" i="164"/>
  <c r="I56" i="164"/>
  <c r="C56" i="164"/>
  <c r="I55" i="164"/>
  <c r="C55" i="164"/>
  <c r="I54" i="164"/>
  <c r="C54" i="164"/>
  <c r="I53" i="164"/>
  <c r="C53" i="164"/>
  <c r="I52" i="164"/>
  <c r="C52" i="164"/>
  <c r="I51" i="164"/>
  <c r="C51" i="164"/>
  <c r="I50" i="164"/>
  <c r="C50" i="164"/>
  <c r="I49" i="164"/>
  <c r="C49" i="164"/>
  <c r="I48" i="164"/>
  <c r="C48" i="164"/>
  <c r="I47" i="164"/>
  <c r="C47" i="164"/>
  <c r="I45" i="164"/>
  <c r="C45" i="164"/>
  <c r="I44" i="164"/>
  <c r="C44" i="164"/>
  <c r="I43" i="164"/>
  <c r="C43" i="164"/>
  <c r="I42" i="164"/>
  <c r="C42" i="164"/>
  <c r="I41" i="164"/>
  <c r="C41" i="164"/>
  <c r="I40" i="164"/>
  <c r="C40" i="164"/>
  <c r="I39" i="164"/>
  <c r="C39" i="164"/>
  <c r="I38" i="164"/>
  <c r="C38" i="164"/>
  <c r="I37" i="164"/>
  <c r="C37" i="164"/>
  <c r="J31" i="164"/>
  <c r="I31" i="164"/>
  <c r="H31" i="164"/>
  <c r="G31" i="164"/>
  <c r="F31" i="164"/>
  <c r="E31" i="164"/>
  <c r="J30" i="164"/>
  <c r="I30" i="164"/>
  <c r="H30" i="164"/>
  <c r="G30" i="164"/>
  <c r="F30" i="164"/>
  <c r="E30" i="164"/>
  <c r="J29" i="164"/>
  <c r="I29" i="164"/>
  <c r="H29" i="164"/>
  <c r="G29" i="164"/>
  <c r="F29" i="164"/>
  <c r="E29" i="164"/>
  <c r="J28" i="164"/>
  <c r="I28" i="164"/>
  <c r="H28" i="164"/>
  <c r="G28" i="164"/>
  <c r="F28" i="164"/>
  <c r="E28" i="164"/>
  <c r="J27" i="164"/>
  <c r="I27" i="164"/>
  <c r="H27" i="164"/>
  <c r="G27" i="164"/>
  <c r="F27" i="164"/>
  <c r="E27" i="164"/>
  <c r="J26" i="164"/>
  <c r="I26" i="164"/>
  <c r="H26" i="164"/>
  <c r="G26" i="164"/>
  <c r="F26" i="164"/>
  <c r="E26" i="164"/>
  <c r="J25" i="164"/>
  <c r="I25" i="164"/>
  <c r="H25" i="164"/>
  <c r="G25" i="164"/>
  <c r="F25" i="164"/>
  <c r="E25" i="164"/>
  <c r="J24" i="164"/>
  <c r="I24" i="164"/>
  <c r="H24" i="164"/>
  <c r="G24" i="164"/>
  <c r="F24" i="164"/>
  <c r="E24" i="164"/>
  <c r="J23" i="164"/>
  <c r="I23" i="164"/>
  <c r="H23" i="164"/>
  <c r="G23" i="164"/>
  <c r="F23" i="164"/>
  <c r="E23" i="164"/>
  <c r="K22" i="164"/>
  <c r="J22" i="164"/>
  <c r="I22" i="164"/>
  <c r="H22" i="164"/>
  <c r="G22" i="164"/>
  <c r="F22" i="164"/>
  <c r="E22" i="164"/>
  <c r="K21" i="164"/>
  <c r="I21" i="164"/>
  <c r="H21" i="164"/>
  <c r="G21" i="164"/>
  <c r="F21" i="164"/>
  <c r="E21" i="164"/>
  <c r="E20" i="164"/>
  <c r="K18" i="164"/>
  <c r="J18" i="164"/>
  <c r="I18" i="164"/>
  <c r="H18" i="164"/>
  <c r="G18" i="164"/>
  <c r="F18" i="164"/>
  <c r="E18" i="164"/>
  <c r="C5" i="164"/>
  <c r="E5" i="164" s="1"/>
  <c r="B76" i="164"/>
  <c r="H69" i="163"/>
  <c r="H68" i="161"/>
  <c r="E21" i="76"/>
  <c r="K69" i="72"/>
  <c r="K70" i="131"/>
  <c r="K70" i="107"/>
  <c r="K70" i="102"/>
  <c r="K70" i="101"/>
  <c r="K74" i="93"/>
  <c r="K73" i="92"/>
  <c r="K74" i="91"/>
  <c r="K69" i="90"/>
  <c r="K69" i="133"/>
  <c r="K69" i="88"/>
  <c r="K70" i="132"/>
  <c r="K71" i="89"/>
  <c r="K69" i="85"/>
  <c r="K69" i="83"/>
  <c r="K69" i="82"/>
  <c r="K69" i="81"/>
  <c r="K71" i="3"/>
  <c r="K70" i="71"/>
  <c r="K69" i="144"/>
  <c r="K69" i="70"/>
  <c r="K70" i="143"/>
  <c r="K70" i="69"/>
  <c r="K69" i="142"/>
  <c r="K69" i="68"/>
  <c r="K69" i="150"/>
  <c r="K69" i="141"/>
  <c r="K69" i="149"/>
  <c r="K70" i="67"/>
  <c r="K71" i="123"/>
  <c r="K70" i="66"/>
  <c r="K69" i="124"/>
  <c r="K70" i="122"/>
  <c r="K71" i="65"/>
  <c r="K69" i="64"/>
  <c r="K70" i="63"/>
  <c r="K70" i="121"/>
  <c r="K69" i="62"/>
  <c r="K70" i="120"/>
  <c r="H9" i="2"/>
  <c r="E16" i="132"/>
  <c r="E18" i="89"/>
  <c r="C49" i="125"/>
  <c r="C50" i="73"/>
  <c r="C53" i="3"/>
  <c r="C49" i="143"/>
  <c r="C49" i="69"/>
  <c r="C42" i="120"/>
  <c r="H171" i="2"/>
  <c r="H37" i="2"/>
  <c r="J55" i="164" s="1"/>
  <c r="K55" i="164" s="1"/>
  <c r="I42" i="132"/>
  <c r="E23" i="125"/>
  <c r="K24" i="129"/>
  <c r="E23" i="109"/>
  <c r="E25" i="108"/>
  <c r="E21" i="80"/>
  <c r="E20" i="151"/>
  <c r="E20" i="163"/>
  <c r="E21" i="152"/>
  <c r="E19" i="141"/>
  <c r="E20" i="149"/>
  <c r="H38" i="65"/>
  <c r="I38" i="65"/>
  <c r="A36" i="2"/>
  <c r="H90" i="2"/>
  <c r="H102" i="2"/>
  <c r="H75" i="2"/>
  <c r="H78" i="2"/>
  <c r="H70" i="2"/>
  <c r="F15" i="164" l="1"/>
  <c r="K26" i="164"/>
  <c r="K27" i="164"/>
  <c r="K29" i="164"/>
  <c r="K31" i="164"/>
  <c r="K25" i="164"/>
  <c r="K71" i="164"/>
  <c r="K23" i="164"/>
  <c r="K24" i="164"/>
  <c r="K30" i="164"/>
  <c r="K28" i="164"/>
  <c r="F5" i="164"/>
  <c r="E33" i="164"/>
  <c r="B75" i="164"/>
  <c r="E19" i="156"/>
  <c r="E19" i="78"/>
  <c r="E19" i="74"/>
  <c r="G125" i="2"/>
  <c r="G124" i="2"/>
  <c r="F70" i="81"/>
  <c r="K70" i="156"/>
  <c r="I74" i="163"/>
  <c r="I73" i="161"/>
  <c r="K74" i="125"/>
  <c r="I4" i="48"/>
  <c r="J4" i="48" s="1"/>
  <c r="G14" i="133" s="1"/>
  <c r="K69" i="61"/>
  <c r="K70" i="106"/>
  <c r="K70" i="105"/>
  <c r="K70" i="104"/>
  <c r="K70" i="113"/>
  <c r="K70" i="103"/>
  <c r="K70" i="160"/>
  <c r="K70" i="87"/>
  <c r="K69" i="86"/>
  <c r="O64" i="1"/>
  <c r="N17" i="1"/>
  <c r="N13" i="1"/>
  <c r="N11" i="1"/>
  <c r="Q3" i="1"/>
  <c r="P3" i="1"/>
  <c r="E14" i="138"/>
  <c r="C43" i="138"/>
  <c r="J14" i="138"/>
  <c r="I14" i="138"/>
  <c r="H14" i="138"/>
  <c r="G14" i="138"/>
  <c r="K14" i="138" s="1"/>
  <c r="F14" i="138"/>
  <c r="C49" i="129"/>
  <c r="C50" i="128"/>
  <c r="J48" i="93"/>
  <c r="K48" i="93" s="1"/>
  <c r="I48" i="93"/>
  <c r="C48" i="93"/>
  <c r="H50" i="2"/>
  <c r="H41" i="2"/>
  <c r="H35" i="2"/>
  <c r="J53" i="92" s="1"/>
  <c r="K53" i="92" s="1"/>
  <c r="J52" i="92"/>
  <c r="K52" i="92" s="1"/>
  <c r="I52" i="92"/>
  <c r="C52" i="92"/>
  <c r="J47" i="91"/>
  <c r="K47" i="91" s="1"/>
  <c r="I47" i="91"/>
  <c r="J42" i="65"/>
  <c r="K42" i="65" s="1"/>
  <c r="I44" i="125"/>
  <c r="E19" i="125"/>
  <c r="I41" i="123"/>
  <c r="H109" i="2"/>
  <c r="J44" i="97" s="1"/>
  <c r="K44" i="97" s="1"/>
  <c r="J50" i="127"/>
  <c r="K50" i="127" s="1"/>
  <c r="J40" i="127"/>
  <c r="K40" i="127" s="1"/>
  <c r="H34" i="2"/>
  <c r="C33" i="140"/>
  <c r="B7" i="163"/>
  <c r="B7" i="161"/>
  <c r="H127" i="2"/>
  <c r="G20" i="149" l="1"/>
  <c r="G21" i="67"/>
  <c r="G19" i="164"/>
  <c r="G18" i="92"/>
  <c r="G16" i="160"/>
  <c r="K62" i="164"/>
  <c r="G23" i="125"/>
  <c r="G23" i="109"/>
  <c r="G19" i="156"/>
  <c r="G19" i="74"/>
  <c r="G21" i="152"/>
  <c r="G20" i="151"/>
  <c r="G19" i="141"/>
  <c r="G25" i="108"/>
  <c r="G21" i="76"/>
  <c r="G21" i="80"/>
  <c r="G19" i="78"/>
  <c r="G20" i="163"/>
  <c r="J49" i="129"/>
  <c r="K49" i="129" s="1"/>
  <c r="J40" i="128"/>
  <c r="K40" i="128" s="1"/>
  <c r="J50" i="128"/>
  <c r="K50" i="128" s="1"/>
  <c r="J40" i="129"/>
  <c r="K40" i="129" s="1"/>
  <c r="H38" i="1"/>
  <c r="L10" i="48"/>
  <c r="K10" i="48"/>
  <c r="J10" i="48"/>
  <c r="I42" i="158"/>
  <c r="C42" i="158"/>
  <c r="I42" i="98"/>
  <c r="C42" i="98"/>
  <c r="I42" i="97"/>
  <c r="C42" i="97"/>
  <c r="I42" i="95"/>
  <c r="C42" i="95"/>
  <c r="I39" i="94"/>
  <c r="C39" i="94"/>
  <c r="I43" i="93"/>
  <c r="C43" i="93"/>
  <c r="I45" i="92"/>
  <c r="C45" i="92"/>
  <c r="I40" i="91"/>
  <c r="C40" i="91"/>
  <c r="H162" i="2"/>
  <c r="J45" i="92" s="1"/>
  <c r="K45" i="92" s="1"/>
  <c r="K71" i="161"/>
  <c r="K72" i="163"/>
  <c r="E12" i="163"/>
  <c r="C248" i="163"/>
  <c r="B248" i="163"/>
  <c r="C247" i="163"/>
  <c r="B247" i="163"/>
  <c r="C246" i="163"/>
  <c r="B246" i="163"/>
  <c r="C245" i="163"/>
  <c r="B245" i="163"/>
  <c r="C244" i="163"/>
  <c r="B244" i="163"/>
  <c r="H129" i="163"/>
  <c r="H128" i="163"/>
  <c r="H127" i="163"/>
  <c r="H126" i="163"/>
  <c r="H125" i="163"/>
  <c r="H124" i="163"/>
  <c r="H123" i="163"/>
  <c r="H122" i="163"/>
  <c r="H121" i="163"/>
  <c r="H120" i="163"/>
  <c r="H119" i="163"/>
  <c r="H118" i="163"/>
  <c r="H117" i="163"/>
  <c r="H116" i="163"/>
  <c r="H115" i="163"/>
  <c r="H114" i="163"/>
  <c r="F74" i="163"/>
  <c r="I73" i="163"/>
  <c r="F73" i="163"/>
  <c r="I69" i="163"/>
  <c r="K63" i="163"/>
  <c r="J63" i="163"/>
  <c r="I63" i="163"/>
  <c r="C63" i="163"/>
  <c r="K62" i="163"/>
  <c r="J62" i="163"/>
  <c r="I62" i="163"/>
  <c r="C62" i="163"/>
  <c r="K61" i="163"/>
  <c r="J61" i="163"/>
  <c r="I61" i="163"/>
  <c r="C61" i="163"/>
  <c r="K60" i="163"/>
  <c r="J60" i="163"/>
  <c r="I60" i="163"/>
  <c r="C60" i="163"/>
  <c r="K59" i="163"/>
  <c r="J59" i="163"/>
  <c r="I59" i="163"/>
  <c r="C59" i="163"/>
  <c r="K58" i="163"/>
  <c r="J58" i="163"/>
  <c r="I58" i="163"/>
  <c r="C58" i="163"/>
  <c r="K57" i="163"/>
  <c r="J57" i="163"/>
  <c r="I57" i="163"/>
  <c r="C57" i="163"/>
  <c r="I56" i="163"/>
  <c r="C56" i="163"/>
  <c r="I55" i="163"/>
  <c r="C55" i="163"/>
  <c r="I54" i="163"/>
  <c r="C54" i="163"/>
  <c r="I52" i="163"/>
  <c r="C52" i="163"/>
  <c r="I51" i="163"/>
  <c r="C51" i="163"/>
  <c r="I49" i="163"/>
  <c r="C49" i="163"/>
  <c r="I48" i="163"/>
  <c r="C48" i="163"/>
  <c r="I47" i="163"/>
  <c r="C47" i="163"/>
  <c r="I46" i="163"/>
  <c r="C46" i="163"/>
  <c r="I45" i="163"/>
  <c r="C45" i="163"/>
  <c r="I44" i="163"/>
  <c r="C44" i="163"/>
  <c r="I43" i="163"/>
  <c r="C43" i="163"/>
  <c r="I42" i="163"/>
  <c r="C42" i="163"/>
  <c r="I41" i="163"/>
  <c r="C41" i="163"/>
  <c r="I40" i="163"/>
  <c r="C40" i="163"/>
  <c r="I39" i="163"/>
  <c r="C39" i="163"/>
  <c r="I38" i="163"/>
  <c r="C38" i="163"/>
  <c r="J32" i="163"/>
  <c r="I32" i="163"/>
  <c r="H32" i="163"/>
  <c r="G32" i="163"/>
  <c r="F32" i="163"/>
  <c r="E32" i="163"/>
  <c r="J31" i="163"/>
  <c r="I31" i="163"/>
  <c r="H31" i="163"/>
  <c r="G31" i="163"/>
  <c r="F31" i="163"/>
  <c r="E31" i="163"/>
  <c r="J30" i="163"/>
  <c r="I30" i="163"/>
  <c r="H30" i="163"/>
  <c r="G30" i="163"/>
  <c r="F30" i="163"/>
  <c r="E30" i="163"/>
  <c r="J29" i="163"/>
  <c r="I29" i="163"/>
  <c r="H29" i="163"/>
  <c r="G29" i="163"/>
  <c r="F29" i="163"/>
  <c r="E29" i="163"/>
  <c r="J28" i="163"/>
  <c r="I28" i="163"/>
  <c r="H28" i="163"/>
  <c r="G28" i="163"/>
  <c r="F28" i="163"/>
  <c r="E28" i="163"/>
  <c r="J27" i="163"/>
  <c r="I27" i="163"/>
  <c r="H27" i="163"/>
  <c r="G27" i="163"/>
  <c r="F27" i="163"/>
  <c r="E27" i="163"/>
  <c r="J26" i="163"/>
  <c r="I26" i="163"/>
  <c r="H26" i="163"/>
  <c r="G26" i="163"/>
  <c r="F26" i="163"/>
  <c r="E26" i="163"/>
  <c r="J25" i="163"/>
  <c r="I25" i="163"/>
  <c r="H25" i="163"/>
  <c r="G25" i="163"/>
  <c r="F25" i="163"/>
  <c r="E25" i="163"/>
  <c r="J24" i="163"/>
  <c r="I24" i="163"/>
  <c r="H24" i="163"/>
  <c r="G24" i="163"/>
  <c r="F24" i="163"/>
  <c r="E24" i="163"/>
  <c r="K23" i="163"/>
  <c r="J23" i="163"/>
  <c r="I23" i="163"/>
  <c r="H23" i="163"/>
  <c r="G23" i="163"/>
  <c r="F23" i="163"/>
  <c r="E23" i="163"/>
  <c r="K22" i="163"/>
  <c r="J22" i="163"/>
  <c r="I22" i="163"/>
  <c r="H22" i="163"/>
  <c r="G22" i="163"/>
  <c r="F22" i="163"/>
  <c r="E22" i="163"/>
  <c r="C19" i="163"/>
  <c r="K18" i="163"/>
  <c r="J18" i="163"/>
  <c r="I18" i="163"/>
  <c r="H18" i="163"/>
  <c r="G18" i="163"/>
  <c r="F18" i="163"/>
  <c r="E18" i="163"/>
  <c r="K17" i="163"/>
  <c r="J17" i="163"/>
  <c r="I17" i="163"/>
  <c r="H17" i="163"/>
  <c r="G17" i="163"/>
  <c r="F17" i="163"/>
  <c r="E17" i="163"/>
  <c r="E16" i="163"/>
  <c r="E15" i="163"/>
  <c r="E14" i="163"/>
  <c r="E13" i="163"/>
  <c r="F10" i="163"/>
  <c r="E10" i="163"/>
  <c r="B8" i="163"/>
  <c r="A6" i="163"/>
  <c r="C5" i="163"/>
  <c r="F5" i="163" s="1"/>
  <c r="C62" i="161"/>
  <c r="C61" i="161"/>
  <c r="C60" i="161"/>
  <c r="C59" i="161"/>
  <c r="C58" i="161"/>
  <c r="C57" i="161"/>
  <c r="C56" i="161"/>
  <c r="C55" i="161"/>
  <c r="C54" i="161"/>
  <c r="C53" i="161"/>
  <c r="C51" i="161"/>
  <c r="C50" i="161"/>
  <c r="C48" i="161"/>
  <c r="C47" i="161"/>
  <c r="C46" i="161"/>
  <c r="C45" i="161"/>
  <c r="C44" i="161"/>
  <c r="C43" i="161"/>
  <c r="C42" i="161"/>
  <c r="C41" i="161"/>
  <c r="C40" i="161"/>
  <c r="C39" i="161"/>
  <c r="C38" i="161"/>
  <c r="C37" i="161"/>
  <c r="J62" i="161"/>
  <c r="I62" i="161"/>
  <c r="J61" i="161"/>
  <c r="I61" i="161"/>
  <c r="J60" i="161"/>
  <c r="I60" i="161"/>
  <c r="J59" i="161"/>
  <c r="I59" i="161"/>
  <c r="J58" i="161"/>
  <c r="I58" i="161"/>
  <c r="J57" i="161"/>
  <c r="I57" i="161"/>
  <c r="J56" i="161"/>
  <c r="I56" i="161"/>
  <c r="I55" i="161"/>
  <c r="I54" i="161"/>
  <c r="I53" i="161"/>
  <c r="I51" i="161"/>
  <c r="I50" i="161"/>
  <c r="I48" i="161"/>
  <c r="I47" i="161"/>
  <c r="I46" i="161"/>
  <c r="I45" i="161"/>
  <c r="I44" i="161"/>
  <c r="I43" i="161"/>
  <c r="I42" i="161"/>
  <c r="I41" i="161"/>
  <c r="I40" i="161"/>
  <c r="I39" i="161"/>
  <c r="I38" i="161"/>
  <c r="I37" i="161"/>
  <c r="E13" i="161"/>
  <c r="E14" i="161"/>
  <c r="E15" i="161"/>
  <c r="E16" i="161"/>
  <c r="F16" i="161"/>
  <c r="G16" i="161"/>
  <c r="H16" i="161"/>
  <c r="I16" i="161"/>
  <c r="J16" i="161"/>
  <c r="K16" i="161"/>
  <c r="E17" i="161"/>
  <c r="F17" i="161"/>
  <c r="G17" i="161"/>
  <c r="H17" i="161"/>
  <c r="I17" i="161"/>
  <c r="J17" i="161"/>
  <c r="K17" i="161"/>
  <c r="E21" i="161"/>
  <c r="F21" i="161"/>
  <c r="G21" i="161"/>
  <c r="H21" i="161"/>
  <c r="I21" i="161"/>
  <c r="J21" i="161"/>
  <c r="K21" i="161"/>
  <c r="E22" i="161"/>
  <c r="F22" i="161"/>
  <c r="G22" i="161"/>
  <c r="H22" i="161"/>
  <c r="I22" i="161"/>
  <c r="J22" i="161"/>
  <c r="K22" i="161"/>
  <c r="E23" i="161"/>
  <c r="F23" i="161"/>
  <c r="G23" i="161"/>
  <c r="H23" i="161"/>
  <c r="I23" i="161"/>
  <c r="J23" i="161"/>
  <c r="E24" i="161"/>
  <c r="F24" i="161"/>
  <c r="G24" i="161"/>
  <c r="H24" i="161"/>
  <c r="I24" i="161"/>
  <c r="J24" i="161"/>
  <c r="E25" i="161"/>
  <c r="F25" i="161"/>
  <c r="G25" i="161"/>
  <c r="H25" i="161"/>
  <c r="I25" i="161"/>
  <c r="J25" i="161"/>
  <c r="E26" i="161"/>
  <c r="F26" i="161"/>
  <c r="G26" i="161"/>
  <c r="H26" i="161"/>
  <c r="I26" i="161"/>
  <c r="J26" i="161"/>
  <c r="E27" i="161"/>
  <c r="F27" i="161"/>
  <c r="G27" i="161"/>
  <c r="H27" i="161"/>
  <c r="I27" i="161"/>
  <c r="J27" i="161"/>
  <c r="E28" i="161"/>
  <c r="F28" i="161"/>
  <c r="G28" i="161"/>
  <c r="H28" i="161"/>
  <c r="I28" i="161"/>
  <c r="J28" i="161"/>
  <c r="E29" i="161"/>
  <c r="F29" i="161"/>
  <c r="G29" i="161"/>
  <c r="H29" i="161"/>
  <c r="I29" i="161"/>
  <c r="J29" i="161"/>
  <c r="E30" i="161"/>
  <c r="F30" i="161"/>
  <c r="G30" i="161"/>
  <c r="H30" i="161"/>
  <c r="I30" i="161"/>
  <c r="J30" i="161"/>
  <c r="E31" i="161"/>
  <c r="F31" i="161"/>
  <c r="G31" i="161"/>
  <c r="H31" i="161"/>
  <c r="I31" i="161"/>
  <c r="J31" i="161"/>
  <c r="E12" i="161"/>
  <c r="C55" i="3"/>
  <c r="I55" i="3"/>
  <c r="J40" i="91" l="1"/>
  <c r="K40" i="91" s="1"/>
  <c r="O10" i="48"/>
  <c r="N10" i="48"/>
  <c r="M10" i="48"/>
  <c r="J42" i="95"/>
  <c r="K42" i="95" s="1"/>
  <c r="J42" i="98"/>
  <c r="K42" i="98" s="1"/>
  <c r="J43" i="93"/>
  <c r="K43" i="93" s="1"/>
  <c r="J42" i="158"/>
  <c r="K42" i="158" s="1"/>
  <c r="J39" i="94"/>
  <c r="K39" i="94" s="1"/>
  <c r="J42" i="97"/>
  <c r="K42" i="97" s="1"/>
  <c r="K74" i="163"/>
  <c r="K73" i="163"/>
  <c r="K24" i="161"/>
  <c r="K26" i="163"/>
  <c r="K30" i="163"/>
  <c r="K28" i="161"/>
  <c r="K26" i="161"/>
  <c r="K24" i="163"/>
  <c r="K25" i="163"/>
  <c r="K28" i="163"/>
  <c r="K29" i="163"/>
  <c r="K32" i="163"/>
  <c r="K27" i="163"/>
  <c r="K31" i="163"/>
  <c r="E5" i="163"/>
  <c r="J64" i="163" s="1"/>
  <c r="K64" i="163" s="1"/>
  <c r="H54" i="163"/>
  <c r="K31" i="161"/>
  <c r="K29" i="161"/>
  <c r="K27" i="161"/>
  <c r="H4" i="163"/>
  <c r="B78" i="163" s="1"/>
  <c r="H55" i="163"/>
  <c r="K30" i="161"/>
  <c r="K25" i="161"/>
  <c r="K23" i="161"/>
  <c r="F19" i="163"/>
  <c r="C21" i="163"/>
  <c r="C41" i="121"/>
  <c r="I41" i="121"/>
  <c r="H99" i="2"/>
  <c r="J43" i="132" s="1"/>
  <c r="K43" i="132" s="1"/>
  <c r="H96" i="2"/>
  <c r="J44" i="125" s="1"/>
  <c r="K44" i="125" s="1"/>
  <c r="C247" i="161"/>
  <c r="B247" i="161"/>
  <c r="C246" i="161"/>
  <c r="B246" i="161"/>
  <c r="C245" i="161"/>
  <c r="B245" i="161"/>
  <c r="C244" i="161"/>
  <c r="B244" i="161"/>
  <c r="C243" i="161"/>
  <c r="B243" i="161"/>
  <c r="H128" i="161"/>
  <c r="H127" i="161"/>
  <c r="H126" i="161"/>
  <c r="H125" i="161"/>
  <c r="H124" i="161"/>
  <c r="H123" i="161"/>
  <c r="H122" i="161"/>
  <c r="H121" i="161"/>
  <c r="H120" i="161"/>
  <c r="H119" i="161"/>
  <c r="H118" i="161"/>
  <c r="H117" i="161"/>
  <c r="H116" i="161"/>
  <c r="H115" i="161"/>
  <c r="H114" i="161"/>
  <c r="H113" i="161"/>
  <c r="F73" i="161"/>
  <c r="I72" i="161"/>
  <c r="F72" i="161"/>
  <c r="I68" i="161"/>
  <c r="K62" i="161"/>
  <c r="K61" i="161"/>
  <c r="K60" i="161"/>
  <c r="K59" i="161"/>
  <c r="K58" i="161"/>
  <c r="K57" i="161"/>
  <c r="K56" i="161"/>
  <c r="C18" i="161"/>
  <c r="F10" i="161"/>
  <c r="E10" i="161"/>
  <c r="B8" i="161"/>
  <c r="A6" i="161"/>
  <c r="C5" i="161"/>
  <c r="F5" i="161" s="1"/>
  <c r="G4" i="161"/>
  <c r="D33" i="140"/>
  <c r="H4" i="161" l="1"/>
  <c r="B76" i="161" s="1"/>
  <c r="P10" i="48"/>
  <c r="B77" i="163"/>
  <c r="K72" i="161"/>
  <c r="K73" i="161"/>
  <c r="F18" i="161"/>
  <c r="E5" i="161"/>
  <c r="J63" i="161" s="1"/>
  <c r="K63" i="161" s="1"/>
  <c r="H53" i="161"/>
  <c r="C20" i="161"/>
  <c r="H54" i="161"/>
  <c r="B77" i="161" l="1"/>
  <c r="E19" i="161"/>
  <c r="G19" i="161"/>
  <c r="A6" i="125"/>
  <c r="G4" i="126"/>
  <c r="C21" i="126" s="1"/>
  <c r="E21" i="126" l="1"/>
  <c r="G21" i="126"/>
  <c r="O63" i="1"/>
  <c r="N63" i="1"/>
  <c r="N62" i="1"/>
  <c r="O62" i="1" s="1"/>
  <c r="P62" i="1" l="1"/>
  <c r="P63" i="1"/>
  <c r="Q62" i="1"/>
  <c r="Q63" i="1"/>
  <c r="R63" i="1" l="1"/>
  <c r="R62" i="1"/>
  <c r="T63" i="1"/>
  <c r="S63" i="1"/>
  <c r="S62" i="1"/>
  <c r="T62" i="1"/>
  <c r="I42" i="67"/>
  <c r="C42" i="67"/>
  <c r="U63" i="1" l="1"/>
  <c r="U62" i="1"/>
  <c r="H68" i="2"/>
  <c r="J41" i="121" l="1"/>
  <c r="K41" i="121" s="1"/>
  <c r="K42" i="120"/>
  <c r="J42" i="120"/>
  <c r="J43" i="65"/>
  <c r="K43" i="65" s="1"/>
  <c r="J42" i="123"/>
  <c r="K42" i="123" s="1"/>
  <c r="J42" i="122"/>
  <c r="K42" i="122" s="1"/>
  <c r="J40" i="119"/>
  <c r="K40" i="119" s="1"/>
  <c r="J41" i="66"/>
  <c r="K41" i="66" s="1"/>
  <c r="J43" i="63"/>
  <c r="K43" i="63" s="1"/>
  <c r="C39" i="60"/>
  <c r="H43" i="2" l="1"/>
  <c r="C75" i="140"/>
  <c r="C246" i="160"/>
  <c r="B246" i="160"/>
  <c r="C245" i="160"/>
  <c r="B245" i="160"/>
  <c r="C244" i="160"/>
  <c r="B244" i="160"/>
  <c r="C243" i="160"/>
  <c r="B243" i="160"/>
  <c r="C242" i="160"/>
  <c r="B242" i="160"/>
  <c r="H127" i="160"/>
  <c r="H126" i="160"/>
  <c r="H125" i="160"/>
  <c r="H124" i="160"/>
  <c r="H123" i="160"/>
  <c r="H122" i="160"/>
  <c r="H121" i="160"/>
  <c r="H120" i="160"/>
  <c r="H119" i="160"/>
  <c r="H118" i="160"/>
  <c r="H117" i="160"/>
  <c r="H116" i="160"/>
  <c r="H115" i="160"/>
  <c r="H114" i="160"/>
  <c r="H113" i="160"/>
  <c r="H112" i="160"/>
  <c r="I72" i="160"/>
  <c r="F72" i="160"/>
  <c r="I71" i="160"/>
  <c r="F71" i="160"/>
  <c r="I67" i="160"/>
  <c r="H67" i="160"/>
  <c r="K60" i="160"/>
  <c r="J60" i="160"/>
  <c r="I60" i="160"/>
  <c r="C60" i="160"/>
  <c r="K59" i="160"/>
  <c r="J59" i="160"/>
  <c r="I59" i="160"/>
  <c r="C59" i="160"/>
  <c r="K58" i="160"/>
  <c r="J58" i="160"/>
  <c r="I58" i="160"/>
  <c r="C58" i="160"/>
  <c r="K57" i="160"/>
  <c r="J57" i="160"/>
  <c r="I57" i="160"/>
  <c r="C57" i="160"/>
  <c r="K56" i="160"/>
  <c r="J56" i="160"/>
  <c r="I56" i="160"/>
  <c r="C56" i="160"/>
  <c r="K55" i="160"/>
  <c r="J55" i="160"/>
  <c r="I55" i="160"/>
  <c r="C55" i="160"/>
  <c r="K54" i="160"/>
  <c r="J54" i="160"/>
  <c r="I54" i="160"/>
  <c r="C54" i="160"/>
  <c r="K53" i="160"/>
  <c r="J53" i="160"/>
  <c r="I53" i="160"/>
  <c r="C53" i="160"/>
  <c r="K52" i="160"/>
  <c r="J52" i="160"/>
  <c r="I52" i="160"/>
  <c r="C52" i="160"/>
  <c r="K51" i="160"/>
  <c r="J51" i="160"/>
  <c r="I51" i="160"/>
  <c r="C51" i="160"/>
  <c r="K50" i="160"/>
  <c r="J50" i="160"/>
  <c r="I50" i="160"/>
  <c r="C50" i="160"/>
  <c r="K49" i="160"/>
  <c r="J49" i="160"/>
  <c r="I49" i="160"/>
  <c r="C49" i="160"/>
  <c r="I48" i="160"/>
  <c r="C48" i="160"/>
  <c r="I47" i="160"/>
  <c r="C47" i="160"/>
  <c r="I46" i="160"/>
  <c r="C46" i="160"/>
  <c r="J45" i="160"/>
  <c r="K45" i="160" s="1"/>
  <c r="I45" i="160"/>
  <c r="C45" i="160"/>
  <c r="I44" i="160"/>
  <c r="C44" i="160"/>
  <c r="J43" i="160"/>
  <c r="K43" i="160" s="1"/>
  <c r="I43" i="160"/>
  <c r="C43" i="160"/>
  <c r="I42" i="160"/>
  <c r="C42" i="160"/>
  <c r="I41" i="160"/>
  <c r="C41" i="160"/>
  <c r="I40" i="160"/>
  <c r="C40" i="160"/>
  <c r="I39" i="160"/>
  <c r="C39" i="160"/>
  <c r="I38" i="160"/>
  <c r="C38" i="160"/>
  <c r="I37" i="160"/>
  <c r="C37" i="160"/>
  <c r="J31" i="160"/>
  <c r="I31" i="160"/>
  <c r="H31" i="160"/>
  <c r="G31" i="160"/>
  <c r="F31" i="160"/>
  <c r="E31" i="160"/>
  <c r="J30" i="160"/>
  <c r="I30" i="160"/>
  <c r="H30" i="160"/>
  <c r="G30" i="160"/>
  <c r="F30" i="160"/>
  <c r="E30" i="160"/>
  <c r="J29" i="160"/>
  <c r="I29" i="160"/>
  <c r="H29" i="160"/>
  <c r="G29" i="160"/>
  <c r="F29" i="160"/>
  <c r="E29" i="160"/>
  <c r="J28" i="160"/>
  <c r="I28" i="160"/>
  <c r="H28" i="160"/>
  <c r="G28" i="160"/>
  <c r="F28" i="160"/>
  <c r="E28" i="160"/>
  <c r="J27" i="160"/>
  <c r="I27" i="160"/>
  <c r="H27" i="160"/>
  <c r="G27" i="160"/>
  <c r="F27" i="160"/>
  <c r="E27" i="160"/>
  <c r="J26" i="160"/>
  <c r="I26" i="160"/>
  <c r="H26" i="160"/>
  <c r="G26" i="160"/>
  <c r="F26" i="160"/>
  <c r="E26" i="160"/>
  <c r="J25" i="160"/>
  <c r="I25" i="160"/>
  <c r="H25" i="160"/>
  <c r="G25" i="160"/>
  <c r="F25" i="160"/>
  <c r="E25" i="160"/>
  <c r="J24" i="160"/>
  <c r="I24" i="160"/>
  <c r="H24" i="160"/>
  <c r="G24" i="160"/>
  <c r="F24" i="160"/>
  <c r="E24" i="160"/>
  <c r="J23" i="160"/>
  <c r="I23" i="160"/>
  <c r="H23" i="160"/>
  <c r="G23" i="160"/>
  <c r="F23" i="160"/>
  <c r="E23" i="160"/>
  <c r="J22" i="160"/>
  <c r="I22" i="160"/>
  <c r="H22" i="160"/>
  <c r="G22" i="160"/>
  <c r="F22" i="160"/>
  <c r="E22" i="160"/>
  <c r="J21" i="160"/>
  <c r="I21" i="160"/>
  <c r="H21" i="160"/>
  <c r="G21" i="160"/>
  <c r="F21" i="160"/>
  <c r="E21" i="160"/>
  <c r="J20" i="160"/>
  <c r="I20" i="160"/>
  <c r="H20" i="160"/>
  <c r="G20" i="160"/>
  <c r="F20" i="160"/>
  <c r="E20" i="160"/>
  <c r="J19" i="160"/>
  <c r="I19" i="160"/>
  <c r="H19" i="160"/>
  <c r="G19" i="160"/>
  <c r="F19" i="160"/>
  <c r="E19" i="160"/>
  <c r="J18" i="160"/>
  <c r="I18" i="160"/>
  <c r="H18" i="160"/>
  <c r="G18" i="160"/>
  <c r="F18" i="160"/>
  <c r="E18" i="160"/>
  <c r="K17" i="160"/>
  <c r="J17" i="160"/>
  <c r="I17" i="160"/>
  <c r="H17" i="160"/>
  <c r="G17" i="160"/>
  <c r="F17" i="160"/>
  <c r="E17" i="160"/>
  <c r="K15" i="160"/>
  <c r="J15" i="160"/>
  <c r="I15" i="160"/>
  <c r="H15" i="160"/>
  <c r="G15" i="160"/>
  <c r="F15" i="160"/>
  <c r="E15" i="160"/>
  <c r="K14" i="160"/>
  <c r="J14" i="160"/>
  <c r="I14" i="160"/>
  <c r="H14" i="160"/>
  <c r="G14" i="160"/>
  <c r="F14" i="160"/>
  <c r="E14" i="160"/>
  <c r="E13" i="160"/>
  <c r="E12" i="160"/>
  <c r="F10" i="160"/>
  <c r="E10" i="160"/>
  <c r="B8" i="160"/>
  <c r="B7" i="160"/>
  <c r="A6" i="160"/>
  <c r="C5" i="160"/>
  <c r="H4" i="160"/>
  <c r="A3" i="2"/>
  <c r="A4" i="2" s="1"/>
  <c r="A5" i="2" s="1"/>
  <c r="A6" i="2" s="1"/>
  <c r="A7" i="2" s="1"/>
  <c r="A8" i="2" s="1"/>
  <c r="A9" i="2" s="1"/>
  <c r="A10" i="2" s="1"/>
  <c r="A11" i="2" s="1"/>
  <c r="A12" i="2" s="1"/>
  <c r="A13" i="2" s="1"/>
  <c r="H80" i="2"/>
  <c r="H39" i="2"/>
  <c r="J49" i="93" s="1"/>
  <c r="K49" i="93" s="1"/>
  <c r="H47" i="2"/>
  <c r="H40" i="2"/>
  <c r="J55" i="3" s="1"/>
  <c r="K55" i="3" s="1"/>
  <c r="D75" i="140"/>
  <c r="A14" i="2" l="1"/>
  <c r="A15" i="2" s="1"/>
  <c r="A16" i="2" s="1"/>
  <c r="A17" i="2" s="1"/>
  <c r="A18" i="2" s="1"/>
  <c r="A19" i="2" s="1"/>
  <c r="A20" i="2" s="1"/>
  <c r="A21" i="2" s="1"/>
  <c r="A22" i="2" s="1"/>
  <c r="A23" i="2" s="1"/>
  <c r="A24" i="2" s="1"/>
  <c r="A25" i="2" s="1"/>
  <c r="A26" i="2" s="1"/>
  <c r="A27" i="2" s="1"/>
  <c r="A28" i="2" s="1"/>
  <c r="A29" i="2" s="1"/>
  <c r="A30" i="2" s="1"/>
  <c r="A31" i="2" s="1"/>
  <c r="A32" i="2" s="1"/>
  <c r="A33"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K71" i="160"/>
  <c r="K72" i="160"/>
  <c r="J52" i="163"/>
  <c r="K52" i="163" s="1"/>
  <c r="J51" i="161"/>
  <c r="K51" i="161" s="1"/>
  <c r="K25" i="160"/>
  <c r="K27" i="160"/>
  <c r="K23" i="160"/>
  <c r="K24" i="160"/>
  <c r="K31" i="160"/>
  <c r="K22" i="160"/>
  <c r="K30" i="160"/>
  <c r="K18" i="160"/>
  <c r="K26" i="160"/>
  <c r="K21" i="160"/>
  <c r="K29" i="160"/>
  <c r="K20" i="160"/>
  <c r="K28" i="160"/>
  <c r="K19" i="160"/>
  <c r="E33" i="160"/>
  <c r="H47" i="160"/>
  <c r="B75" i="160"/>
  <c r="B76" i="160"/>
  <c r="E5" i="160"/>
  <c r="J61" i="160" s="1"/>
  <c r="K61" i="160" s="1"/>
  <c r="A76" i="2" l="1"/>
  <c r="A77" i="2" s="1"/>
  <c r="A78" i="2" s="1"/>
  <c r="A79" i="2" s="1"/>
  <c r="A80" i="2" s="1"/>
  <c r="A81" i="2" s="1"/>
  <c r="A82" i="2" s="1"/>
  <c r="N73" i="1"/>
  <c r="Q73" i="1" s="1"/>
  <c r="N72" i="1"/>
  <c r="Q72" i="1" s="1"/>
  <c r="T71" i="1"/>
  <c r="S71" i="1"/>
  <c r="O71" i="1"/>
  <c r="N71" i="1"/>
  <c r="Q71" i="1" s="1"/>
  <c r="N70" i="1"/>
  <c r="Q70" i="1" s="1"/>
  <c r="N69" i="1"/>
  <c r="Q69" i="1" s="1"/>
  <c r="N68" i="1"/>
  <c r="Q68" i="1" s="1"/>
  <c r="N67" i="1"/>
  <c r="N66" i="1"/>
  <c r="Q66" i="1" s="1"/>
  <c r="T65" i="1"/>
  <c r="S65" i="1"/>
  <c r="O65" i="1"/>
  <c r="N65" i="1"/>
  <c r="Q65" i="1" s="1"/>
  <c r="N64" i="1"/>
  <c r="Q64" i="1" s="1"/>
  <c r="N61" i="1"/>
  <c r="Q61" i="1" s="1"/>
  <c r="N60" i="1"/>
  <c r="Q60" i="1" s="1"/>
  <c r="N59" i="1"/>
  <c r="Q59" i="1" s="1"/>
  <c r="N58" i="1"/>
  <c r="Q58" i="1" s="1"/>
  <c r="N57" i="1"/>
  <c r="Q57" i="1" s="1"/>
  <c r="Q56" i="1"/>
  <c r="N55" i="1"/>
  <c r="Q55" i="1" s="1"/>
  <c r="N54" i="1"/>
  <c r="Q54" i="1" s="1"/>
  <c r="N53" i="1"/>
  <c r="Q53" i="1" s="1"/>
  <c r="N52" i="1"/>
  <c r="Q52" i="1" s="1"/>
  <c r="N51" i="1"/>
  <c r="Q51" i="1" s="1"/>
  <c r="A83" i="2" l="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R65" i="1"/>
  <c r="U65" i="1" s="1"/>
  <c r="R71" i="1"/>
  <c r="U71" i="1" s="1"/>
  <c r="O53" i="1"/>
  <c r="O56" i="1"/>
  <c r="O59" i="1"/>
  <c r="O67" i="1"/>
  <c r="O68" i="1"/>
  <c r="O72" i="1"/>
  <c r="O73" i="1"/>
  <c r="O52" i="1"/>
  <c r="O54" i="1"/>
  <c r="O57" i="1"/>
  <c r="O60" i="1"/>
  <c r="O66" i="1"/>
  <c r="H12" i="163" s="1"/>
  <c r="O69" i="1"/>
  <c r="P51" i="1"/>
  <c r="R51" i="1" s="1"/>
  <c r="P52" i="1"/>
  <c r="P53" i="1"/>
  <c r="R53" i="1" s="1"/>
  <c r="P54" i="1"/>
  <c r="R54" i="1" s="1"/>
  <c r="P55" i="1"/>
  <c r="R55" i="1" s="1"/>
  <c r="P56" i="1"/>
  <c r="R56" i="1" s="1"/>
  <c r="P57" i="1"/>
  <c r="R57" i="1" s="1"/>
  <c r="P58" i="1"/>
  <c r="R58" i="1" s="1"/>
  <c r="P59" i="1"/>
  <c r="P60" i="1"/>
  <c r="P61" i="1"/>
  <c r="P64" i="1"/>
  <c r="R64" i="1" s="1"/>
  <c r="P65" i="1"/>
  <c r="P66" i="1"/>
  <c r="R67" i="1"/>
  <c r="P68" i="1"/>
  <c r="R68" i="1" s="1"/>
  <c r="P69" i="1"/>
  <c r="R69" i="1" s="1"/>
  <c r="P70" i="1"/>
  <c r="P71" i="1"/>
  <c r="P72" i="1"/>
  <c r="R72" i="1" s="1"/>
  <c r="P73" i="1"/>
  <c r="R73" i="1" s="1"/>
  <c r="O51" i="1"/>
  <c r="O55" i="1"/>
  <c r="O58" i="1"/>
  <c r="H13" i="160" s="1"/>
  <c r="O61" i="1"/>
  <c r="H12" i="164" s="1"/>
  <c r="O70" i="1"/>
  <c r="C83" i="140"/>
  <c r="C84" i="140"/>
  <c r="C81" i="140"/>
  <c r="C82" i="140"/>
  <c r="H16" i="164" l="1"/>
  <c r="H13" i="164"/>
  <c r="A111" i="2"/>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60" i="2" s="1"/>
  <c r="A161" i="2" s="1"/>
  <c r="A162" i="2" s="1"/>
  <c r="A163" i="2" s="1"/>
  <c r="A164" i="2" s="1"/>
  <c r="A165" i="2" s="1"/>
  <c r="A166" i="2" s="1"/>
  <c r="A167" i="2" s="1"/>
  <c r="A168" i="2" s="1"/>
  <c r="A169" i="2" s="1"/>
  <c r="A170" i="2" s="1"/>
  <c r="H19" i="125"/>
  <c r="H16" i="132"/>
  <c r="H18" i="89"/>
  <c r="H13" i="163"/>
  <c r="H12" i="161"/>
  <c r="H16" i="163"/>
  <c r="H14" i="163"/>
  <c r="H13" i="161"/>
  <c r="H15" i="161"/>
  <c r="S61" i="1"/>
  <c r="T61" i="1"/>
  <c r="R61" i="1"/>
  <c r="T70" i="1"/>
  <c r="S70" i="1"/>
  <c r="S66" i="1"/>
  <c r="T66" i="1"/>
  <c r="T60" i="1"/>
  <c r="S60" i="1"/>
  <c r="T56" i="1"/>
  <c r="S56" i="1"/>
  <c r="S52" i="1"/>
  <c r="T52" i="1"/>
  <c r="R66" i="1"/>
  <c r="T67" i="1"/>
  <c r="S67" i="1"/>
  <c r="S53" i="1"/>
  <c r="T53" i="1"/>
  <c r="T73" i="1"/>
  <c r="S73" i="1"/>
  <c r="T69" i="1"/>
  <c r="S69" i="1"/>
  <c r="T59" i="1"/>
  <c r="S59" i="1"/>
  <c r="S55" i="1"/>
  <c r="T55" i="1"/>
  <c r="S51" i="1"/>
  <c r="T51" i="1"/>
  <c r="R60" i="1"/>
  <c r="R52" i="1"/>
  <c r="T57" i="1"/>
  <c r="S57" i="1"/>
  <c r="T72" i="1"/>
  <c r="S72" i="1"/>
  <c r="T68" i="1"/>
  <c r="S68" i="1"/>
  <c r="S64" i="1"/>
  <c r="T64" i="1"/>
  <c r="S58" i="1"/>
  <c r="T58" i="1"/>
  <c r="T54" i="1"/>
  <c r="S54" i="1"/>
  <c r="R70" i="1"/>
  <c r="R59" i="1"/>
  <c r="C39" i="140"/>
  <c r="U68" i="1" l="1"/>
  <c r="U57" i="1"/>
  <c r="U51" i="1"/>
  <c r="U56" i="1"/>
  <c r="U69" i="1"/>
  <c r="U58" i="1"/>
  <c r="J13" i="160" s="1"/>
  <c r="U55" i="1"/>
  <c r="U54" i="1"/>
  <c r="U64" i="1"/>
  <c r="U66" i="1"/>
  <c r="J12" i="163" s="1"/>
  <c r="U73" i="1"/>
  <c r="U61" i="1"/>
  <c r="J12" i="164" s="1"/>
  <c r="U72" i="1"/>
  <c r="U67" i="1"/>
  <c r="U53" i="1"/>
  <c r="U52" i="1"/>
  <c r="U70" i="1"/>
  <c r="U60" i="1"/>
  <c r="U59" i="1"/>
  <c r="J13" i="164" l="1"/>
  <c r="J16" i="164"/>
  <c r="J19" i="125"/>
  <c r="J18" i="89"/>
  <c r="J16" i="132"/>
  <c r="J13" i="163"/>
  <c r="J12" i="161"/>
  <c r="J14" i="163"/>
  <c r="J13" i="161"/>
  <c r="J15" i="161"/>
  <c r="J16" i="163"/>
  <c r="I54" i="130"/>
  <c r="J53" i="130"/>
  <c r="K53" i="130" s="1"/>
  <c r="I53" i="130"/>
  <c r="C53" i="130"/>
  <c r="C55" i="130"/>
  <c r="I55" i="130"/>
  <c r="C56" i="130"/>
  <c r="I56" i="130"/>
  <c r="E24" i="130"/>
  <c r="E25" i="130"/>
  <c r="E26" i="130"/>
  <c r="F26" i="130"/>
  <c r="G26" i="130"/>
  <c r="H26" i="130"/>
  <c r="I26" i="130"/>
  <c r="J26" i="130"/>
  <c r="K26" i="130"/>
  <c r="E27" i="130"/>
  <c r="I54" i="129"/>
  <c r="J53" i="129"/>
  <c r="K53" i="129" s="1"/>
  <c r="I53" i="129"/>
  <c r="C53" i="129"/>
  <c r="I56" i="129"/>
  <c r="C56" i="129"/>
  <c r="I55" i="129"/>
  <c r="C55" i="129"/>
  <c r="E22" i="129"/>
  <c r="E23" i="129"/>
  <c r="E24" i="129"/>
  <c r="F24" i="129"/>
  <c r="G24" i="129"/>
  <c r="H24" i="129"/>
  <c r="I24" i="129"/>
  <c r="J24" i="129"/>
  <c r="E25" i="129"/>
  <c r="I55" i="128"/>
  <c r="J54" i="128"/>
  <c r="K54" i="128" s="1"/>
  <c r="I54" i="128"/>
  <c r="C54" i="128"/>
  <c r="I57" i="128"/>
  <c r="C57" i="128"/>
  <c r="I56" i="128"/>
  <c r="C56" i="128"/>
  <c r="E25" i="128"/>
  <c r="E26" i="128"/>
  <c r="E27" i="128"/>
  <c r="F27" i="128"/>
  <c r="G27" i="128"/>
  <c r="H27" i="128"/>
  <c r="I27" i="128"/>
  <c r="J27" i="128"/>
  <c r="K27" i="128"/>
  <c r="E28" i="128"/>
  <c r="H77" i="2"/>
  <c r="H3" i="2"/>
  <c r="I57" i="127"/>
  <c r="C57" i="127"/>
  <c r="I56" i="127"/>
  <c r="C56" i="127"/>
  <c r="E24" i="127"/>
  <c r="E25" i="127"/>
  <c r="E26" i="127"/>
  <c r="F26" i="127"/>
  <c r="G26" i="127"/>
  <c r="H26" i="127"/>
  <c r="I26" i="127"/>
  <c r="J26" i="127"/>
  <c r="K26" i="127"/>
  <c r="E27" i="127"/>
  <c r="C46" i="98"/>
  <c r="I46" i="98"/>
  <c r="C47" i="98"/>
  <c r="I47" i="98"/>
  <c r="J47" i="98"/>
  <c r="K47" i="98" s="1"/>
  <c r="C48" i="98"/>
  <c r="I48" i="98"/>
  <c r="C49" i="98"/>
  <c r="I49" i="98"/>
  <c r="J49" i="98"/>
  <c r="K49" i="98" s="1"/>
  <c r="C50" i="98"/>
  <c r="I50" i="98"/>
  <c r="C51" i="98"/>
  <c r="I51" i="98"/>
  <c r="C52" i="98"/>
  <c r="I52" i="98"/>
  <c r="C246" i="158"/>
  <c r="B246" i="158"/>
  <c r="C245" i="158"/>
  <c r="B245" i="158"/>
  <c r="C244" i="158"/>
  <c r="B244" i="158"/>
  <c r="C243" i="158"/>
  <c r="B243" i="158"/>
  <c r="C242" i="158"/>
  <c r="B242" i="158"/>
  <c r="H127" i="158"/>
  <c r="H126" i="158"/>
  <c r="H125" i="158"/>
  <c r="H124" i="158"/>
  <c r="H123" i="158"/>
  <c r="H122" i="158"/>
  <c r="H121" i="158"/>
  <c r="H120" i="158"/>
  <c r="H119" i="158"/>
  <c r="H118" i="158"/>
  <c r="H117" i="158"/>
  <c r="H116" i="158"/>
  <c r="H115" i="158"/>
  <c r="H114" i="158"/>
  <c r="H113" i="158"/>
  <c r="H112" i="158"/>
  <c r="I73" i="158"/>
  <c r="F73" i="158"/>
  <c r="I72" i="158"/>
  <c r="F72" i="158"/>
  <c r="K71" i="158"/>
  <c r="I68" i="158"/>
  <c r="H68" i="158"/>
  <c r="K61" i="158"/>
  <c r="J61" i="158"/>
  <c r="I61" i="158"/>
  <c r="C61" i="158"/>
  <c r="K60" i="158"/>
  <c r="J60" i="158"/>
  <c r="I60" i="158"/>
  <c r="C60" i="158"/>
  <c r="K59" i="158"/>
  <c r="J59" i="158"/>
  <c r="I59" i="158"/>
  <c r="C59" i="158"/>
  <c r="K58" i="158"/>
  <c r="J58" i="158"/>
  <c r="I58" i="158"/>
  <c r="C58" i="158"/>
  <c r="K57" i="158"/>
  <c r="J57" i="158"/>
  <c r="I57" i="158"/>
  <c r="C57" i="158"/>
  <c r="K56" i="158"/>
  <c r="J56" i="158"/>
  <c r="I56" i="158"/>
  <c r="C56" i="158"/>
  <c r="K55" i="158"/>
  <c r="J55" i="158"/>
  <c r="I55" i="158"/>
  <c r="C55" i="158"/>
  <c r="K54" i="158"/>
  <c r="J54" i="158"/>
  <c r="I54" i="158"/>
  <c r="C54" i="158"/>
  <c r="K53" i="158"/>
  <c r="J53" i="158"/>
  <c r="I53" i="158"/>
  <c r="C53" i="158"/>
  <c r="I52" i="158"/>
  <c r="C52" i="158"/>
  <c r="I51" i="158"/>
  <c r="C51" i="158"/>
  <c r="I50" i="158"/>
  <c r="C50" i="158"/>
  <c r="J49" i="158"/>
  <c r="K49" i="158" s="1"/>
  <c r="I49" i="158"/>
  <c r="C49" i="158"/>
  <c r="I48" i="158"/>
  <c r="C48" i="158"/>
  <c r="J47" i="158"/>
  <c r="K47" i="158" s="1"/>
  <c r="I47" i="158"/>
  <c r="C47" i="158"/>
  <c r="I46" i="158"/>
  <c r="C46" i="158"/>
  <c r="I45" i="158"/>
  <c r="C45" i="158"/>
  <c r="I44" i="158"/>
  <c r="C44" i="158"/>
  <c r="I43" i="158"/>
  <c r="C43" i="158"/>
  <c r="I41" i="158"/>
  <c r="C41" i="158"/>
  <c r="I40" i="158"/>
  <c r="C40" i="158"/>
  <c r="I39" i="158"/>
  <c r="C39" i="158"/>
  <c r="C38" i="158"/>
  <c r="I37" i="158"/>
  <c r="C37" i="158"/>
  <c r="J31" i="158"/>
  <c r="I31" i="158"/>
  <c r="H31" i="158"/>
  <c r="G31" i="158"/>
  <c r="F31" i="158"/>
  <c r="E31" i="158"/>
  <c r="J30" i="158"/>
  <c r="I30" i="158"/>
  <c r="H30" i="158"/>
  <c r="G30" i="158"/>
  <c r="F30" i="158"/>
  <c r="E30" i="158"/>
  <c r="J29" i="158"/>
  <c r="I29" i="158"/>
  <c r="H29" i="158"/>
  <c r="G29" i="158"/>
  <c r="F29" i="158"/>
  <c r="E29" i="158"/>
  <c r="J28" i="158"/>
  <c r="I28" i="158"/>
  <c r="H28" i="158"/>
  <c r="G28" i="158"/>
  <c r="F28" i="158"/>
  <c r="E28" i="158"/>
  <c r="J27" i="158"/>
  <c r="I27" i="158"/>
  <c r="H27" i="158"/>
  <c r="G27" i="158"/>
  <c r="F27" i="158"/>
  <c r="E27" i="158"/>
  <c r="J26" i="158"/>
  <c r="I26" i="158"/>
  <c r="H26" i="158"/>
  <c r="G26" i="158"/>
  <c r="F26" i="158"/>
  <c r="E26" i="158"/>
  <c r="J25" i="158"/>
  <c r="I25" i="158"/>
  <c r="H25" i="158"/>
  <c r="G25" i="158"/>
  <c r="F25" i="158"/>
  <c r="E25" i="158"/>
  <c r="J24" i="158"/>
  <c r="I24" i="158"/>
  <c r="H24" i="158"/>
  <c r="G24" i="158"/>
  <c r="F24" i="158"/>
  <c r="E24" i="158"/>
  <c r="J23" i="158"/>
  <c r="I23" i="158"/>
  <c r="H23" i="158"/>
  <c r="G23" i="158"/>
  <c r="F23" i="158"/>
  <c r="E23" i="158"/>
  <c r="J22" i="158"/>
  <c r="I22" i="158"/>
  <c r="H22" i="158"/>
  <c r="G22" i="158"/>
  <c r="F22" i="158"/>
  <c r="E22" i="158"/>
  <c r="J21" i="158"/>
  <c r="I21" i="158"/>
  <c r="H21" i="158"/>
  <c r="G21" i="158"/>
  <c r="F21" i="158"/>
  <c r="E21" i="158"/>
  <c r="J20" i="158"/>
  <c r="I20" i="158"/>
  <c r="H20" i="158"/>
  <c r="G20" i="158"/>
  <c r="F20" i="158"/>
  <c r="E20" i="158"/>
  <c r="K19" i="158"/>
  <c r="J19" i="158"/>
  <c r="I19" i="158"/>
  <c r="H19" i="158"/>
  <c r="G19" i="158"/>
  <c r="F19" i="158"/>
  <c r="E19" i="158"/>
  <c r="C17" i="158"/>
  <c r="K16" i="158"/>
  <c r="J16" i="158"/>
  <c r="I16" i="158"/>
  <c r="H16" i="158"/>
  <c r="G16" i="158"/>
  <c r="F16" i="158"/>
  <c r="E16" i="158"/>
  <c r="K15" i="158"/>
  <c r="J15" i="158"/>
  <c r="I15" i="158"/>
  <c r="H15" i="158"/>
  <c r="G15" i="158"/>
  <c r="F15" i="158"/>
  <c r="E15" i="158"/>
  <c r="E14" i="158"/>
  <c r="E13" i="158"/>
  <c r="E12" i="158"/>
  <c r="F10" i="158"/>
  <c r="E10" i="158"/>
  <c r="B8" i="158"/>
  <c r="B7" i="158"/>
  <c r="A6" i="158"/>
  <c r="C5" i="158"/>
  <c r="F5" i="158" s="1"/>
  <c r="G4" i="158"/>
  <c r="C18" i="158" s="1"/>
  <c r="H161" i="2"/>
  <c r="C47" i="95"/>
  <c r="I47" i="95"/>
  <c r="C48" i="95"/>
  <c r="I48" i="95"/>
  <c r="J48" i="95"/>
  <c r="K48" i="95" s="1"/>
  <c r="C49" i="95"/>
  <c r="I49" i="95"/>
  <c r="C50" i="95"/>
  <c r="I50" i="95"/>
  <c r="J50" i="95"/>
  <c r="K50" i="95" s="1"/>
  <c r="C51" i="95"/>
  <c r="I51" i="95"/>
  <c r="C52" i="95"/>
  <c r="I52" i="95"/>
  <c r="D53" i="95"/>
  <c r="I53" i="95"/>
  <c r="C43" i="94"/>
  <c r="I43" i="94"/>
  <c r="C44" i="94"/>
  <c r="I44" i="94"/>
  <c r="J44" i="94"/>
  <c r="K44" i="94" s="1"/>
  <c r="C45" i="94"/>
  <c r="I45" i="94"/>
  <c r="C46" i="94"/>
  <c r="I46" i="94"/>
  <c r="J46" i="94"/>
  <c r="K46" i="94" s="1"/>
  <c r="C47" i="94"/>
  <c r="I47" i="94"/>
  <c r="C48" i="94"/>
  <c r="I48" i="94"/>
  <c r="C49" i="94"/>
  <c r="I49" i="94"/>
  <c r="C45" i="93"/>
  <c r="I45" i="93"/>
  <c r="C46" i="93"/>
  <c r="I46" i="93"/>
  <c r="J46" i="93"/>
  <c r="K46" i="93" s="1"/>
  <c r="C47" i="93"/>
  <c r="I47" i="93"/>
  <c r="C50" i="93"/>
  <c r="I50" i="93"/>
  <c r="C51" i="93"/>
  <c r="I51" i="93"/>
  <c r="C49" i="92"/>
  <c r="I49" i="92"/>
  <c r="C50" i="92"/>
  <c r="I50" i="92"/>
  <c r="J50" i="92"/>
  <c r="K50" i="92" s="1"/>
  <c r="C51" i="92"/>
  <c r="I51" i="92"/>
  <c r="C54" i="92"/>
  <c r="I54" i="92"/>
  <c r="C55" i="92"/>
  <c r="I55" i="92"/>
  <c r="C44" i="91"/>
  <c r="I44" i="91"/>
  <c r="I45" i="91"/>
  <c r="J45" i="91"/>
  <c r="K45" i="91" s="1"/>
  <c r="C46" i="91"/>
  <c r="I46" i="91"/>
  <c r="C49" i="91"/>
  <c r="I49" i="91"/>
  <c r="C50" i="91"/>
  <c r="I50" i="91"/>
  <c r="C41" i="77"/>
  <c r="I41" i="77"/>
  <c r="C42" i="77"/>
  <c r="I42" i="77"/>
  <c r="C44" i="77"/>
  <c r="I44" i="77"/>
  <c r="C45" i="77"/>
  <c r="I45" i="77"/>
  <c r="C51" i="77"/>
  <c r="I51" i="77"/>
  <c r="C52" i="77"/>
  <c r="I52" i="77"/>
  <c r="C53" i="77"/>
  <c r="I53" i="77"/>
  <c r="K46" i="77"/>
  <c r="C21" i="77"/>
  <c r="E24" i="77"/>
  <c r="F24" i="77"/>
  <c r="G24" i="77"/>
  <c r="H24" i="77"/>
  <c r="I24" i="77"/>
  <c r="J24" i="77"/>
  <c r="K24" i="77"/>
  <c r="E25" i="77"/>
  <c r="F25" i="77"/>
  <c r="G25" i="77"/>
  <c r="H25" i="77"/>
  <c r="I25" i="77"/>
  <c r="J25" i="77"/>
  <c r="K25" i="77"/>
  <c r="H146" i="2"/>
  <c r="C48" i="157"/>
  <c r="I48" i="157"/>
  <c r="C49" i="157"/>
  <c r="I49" i="157"/>
  <c r="C50" i="157"/>
  <c r="I50" i="157"/>
  <c r="C51" i="157"/>
  <c r="I51" i="157"/>
  <c r="C52" i="157"/>
  <c r="I52" i="157"/>
  <c r="C53" i="157"/>
  <c r="I53" i="157"/>
  <c r="C54" i="157"/>
  <c r="I54" i="157"/>
  <c r="C55" i="157"/>
  <c r="I55" i="157"/>
  <c r="C56" i="157"/>
  <c r="I56" i="157"/>
  <c r="C57" i="157"/>
  <c r="I57" i="157"/>
  <c r="C58" i="157"/>
  <c r="I58" i="157"/>
  <c r="J55" i="128"/>
  <c r="K55" i="128" s="1"/>
  <c r="H150" i="2"/>
  <c r="H160" i="2"/>
  <c r="H159" i="2"/>
  <c r="H57" i="2"/>
  <c r="J48" i="157" s="1"/>
  <c r="K48" i="157" s="1"/>
  <c r="H69" i="2"/>
  <c r="H88" i="2"/>
  <c r="H76" i="2"/>
  <c r="H112" i="2"/>
  <c r="H73" i="2"/>
  <c r="H105" i="2"/>
  <c r="H81" i="2"/>
  <c r="H110" i="2"/>
  <c r="H111" i="2"/>
  <c r="H79" i="2"/>
  <c r="H63" i="2"/>
  <c r="J40" i="158" s="1"/>
  <c r="K40" i="158" s="1"/>
  <c r="H62" i="2"/>
  <c r="D67" i="140"/>
  <c r="G18" i="158" l="1"/>
  <c r="E18" i="158"/>
  <c r="K72" i="158"/>
  <c r="K73" i="158"/>
  <c r="J38" i="158"/>
  <c r="K38" i="158" s="1"/>
  <c r="J54" i="129"/>
  <c r="K54" i="129" s="1"/>
  <c r="J54" i="130"/>
  <c r="K54" i="130" s="1"/>
  <c r="K31" i="158"/>
  <c r="K27" i="158"/>
  <c r="K28" i="158"/>
  <c r="K22" i="158"/>
  <c r="K26" i="158"/>
  <c r="K21" i="158"/>
  <c r="K25" i="158"/>
  <c r="K30" i="158"/>
  <c r="K29" i="158"/>
  <c r="K20" i="158"/>
  <c r="K23" i="158"/>
  <c r="K24" i="158"/>
  <c r="E5" i="158"/>
  <c r="J62" i="158" s="1"/>
  <c r="K62" i="158" s="1"/>
  <c r="H51" i="158"/>
  <c r="H4" i="158"/>
  <c r="F21" i="77"/>
  <c r="C245" i="157"/>
  <c r="B245" i="157"/>
  <c r="C244" i="157"/>
  <c r="B244" i="157"/>
  <c r="C243" i="157"/>
  <c r="B243" i="157"/>
  <c r="C242" i="157"/>
  <c r="B242" i="157"/>
  <c r="C241" i="157"/>
  <c r="B241" i="157"/>
  <c r="H126" i="157"/>
  <c r="H125" i="157"/>
  <c r="H124" i="157"/>
  <c r="H123" i="157"/>
  <c r="H122" i="157"/>
  <c r="H121" i="157"/>
  <c r="H120" i="157"/>
  <c r="H119" i="157"/>
  <c r="H118" i="157"/>
  <c r="H117" i="157"/>
  <c r="H116" i="157"/>
  <c r="H115" i="157"/>
  <c r="H114" i="157"/>
  <c r="H113" i="157"/>
  <c r="H112" i="157"/>
  <c r="H111" i="157"/>
  <c r="I71" i="157"/>
  <c r="F71" i="157"/>
  <c r="I70" i="157"/>
  <c r="F70" i="157"/>
  <c r="K69" i="157"/>
  <c r="I66" i="157"/>
  <c r="H66" i="157"/>
  <c r="K60" i="157"/>
  <c r="J60" i="157"/>
  <c r="I60" i="157"/>
  <c r="C60" i="157"/>
  <c r="K59" i="157"/>
  <c r="J59" i="157"/>
  <c r="I59" i="157"/>
  <c r="C59" i="157"/>
  <c r="I47" i="157"/>
  <c r="C47" i="157"/>
  <c r="I45" i="157"/>
  <c r="C45" i="157"/>
  <c r="I44" i="157"/>
  <c r="C44" i="157"/>
  <c r="I43" i="157"/>
  <c r="C43" i="157"/>
  <c r="I42" i="157"/>
  <c r="C42" i="157"/>
  <c r="I41" i="157"/>
  <c r="C41" i="157"/>
  <c r="I40" i="157"/>
  <c r="C40" i="157"/>
  <c r="I39" i="157"/>
  <c r="C39" i="157"/>
  <c r="I38" i="157"/>
  <c r="C38" i="157"/>
  <c r="I37" i="157"/>
  <c r="C37" i="157"/>
  <c r="J31" i="157"/>
  <c r="I31" i="157"/>
  <c r="H31" i="157"/>
  <c r="G31" i="157"/>
  <c r="F31" i="157"/>
  <c r="E31" i="157"/>
  <c r="J30" i="157"/>
  <c r="I30" i="157"/>
  <c r="H30" i="157"/>
  <c r="G30" i="157"/>
  <c r="F30" i="157"/>
  <c r="E30" i="157"/>
  <c r="J29" i="157"/>
  <c r="I29" i="157"/>
  <c r="H29" i="157"/>
  <c r="G29" i="157"/>
  <c r="F29" i="157"/>
  <c r="E29" i="157"/>
  <c r="J28" i="157"/>
  <c r="I28" i="157"/>
  <c r="H28" i="157"/>
  <c r="G28" i="157"/>
  <c r="F28" i="157"/>
  <c r="E28" i="157"/>
  <c r="J27" i="157"/>
  <c r="I27" i="157"/>
  <c r="H27" i="157"/>
  <c r="G27" i="157"/>
  <c r="F27" i="157"/>
  <c r="E27" i="157"/>
  <c r="J26" i="157"/>
  <c r="I26" i="157"/>
  <c r="H26" i="157"/>
  <c r="G26" i="157"/>
  <c r="F26" i="157"/>
  <c r="E26" i="157"/>
  <c r="J25" i="157"/>
  <c r="I25" i="157"/>
  <c r="H25" i="157"/>
  <c r="G25" i="157"/>
  <c r="F25" i="157"/>
  <c r="E25" i="157"/>
  <c r="J24" i="157"/>
  <c r="I24" i="157"/>
  <c r="H24" i="157"/>
  <c r="G24" i="157"/>
  <c r="F24" i="157"/>
  <c r="E24" i="157"/>
  <c r="J23" i="157"/>
  <c r="I23" i="157"/>
  <c r="H23" i="157"/>
  <c r="G23" i="157"/>
  <c r="F23" i="157"/>
  <c r="E23" i="157"/>
  <c r="K22" i="157"/>
  <c r="J22" i="157"/>
  <c r="I22" i="157"/>
  <c r="H22" i="157"/>
  <c r="G22" i="157"/>
  <c r="F22" i="157"/>
  <c r="E22" i="157"/>
  <c r="K21" i="157"/>
  <c r="J21" i="157"/>
  <c r="I21" i="157"/>
  <c r="H21" i="157"/>
  <c r="G21" i="157"/>
  <c r="F21" i="157"/>
  <c r="E21" i="157"/>
  <c r="K18" i="157"/>
  <c r="J18" i="157"/>
  <c r="I18" i="157"/>
  <c r="H18" i="157"/>
  <c r="G18" i="157"/>
  <c r="F18" i="157"/>
  <c r="E18" i="157"/>
  <c r="K17" i="157"/>
  <c r="J17" i="157"/>
  <c r="I17" i="157"/>
  <c r="H17" i="157"/>
  <c r="G17" i="157"/>
  <c r="F17" i="157"/>
  <c r="E17" i="157"/>
  <c r="E16" i="157"/>
  <c r="C15" i="157"/>
  <c r="E14" i="157"/>
  <c r="E13" i="157"/>
  <c r="E12" i="157"/>
  <c r="F10" i="157"/>
  <c r="E10" i="157"/>
  <c r="B8" i="157"/>
  <c r="B7" i="157"/>
  <c r="A6" i="157"/>
  <c r="C5" i="157"/>
  <c r="E5" i="157" s="1"/>
  <c r="G4" i="157"/>
  <c r="C246" i="156"/>
  <c r="B246" i="156"/>
  <c r="C245" i="156"/>
  <c r="B245" i="156"/>
  <c r="C244" i="156"/>
  <c r="B244" i="156"/>
  <c r="C243" i="156"/>
  <c r="B243" i="156"/>
  <c r="C242" i="156"/>
  <c r="B242" i="156"/>
  <c r="H127" i="156"/>
  <c r="H126" i="156"/>
  <c r="H125" i="156"/>
  <c r="H124" i="156"/>
  <c r="H123" i="156"/>
  <c r="H122" i="156"/>
  <c r="H121" i="156"/>
  <c r="H120" i="156"/>
  <c r="H119" i="156"/>
  <c r="H118" i="156"/>
  <c r="H117" i="156"/>
  <c r="H116" i="156"/>
  <c r="H115" i="156"/>
  <c r="H114" i="156"/>
  <c r="H113" i="156"/>
  <c r="H112" i="156"/>
  <c r="I72" i="156"/>
  <c r="F72" i="156"/>
  <c r="I71" i="156"/>
  <c r="F71" i="156"/>
  <c r="I67" i="156"/>
  <c r="H67" i="156"/>
  <c r="K61" i="156"/>
  <c r="J61" i="156"/>
  <c r="I61" i="156"/>
  <c r="C61" i="156"/>
  <c r="K60" i="156"/>
  <c r="J60" i="156"/>
  <c r="I60" i="156"/>
  <c r="C60" i="156"/>
  <c r="I57" i="156"/>
  <c r="C57" i="156"/>
  <c r="I56" i="156"/>
  <c r="C56" i="156"/>
  <c r="I55" i="156"/>
  <c r="C55" i="156"/>
  <c r="I54" i="156"/>
  <c r="C54" i="156"/>
  <c r="I53" i="156"/>
  <c r="C53" i="156"/>
  <c r="I52" i="156"/>
  <c r="C52" i="156"/>
  <c r="I51" i="156"/>
  <c r="C51" i="156"/>
  <c r="I50" i="156"/>
  <c r="C50" i="156"/>
  <c r="I49" i="156"/>
  <c r="C49" i="156"/>
  <c r="I48" i="156"/>
  <c r="C48" i="156"/>
  <c r="I47" i="156"/>
  <c r="C47" i="156"/>
  <c r="I45" i="156"/>
  <c r="C45" i="156"/>
  <c r="I44" i="156"/>
  <c r="C44" i="156"/>
  <c r="I43" i="156"/>
  <c r="C43" i="156"/>
  <c r="I42" i="156"/>
  <c r="C42" i="156"/>
  <c r="I41" i="156"/>
  <c r="C41" i="156"/>
  <c r="I40" i="156"/>
  <c r="C40" i="156"/>
  <c r="I39" i="156"/>
  <c r="C39" i="156"/>
  <c r="I38" i="156"/>
  <c r="C38" i="156"/>
  <c r="I37" i="156"/>
  <c r="C37" i="156"/>
  <c r="J31" i="156"/>
  <c r="I31" i="156"/>
  <c r="H31" i="156"/>
  <c r="G31" i="156"/>
  <c r="F31" i="156"/>
  <c r="E31" i="156"/>
  <c r="J30" i="156"/>
  <c r="I30" i="156"/>
  <c r="H30" i="156"/>
  <c r="G30" i="156"/>
  <c r="F30" i="156"/>
  <c r="E30" i="156"/>
  <c r="J29" i="156"/>
  <c r="I29" i="156"/>
  <c r="H29" i="156"/>
  <c r="G29" i="156"/>
  <c r="F29" i="156"/>
  <c r="E29" i="156"/>
  <c r="J28" i="156"/>
  <c r="I28" i="156"/>
  <c r="H28" i="156"/>
  <c r="G28" i="156"/>
  <c r="F28" i="156"/>
  <c r="E28" i="156"/>
  <c r="J27" i="156"/>
  <c r="I27" i="156"/>
  <c r="H27" i="156"/>
  <c r="G27" i="156"/>
  <c r="F27" i="156"/>
  <c r="E27" i="156"/>
  <c r="J26" i="156"/>
  <c r="I26" i="156"/>
  <c r="H26" i="156"/>
  <c r="G26" i="156"/>
  <c r="F26" i="156"/>
  <c r="E26" i="156"/>
  <c r="J25" i="156"/>
  <c r="I25" i="156"/>
  <c r="H25" i="156"/>
  <c r="G25" i="156"/>
  <c r="F25" i="156"/>
  <c r="E25" i="156"/>
  <c r="J24" i="156"/>
  <c r="I24" i="156"/>
  <c r="H24" i="156"/>
  <c r="G24" i="156"/>
  <c r="F24" i="156"/>
  <c r="E24" i="156"/>
  <c r="J23" i="156"/>
  <c r="I23" i="156"/>
  <c r="H23" i="156"/>
  <c r="G23" i="156"/>
  <c r="F23" i="156"/>
  <c r="E23" i="156"/>
  <c r="K22" i="156"/>
  <c r="J22" i="156"/>
  <c r="I22" i="156"/>
  <c r="H22" i="156"/>
  <c r="G22" i="156"/>
  <c r="F22" i="156"/>
  <c r="E22" i="156"/>
  <c r="K21" i="156"/>
  <c r="J21" i="156"/>
  <c r="I21" i="156"/>
  <c r="H21" i="156"/>
  <c r="G21" i="156"/>
  <c r="F21" i="156"/>
  <c r="E21" i="156"/>
  <c r="K18" i="156"/>
  <c r="J18" i="156"/>
  <c r="I18" i="156"/>
  <c r="H18" i="156"/>
  <c r="G18" i="156"/>
  <c r="F18" i="156"/>
  <c r="E18" i="156"/>
  <c r="K17" i="156"/>
  <c r="J17" i="156"/>
  <c r="I17" i="156"/>
  <c r="H17" i="156"/>
  <c r="G17" i="156"/>
  <c r="F17" i="156"/>
  <c r="E17" i="156"/>
  <c r="E16" i="156"/>
  <c r="C15" i="156"/>
  <c r="F15" i="156" s="1"/>
  <c r="E14" i="156"/>
  <c r="E13" i="156"/>
  <c r="E12" i="156"/>
  <c r="F10" i="156"/>
  <c r="E10" i="156"/>
  <c r="B8" i="156"/>
  <c r="B7" i="156"/>
  <c r="A6" i="156"/>
  <c r="C5" i="156"/>
  <c r="E5" i="156" s="1"/>
  <c r="G4" i="156"/>
  <c r="G19" i="157" l="1"/>
  <c r="E19" i="157"/>
  <c r="K71" i="157"/>
  <c r="K70" i="157"/>
  <c r="K71" i="156"/>
  <c r="B76" i="158"/>
  <c r="B77" i="158"/>
  <c r="K72" i="156"/>
  <c r="F15" i="157"/>
  <c r="H4" i="156"/>
  <c r="B75" i="156" s="1"/>
  <c r="H55" i="156"/>
  <c r="H56" i="156"/>
  <c r="H4" i="157"/>
  <c r="B75" i="157" s="1"/>
  <c r="H56" i="157"/>
  <c r="H57" i="157"/>
  <c r="K26" i="156"/>
  <c r="K27" i="156"/>
  <c r="K25" i="156"/>
  <c r="K24" i="157"/>
  <c r="K25" i="157"/>
  <c r="K28" i="157"/>
  <c r="K29" i="157"/>
  <c r="K23" i="157"/>
  <c r="K26" i="157"/>
  <c r="K27" i="157"/>
  <c r="K30" i="157"/>
  <c r="K31" i="157"/>
  <c r="F5" i="156"/>
  <c r="J62" i="156" s="1"/>
  <c r="F5" i="157"/>
  <c r="J61" i="157" s="1"/>
  <c r="K61" i="157" s="1"/>
  <c r="K28" i="156"/>
  <c r="K29" i="156"/>
  <c r="K24" i="156"/>
  <c r="K23" i="156"/>
  <c r="C20" i="157"/>
  <c r="K30" i="156"/>
  <c r="K31" i="156"/>
  <c r="C20" i="156"/>
  <c r="N2" i="1"/>
  <c r="P2" i="1" s="1"/>
  <c r="N4" i="1"/>
  <c r="P4" i="1" s="1"/>
  <c r="N5" i="1"/>
  <c r="Q5" i="1" s="1"/>
  <c r="N6" i="1"/>
  <c r="P6" i="1" s="1"/>
  <c r="N7" i="1"/>
  <c r="N8" i="1"/>
  <c r="P8" i="1" s="1"/>
  <c r="N9" i="1"/>
  <c r="P9" i="1" s="1"/>
  <c r="N10" i="1"/>
  <c r="Q10" i="1" s="1"/>
  <c r="P11" i="1"/>
  <c r="N12" i="1"/>
  <c r="P12" i="1" s="1"/>
  <c r="O13" i="1"/>
  <c r="N14" i="1"/>
  <c r="O14" i="1" s="1"/>
  <c r="H19" i="164" s="1"/>
  <c r="N15" i="1"/>
  <c r="P15" i="1" s="1"/>
  <c r="N16" i="1"/>
  <c r="P16" i="1" s="1"/>
  <c r="O17" i="1"/>
  <c r="N18" i="1"/>
  <c r="O18" i="1" s="1"/>
  <c r="N19" i="1"/>
  <c r="P19" i="1" s="1"/>
  <c r="N20" i="1"/>
  <c r="P20" i="1" s="1"/>
  <c r="N21" i="1"/>
  <c r="P21" i="1" s="1"/>
  <c r="N22" i="1"/>
  <c r="P22" i="1" s="1"/>
  <c r="N23" i="1"/>
  <c r="Q23" i="1" s="1"/>
  <c r="N24" i="1"/>
  <c r="P24" i="1" s="1"/>
  <c r="N25" i="1"/>
  <c r="O25" i="1" s="1"/>
  <c r="Q26" i="1"/>
  <c r="N27" i="1"/>
  <c r="P27" i="1" s="1"/>
  <c r="N28" i="1"/>
  <c r="P28" i="1" s="1"/>
  <c r="N29" i="1"/>
  <c r="O29" i="1" s="1"/>
  <c r="N30" i="1"/>
  <c r="N31" i="1"/>
  <c r="O31" i="1" s="1"/>
  <c r="N32" i="1"/>
  <c r="P32" i="1" s="1"/>
  <c r="N33" i="1"/>
  <c r="O33" i="1" s="1"/>
  <c r="N34" i="1"/>
  <c r="P34" i="1" s="1"/>
  <c r="T34" i="1" s="1"/>
  <c r="N35" i="1"/>
  <c r="P35" i="1" s="1"/>
  <c r="N36" i="1"/>
  <c r="P36" i="1" s="1"/>
  <c r="N37" i="1"/>
  <c r="Q37" i="1" s="1"/>
  <c r="N38" i="1"/>
  <c r="N39" i="1"/>
  <c r="N40" i="1"/>
  <c r="N41" i="1"/>
  <c r="N42" i="1"/>
  <c r="Q42" i="1" s="1"/>
  <c r="N43" i="1"/>
  <c r="Q43" i="1" s="1"/>
  <c r="N44" i="1"/>
  <c r="P44" i="1" s="1"/>
  <c r="N45" i="1"/>
  <c r="P45" i="1" s="1"/>
  <c r="S45" i="1" s="1"/>
  <c r="N46" i="1"/>
  <c r="Q46" i="1" s="1"/>
  <c r="N47" i="1"/>
  <c r="P47" i="1" s="1"/>
  <c r="S47" i="1" s="1"/>
  <c r="N48" i="1"/>
  <c r="P48" i="1" s="1"/>
  <c r="N49" i="1"/>
  <c r="O49" i="1" s="1"/>
  <c r="N50" i="1"/>
  <c r="Q50" i="1" s="1"/>
  <c r="N74" i="1"/>
  <c r="P74" i="1" s="1"/>
  <c r="N75" i="1"/>
  <c r="P75" i="1" s="1"/>
  <c r="N76" i="1"/>
  <c r="P76" i="1" s="1"/>
  <c r="N77" i="1"/>
  <c r="Q77" i="1" s="1"/>
  <c r="N78" i="1"/>
  <c r="R78" i="1" s="1"/>
  <c r="N79" i="1"/>
  <c r="P79" i="1" s="1"/>
  <c r="O2" i="1"/>
  <c r="O3" i="1"/>
  <c r="O8" i="1"/>
  <c r="O9" i="1"/>
  <c r="O11" i="1"/>
  <c r="O23" i="1"/>
  <c r="O27" i="1"/>
  <c r="O34" i="1"/>
  <c r="O43" i="1"/>
  <c r="O74" i="1"/>
  <c r="O75" i="1"/>
  <c r="O76" i="1"/>
  <c r="O77" i="1"/>
  <c r="O78" i="1"/>
  <c r="O79" i="1"/>
  <c r="P25" i="1"/>
  <c r="S25" i="1" s="1"/>
  <c r="Q27" i="1"/>
  <c r="R27" i="1"/>
  <c r="S2" i="1"/>
  <c r="S9" i="1"/>
  <c r="S27" i="1"/>
  <c r="S74" i="1"/>
  <c r="S75" i="1"/>
  <c r="S76" i="1"/>
  <c r="S77" i="1"/>
  <c r="S78" i="1"/>
  <c r="S79" i="1"/>
  <c r="T2" i="1"/>
  <c r="T9" i="1"/>
  <c r="T27" i="1"/>
  <c r="T74" i="1"/>
  <c r="T75" i="1"/>
  <c r="T76" i="1"/>
  <c r="T77" i="1"/>
  <c r="T78" i="1"/>
  <c r="T79" i="1"/>
  <c r="Q35" i="1" l="1"/>
  <c r="O35" i="1"/>
  <c r="O44" i="1"/>
  <c r="H14" i="164" s="1"/>
  <c r="H19" i="157"/>
  <c r="H12" i="160"/>
  <c r="H20" i="151"/>
  <c r="H19" i="161"/>
  <c r="H19" i="78"/>
  <c r="H21" i="76"/>
  <c r="H20" i="163"/>
  <c r="H19" i="156"/>
  <c r="H21" i="126"/>
  <c r="H21" i="152"/>
  <c r="H23" i="125"/>
  <c r="H19" i="74"/>
  <c r="H20" i="149"/>
  <c r="H19" i="141"/>
  <c r="O19" i="1"/>
  <c r="Q15" i="1"/>
  <c r="R15" i="1" s="1"/>
  <c r="P43" i="1"/>
  <c r="T43" i="1" s="1"/>
  <c r="H15" i="163"/>
  <c r="R2" i="1"/>
  <c r="P37" i="1"/>
  <c r="T37" i="1" s="1"/>
  <c r="P50" i="1"/>
  <c r="S50" i="1" s="1"/>
  <c r="P33" i="1"/>
  <c r="S33" i="1" s="1"/>
  <c r="O47" i="1"/>
  <c r="Q47" i="1"/>
  <c r="R47" i="1" s="1"/>
  <c r="P23" i="1"/>
  <c r="S23" i="1" s="1"/>
  <c r="O15" i="1"/>
  <c r="H23" i="109" s="1"/>
  <c r="R23" i="1"/>
  <c r="R35" i="1"/>
  <c r="Q29" i="1"/>
  <c r="R77" i="1"/>
  <c r="U77" i="1" s="1"/>
  <c r="Q9" i="1"/>
  <c r="P26" i="1"/>
  <c r="S26" i="1" s="1"/>
  <c r="Q19" i="1"/>
  <c r="R19" i="1" s="1"/>
  <c r="P13" i="1"/>
  <c r="T13" i="1" s="1"/>
  <c r="Q13" i="1"/>
  <c r="Q11" i="1"/>
  <c r="R11" i="1" s="1"/>
  <c r="Q30" i="1"/>
  <c r="Q45" i="1"/>
  <c r="R45" i="1" s="1"/>
  <c r="O24" i="1"/>
  <c r="P77" i="1"/>
  <c r="Q49" i="1"/>
  <c r="Q25" i="1"/>
  <c r="R25" i="1" s="1"/>
  <c r="P49" i="1"/>
  <c r="S49" i="1" s="1"/>
  <c r="R79" i="1"/>
  <c r="U79" i="1" s="1"/>
  <c r="O32" i="1"/>
  <c r="B74" i="157"/>
  <c r="B76" i="156"/>
  <c r="R3" i="1"/>
  <c r="P78" i="1"/>
  <c r="H13" i="156"/>
  <c r="O36" i="1"/>
  <c r="O12" i="1"/>
  <c r="H18" i="92" s="1"/>
  <c r="T25" i="1"/>
  <c r="O48" i="1"/>
  <c r="O28" i="1"/>
  <c r="O4" i="1"/>
  <c r="O16" i="1"/>
  <c r="Q14" i="1"/>
  <c r="P5" i="1"/>
  <c r="S5" i="1" s="1"/>
  <c r="O20" i="1"/>
  <c r="H13" i="158"/>
  <c r="H23" i="129"/>
  <c r="H26" i="128"/>
  <c r="H25" i="130"/>
  <c r="H25" i="127"/>
  <c r="Q75" i="1"/>
  <c r="Q34" i="1"/>
  <c r="R34" i="1" s="1"/>
  <c r="Q18" i="1"/>
  <c r="Q2" i="1"/>
  <c r="P42" i="1"/>
  <c r="S42" i="1" s="1"/>
  <c r="P18" i="1"/>
  <c r="H27" i="127"/>
  <c r="H25" i="129"/>
  <c r="H28" i="128"/>
  <c r="H27" i="130"/>
  <c r="O50" i="1"/>
  <c r="O46" i="1"/>
  <c r="O42" i="1"/>
  <c r="O30" i="1"/>
  <c r="O26" i="1"/>
  <c r="O6" i="1"/>
  <c r="R75" i="1"/>
  <c r="U75" i="1" s="1"/>
  <c r="Q79" i="1"/>
  <c r="Q33" i="1"/>
  <c r="R33" i="1" s="1"/>
  <c r="Q22" i="1"/>
  <c r="R22" i="1" s="1"/>
  <c r="Q17" i="1"/>
  <c r="Q6" i="1"/>
  <c r="R6" i="1" s="1"/>
  <c r="P29" i="1"/>
  <c r="P17" i="1"/>
  <c r="P10" i="1"/>
  <c r="R10" i="1" s="1"/>
  <c r="O45" i="1"/>
  <c r="O37" i="1"/>
  <c r="O21" i="1"/>
  <c r="O5" i="1"/>
  <c r="H12" i="158"/>
  <c r="O22" i="1"/>
  <c r="O10" i="1"/>
  <c r="R74" i="1"/>
  <c r="U74" i="1" s="1"/>
  <c r="R9" i="1"/>
  <c r="U9" i="1" s="1"/>
  <c r="Q78" i="1"/>
  <c r="Q21" i="1"/>
  <c r="R21" i="1" s="1"/>
  <c r="R31" i="1"/>
  <c r="U78" i="1"/>
  <c r="S34" i="1"/>
  <c r="T45" i="1"/>
  <c r="Q36" i="1"/>
  <c r="R36" i="1" s="1"/>
  <c r="Q32" i="1"/>
  <c r="R32" i="1" s="1"/>
  <c r="Q28" i="1"/>
  <c r="R28" i="1" s="1"/>
  <c r="Q24" i="1"/>
  <c r="R24" i="1" s="1"/>
  <c r="Q20" i="1"/>
  <c r="R20" i="1" s="1"/>
  <c r="Q16" i="1"/>
  <c r="R16" i="1" s="1"/>
  <c r="Q12" i="1"/>
  <c r="R12" i="1" s="1"/>
  <c r="Q8" i="1"/>
  <c r="R8" i="1" s="1"/>
  <c r="Q4" i="1"/>
  <c r="R4" i="1" s="1"/>
  <c r="K62" i="156"/>
  <c r="T6" i="1"/>
  <c r="S6" i="1"/>
  <c r="S22" i="1"/>
  <c r="T22" i="1"/>
  <c r="T21" i="1"/>
  <c r="U27" i="1"/>
  <c r="Q74" i="1"/>
  <c r="P46" i="1"/>
  <c r="P30" i="1"/>
  <c r="P14" i="1"/>
  <c r="H12" i="156"/>
  <c r="H12" i="157"/>
  <c r="S21" i="1"/>
  <c r="T47" i="1"/>
  <c r="U2" i="1"/>
  <c r="H14" i="156"/>
  <c r="H14" i="157"/>
  <c r="H16" i="157"/>
  <c r="T48" i="1"/>
  <c r="S48" i="1"/>
  <c r="T44" i="1"/>
  <c r="S44" i="1"/>
  <c r="T31" i="1"/>
  <c r="S31" i="1"/>
  <c r="T15" i="1"/>
  <c r="S15" i="1"/>
  <c r="T35" i="1"/>
  <c r="S35" i="1"/>
  <c r="T19" i="1"/>
  <c r="S19" i="1"/>
  <c r="T3" i="1"/>
  <c r="S3" i="1"/>
  <c r="T11" i="1"/>
  <c r="S11" i="1"/>
  <c r="T23" i="1"/>
  <c r="Q76" i="1"/>
  <c r="R76" i="1"/>
  <c r="U76" i="1" s="1"/>
  <c r="Q48" i="1"/>
  <c r="R48" i="1" s="1"/>
  <c r="Q44" i="1"/>
  <c r="R44" i="1" s="1"/>
  <c r="T36" i="1"/>
  <c r="S36" i="1"/>
  <c r="T32" i="1"/>
  <c r="S32" i="1"/>
  <c r="T28" i="1"/>
  <c r="S28" i="1"/>
  <c r="T24" i="1"/>
  <c r="S24" i="1"/>
  <c r="T20" i="1"/>
  <c r="S20" i="1"/>
  <c r="T16" i="1"/>
  <c r="S16" i="1"/>
  <c r="T12" i="1"/>
  <c r="S12" i="1"/>
  <c r="T8" i="1"/>
  <c r="S8" i="1"/>
  <c r="T4" i="1"/>
  <c r="S4" i="1"/>
  <c r="H16" i="160" l="1"/>
  <c r="H14" i="133"/>
  <c r="H14" i="161"/>
  <c r="H21" i="80"/>
  <c r="H25" i="108"/>
  <c r="R43" i="1"/>
  <c r="R30" i="1"/>
  <c r="H33" i="160"/>
  <c r="H18" i="158"/>
  <c r="T33" i="1"/>
  <c r="U33" i="1" s="1"/>
  <c r="R26" i="1"/>
  <c r="T26" i="1"/>
  <c r="T5" i="1"/>
  <c r="S43" i="1"/>
  <c r="S13" i="1"/>
  <c r="R50" i="1"/>
  <c r="R29" i="1"/>
  <c r="R37" i="1"/>
  <c r="S37" i="1"/>
  <c r="T50" i="1"/>
  <c r="R13" i="1"/>
  <c r="T49" i="1"/>
  <c r="U25" i="1"/>
  <c r="U45" i="1"/>
  <c r="R49" i="1"/>
  <c r="U19" i="1"/>
  <c r="R42" i="1"/>
  <c r="U44" i="1"/>
  <c r="J14" i="164" s="1"/>
  <c r="H16" i="156"/>
  <c r="H13" i="157"/>
  <c r="U34" i="1"/>
  <c r="H14" i="158"/>
  <c r="U21" i="1"/>
  <c r="R5" i="1"/>
  <c r="U16" i="1"/>
  <c r="S18" i="1"/>
  <c r="T18" i="1"/>
  <c r="S10" i="1"/>
  <c r="T10" i="1"/>
  <c r="U32" i="1"/>
  <c r="H24" i="127"/>
  <c r="H24" i="130"/>
  <c r="H22" i="129"/>
  <c r="H25" i="128"/>
  <c r="T42" i="1"/>
  <c r="T17" i="1"/>
  <c r="S17" i="1"/>
  <c r="R17" i="1"/>
  <c r="R18" i="1"/>
  <c r="U31" i="1"/>
  <c r="S29" i="1"/>
  <c r="T29" i="1"/>
  <c r="U35" i="1"/>
  <c r="U15" i="1"/>
  <c r="U23" i="1"/>
  <c r="U47" i="1"/>
  <c r="T30" i="1"/>
  <c r="S30" i="1"/>
  <c r="U22" i="1"/>
  <c r="U6" i="1"/>
  <c r="U11" i="1"/>
  <c r="U48" i="1"/>
  <c r="T46" i="1"/>
  <c r="S46" i="1"/>
  <c r="T14" i="1"/>
  <c r="S14" i="1"/>
  <c r="R14" i="1"/>
  <c r="U24" i="1"/>
  <c r="U3" i="1"/>
  <c r="R46" i="1"/>
  <c r="U12" i="1"/>
  <c r="U28" i="1"/>
  <c r="U4" i="1"/>
  <c r="U20" i="1"/>
  <c r="U36" i="1"/>
  <c r="U8" i="1"/>
  <c r="J20" i="149" l="1"/>
  <c r="J21" i="67"/>
  <c r="J19" i="141"/>
  <c r="U43" i="1"/>
  <c r="J22" i="105"/>
  <c r="J16" i="103"/>
  <c r="J18" i="132"/>
  <c r="J16" i="160"/>
  <c r="J20" i="89"/>
  <c r="U26" i="1"/>
  <c r="J18" i="158"/>
  <c r="J12" i="160"/>
  <c r="U5" i="1"/>
  <c r="U50" i="1"/>
  <c r="U13" i="1"/>
  <c r="U49" i="1"/>
  <c r="J15" i="163"/>
  <c r="J14" i="161"/>
  <c r="J14" i="157"/>
  <c r="U37" i="1"/>
  <c r="J14" i="156"/>
  <c r="U42" i="1"/>
  <c r="U10" i="1"/>
  <c r="U29" i="1"/>
  <c r="J16" i="156"/>
  <c r="J13" i="157"/>
  <c r="J13" i="156"/>
  <c r="J14" i="158"/>
  <c r="J27" i="130"/>
  <c r="J16" i="157"/>
  <c r="J13" i="158"/>
  <c r="J27" i="127"/>
  <c r="J12" i="158"/>
  <c r="U18" i="1"/>
  <c r="J23" i="129"/>
  <c r="J25" i="130"/>
  <c r="J25" i="127"/>
  <c r="J26" i="128"/>
  <c r="U17" i="1"/>
  <c r="U30" i="1"/>
  <c r="J12" i="156"/>
  <c r="J12" i="157"/>
  <c r="U14" i="1"/>
  <c r="J19" i="164" s="1"/>
  <c r="U46" i="1"/>
  <c r="J33" i="160" l="1"/>
  <c r="J25" i="108"/>
  <c r="J21" i="80"/>
  <c r="J23" i="109"/>
  <c r="J21" i="76"/>
  <c r="J19" i="161"/>
  <c r="J20" i="151"/>
  <c r="J20" i="163"/>
  <c r="J19" i="156"/>
  <c r="J21" i="126"/>
  <c r="J19" i="74"/>
  <c r="J21" i="152"/>
  <c r="J19" i="78"/>
  <c r="J23" i="125"/>
  <c r="J19" i="157"/>
  <c r="J28" i="128"/>
  <c r="J25" i="129"/>
  <c r="J24" i="127"/>
  <c r="J22" i="129"/>
  <c r="J25" i="128"/>
  <c r="J24" i="130"/>
  <c r="G4" i="72"/>
  <c r="C5" i="60"/>
  <c r="E5" i="60" s="1"/>
  <c r="C5" i="118"/>
  <c r="E5" i="118" s="1"/>
  <c r="C5" i="119"/>
  <c r="E5" i="119" s="1"/>
  <c r="C5" i="61"/>
  <c r="F5" i="61" s="1"/>
  <c r="C5" i="120"/>
  <c r="E5" i="120" s="1"/>
  <c r="C5" i="62"/>
  <c r="E5" i="62" s="1"/>
  <c r="C5" i="121"/>
  <c r="E5" i="121" s="1"/>
  <c r="C5" i="63"/>
  <c r="E5" i="63" s="1"/>
  <c r="C5" i="64"/>
  <c r="E5" i="64" s="1"/>
  <c r="C5" i="65"/>
  <c r="E5" i="65" s="1"/>
  <c r="C5" i="124"/>
  <c r="E5" i="124" s="1"/>
  <c r="C5" i="66"/>
  <c r="E5" i="66" s="1"/>
  <c r="C5" i="123"/>
  <c r="E5" i="123" s="1"/>
  <c r="C5" i="67"/>
  <c r="E5" i="67" s="1"/>
  <c r="C5" i="149"/>
  <c r="E5" i="149" s="1"/>
  <c r="C5" i="141"/>
  <c r="C5" i="150"/>
  <c r="E5" i="150" s="1"/>
  <c r="C5" i="68"/>
  <c r="E5" i="68" s="1"/>
  <c r="C5" i="142"/>
  <c r="E5" i="142" s="1"/>
  <c r="C5" i="69"/>
  <c r="E5" i="69" s="1"/>
  <c r="C5" i="143"/>
  <c r="E5" i="143" s="1"/>
  <c r="C5" i="70"/>
  <c r="E5" i="70" s="1"/>
  <c r="C5" i="144"/>
  <c r="E5" i="144" s="1"/>
  <c r="C5" i="71"/>
  <c r="E5" i="71" s="1"/>
  <c r="C5" i="3"/>
  <c r="E5" i="3" s="1"/>
  <c r="C5" i="152"/>
  <c r="E5" i="152" s="1"/>
  <c r="C5" i="73"/>
  <c r="E5" i="73" s="1"/>
  <c r="C5" i="125"/>
  <c r="E5" i="125" s="1"/>
  <c r="C5" i="74"/>
  <c r="E5" i="74" s="1"/>
  <c r="C5" i="78"/>
  <c r="E5" i="78" s="1"/>
  <c r="C5" i="76"/>
  <c r="E5" i="76" s="1"/>
  <c r="C5" i="151"/>
  <c r="E5" i="151" s="1"/>
  <c r="C5" i="126"/>
  <c r="E5" i="126" s="1"/>
  <c r="C5" i="153"/>
  <c r="E5" i="153" s="1"/>
  <c r="C5" i="77"/>
  <c r="C5" i="79"/>
  <c r="E5" i="79" s="1"/>
  <c r="C5" i="80"/>
  <c r="E5" i="80" s="1"/>
  <c r="C5" i="108"/>
  <c r="E5" i="108" s="1"/>
  <c r="C5" i="109"/>
  <c r="E5" i="109" s="1"/>
  <c r="C5" i="135"/>
  <c r="E5" i="135" s="1"/>
  <c r="C5" i="81"/>
  <c r="E5" i="81" s="1"/>
  <c r="C5" i="82"/>
  <c r="E5" i="82" s="1"/>
  <c r="C5" i="83"/>
  <c r="E5" i="83" s="1"/>
  <c r="C5" i="84"/>
  <c r="E5" i="84" s="1"/>
  <c r="C5" i="85"/>
  <c r="E5" i="85" s="1"/>
  <c r="C5" i="86"/>
  <c r="E5" i="86" s="1"/>
  <c r="C5" i="89"/>
  <c r="C5" i="132"/>
  <c r="E5" i="132" s="1"/>
  <c r="C5" i="87"/>
  <c r="E5" i="87" s="1"/>
  <c r="C5" i="88"/>
  <c r="E5" i="88" s="1"/>
  <c r="C5" i="133"/>
  <c r="E5" i="133" s="1"/>
  <c r="C5" i="90"/>
  <c r="E5" i="90" s="1"/>
  <c r="C5" i="91"/>
  <c r="E5" i="91" s="1"/>
  <c r="C5" i="92"/>
  <c r="E5" i="92" s="1"/>
  <c r="C5" i="93"/>
  <c r="E5" i="93" s="1"/>
  <c r="C5" i="94"/>
  <c r="E5" i="94" s="1"/>
  <c r="C5" i="95"/>
  <c r="E5" i="95" s="1"/>
  <c r="C5" i="97"/>
  <c r="E5" i="97" s="1"/>
  <c r="C5" i="98"/>
  <c r="E5" i="98" s="1"/>
  <c r="C5" i="127"/>
  <c r="E5" i="127" s="1"/>
  <c r="C5" i="128"/>
  <c r="E5" i="128" s="1"/>
  <c r="C5" i="129"/>
  <c r="E5" i="129" s="1"/>
  <c r="C5" i="130"/>
  <c r="E5" i="130" s="1"/>
  <c r="C5" i="101"/>
  <c r="E5" i="101" s="1"/>
  <c r="C5" i="102"/>
  <c r="E5" i="102" s="1"/>
  <c r="C5" i="134"/>
  <c r="C5" i="103"/>
  <c r="E5" i="103" s="1"/>
  <c r="C5" i="113"/>
  <c r="E5" i="113" s="1"/>
  <c r="C5" i="104"/>
  <c r="E5" i="104" s="1"/>
  <c r="C5" i="105"/>
  <c r="E5" i="105" s="1"/>
  <c r="C5" i="106"/>
  <c r="C5" i="107"/>
  <c r="E5" i="107" s="1"/>
  <c r="C5" i="131"/>
  <c r="E5" i="131" s="1"/>
  <c r="C5" i="137"/>
  <c r="E5" i="137" s="1"/>
  <c r="C5" i="138"/>
  <c r="C5" i="72"/>
  <c r="E5" i="72" s="1"/>
  <c r="C5" i="122"/>
  <c r="E5" i="122" s="1"/>
  <c r="K75" i="72" l="1"/>
  <c r="K74" i="72"/>
  <c r="F5" i="128"/>
  <c r="J64" i="128" s="1"/>
  <c r="F5" i="86"/>
  <c r="J61" i="86" s="1"/>
  <c r="F5" i="78"/>
  <c r="J62" i="78" s="1"/>
  <c r="F5" i="149"/>
  <c r="J61" i="149" s="1"/>
  <c r="F5" i="137"/>
  <c r="J64" i="137" s="1"/>
  <c r="F5" i="82"/>
  <c r="J61" i="82" s="1"/>
  <c r="F5" i="73"/>
  <c r="J63" i="73" s="1"/>
  <c r="F5" i="124"/>
  <c r="J61" i="124" s="1"/>
  <c r="F5" i="104"/>
  <c r="J61" i="104" s="1"/>
  <c r="F5" i="92"/>
  <c r="J64" i="92" s="1"/>
  <c r="F5" i="108"/>
  <c r="J61" i="108" s="1"/>
  <c r="F5" i="144"/>
  <c r="J61" i="144" s="1"/>
  <c r="F5" i="63"/>
  <c r="J62" i="63" s="1"/>
  <c r="F5" i="102"/>
  <c r="J61" i="102" s="1"/>
  <c r="F5" i="88"/>
  <c r="J61" i="88" s="1"/>
  <c r="F5" i="153"/>
  <c r="J62" i="153" s="1"/>
  <c r="F5" i="142"/>
  <c r="J61" i="142" s="1"/>
  <c r="F5" i="131"/>
  <c r="J61" i="131" s="1"/>
  <c r="F5" i="107"/>
  <c r="J61" i="107" s="1"/>
  <c r="F5" i="113"/>
  <c r="J61" i="113" s="1"/>
  <c r="F5" i="101"/>
  <c r="J61" i="101" s="1"/>
  <c r="F5" i="127"/>
  <c r="J63" i="127" s="1"/>
  <c r="F5" i="95"/>
  <c r="J62" i="95" s="1"/>
  <c r="F5" i="91"/>
  <c r="J65" i="91" s="1"/>
  <c r="F5" i="87"/>
  <c r="J61" i="87" s="1"/>
  <c r="F5" i="85"/>
  <c r="J61" i="85" s="1"/>
  <c r="F5" i="81"/>
  <c r="J61" i="81" s="1"/>
  <c r="F5" i="80"/>
  <c r="J62" i="80" s="1"/>
  <c r="F5" i="126"/>
  <c r="J62" i="126" s="1"/>
  <c r="F5" i="152"/>
  <c r="J63" i="152" s="1"/>
  <c r="F5" i="70"/>
  <c r="J61" i="70" s="1"/>
  <c r="F5" i="68"/>
  <c r="J61" i="68" s="1"/>
  <c r="F5" i="67"/>
  <c r="J62" i="67" s="1"/>
  <c r="F5" i="122"/>
  <c r="J62" i="122" s="1"/>
  <c r="F5" i="121"/>
  <c r="J62" i="121" s="1"/>
  <c r="F5" i="119"/>
  <c r="J62" i="119" s="1"/>
  <c r="F5" i="72"/>
  <c r="J61" i="72" s="1"/>
  <c r="F5" i="106"/>
  <c r="F5" i="103"/>
  <c r="J61" i="103" s="1"/>
  <c r="F5" i="130"/>
  <c r="J67" i="130" s="1"/>
  <c r="F5" i="98"/>
  <c r="J62" i="98" s="1"/>
  <c r="F5" i="94"/>
  <c r="J62" i="94" s="1"/>
  <c r="F5" i="90"/>
  <c r="J61" i="90" s="1"/>
  <c r="F5" i="132"/>
  <c r="J61" i="132" s="1"/>
  <c r="F5" i="84"/>
  <c r="J61" i="84" s="1"/>
  <c r="F5" i="135"/>
  <c r="J62" i="135" s="1"/>
  <c r="F5" i="79"/>
  <c r="J62" i="79" s="1"/>
  <c r="F5" i="151"/>
  <c r="J61" i="151" s="1"/>
  <c r="F5" i="74"/>
  <c r="J61" i="74" s="1"/>
  <c r="F5" i="3"/>
  <c r="J63" i="3" s="1"/>
  <c r="F5" i="143"/>
  <c r="J62" i="143" s="1"/>
  <c r="F5" i="150"/>
  <c r="J61" i="150" s="1"/>
  <c r="F5" i="123"/>
  <c r="J63" i="123" s="1"/>
  <c r="F5" i="65"/>
  <c r="J63" i="65" s="1"/>
  <c r="F5" i="62"/>
  <c r="J61" i="62" s="1"/>
  <c r="F5" i="118"/>
  <c r="J62" i="118" s="1"/>
  <c r="F5" i="138"/>
  <c r="F5" i="105"/>
  <c r="J61" i="105" s="1"/>
  <c r="F5" i="134"/>
  <c r="F5" i="129"/>
  <c r="J65" i="129" s="1"/>
  <c r="F5" i="97"/>
  <c r="J63" i="97" s="1"/>
  <c r="F5" i="93"/>
  <c r="J65" i="93" s="1"/>
  <c r="F5" i="133"/>
  <c r="J60" i="133" s="1"/>
  <c r="F5" i="89"/>
  <c r="F5" i="83"/>
  <c r="J61" i="83" s="1"/>
  <c r="F5" i="109"/>
  <c r="J62" i="109" s="1"/>
  <c r="F5" i="77"/>
  <c r="F5" i="76"/>
  <c r="J61" i="76" s="1"/>
  <c r="F5" i="125"/>
  <c r="J66" i="125" s="1"/>
  <c r="F5" i="71"/>
  <c r="J62" i="71" s="1"/>
  <c r="F5" i="69"/>
  <c r="J62" i="69" s="1"/>
  <c r="F5" i="141"/>
  <c r="F5" i="66"/>
  <c r="J62" i="66" s="1"/>
  <c r="F5" i="64"/>
  <c r="J61" i="64" s="1"/>
  <c r="F5" i="120"/>
  <c r="J62" i="120" s="1"/>
  <c r="F5" i="60"/>
  <c r="J62" i="60" s="1"/>
  <c r="E5" i="89"/>
  <c r="E5" i="141"/>
  <c r="E5" i="134"/>
  <c r="E5" i="77"/>
  <c r="E5" i="61"/>
  <c r="J61" i="61" s="1"/>
  <c r="E5" i="138"/>
  <c r="E5" i="106"/>
  <c r="J64" i="77" l="1"/>
  <c r="J61" i="141"/>
  <c r="J62" i="89"/>
  <c r="J62" i="134"/>
  <c r="J65" i="138"/>
  <c r="J61" i="106"/>
  <c r="B16" i="57"/>
  <c r="B17" i="57"/>
  <c r="B18" i="57"/>
  <c r="B19" i="57"/>
  <c r="B20" i="57"/>
  <c r="B21" i="57"/>
  <c r="B22" i="57"/>
  <c r="B23" i="57"/>
  <c r="B24" i="57"/>
  <c r="B25" i="57"/>
  <c r="B26" i="57"/>
  <c r="B27" i="57"/>
  <c r="B28" i="57"/>
  <c r="B29" i="57"/>
  <c r="B30" i="57"/>
  <c r="B31" i="57"/>
  <c r="C45" i="66" l="1"/>
  <c r="C44" i="66"/>
  <c r="C43" i="66"/>
  <c r="C42" i="66"/>
  <c r="C40" i="66"/>
  <c r="C38" i="66"/>
  <c r="C45" i="123"/>
  <c r="C44" i="123"/>
  <c r="C43" i="123"/>
  <c r="C40" i="123"/>
  <c r="C38" i="123"/>
  <c r="C37" i="66" l="1"/>
  <c r="C41" i="131" l="1"/>
  <c r="C42" i="131"/>
  <c r="C43" i="131"/>
  <c r="C44" i="131"/>
  <c r="C45" i="131"/>
  <c r="C46" i="131"/>
  <c r="C47" i="131"/>
  <c r="C48" i="131"/>
  <c r="C49" i="131"/>
  <c r="C50" i="131"/>
  <c r="C51" i="131"/>
  <c r="C52" i="131"/>
  <c r="C53" i="131"/>
  <c r="C54" i="131"/>
  <c r="C40" i="131"/>
  <c r="C59" i="106"/>
  <c r="C58" i="106"/>
  <c r="C57" i="106"/>
  <c r="C48" i="105"/>
  <c r="C47" i="105"/>
  <c r="C46" i="105"/>
  <c r="C48" i="104"/>
  <c r="C47" i="104"/>
  <c r="C46" i="104"/>
  <c r="C59" i="113"/>
  <c r="C58" i="113"/>
  <c r="C57" i="113"/>
  <c r="I48" i="103"/>
  <c r="C48" i="103"/>
  <c r="I47" i="103"/>
  <c r="C47" i="103"/>
  <c r="I46" i="103"/>
  <c r="C46" i="103"/>
  <c r="H172" i="2"/>
  <c r="I53" i="153"/>
  <c r="C53" i="153"/>
  <c r="I52" i="153"/>
  <c r="C52" i="153"/>
  <c r="I51" i="153"/>
  <c r="C51" i="153"/>
  <c r="I50" i="153"/>
  <c r="C50" i="153"/>
  <c r="I49" i="153"/>
  <c r="C49" i="153"/>
  <c r="J48" i="153"/>
  <c r="K48" i="153" s="1"/>
  <c r="I48" i="153"/>
  <c r="C48" i="153"/>
  <c r="I46" i="153"/>
  <c r="C46" i="153"/>
  <c r="J45" i="153"/>
  <c r="K45" i="153" s="1"/>
  <c r="I45" i="153"/>
  <c r="C45" i="153"/>
  <c r="I43" i="153"/>
  <c r="C43" i="153"/>
  <c r="I42" i="153"/>
  <c r="C42" i="153"/>
  <c r="I41" i="153"/>
  <c r="C41" i="153"/>
  <c r="I40" i="153"/>
  <c r="C40" i="153"/>
  <c r="I39" i="153"/>
  <c r="C39" i="153"/>
  <c r="I38" i="153"/>
  <c r="C38" i="153"/>
  <c r="I37" i="153"/>
  <c r="C37" i="153"/>
  <c r="C54" i="126"/>
  <c r="C53" i="126"/>
  <c r="C52" i="126"/>
  <c r="C51" i="126"/>
  <c r="C50" i="126"/>
  <c r="C49" i="126"/>
  <c r="C47" i="126"/>
  <c r="C46" i="126"/>
  <c r="C45" i="126"/>
  <c r="C44" i="126"/>
  <c r="C43" i="126"/>
  <c r="C42" i="126"/>
  <c r="C41" i="126"/>
  <c r="C40" i="126"/>
  <c r="C39" i="126"/>
  <c r="C38" i="126"/>
  <c r="C37" i="126"/>
  <c r="G20" i="60"/>
  <c r="H20" i="60"/>
  <c r="I20" i="60"/>
  <c r="J20" i="60"/>
  <c r="H44" i="2"/>
  <c r="K20" i="60" l="1"/>
  <c r="B7" i="118"/>
  <c r="B7" i="119"/>
  <c r="B7" i="61"/>
  <c r="B7" i="120"/>
  <c r="B7" i="62"/>
  <c r="B7" i="121"/>
  <c r="B7" i="63"/>
  <c r="B7" i="64"/>
  <c r="B7" i="65"/>
  <c r="B7" i="122"/>
  <c r="B7" i="124"/>
  <c r="B7" i="66"/>
  <c r="B7" i="123"/>
  <c r="B7" i="149"/>
  <c r="B7" i="141"/>
  <c r="B7" i="150"/>
  <c r="B7" i="68"/>
  <c r="B7" i="142"/>
  <c r="B7" i="69"/>
  <c r="B7" i="143"/>
  <c r="B7" i="70"/>
  <c r="B7" i="144"/>
  <c r="B7" i="71"/>
  <c r="B7" i="3"/>
  <c r="B7" i="152"/>
  <c r="B7" i="73"/>
  <c r="B7" i="125"/>
  <c r="B7" i="74"/>
  <c r="B7" i="78"/>
  <c r="B7" i="76"/>
  <c r="B7" i="151"/>
  <c r="B7" i="126"/>
  <c r="B7" i="153"/>
  <c r="B7" i="77"/>
  <c r="B7" i="79"/>
  <c r="B7" i="80"/>
  <c r="B7" i="108"/>
  <c r="B7" i="109"/>
  <c r="B7" i="135"/>
  <c r="B7" i="81"/>
  <c r="B7" i="82"/>
  <c r="B7" i="83"/>
  <c r="B7" i="84"/>
  <c r="B7" i="85"/>
  <c r="B7" i="86"/>
  <c r="B7" i="89"/>
  <c r="B7" i="132"/>
  <c r="B7" i="87"/>
  <c r="B7" i="88"/>
  <c r="B7" i="133"/>
  <c r="B7" i="90"/>
  <c r="B7" i="91"/>
  <c r="B7" i="92"/>
  <c r="B7" i="93"/>
  <c r="B7" i="94"/>
  <c r="B7" i="95"/>
  <c r="B7" i="97"/>
  <c r="B7" i="98"/>
  <c r="B7" i="127"/>
  <c r="B7" i="128"/>
  <c r="B7" i="129"/>
  <c r="B7" i="130"/>
  <c r="B7" i="101"/>
  <c r="B7" i="102"/>
  <c r="B7" i="134"/>
  <c r="B7" i="103"/>
  <c r="B7" i="113"/>
  <c r="B7" i="104"/>
  <c r="B7" i="105"/>
  <c r="B7" i="106"/>
  <c r="B7" i="107"/>
  <c r="B7" i="131"/>
  <c r="B7" i="137"/>
  <c r="B7" i="138"/>
  <c r="B7" i="72"/>
  <c r="B7" i="67"/>
  <c r="A6" i="118"/>
  <c r="A6" i="119"/>
  <c r="A6" i="61"/>
  <c r="A6" i="120"/>
  <c r="A6" i="62"/>
  <c r="A6" i="121"/>
  <c r="A6" i="63"/>
  <c r="A6" i="64"/>
  <c r="A6" i="65"/>
  <c r="A6" i="122"/>
  <c r="A6" i="124"/>
  <c r="A6" i="66"/>
  <c r="A6" i="123"/>
  <c r="A6" i="149"/>
  <c r="A6" i="141"/>
  <c r="A6" i="150"/>
  <c r="A6" i="68"/>
  <c r="A6" i="142"/>
  <c r="A6" i="69"/>
  <c r="A6" i="143"/>
  <c r="A6" i="70"/>
  <c r="A6" i="144"/>
  <c r="A6" i="71"/>
  <c r="A6" i="3"/>
  <c r="A6" i="152"/>
  <c r="A6" i="73"/>
  <c r="A6" i="74"/>
  <c r="A6" i="78"/>
  <c r="A6" i="76"/>
  <c r="A6" i="151"/>
  <c r="A6" i="126"/>
  <c r="A6" i="153"/>
  <c r="A6" i="77"/>
  <c r="A6" i="79"/>
  <c r="A6" i="80"/>
  <c r="A6" i="108"/>
  <c r="A6" i="109"/>
  <c r="A6" i="135"/>
  <c r="A6" i="81"/>
  <c r="A6" i="82"/>
  <c r="A6" i="83"/>
  <c r="A6" i="84"/>
  <c r="A6" i="85"/>
  <c r="A6" i="86"/>
  <c r="A6" i="89"/>
  <c r="A6" i="132"/>
  <c r="A6" i="87"/>
  <c r="A6" i="88"/>
  <c r="A6" i="133"/>
  <c r="A6" i="90"/>
  <c r="A6" i="91"/>
  <c r="A6" i="92"/>
  <c r="A6" i="93"/>
  <c r="A6" i="94"/>
  <c r="A6" i="95"/>
  <c r="A6" i="97"/>
  <c r="A6" i="98"/>
  <c r="A6" i="127"/>
  <c r="A6" i="128"/>
  <c r="A6" i="129"/>
  <c r="A6" i="130"/>
  <c r="A6" i="101"/>
  <c r="A6" i="102"/>
  <c r="A6" i="134"/>
  <c r="A6" i="103"/>
  <c r="A6" i="113"/>
  <c r="A6" i="104"/>
  <c r="A6" i="105"/>
  <c r="A6" i="106"/>
  <c r="A6" i="107"/>
  <c r="A6" i="131"/>
  <c r="A6" i="137"/>
  <c r="A6" i="138"/>
  <c r="A6" i="72"/>
  <c r="A6" i="67"/>
  <c r="G4" i="118"/>
  <c r="G4" i="119"/>
  <c r="G4" i="61"/>
  <c r="G4" i="120"/>
  <c r="G4" i="62"/>
  <c r="G4" i="121"/>
  <c r="G4" i="63"/>
  <c r="G4" i="64"/>
  <c r="G4" i="65"/>
  <c r="G4" i="122"/>
  <c r="G4" i="124"/>
  <c r="G4" i="66"/>
  <c r="G4" i="123"/>
  <c r="G4" i="67"/>
  <c r="C21" i="67" s="1"/>
  <c r="G4" i="149"/>
  <c r="G4" i="141"/>
  <c r="G4" i="150"/>
  <c r="C18" i="150" s="1"/>
  <c r="G4" i="68"/>
  <c r="C17" i="68" s="1"/>
  <c r="G4" i="142"/>
  <c r="C17" i="142" s="1"/>
  <c r="G4" i="69"/>
  <c r="C17" i="69" s="1"/>
  <c r="G4" i="143"/>
  <c r="C17" i="143" s="1"/>
  <c r="G4" i="70"/>
  <c r="C18" i="70" s="1"/>
  <c r="G4" i="144"/>
  <c r="C18" i="144" s="1"/>
  <c r="G4" i="71"/>
  <c r="C18" i="71" s="1"/>
  <c r="G4" i="3"/>
  <c r="G4" i="152"/>
  <c r="G4" i="73"/>
  <c r="G4" i="74"/>
  <c r="G4" i="76"/>
  <c r="G4" i="151"/>
  <c r="G4" i="153"/>
  <c r="C20" i="153" s="1"/>
  <c r="G4" i="77"/>
  <c r="G4" i="79"/>
  <c r="G4" i="80"/>
  <c r="G4" i="108"/>
  <c r="G4" i="109"/>
  <c r="G4" i="135"/>
  <c r="G4" i="81"/>
  <c r="C21" i="81" s="1"/>
  <c r="G4" i="82"/>
  <c r="C17" i="82" s="1"/>
  <c r="G4" i="83"/>
  <c r="C18" i="83" s="1"/>
  <c r="G4" i="84"/>
  <c r="C19" i="84" s="1"/>
  <c r="G4" i="85"/>
  <c r="G4" i="86"/>
  <c r="G4" i="89"/>
  <c r="G4" i="132"/>
  <c r="G4" i="87"/>
  <c r="G4" i="88"/>
  <c r="G4" i="133"/>
  <c r="G4" i="90"/>
  <c r="G4" i="91"/>
  <c r="G4" i="92"/>
  <c r="C18" i="92" s="1"/>
  <c r="G4" i="93"/>
  <c r="G4" i="94"/>
  <c r="G4" i="95"/>
  <c r="G4" i="97"/>
  <c r="G4" i="98"/>
  <c r="C18" i="98" s="1"/>
  <c r="G4" i="127"/>
  <c r="G4" i="128"/>
  <c r="G4" i="129"/>
  <c r="G4" i="130"/>
  <c r="G4" i="101"/>
  <c r="G4" i="102"/>
  <c r="G4" i="134"/>
  <c r="G4" i="103"/>
  <c r="G4" i="113"/>
  <c r="G4" i="104"/>
  <c r="G4" i="105"/>
  <c r="C22" i="105" s="1"/>
  <c r="G4" i="106"/>
  <c r="C21" i="106" s="1"/>
  <c r="G4" i="131"/>
  <c r="C18" i="131" s="1"/>
  <c r="G4" i="137"/>
  <c r="G4" i="138"/>
  <c r="G4" i="107"/>
  <c r="C17" i="107" s="1"/>
  <c r="D84" i="140"/>
  <c r="D81" i="140"/>
  <c r="D83" i="140"/>
  <c r="D82" i="140"/>
  <c r="D71" i="140"/>
  <c r="E18" i="98" l="1"/>
  <c r="G18" i="98"/>
  <c r="H18" i="98"/>
  <c r="J18" i="98"/>
  <c r="E18" i="150"/>
  <c r="G18" i="150"/>
  <c r="H18" i="150"/>
  <c r="J18" i="150"/>
  <c r="E17" i="142"/>
  <c r="G17" i="142"/>
  <c r="H17" i="142"/>
  <c r="J17" i="142"/>
  <c r="E17" i="68"/>
  <c r="G17" i="68"/>
  <c r="H17" i="68"/>
  <c r="J17" i="68"/>
  <c r="E18" i="83"/>
  <c r="G18" i="83"/>
  <c r="H18" i="83"/>
  <c r="J18" i="83"/>
  <c r="E18" i="71"/>
  <c r="G18" i="71"/>
  <c r="H18" i="71"/>
  <c r="J18" i="71"/>
  <c r="E17" i="82"/>
  <c r="G17" i="82"/>
  <c r="H17" i="82"/>
  <c r="J17" i="82"/>
  <c r="E18" i="144"/>
  <c r="G18" i="144"/>
  <c r="H18" i="144"/>
  <c r="J18" i="144"/>
  <c r="E21" i="81"/>
  <c r="G21" i="81"/>
  <c r="H21" i="81"/>
  <c r="J21" i="81"/>
  <c r="E21" i="67"/>
  <c r="H21" i="67"/>
  <c r="E19" i="84"/>
  <c r="G19" i="84"/>
  <c r="H19" i="84"/>
  <c r="J19" i="84"/>
  <c r="E22" i="77"/>
  <c r="G22" i="77"/>
  <c r="H22" i="77"/>
  <c r="J22" i="77"/>
  <c r="E20" i="153"/>
  <c r="G20" i="153"/>
  <c r="H20" i="153"/>
  <c r="J20" i="153"/>
  <c r="E21" i="73"/>
  <c r="G21" i="73"/>
  <c r="H21" i="73"/>
  <c r="J21" i="73"/>
  <c r="E21" i="3"/>
  <c r="G21" i="3"/>
  <c r="H21" i="3"/>
  <c r="J21" i="3"/>
  <c r="E18" i="70"/>
  <c r="G18" i="70"/>
  <c r="H18" i="70"/>
  <c r="J18" i="70"/>
  <c r="E17" i="143"/>
  <c r="G17" i="143"/>
  <c r="H17" i="143"/>
  <c r="J17" i="143"/>
  <c r="E17" i="69"/>
  <c r="G17" i="69"/>
  <c r="H17" i="69"/>
  <c r="J17" i="69"/>
  <c r="H18" i="131"/>
  <c r="G18" i="131"/>
  <c r="E18" i="131"/>
  <c r="H17" i="107"/>
  <c r="G17" i="107"/>
  <c r="E17" i="107"/>
  <c r="J17" i="107"/>
  <c r="E21" i="106"/>
  <c r="J21" i="106"/>
  <c r="H21" i="106"/>
  <c r="G21" i="106"/>
  <c r="H22" i="105"/>
  <c r="G22" i="105"/>
  <c r="E22" i="105"/>
  <c r="E22" i="104"/>
  <c r="G22" i="104"/>
  <c r="H22" i="104"/>
  <c r="J22" i="104"/>
  <c r="G22" i="113"/>
  <c r="H22" i="113"/>
  <c r="J22" i="113"/>
  <c r="E22" i="113"/>
  <c r="H16" i="103"/>
  <c r="G16" i="103"/>
  <c r="E16" i="103"/>
  <c r="J18" i="134"/>
  <c r="E18" i="134"/>
  <c r="G18" i="134"/>
  <c r="H18" i="134"/>
  <c r="H19" i="102"/>
  <c r="G19" i="102"/>
  <c r="E19" i="102"/>
  <c r="E17" i="101"/>
  <c r="G17" i="101"/>
  <c r="H17" i="101"/>
  <c r="G20" i="89"/>
  <c r="E20" i="89"/>
  <c r="H20" i="89"/>
  <c r="H15" i="87"/>
  <c r="E15" i="87"/>
  <c r="H18" i="97"/>
  <c r="G18" i="97"/>
  <c r="E18" i="97"/>
  <c r="J20" i="95"/>
  <c r="H20" i="95"/>
  <c r="E20" i="95"/>
  <c r="G20" i="95"/>
  <c r="G20" i="94"/>
  <c r="E20" i="94"/>
  <c r="H20" i="94"/>
  <c r="J20" i="94"/>
  <c r="G19" i="91"/>
  <c r="H19" i="91"/>
  <c r="H17" i="93"/>
  <c r="G17" i="93"/>
  <c r="E17" i="93"/>
  <c r="H18" i="132"/>
  <c r="G18" i="132"/>
  <c r="E18" i="132"/>
  <c r="H4" i="138"/>
  <c r="B79" i="138"/>
  <c r="H4" i="89"/>
  <c r="B77" i="89" s="1"/>
  <c r="H4" i="86"/>
  <c r="B75" i="86" s="1"/>
  <c r="H4" i="142"/>
  <c r="B75" i="142" s="1"/>
  <c r="H4" i="134"/>
  <c r="B76" i="134" s="1"/>
  <c r="H4" i="97"/>
  <c r="B77" i="97" s="1"/>
  <c r="H4" i="133"/>
  <c r="B74" i="133" s="1"/>
  <c r="H4" i="109"/>
  <c r="B75" i="109" s="1"/>
  <c r="H4" i="76"/>
  <c r="B74" i="76" s="1"/>
  <c r="H4" i="71"/>
  <c r="B76" i="71" s="1"/>
  <c r="H4" i="141"/>
  <c r="B75" i="141" s="1"/>
  <c r="H4" i="64"/>
  <c r="B74" i="64" s="1"/>
  <c r="H4" i="120"/>
  <c r="B75" i="120" s="1"/>
  <c r="H4" i="60"/>
  <c r="H4" i="102"/>
  <c r="B75" i="102" s="1"/>
  <c r="H4" i="88"/>
  <c r="B75" i="88" s="1"/>
  <c r="H4" i="108"/>
  <c r="B74" i="108" s="1"/>
  <c r="H4" i="78"/>
  <c r="B76" i="78" s="1"/>
  <c r="H4" i="144"/>
  <c r="B75" i="144" s="1"/>
  <c r="H4" i="149"/>
  <c r="B74" i="149" s="1"/>
  <c r="H4" i="124"/>
  <c r="B75" i="124" s="1"/>
  <c r="H4" i="63"/>
  <c r="B76" i="63" s="1"/>
  <c r="H4" i="61"/>
  <c r="B74" i="61" s="1"/>
  <c r="H4" i="101"/>
  <c r="B75" i="101" s="1"/>
  <c r="H4" i="87"/>
  <c r="B75" i="87" s="1"/>
  <c r="H4" i="85"/>
  <c r="B75" i="85"/>
  <c r="H4" i="81"/>
  <c r="B74" i="81" s="1"/>
  <c r="H4" i="80"/>
  <c r="B75" i="80" s="1"/>
  <c r="H4" i="152"/>
  <c r="B76" i="152" s="1"/>
  <c r="H4" i="70"/>
  <c r="B74" i="70" s="1"/>
  <c r="H4" i="68"/>
  <c r="B75" i="68" s="1"/>
  <c r="H4" i="122"/>
  <c r="B75" i="122" s="1"/>
  <c r="H4" i="121"/>
  <c r="B76" i="121" s="1"/>
  <c r="H4" i="119"/>
  <c r="B76" i="119"/>
  <c r="H4" i="83"/>
  <c r="B74" i="83" s="1"/>
  <c r="H4" i="125"/>
  <c r="B79" i="125" s="1"/>
  <c r="H4" i="69"/>
  <c r="B76" i="69" s="1"/>
  <c r="H4" i="137"/>
  <c r="B78" i="137"/>
  <c r="H4" i="82"/>
  <c r="B74" i="82" s="1"/>
  <c r="H4" i="73"/>
  <c r="B76" i="73" s="1"/>
  <c r="H4" i="107"/>
  <c r="B75" i="107" s="1"/>
  <c r="H4" i="90"/>
  <c r="B74" i="90" s="1"/>
  <c r="H4" i="132"/>
  <c r="B76" i="132" s="1"/>
  <c r="H4" i="84"/>
  <c r="B75" i="84" s="1"/>
  <c r="H4" i="135"/>
  <c r="B76" i="135" s="1"/>
  <c r="H4" i="79"/>
  <c r="B75" i="79" s="1"/>
  <c r="H4" i="151"/>
  <c r="B75" i="151" s="1"/>
  <c r="H4" i="74"/>
  <c r="B74" i="74" s="1"/>
  <c r="H4" i="3"/>
  <c r="B77" i="3" s="1"/>
  <c r="H4" i="143"/>
  <c r="B76" i="143" s="1"/>
  <c r="H4" i="150"/>
  <c r="B75" i="150" s="1"/>
  <c r="H4" i="123"/>
  <c r="B76" i="123" s="1"/>
  <c r="H4" i="65"/>
  <c r="B76" i="65" s="1"/>
  <c r="H4" i="62"/>
  <c r="B74" i="62" s="1"/>
  <c r="H4" i="118"/>
  <c r="B76" i="118"/>
  <c r="H4" i="67"/>
  <c r="B75" i="67" s="1"/>
  <c r="H4" i="129"/>
  <c r="B78" i="129" s="1"/>
  <c r="H55" i="129"/>
  <c r="H4" i="93"/>
  <c r="B80" i="93" s="1"/>
  <c r="H50" i="93"/>
  <c r="H4" i="127"/>
  <c r="B77" i="127" s="1"/>
  <c r="H56" i="127"/>
  <c r="H4" i="95"/>
  <c r="B77" i="95" s="1"/>
  <c r="H52" i="95"/>
  <c r="H4" i="91"/>
  <c r="B80" i="91" s="1"/>
  <c r="H49" i="91"/>
  <c r="H4" i="77"/>
  <c r="B78" i="77" s="1"/>
  <c r="H52" i="77"/>
  <c r="C23" i="77"/>
  <c r="H51" i="77"/>
  <c r="H4" i="128"/>
  <c r="B77" i="128" s="1"/>
  <c r="H56" i="128"/>
  <c r="H4" i="92"/>
  <c r="B79" i="92" s="1"/>
  <c r="H54" i="92"/>
  <c r="H4" i="130"/>
  <c r="B81" i="130" s="1"/>
  <c r="H55" i="130"/>
  <c r="H4" i="98"/>
  <c r="B77" i="98" s="1"/>
  <c r="H51" i="98"/>
  <c r="H4" i="94"/>
  <c r="B77" i="94" s="1"/>
  <c r="H48" i="94"/>
  <c r="H4" i="72"/>
  <c r="H4" i="66"/>
  <c r="B76" i="66" s="1"/>
  <c r="H4" i="103"/>
  <c r="B76" i="103" s="1"/>
  <c r="H47" i="103"/>
  <c r="H4" i="131"/>
  <c r="B75" i="131" s="1"/>
  <c r="H54" i="131"/>
  <c r="H4" i="113"/>
  <c r="B75" i="113" s="1"/>
  <c r="H58" i="113"/>
  <c r="H4" i="126"/>
  <c r="B75" i="126" s="1"/>
  <c r="H53" i="126"/>
  <c r="H52" i="126"/>
  <c r="H4" i="106"/>
  <c r="B76" i="106" s="1"/>
  <c r="H58" i="106"/>
  <c r="H4" i="105"/>
  <c r="B76" i="105" s="1"/>
  <c r="H47" i="105"/>
  <c r="H4" i="104"/>
  <c r="B76" i="104" s="1"/>
  <c r="H47" i="104"/>
  <c r="H4" i="153"/>
  <c r="B76" i="153" s="1"/>
  <c r="H51" i="153"/>
  <c r="H52" i="153"/>
  <c r="H11" i="2"/>
  <c r="H6" i="2"/>
  <c r="H58" i="2"/>
  <c r="J47" i="164" s="1"/>
  <c r="K47" i="164" s="1"/>
  <c r="B75" i="90" l="1"/>
  <c r="B77" i="123"/>
  <c r="B76" i="79"/>
  <c r="B77" i="152"/>
  <c r="J47" i="163"/>
  <c r="K47" i="163" s="1"/>
  <c r="J46" i="161"/>
  <c r="K46" i="161" s="1"/>
  <c r="B76" i="95"/>
  <c r="B75" i="132"/>
  <c r="B75" i="121"/>
  <c r="B75" i="61"/>
  <c r="B74" i="88"/>
  <c r="B75" i="64"/>
  <c r="B75" i="62"/>
  <c r="B75" i="74"/>
  <c r="B75" i="66"/>
  <c r="B76" i="102"/>
  <c r="B76" i="89"/>
  <c r="B75" i="105"/>
  <c r="B75" i="63"/>
  <c r="B80" i="130"/>
  <c r="B76" i="101"/>
  <c r="B75" i="108"/>
  <c r="B74" i="142"/>
  <c r="B76" i="122"/>
  <c r="B76" i="80"/>
  <c r="B74" i="124"/>
  <c r="B76" i="109"/>
  <c r="B77" i="73"/>
  <c r="B76" i="120"/>
  <c r="B75" i="149"/>
  <c r="B74" i="151"/>
  <c r="B77" i="134"/>
  <c r="B74" i="84"/>
  <c r="B76" i="113"/>
  <c r="B78" i="97"/>
  <c r="B79" i="93"/>
  <c r="B78" i="92"/>
  <c r="B76" i="87"/>
  <c r="B75" i="83"/>
  <c r="B75" i="82"/>
  <c r="B75" i="76"/>
  <c r="B75" i="78"/>
  <c r="B80" i="125"/>
  <c r="B75" i="71"/>
  <c r="B75" i="143"/>
  <c r="B75" i="69"/>
  <c r="B74" i="68"/>
  <c r="B74" i="150"/>
  <c r="B75" i="106"/>
  <c r="B79" i="129"/>
  <c r="B76" i="131"/>
  <c r="B75" i="104"/>
  <c r="B77" i="65"/>
  <c r="B78" i="128"/>
  <c r="B76" i="3"/>
  <c r="B75" i="135"/>
  <c r="B76" i="94"/>
  <c r="B75" i="103"/>
  <c r="B76" i="107"/>
  <c r="B77" i="77"/>
  <c r="B75" i="70"/>
  <c r="B75" i="81"/>
  <c r="B79" i="91"/>
  <c r="B76" i="127"/>
  <c r="B74" i="144"/>
  <c r="B74" i="141"/>
  <c r="B75" i="133"/>
  <c r="B74" i="86"/>
  <c r="B75" i="72"/>
  <c r="B74" i="72"/>
  <c r="B75" i="153"/>
  <c r="B76" i="126"/>
  <c r="B76" i="98"/>
  <c r="B76" i="67"/>
  <c r="J47" i="157"/>
  <c r="K47" i="157" s="1"/>
  <c r="J47" i="156"/>
  <c r="K47" i="156" s="1"/>
  <c r="B7" i="49"/>
  <c r="F16" i="164" l="1"/>
  <c r="F20" i="164"/>
  <c r="F19" i="164"/>
  <c r="F14" i="164"/>
  <c r="F12" i="164"/>
  <c r="F13" i="164"/>
  <c r="F18" i="89"/>
  <c r="F16" i="132"/>
  <c r="F21" i="80"/>
  <c r="F21" i="152"/>
  <c r="F18" i="150"/>
  <c r="F20" i="149"/>
  <c r="F17" i="69"/>
  <c r="F21" i="76"/>
  <c r="F23" i="109"/>
  <c r="F19" i="156"/>
  <c r="F18" i="71"/>
  <c r="F19" i="84"/>
  <c r="F18" i="70"/>
  <c r="F25" i="108"/>
  <c r="F22" i="77"/>
  <c r="F19" i="141"/>
  <c r="F19" i="161"/>
  <c r="F20" i="151"/>
  <c r="F21" i="67"/>
  <c r="F20" i="153"/>
  <c r="F19" i="78"/>
  <c r="F19" i="74"/>
  <c r="F21" i="126"/>
  <c r="F20" i="163"/>
  <c r="F17" i="68"/>
  <c r="F21" i="73"/>
  <c r="F23" i="125"/>
  <c r="F17" i="82"/>
  <c r="F18" i="144"/>
  <c r="F21" i="81"/>
  <c r="F21" i="3"/>
  <c r="F17" i="143"/>
  <c r="F17" i="142"/>
  <c r="F18" i="83"/>
  <c r="F18" i="98"/>
  <c r="F18" i="158"/>
  <c r="F19" i="157"/>
  <c r="F17" i="93"/>
  <c r="F21" i="106"/>
  <c r="F20" i="94"/>
  <c r="F22" i="104"/>
  <c r="F16" i="103"/>
  <c r="F18" i="132"/>
  <c r="F18" i="131"/>
  <c r="F20" i="95"/>
  <c r="F19" i="102"/>
  <c r="F20" i="89"/>
  <c r="F17" i="101"/>
  <c r="F15" i="87"/>
  <c r="F22" i="105"/>
  <c r="F18" i="134"/>
  <c r="F17" i="107"/>
  <c r="F22" i="113"/>
  <c r="F18" i="97"/>
  <c r="F19" i="125"/>
  <c r="F14" i="163"/>
  <c r="F13" i="161"/>
  <c r="F12" i="161"/>
  <c r="F13" i="163"/>
  <c r="F14" i="161"/>
  <c r="F16" i="163"/>
  <c r="F15" i="161"/>
  <c r="F15" i="163"/>
  <c r="F12" i="163"/>
  <c r="F12" i="160"/>
  <c r="F13" i="160"/>
  <c r="F24" i="130"/>
  <c r="F25" i="129"/>
  <c r="F26" i="128"/>
  <c r="F14" i="158"/>
  <c r="F12" i="158"/>
  <c r="F22" i="129"/>
  <c r="F28" i="128"/>
  <c r="F25" i="127"/>
  <c r="F27" i="130"/>
  <c r="F24" i="127"/>
  <c r="F25" i="130"/>
  <c r="F25" i="128"/>
  <c r="F27" i="127"/>
  <c r="F13" i="158"/>
  <c r="F23" i="129"/>
  <c r="F13" i="156"/>
  <c r="F16" i="156"/>
  <c r="F14" i="157"/>
  <c r="F12" i="157"/>
  <c r="F13" i="157"/>
  <c r="F17" i="158"/>
  <c r="F16" i="157"/>
  <c r="F14" i="156"/>
  <c r="F12" i="156"/>
  <c r="L3" i="140"/>
  <c r="L4" i="140" s="1"/>
  <c r="L5" i="140" s="1"/>
  <c r="L6" i="140" s="1"/>
  <c r="L7" i="140" s="1"/>
  <c r="L8" i="140" s="1"/>
  <c r="L9" i="140" s="1"/>
  <c r="L10" i="140" s="1"/>
  <c r="L11" i="140" s="1"/>
  <c r="L12" i="140" s="1"/>
  <c r="L13" i="140" s="1"/>
  <c r="L14" i="140" s="1"/>
  <c r="L15" i="140" s="1"/>
  <c r="L18" i="140" s="1"/>
  <c r="L19" i="140" s="1"/>
  <c r="L20" i="140" s="1"/>
  <c r="L21" i="140" s="1"/>
  <c r="L22" i="140" s="1"/>
  <c r="L23" i="140" s="1"/>
  <c r="L24" i="140" s="1"/>
  <c r="L25" i="140" s="1"/>
  <c r="L26" i="140" s="1"/>
  <c r="L27" i="140" s="1"/>
  <c r="L28" i="140" s="1"/>
  <c r="L29" i="140" s="1"/>
  <c r="L30" i="140" s="1"/>
  <c r="L31" i="140" s="1"/>
  <c r="L32" i="140" s="1"/>
  <c r="L34" i="140" s="1"/>
  <c r="L35" i="140" s="1"/>
  <c r="L36" i="140" s="1"/>
  <c r="L37" i="140" s="1"/>
  <c r="L38" i="140" s="1"/>
  <c r="L39" i="140" s="1"/>
  <c r="L40" i="140" s="1"/>
  <c r="L41" i="140" s="1"/>
  <c r="L42" i="140" s="1"/>
  <c r="L44" i="140" s="1"/>
  <c r="L45" i="140" s="1"/>
  <c r="F33" i="164" l="1"/>
  <c r="F33" i="160"/>
  <c r="L48" i="140"/>
  <c r="L49" i="140" s="1"/>
  <c r="L50" i="140" s="1"/>
  <c r="L51" i="140" s="1"/>
  <c r="L52" i="140" s="1"/>
  <c r="L53" i="140" s="1"/>
  <c r="L54" i="140" s="1"/>
  <c r="L55" i="140" s="1"/>
  <c r="L56" i="140" s="1"/>
  <c r="L57" i="140" s="1"/>
  <c r="L58" i="140" s="1"/>
  <c r="L59" i="140" s="1"/>
  <c r="L60" i="140" s="1"/>
  <c r="L61" i="140" s="1"/>
  <c r="L62" i="140" s="1"/>
  <c r="L63" i="140" s="1"/>
  <c r="L64" i="140" s="1"/>
  <c r="L65" i="140" s="1"/>
  <c r="L66" i="140" s="1"/>
  <c r="L67" i="140" s="1"/>
  <c r="L68" i="140" s="1"/>
  <c r="L69" i="140" s="1"/>
  <c r="L70" i="140" s="1"/>
  <c r="L72" i="140" s="1"/>
  <c r="L73" i="140" s="1"/>
  <c r="L74" i="140" s="1"/>
  <c r="L76" i="140" s="1"/>
  <c r="L77" i="140" s="1"/>
  <c r="L78" i="140" s="1"/>
  <c r="L79" i="140" s="1"/>
  <c r="L80" i="140" s="1"/>
  <c r="L81" i="140" s="1"/>
  <c r="L82" i="140" s="1"/>
  <c r="L83" i="140" s="1"/>
  <c r="L84" i="140" s="1"/>
  <c r="F33" i="158"/>
  <c r="C36" i="140"/>
  <c r="C37" i="140"/>
  <c r="C38" i="140"/>
  <c r="C40" i="140"/>
  <c r="D40" i="140"/>
  <c r="D36" i="140"/>
  <c r="D39" i="140"/>
  <c r="D38" i="140"/>
  <c r="D37" i="140"/>
  <c r="K41" i="140" l="1"/>
  <c r="K40" i="140"/>
  <c r="K39" i="140"/>
  <c r="K42" i="140"/>
  <c r="K38" i="140"/>
  <c r="C16" i="80"/>
  <c r="C16" i="79"/>
  <c r="B8" i="151"/>
  <c r="B8" i="153"/>
  <c r="B8" i="77"/>
  <c r="B8" i="78"/>
  <c r="B8" i="79"/>
  <c r="B8" i="80"/>
  <c r="B8" i="108"/>
  <c r="B8" i="109"/>
  <c r="B8" i="135"/>
  <c r="B8" i="81"/>
  <c r="B8" i="82"/>
  <c r="B8" i="83"/>
  <c r="B8" i="84"/>
  <c r="B8" i="85"/>
  <c r="B8" i="86"/>
  <c r="B8" i="89"/>
  <c r="B8" i="132"/>
  <c r="B8" i="87"/>
  <c r="B8" i="88"/>
  <c r="B8" i="133"/>
  <c r="B8" i="90"/>
  <c r="B8" i="91"/>
  <c r="B8" i="92"/>
  <c r="B8" i="93"/>
  <c r="B8" i="94"/>
  <c r="B8" i="95"/>
  <c r="B8" i="97"/>
  <c r="B8" i="98"/>
  <c r="B8" i="127"/>
  <c r="B8" i="128"/>
  <c r="B8" i="129"/>
  <c r="B8" i="130"/>
  <c r="B8" i="101"/>
  <c r="B8" i="102"/>
  <c r="B8" i="134"/>
  <c r="B8" i="103"/>
  <c r="B8" i="113"/>
  <c r="B8" i="104"/>
  <c r="B8" i="105"/>
  <c r="B8" i="106"/>
  <c r="B8" i="107"/>
  <c r="B8" i="131"/>
  <c r="B8" i="137"/>
  <c r="B8" i="138"/>
  <c r="B8" i="72"/>
  <c r="B8" i="126"/>
  <c r="B8" i="76"/>
  <c r="B8" i="74"/>
  <c r="B8" i="125"/>
  <c r="B8" i="73"/>
  <c r="C20" i="152"/>
  <c r="C20" i="3"/>
  <c r="C20" i="73"/>
  <c r="B8" i="152"/>
  <c r="B8" i="3"/>
  <c r="C19" i="123"/>
  <c r="B8" i="118"/>
  <c r="B8" i="119"/>
  <c r="B8" i="61"/>
  <c r="B8" i="120"/>
  <c r="B8" i="62"/>
  <c r="B8" i="121"/>
  <c r="B8" i="63"/>
  <c r="B8" i="64"/>
  <c r="B8" i="65"/>
  <c r="B8" i="122"/>
  <c r="B8" i="124"/>
  <c r="B8" i="66"/>
  <c r="B8" i="123"/>
  <c r="B8" i="67"/>
  <c r="B8" i="149"/>
  <c r="B8" i="141"/>
  <c r="B8" i="150"/>
  <c r="B8" i="68"/>
  <c r="B8" i="142"/>
  <c r="B8" i="69"/>
  <c r="B8" i="143"/>
  <c r="B8" i="70"/>
  <c r="B8" i="144"/>
  <c r="B8" i="71"/>
  <c r="C21" i="61"/>
  <c r="C20" i="62"/>
  <c r="C21" i="121"/>
  <c r="C19" i="122"/>
  <c r="C16" i="124"/>
  <c r="H48" i="150"/>
  <c r="H51" i="68"/>
  <c r="H54" i="70"/>
  <c r="H56" i="3"/>
  <c r="C22" i="152"/>
  <c r="C22" i="76"/>
  <c r="C21" i="153"/>
  <c r="H54" i="135"/>
  <c r="H39" i="86"/>
  <c r="C20" i="61" l="1"/>
  <c r="H41" i="133"/>
  <c r="H50" i="83"/>
  <c r="H57" i="78"/>
  <c r="H53" i="125"/>
  <c r="H51" i="69"/>
  <c r="C16" i="64"/>
  <c r="H45" i="132"/>
  <c r="C20" i="74"/>
  <c r="C22" i="3"/>
  <c r="C18" i="143"/>
  <c r="H50" i="143"/>
  <c r="H51" i="143"/>
  <c r="C19" i="150"/>
  <c r="C21" i="62"/>
  <c r="K76" i="118"/>
  <c r="H47" i="150"/>
  <c r="H55" i="74"/>
  <c r="H49" i="84"/>
  <c r="H39" i="90"/>
  <c r="C14" i="124"/>
  <c r="H50" i="97"/>
  <c r="H45" i="89"/>
  <c r="C21" i="151"/>
  <c r="H49" i="141"/>
  <c r="C16" i="65"/>
  <c r="K76" i="60"/>
  <c r="H55" i="102"/>
  <c r="C15" i="86"/>
  <c r="H49" i="82"/>
  <c r="H51" i="108"/>
  <c r="H48" i="76"/>
  <c r="H53" i="73"/>
  <c r="H54" i="73"/>
  <c r="C22" i="73"/>
  <c r="H53" i="144"/>
  <c r="H51" i="142"/>
  <c r="H49" i="149"/>
  <c r="H57" i="3"/>
  <c r="C22" i="126"/>
  <c r="C18" i="82"/>
  <c r="C17" i="90"/>
  <c r="C18" i="65"/>
  <c r="C17" i="124"/>
  <c r="H51" i="134"/>
  <c r="H53" i="109"/>
  <c r="H56" i="71"/>
  <c r="H48" i="107"/>
  <c r="H51" i="101"/>
  <c r="H43" i="87"/>
  <c r="K75" i="85"/>
  <c r="H46" i="81"/>
  <c r="H53" i="80"/>
  <c r="H57" i="152"/>
  <c r="C19" i="70"/>
  <c r="H50" i="68"/>
  <c r="H51" i="67"/>
  <c r="C18" i="122"/>
  <c r="H43" i="121"/>
  <c r="K76" i="119"/>
  <c r="C20" i="63"/>
  <c r="C22" i="67"/>
  <c r="H53" i="70"/>
  <c r="H54" i="74"/>
  <c r="H51" i="79"/>
  <c r="C20" i="84"/>
  <c r="C18" i="90"/>
  <c r="C20" i="121"/>
  <c r="C19" i="65"/>
  <c r="C17" i="64"/>
  <c r="H39" i="66"/>
  <c r="C20" i="141"/>
  <c r="C18" i="69"/>
  <c r="C19" i="71"/>
  <c r="C24" i="125"/>
  <c r="H47" i="151"/>
  <c r="C20" i="120"/>
  <c r="C21" i="63"/>
  <c r="C21" i="149"/>
  <c r="H48" i="141"/>
  <c r="C18" i="142"/>
  <c r="H50" i="69"/>
  <c r="H55" i="71"/>
  <c r="H52" i="125"/>
  <c r="H47" i="76"/>
  <c r="H48" i="151"/>
  <c r="C20" i="78"/>
  <c r="C16" i="122"/>
  <c r="H50" i="67"/>
  <c r="H48" i="149"/>
  <c r="C18" i="68"/>
  <c r="H50" i="142"/>
  <c r="C19" i="144"/>
  <c r="H56" i="152"/>
  <c r="H56" i="78"/>
  <c r="C22" i="81"/>
  <c r="C19" i="83"/>
  <c r="C14" i="86"/>
  <c r="H54" i="144"/>
  <c r="K59" i="78"/>
  <c r="J59" i="78"/>
  <c r="I59" i="78"/>
  <c r="C59" i="78"/>
  <c r="I58" i="78"/>
  <c r="C58" i="78"/>
  <c r="I57" i="78"/>
  <c r="C57" i="78"/>
  <c r="I56" i="78"/>
  <c r="C56" i="78"/>
  <c r="I55" i="78"/>
  <c r="C55" i="78"/>
  <c r="I54" i="78"/>
  <c r="C54" i="78"/>
  <c r="I53" i="78"/>
  <c r="C53" i="78"/>
  <c r="I52" i="78"/>
  <c r="C52" i="78"/>
  <c r="I51" i="78"/>
  <c r="C51" i="78"/>
  <c r="I50" i="78"/>
  <c r="C50" i="78"/>
  <c r="I49" i="78"/>
  <c r="C49" i="78"/>
  <c r="I48" i="78"/>
  <c r="C48" i="78"/>
  <c r="I47" i="78"/>
  <c r="C47" i="78"/>
  <c r="I45" i="78"/>
  <c r="C45" i="78"/>
  <c r="I44" i="78"/>
  <c r="C44" i="78"/>
  <c r="J58" i="71"/>
  <c r="I58" i="71"/>
  <c r="C58" i="71"/>
  <c r="I57" i="71"/>
  <c r="C57" i="71"/>
  <c r="I56" i="71"/>
  <c r="C56" i="71"/>
  <c r="I55" i="71"/>
  <c r="C55" i="71"/>
  <c r="I54" i="71"/>
  <c r="C54" i="71"/>
  <c r="I53" i="71"/>
  <c r="C53" i="71"/>
  <c r="I52" i="71"/>
  <c r="C52" i="71"/>
  <c r="I51" i="71"/>
  <c r="C51" i="71"/>
  <c r="I50" i="71"/>
  <c r="C50" i="71"/>
  <c r="I49" i="71"/>
  <c r="C49" i="71"/>
  <c r="J56" i="144"/>
  <c r="I56" i="144"/>
  <c r="C56" i="144"/>
  <c r="I55" i="144"/>
  <c r="C55" i="144"/>
  <c r="I54" i="144"/>
  <c r="C54" i="144"/>
  <c r="I53" i="144"/>
  <c r="C53" i="144"/>
  <c r="I52" i="144"/>
  <c r="C52" i="144"/>
  <c r="I51" i="144"/>
  <c r="C51" i="144"/>
  <c r="I50" i="144"/>
  <c r="C50" i="144"/>
  <c r="I49" i="144"/>
  <c r="C49" i="144"/>
  <c r="I48" i="144"/>
  <c r="C48" i="144"/>
  <c r="I47" i="144"/>
  <c r="C47" i="144"/>
  <c r="I46" i="144"/>
  <c r="C46" i="144"/>
  <c r="I45" i="144"/>
  <c r="C45" i="144"/>
  <c r="I44" i="144"/>
  <c r="C44" i="144"/>
  <c r="I43" i="144"/>
  <c r="C43" i="144"/>
  <c r="I42" i="144"/>
  <c r="C42" i="144"/>
  <c r="J56" i="70"/>
  <c r="I56" i="70"/>
  <c r="C56" i="70"/>
  <c r="I55" i="70"/>
  <c r="C55" i="70"/>
  <c r="I54" i="70"/>
  <c r="C54" i="70"/>
  <c r="I53" i="70"/>
  <c r="C53" i="70"/>
  <c r="I52" i="70"/>
  <c r="C52" i="70"/>
  <c r="I51" i="70"/>
  <c r="C51" i="70"/>
  <c r="I50" i="70"/>
  <c r="C50" i="70"/>
  <c r="I49" i="70"/>
  <c r="C49" i="70"/>
  <c r="I48" i="70"/>
  <c r="C48" i="70"/>
  <c r="I47" i="70"/>
  <c r="C47" i="70"/>
  <c r="I46" i="70"/>
  <c r="C46" i="70"/>
  <c r="I45" i="70"/>
  <c r="C45" i="70"/>
  <c r="I44" i="70"/>
  <c r="C44" i="70"/>
  <c r="I43" i="70"/>
  <c r="C43" i="70"/>
  <c r="I42" i="70"/>
  <c r="C42" i="70"/>
  <c r="K54" i="142"/>
  <c r="J54" i="142"/>
  <c r="I54" i="142"/>
  <c r="C54" i="142"/>
  <c r="K53" i="142"/>
  <c r="J53" i="142"/>
  <c r="I53" i="142"/>
  <c r="C53" i="142"/>
  <c r="I52" i="142"/>
  <c r="C52" i="142"/>
  <c r="I51" i="142"/>
  <c r="C51" i="142"/>
  <c r="I50" i="142"/>
  <c r="C50" i="142"/>
  <c r="I49" i="142"/>
  <c r="C49" i="142"/>
  <c r="I48" i="142"/>
  <c r="C48" i="142"/>
  <c r="I47" i="142"/>
  <c r="C47" i="142"/>
  <c r="I46" i="142"/>
  <c r="C46" i="142"/>
  <c r="I45" i="142"/>
  <c r="C45" i="142"/>
  <c r="I44" i="142"/>
  <c r="C44" i="142"/>
  <c r="I43" i="142"/>
  <c r="C43" i="142"/>
  <c r="C54" i="68"/>
  <c r="C53" i="68"/>
  <c r="C52" i="68"/>
  <c r="C51" i="68"/>
  <c r="C50" i="68"/>
  <c r="C49" i="68"/>
  <c r="C48" i="68"/>
  <c r="C47" i="68"/>
  <c r="C46" i="68"/>
  <c r="C45" i="68"/>
  <c r="C44" i="68"/>
  <c r="C43" i="68"/>
  <c r="H4" i="2"/>
  <c r="E21" i="151" l="1"/>
  <c r="F21" i="151"/>
  <c r="J43" i="158"/>
  <c r="K43" i="158" s="1"/>
  <c r="J46" i="98"/>
  <c r="K46" i="98" s="1"/>
  <c r="J46" i="158"/>
  <c r="K46" i="158" s="1"/>
  <c r="E23" i="135"/>
  <c r="F23" i="135"/>
  <c r="G23" i="135"/>
  <c r="H23" i="135"/>
  <c r="I23" i="135"/>
  <c r="J23" i="135"/>
  <c r="K23" i="135"/>
  <c r="E24" i="135"/>
  <c r="F24" i="135"/>
  <c r="G24" i="135"/>
  <c r="H24" i="135"/>
  <c r="I24" i="135"/>
  <c r="J24" i="135"/>
  <c r="E25" i="135"/>
  <c r="F25" i="135"/>
  <c r="G25" i="135"/>
  <c r="H25" i="135"/>
  <c r="I25" i="135"/>
  <c r="J25" i="135"/>
  <c r="E26" i="135"/>
  <c r="F26" i="135"/>
  <c r="G26" i="135"/>
  <c r="H26" i="135"/>
  <c r="I26" i="135"/>
  <c r="J26" i="135"/>
  <c r="E27" i="135"/>
  <c r="F27" i="135"/>
  <c r="G27" i="135"/>
  <c r="H27" i="135"/>
  <c r="I27" i="135"/>
  <c r="J27" i="135"/>
  <c r="E28" i="135"/>
  <c r="F28" i="135"/>
  <c r="G28" i="135"/>
  <c r="H28" i="135"/>
  <c r="I28" i="135"/>
  <c r="J28" i="135"/>
  <c r="E29" i="135"/>
  <c r="F29" i="135"/>
  <c r="G29" i="135"/>
  <c r="H29" i="135"/>
  <c r="I29" i="135"/>
  <c r="J29" i="135"/>
  <c r="E30" i="135"/>
  <c r="F30" i="135"/>
  <c r="G30" i="135"/>
  <c r="H30" i="135"/>
  <c r="I30" i="135"/>
  <c r="J30" i="135"/>
  <c r="E31" i="135"/>
  <c r="F31" i="135"/>
  <c r="G31" i="135"/>
  <c r="H31" i="135"/>
  <c r="I31" i="135"/>
  <c r="J31" i="135"/>
  <c r="C19" i="153"/>
  <c r="K22" i="151"/>
  <c r="J22" i="151"/>
  <c r="I22" i="151"/>
  <c r="H22" i="151"/>
  <c r="G22" i="151"/>
  <c r="F22" i="151"/>
  <c r="E22" i="151"/>
  <c r="E23" i="151"/>
  <c r="C19" i="151"/>
  <c r="C49" i="76"/>
  <c r="C48" i="76"/>
  <c r="C47" i="76"/>
  <c r="C46" i="76"/>
  <c r="C45" i="76"/>
  <c r="C44" i="76"/>
  <c r="C43" i="76"/>
  <c r="C42" i="76"/>
  <c r="C41" i="76"/>
  <c r="C40" i="76"/>
  <c r="C57" i="74"/>
  <c r="C58" i="74"/>
  <c r="C56" i="74"/>
  <c r="C55" i="74"/>
  <c r="C54" i="74"/>
  <c r="C53" i="74"/>
  <c r="C52" i="74"/>
  <c r="C51" i="74"/>
  <c r="C50" i="74"/>
  <c r="C49" i="74"/>
  <c r="C48" i="74"/>
  <c r="C47" i="74"/>
  <c r="C46" i="74"/>
  <c r="C45" i="74"/>
  <c r="C43" i="74"/>
  <c r="C42" i="74"/>
  <c r="C58" i="152"/>
  <c r="C57" i="152"/>
  <c r="C56" i="152"/>
  <c r="C55" i="152"/>
  <c r="C54" i="152"/>
  <c r="C53" i="152"/>
  <c r="C52" i="152"/>
  <c r="C51" i="152"/>
  <c r="C50" i="152"/>
  <c r="C49" i="152"/>
  <c r="C48" i="152"/>
  <c r="C47" i="152"/>
  <c r="C46" i="152"/>
  <c r="C44" i="152"/>
  <c r="C43" i="152"/>
  <c r="C59" i="3"/>
  <c r="C60" i="3"/>
  <c r="K62" i="67"/>
  <c r="K61" i="149"/>
  <c r="K61" i="141"/>
  <c r="K61" i="150"/>
  <c r="K24" i="135" l="1"/>
  <c r="K28" i="135"/>
  <c r="K30" i="135"/>
  <c r="K29" i="135"/>
  <c r="K26" i="135"/>
  <c r="K31" i="135"/>
  <c r="K25" i="135"/>
  <c r="K27" i="135"/>
  <c r="C44" i="98"/>
  <c r="I44" i="98"/>
  <c r="C45" i="98"/>
  <c r="I45" i="98"/>
  <c r="C246" i="153"/>
  <c r="B246" i="153"/>
  <c r="C245" i="153"/>
  <c r="B245" i="153"/>
  <c r="C244" i="153"/>
  <c r="B244" i="153"/>
  <c r="C243" i="153"/>
  <c r="B243" i="153"/>
  <c r="C242" i="153"/>
  <c r="B242" i="153"/>
  <c r="H127" i="153"/>
  <c r="H126" i="153"/>
  <c r="H125" i="153"/>
  <c r="H124" i="153"/>
  <c r="H123" i="153"/>
  <c r="H122" i="153"/>
  <c r="H121" i="153"/>
  <c r="H120" i="153"/>
  <c r="H119" i="153"/>
  <c r="H118" i="153"/>
  <c r="H117" i="153"/>
  <c r="H116" i="153"/>
  <c r="H115" i="153"/>
  <c r="H114" i="153"/>
  <c r="H113" i="153"/>
  <c r="H112" i="153"/>
  <c r="I72" i="153"/>
  <c r="F72" i="153"/>
  <c r="I71" i="153"/>
  <c r="F71" i="153"/>
  <c r="K70" i="153"/>
  <c r="I67" i="153"/>
  <c r="H67" i="153"/>
  <c r="K62" i="153"/>
  <c r="K61" i="153"/>
  <c r="J61" i="153"/>
  <c r="I61" i="153"/>
  <c r="C61" i="153"/>
  <c r="K60" i="153"/>
  <c r="J60" i="153"/>
  <c r="I60" i="153"/>
  <c r="C60" i="153"/>
  <c r="K59" i="153"/>
  <c r="J59" i="153"/>
  <c r="I59" i="153"/>
  <c r="C59" i="153"/>
  <c r="K58" i="153"/>
  <c r="J58" i="153"/>
  <c r="I58" i="153"/>
  <c r="C58" i="153"/>
  <c r="K57" i="153"/>
  <c r="J57" i="153"/>
  <c r="I57" i="153"/>
  <c r="C57" i="153"/>
  <c r="K56" i="153"/>
  <c r="J56" i="153"/>
  <c r="I56" i="153"/>
  <c r="C56" i="153"/>
  <c r="K55" i="153"/>
  <c r="J55" i="153"/>
  <c r="I55" i="153"/>
  <c r="C55" i="153"/>
  <c r="I54" i="153"/>
  <c r="C54" i="153"/>
  <c r="J31" i="153"/>
  <c r="I31" i="153"/>
  <c r="H31" i="153"/>
  <c r="G31" i="153"/>
  <c r="F31" i="153"/>
  <c r="E31" i="153"/>
  <c r="J30" i="153"/>
  <c r="I30" i="153"/>
  <c r="H30" i="153"/>
  <c r="G30" i="153"/>
  <c r="F30" i="153"/>
  <c r="E30" i="153"/>
  <c r="J29" i="153"/>
  <c r="I29" i="153"/>
  <c r="H29" i="153"/>
  <c r="G29" i="153"/>
  <c r="F29" i="153"/>
  <c r="E29" i="153"/>
  <c r="J28" i="153"/>
  <c r="I28" i="153"/>
  <c r="H28" i="153"/>
  <c r="G28" i="153"/>
  <c r="F28" i="153"/>
  <c r="E28" i="153"/>
  <c r="J27" i="153"/>
  <c r="I27" i="153"/>
  <c r="H27" i="153"/>
  <c r="G27" i="153"/>
  <c r="F27" i="153"/>
  <c r="E27" i="153"/>
  <c r="J26" i="153"/>
  <c r="I26" i="153"/>
  <c r="H26" i="153"/>
  <c r="G26" i="153"/>
  <c r="F26" i="153"/>
  <c r="E26" i="153"/>
  <c r="J25" i="153"/>
  <c r="I25" i="153"/>
  <c r="H25" i="153"/>
  <c r="G25" i="153"/>
  <c r="F25" i="153"/>
  <c r="E25" i="153"/>
  <c r="J24" i="153"/>
  <c r="I24" i="153"/>
  <c r="H24" i="153"/>
  <c r="G24" i="153"/>
  <c r="F24" i="153"/>
  <c r="E24" i="153"/>
  <c r="J23" i="153"/>
  <c r="I23" i="153"/>
  <c r="H23" i="153"/>
  <c r="G23" i="153"/>
  <c r="F23" i="153"/>
  <c r="E23" i="153"/>
  <c r="F22" i="153"/>
  <c r="F19" i="153"/>
  <c r="K18" i="153"/>
  <c r="J18" i="153"/>
  <c r="I18" i="153"/>
  <c r="H18" i="153"/>
  <c r="G18" i="153"/>
  <c r="F18" i="153"/>
  <c r="E18" i="153"/>
  <c r="K17" i="153"/>
  <c r="J17" i="153"/>
  <c r="I17" i="153"/>
  <c r="H17" i="153"/>
  <c r="G17" i="153"/>
  <c r="F17" i="153"/>
  <c r="E17" i="153"/>
  <c r="F16" i="153"/>
  <c r="E16" i="153"/>
  <c r="F15" i="153"/>
  <c r="E15" i="153"/>
  <c r="F14" i="153"/>
  <c r="E14" i="153"/>
  <c r="F13" i="153"/>
  <c r="E13" i="153"/>
  <c r="F12" i="153"/>
  <c r="E12" i="153"/>
  <c r="F10" i="153"/>
  <c r="E10" i="153"/>
  <c r="C22" i="125"/>
  <c r="E22" i="125" s="1"/>
  <c r="E25" i="125"/>
  <c r="E26" i="125"/>
  <c r="E27" i="125"/>
  <c r="C247" i="152"/>
  <c r="B247" i="152"/>
  <c r="C246" i="152"/>
  <c r="B246" i="152"/>
  <c r="C245" i="152"/>
  <c r="B245" i="152"/>
  <c r="C244" i="152"/>
  <c r="B244" i="152"/>
  <c r="C243" i="152"/>
  <c r="B243" i="152"/>
  <c r="H128" i="152"/>
  <c r="H127" i="152"/>
  <c r="H126" i="152"/>
  <c r="H125" i="152"/>
  <c r="H124" i="152"/>
  <c r="H123" i="152"/>
  <c r="H122" i="152"/>
  <c r="H121" i="152"/>
  <c r="H120" i="152"/>
  <c r="H119" i="152"/>
  <c r="H118" i="152"/>
  <c r="H117" i="152"/>
  <c r="H116" i="152"/>
  <c r="H115" i="152"/>
  <c r="H114" i="152"/>
  <c r="H113" i="152"/>
  <c r="I73" i="152"/>
  <c r="F73" i="152"/>
  <c r="I72" i="152"/>
  <c r="F72" i="152"/>
  <c r="K71" i="152"/>
  <c r="I68" i="152"/>
  <c r="H68" i="152"/>
  <c r="K63" i="152"/>
  <c r="K62" i="152"/>
  <c r="J62" i="152"/>
  <c r="I62" i="152"/>
  <c r="C62" i="152"/>
  <c r="K61" i="152"/>
  <c r="J61" i="152"/>
  <c r="I61" i="152"/>
  <c r="C61" i="152"/>
  <c r="J60" i="152"/>
  <c r="K60" i="152" s="1"/>
  <c r="I60" i="152"/>
  <c r="C60" i="152"/>
  <c r="J59" i="152"/>
  <c r="I59" i="152"/>
  <c r="C59" i="152"/>
  <c r="I58" i="152"/>
  <c r="I57" i="152"/>
  <c r="I56" i="152"/>
  <c r="I55" i="152"/>
  <c r="I54" i="152"/>
  <c r="I53" i="152"/>
  <c r="I52" i="152"/>
  <c r="I51" i="152"/>
  <c r="I50" i="152"/>
  <c r="I49" i="152"/>
  <c r="I48" i="152"/>
  <c r="I47" i="152"/>
  <c r="I46" i="152"/>
  <c r="I44" i="152"/>
  <c r="I43" i="152"/>
  <c r="I42" i="152"/>
  <c r="C42" i="152"/>
  <c r="I41" i="152"/>
  <c r="C41" i="152"/>
  <c r="I40" i="152"/>
  <c r="C40" i="152"/>
  <c r="I39" i="152"/>
  <c r="C39" i="152"/>
  <c r="I38" i="152"/>
  <c r="C38" i="152"/>
  <c r="J32" i="152"/>
  <c r="I32" i="152"/>
  <c r="H32" i="152"/>
  <c r="G32" i="152"/>
  <c r="F32" i="152"/>
  <c r="E32" i="152"/>
  <c r="J31" i="152"/>
  <c r="I31" i="152"/>
  <c r="H31" i="152"/>
  <c r="G31" i="152"/>
  <c r="F31" i="152"/>
  <c r="E31" i="152"/>
  <c r="J30" i="152"/>
  <c r="I30" i="152"/>
  <c r="H30" i="152"/>
  <c r="G30" i="152"/>
  <c r="F30" i="152"/>
  <c r="E30" i="152"/>
  <c r="J29" i="152"/>
  <c r="I29" i="152"/>
  <c r="H29" i="152"/>
  <c r="G29" i="152"/>
  <c r="F29" i="152"/>
  <c r="E29" i="152"/>
  <c r="J28" i="152"/>
  <c r="I28" i="152"/>
  <c r="H28" i="152"/>
  <c r="G28" i="152"/>
  <c r="F28" i="152"/>
  <c r="E28" i="152"/>
  <c r="J27" i="152"/>
  <c r="I27" i="152"/>
  <c r="H27" i="152"/>
  <c r="G27" i="152"/>
  <c r="F27" i="152"/>
  <c r="E27" i="152"/>
  <c r="J26" i="152"/>
  <c r="I26" i="152"/>
  <c r="H26" i="152"/>
  <c r="G26" i="152"/>
  <c r="F26" i="152"/>
  <c r="E26" i="152"/>
  <c r="F25" i="152"/>
  <c r="E25" i="152"/>
  <c r="K24" i="152"/>
  <c r="J24" i="152"/>
  <c r="I24" i="152"/>
  <c r="H24" i="152"/>
  <c r="G24" i="152"/>
  <c r="F24" i="152"/>
  <c r="E24" i="152"/>
  <c r="K23" i="152"/>
  <c r="J23" i="152"/>
  <c r="I23" i="152"/>
  <c r="H23" i="152"/>
  <c r="G23" i="152"/>
  <c r="F23" i="152"/>
  <c r="E23" i="152"/>
  <c r="F20" i="152"/>
  <c r="K18" i="152"/>
  <c r="J18" i="152"/>
  <c r="I18" i="152"/>
  <c r="H18" i="152"/>
  <c r="G18" i="152"/>
  <c r="F18" i="152"/>
  <c r="E18" i="152"/>
  <c r="K17" i="152"/>
  <c r="J17" i="152"/>
  <c r="I17" i="152"/>
  <c r="H17" i="152"/>
  <c r="G17" i="152"/>
  <c r="F17" i="152"/>
  <c r="E17" i="152"/>
  <c r="F16" i="152"/>
  <c r="E16" i="152"/>
  <c r="F15" i="152"/>
  <c r="E15" i="152"/>
  <c r="F14" i="152"/>
  <c r="E14" i="152"/>
  <c r="F13" i="152"/>
  <c r="E13" i="152"/>
  <c r="F12" i="152"/>
  <c r="E12" i="152"/>
  <c r="F10" i="152"/>
  <c r="E10" i="152"/>
  <c r="K71" i="153" l="1"/>
  <c r="K72" i="153"/>
  <c r="K72" i="152"/>
  <c r="K27" i="153"/>
  <c r="K31" i="153"/>
  <c r="K29" i="152"/>
  <c r="K23" i="153"/>
  <c r="K24" i="153"/>
  <c r="K25" i="153"/>
  <c r="K28" i="153"/>
  <c r="K29" i="153"/>
  <c r="K26" i="153"/>
  <c r="K30" i="153"/>
  <c r="K59" i="152"/>
  <c r="E22" i="153"/>
  <c r="K28" i="152"/>
  <c r="K32" i="152"/>
  <c r="K26" i="152"/>
  <c r="K27" i="152"/>
  <c r="K30" i="152"/>
  <c r="K31" i="152"/>
  <c r="K73" i="152"/>
  <c r="I40" i="151"/>
  <c r="C245" i="151"/>
  <c r="B245" i="151"/>
  <c r="C244" i="151"/>
  <c r="B244" i="151"/>
  <c r="C243" i="151"/>
  <c r="B243" i="151"/>
  <c r="C242" i="151"/>
  <c r="B242" i="151"/>
  <c r="C241" i="151"/>
  <c r="B241" i="151"/>
  <c r="H126" i="151"/>
  <c r="H125" i="151"/>
  <c r="H124" i="151"/>
  <c r="H123" i="151"/>
  <c r="H122" i="151"/>
  <c r="H121" i="151"/>
  <c r="H120" i="151"/>
  <c r="H119" i="151"/>
  <c r="H118" i="151"/>
  <c r="H117" i="151"/>
  <c r="H116" i="151"/>
  <c r="H115" i="151"/>
  <c r="H114" i="151"/>
  <c r="H113" i="151"/>
  <c r="H112" i="151"/>
  <c r="H111" i="151"/>
  <c r="I71" i="151"/>
  <c r="F71" i="151"/>
  <c r="I70" i="151"/>
  <c r="F70" i="151"/>
  <c r="K69" i="151"/>
  <c r="I66" i="151"/>
  <c r="H66" i="151"/>
  <c r="K61" i="151"/>
  <c r="K60" i="151"/>
  <c r="J60" i="151"/>
  <c r="I60" i="151"/>
  <c r="C60" i="151"/>
  <c r="K59" i="151"/>
  <c r="J59" i="151"/>
  <c r="I59" i="151"/>
  <c r="C59" i="151"/>
  <c r="K58" i="151"/>
  <c r="J58" i="151"/>
  <c r="I58" i="151"/>
  <c r="C58" i="151"/>
  <c r="K57" i="151"/>
  <c r="J57" i="151"/>
  <c r="I57" i="151"/>
  <c r="C57" i="151"/>
  <c r="K56" i="151"/>
  <c r="J56" i="151"/>
  <c r="I56" i="151"/>
  <c r="C56" i="151"/>
  <c r="K55" i="151"/>
  <c r="J55" i="151"/>
  <c r="I55" i="151"/>
  <c r="C55" i="151"/>
  <c r="K54" i="151"/>
  <c r="J54" i="151"/>
  <c r="I54" i="151"/>
  <c r="C54" i="151"/>
  <c r="K53" i="151"/>
  <c r="J53" i="151"/>
  <c r="I53" i="151"/>
  <c r="C53" i="151"/>
  <c r="K52" i="151"/>
  <c r="J52" i="151"/>
  <c r="I52" i="151"/>
  <c r="C52" i="151"/>
  <c r="J51" i="151"/>
  <c r="K51" i="151" s="1"/>
  <c r="I51" i="151"/>
  <c r="C51" i="151"/>
  <c r="J50" i="151"/>
  <c r="I50" i="151"/>
  <c r="C50" i="151"/>
  <c r="I49" i="151"/>
  <c r="C49" i="151"/>
  <c r="I48" i="151"/>
  <c r="C48" i="151"/>
  <c r="I47" i="151"/>
  <c r="C47" i="151"/>
  <c r="I46" i="151"/>
  <c r="C46" i="151"/>
  <c r="I45" i="151"/>
  <c r="C45" i="151"/>
  <c r="I44" i="151"/>
  <c r="C44" i="151"/>
  <c r="I43" i="151"/>
  <c r="C43" i="151"/>
  <c r="I42" i="151"/>
  <c r="C42" i="151"/>
  <c r="I41" i="151"/>
  <c r="C41" i="151"/>
  <c r="C40" i="151"/>
  <c r="I39" i="151"/>
  <c r="C39" i="151"/>
  <c r="I38" i="151"/>
  <c r="C38" i="151"/>
  <c r="I37" i="151"/>
  <c r="C37" i="151"/>
  <c r="J31" i="151"/>
  <c r="I31" i="151"/>
  <c r="H31" i="151"/>
  <c r="G31" i="151"/>
  <c r="F31" i="151"/>
  <c r="E31" i="151"/>
  <c r="J30" i="151"/>
  <c r="I30" i="151"/>
  <c r="H30" i="151"/>
  <c r="G30" i="151"/>
  <c r="F30" i="151"/>
  <c r="E30" i="151"/>
  <c r="J29" i="151"/>
  <c r="I29" i="151"/>
  <c r="H29" i="151"/>
  <c r="G29" i="151"/>
  <c r="F29" i="151"/>
  <c r="E29" i="151"/>
  <c r="J28" i="151"/>
  <c r="I28" i="151"/>
  <c r="H28" i="151"/>
  <c r="G28" i="151"/>
  <c r="F28" i="151"/>
  <c r="E28" i="151"/>
  <c r="J27" i="151"/>
  <c r="I27" i="151"/>
  <c r="H27" i="151"/>
  <c r="G27" i="151"/>
  <c r="F27" i="151"/>
  <c r="E27" i="151"/>
  <c r="J26" i="151"/>
  <c r="I26" i="151"/>
  <c r="H26" i="151"/>
  <c r="G26" i="151"/>
  <c r="F26" i="151"/>
  <c r="E26" i="151"/>
  <c r="F25" i="151"/>
  <c r="E25" i="151"/>
  <c r="J24" i="151"/>
  <c r="I24" i="151"/>
  <c r="H24" i="151"/>
  <c r="G24" i="151"/>
  <c r="F24" i="151"/>
  <c r="E24" i="151"/>
  <c r="K23" i="151"/>
  <c r="J23" i="151"/>
  <c r="I23" i="151"/>
  <c r="H23" i="151"/>
  <c r="G23" i="151"/>
  <c r="F23" i="151"/>
  <c r="F19" i="151"/>
  <c r="K18" i="151"/>
  <c r="J18" i="151"/>
  <c r="I18" i="151"/>
  <c r="H18" i="151"/>
  <c r="G18" i="151"/>
  <c r="F18" i="151"/>
  <c r="E18" i="151"/>
  <c r="F17" i="151"/>
  <c r="E17" i="151"/>
  <c r="F16" i="151"/>
  <c r="E16" i="151"/>
  <c r="F15" i="151"/>
  <c r="E15" i="151"/>
  <c r="F14" i="151"/>
  <c r="E14" i="151"/>
  <c r="F13" i="151"/>
  <c r="E13" i="151"/>
  <c r="F12" i="151"/>
  <c r="E12" i="151"/>
  <c r="F10" i="151"/>
  <c r="E10" i="151"/>
  <c r="C245" i="150"/>
  <c r="B245" i="150"/>
  <c r="C244" i="150"/>
  <c r="B244" i="150"/>
  <c r="C243" i="150"/>
  <c r="B243" i="150"/>
  <c r="C242" i="150"/>
  <c r="B242" i="150"/>
  <c r="C241" i="150"/>
  <c r="B241" i="150"/>
  <c r="H126" i="150"/>
  <c r="H125" i="150"/>
  <c r="H124" i="150"/>
  <c r="H123" i="150"/>
  <c r="H122" i="150"/>
  <c r="H121" i="150"/>
  <c r="H120" i="150"/>
  <c r="H119" i="150"/>
  <c r="H118" i="150"/>
  <c r="H117" i="150"/>
  <c r="H116" i="150"/>
  <c r="H115" i="150"/>
  <c r="H114" i="150"/>
  <c r="H113" i="150"/>
  <c r="H112" i="150"/>
  <c r="H111" i="150"/>
  <c r="I71" i="150"/>
  <c r="F71" i="150"/>
  <c r="I70" i="150"/>
  <c r="F70" i="150"/>
  <c r="I66" i="150"/>
  <c r="H66" i="150"/>
  <c r="K60" i="150"/>
  <c r="J60" i="150"/>
  <c r="I60" i="150"/>
  <c r="C60" i="150"/>
  <c r="K59" i="150"/>
  <c r="J59" i="150"/>
  <c r="I59" i="150"/>
  <c r="C59" i="150"/>
  <c r="K58" i="150"/>
  <c r="J58" i="150"/>
  <c r="I58" i="150"/>
  <c r="C58" i="150"/>
  <c r="K57" i="150"/>
  <c r="J57" i="150"/>
  <c r="I57" i="150"/>
  <c r="C57" i="150"/>
  <c r="K56" i="150"/>
  <c r="J56" i="150"/>
  <c r="I56" i="150"/>
  <c r="C56" i="150"/>
  <c r="K55" i="150"/>
  <c r="J55" i="150"/>
  <c r="I55" i="150"/>
  <c r="C55" i="150"/>
  <c r="K54" i="150"/>
  <c r="J54" i="150"/>
  <c r="I54" i="150"/>
  <c r="C54" i="150"/>
  <c r="K53" i="150"/>
  <c r="J53" i="150"/>
  <c r="I53" i="150"/>
  <c r="C53" i="150"/>
  <c r="K52" i="150"/>
  <c r="J52" i="150"/>
  <c r="I52" i="150"/>
  <c r="C52" i="150"/>
  <c r="K51" i="150"/>
  <c r="J51" i="150"/>
  <c r="I51" i="150"/>
  <c r="C51" i="150"/>
  <c r="J50" i="150"/>
  <c r="K50" i="150" s="1"/>
  <c r="I50" i="150"/>
  <c r="C50" i="150"/>
  <c r="I49" i="150"/>
  <c r="C49" i="150"/>
  <c r="I48" i="150"/>
  <c r="C48" i="150"/>
  <c r="I47" i="150"/>
  <c r="C47" i="150"/>
  <c r="I46" i="150"/>
  <c r="C46" i="150"/>
  <c r="I45" i="150"/>
  <c r="C45" i="150"/>
  <c r="I44" i="150"/>
  <c r="C44" i="150"/>
  <c r="I43" i="150"/>
  <c r="C43" i="150"/>
  <c r="I42" i="150"/>
  <c r="C42" i="150"/>
  <c r="I41" i="150"/>
  <c r="C41" i="150"/>
  <c r="I40" i="150"/>
  <c r="C40" i="150"/>
  <c r="I39" i="150"/>
  <c r="C39" i="150"/>
  <c r="I38" i="150"/>
  <c r="C38" i="150"/>
  <c r="I37" i="150"/>
  <c r="C37" i="150"/>
  <c r="J31" i="150"/>
  <c r="I31" i="150"/>
  <c r="H31" i="150"/>
  <c r="G31" i="150"/>
  <c r="F31" i="150"/>
  <c r="E31" i="150"/>
  <c r="J30" i="150"/>
  <c r="I30" i="150"/>
  <c r="H30" i="150"/>
  <c r="G30" i="150"/>
  <c r="F30" i="150"/>
  <c r="E30" i="150"/>
  <c r="J29" i="150"/>
  <c r="I29" i="150"/>
  <c r="H29" i="150"/>
  <c r="G29" i="150"/>
  <c r="F29" i="150"/>
  <c r="E29" i="150"/>
  <c r="J28" i="150"/>
  <c r="I28" i="150"/>
  <c r="H28" i="150"/>
  <c r="G28" i="150"/>
  <c r="F28" i="150"/>
  <c r="E28" i="150"/>
  <c r="J27" i="150"/>
  <c r="I27" i="150"/>
  <c r="H27" i="150"/>
  <c r="G27" i="150"/>
  <c r="F27" i="150"/>
  <c r="E27" i="150"/>
  <c r="J26" i="150"/>
  <c r="I26" i="150"/>
  <c r="H26" i="150"/>
  <c r="G26" i="150"/>
  <c r="F26" i="150"/>
  <c r="E26" i="150"/>
  <c r="J25" i="150"/>
  <c r="I25" i="150"/>
  <c r="H25" i="150"/>
  <c r="G25" i="150"/>
  <c r="F25" i="150"/>
  <c r="E25" i="150"/>
  <c r="J24" i="150"/>
  <c r="I24" i="150"/>
  <c r="H24" i="150"/>
  <c r="G24" i="150"/>
  <c r="F24" i="150"/>
  <c r="E24" i="150"/>
  <c r="F23" i="150"/>
  <c r="E23" i="150"/>
  <c r="J22" i="150"/>
  <c r="I22" i="150"/>
  <c r="H22" i="150"/>
  <c r="G22" i="150"/>
  <c r="F22" i="150"/>
  <c r="E22" i="150"/>
  <c r="K21" i="150"/>
  <c r="J21" i="150"/>
  <c r="I21" i="150"/>
  <c r="H21" i="150"/>
  <c r="G21" i="150"/>
  <c r="F21" i="150"/>
  <c r="E21" i="150"/>
  <c r="F17" i="150"/>
  <c r="E17" i="150"/>
  <c r="F16" i="150"/>
  <c r="E16" i="150"/>
  <c r="F15" i="150"/>
  <c r="E15" i="150"/>
  <c r="F14" i="150"/>
  <c r="E14" i="150"/>
  <c r="F13" i="150"/>
  <c r="E13" i="150"/>
  <c r="F12" i="150"/>
  <c r="E12" i="150"/>
  <c r="F10" i="150"/>
  <c r="E10" i="150"/>
  <c r="C50" i="149"/>
  <c r="C49" i="149"/>
  <c r="C48" i="149"/>
  <c r="C47" i="149"/>
  <c r="C46" i="149"/>
  <c r="C45" i="149"/>
  <c r="C44" i="149"/>
  <c r="C43" i="149"/>
  <c r="C42" i="149"/>
  <c r="C41" i="149"/>
  <c r="C40" i="149"/>
  <c r="C39" i="149"/>
  <c r="C245" i="149"/>
  <c r="B245" i="149"/>
  <c r="C244" i="149"/>
  <c r="B244" i="149"/>
  <c r="C243" i="149"/>
  <c r="B243" i="149"/>
  <c r="C242" i="149"/>
  <c r="B242" i="149"/>
  <c r="C241" i="149"/>
  <c r="B241" i="149"/>
  <c r="H126" i="149"/>
  <c r="H125" i="149"/>
  <c r="H124" i="149"/>
  <c r="H123" i="149"/>
  <c r="H122" i="149"/>
  <c r="H121" i="149"/>
  <c r="H120" i="149"/>
  <c r="H119" i="149"/>
  <c r="H118" i="149"/>
  <c r="H117" i="149"/>
  <c r="H116" i="149"/>
  <c r="H115" i="149"/>
  <c r="H114" i="149"/>
  <c r="H113" i="149"/>
  <c r="H112" i="149"/>
  <c r="H111" i="149"/>
  <c r="I71" i="149"/>
  <c r="F71" i="149"/>
  <c r="I70" i="149"/>
  <c r="F70" i="149"/>
  <c r="I66" i="149"/>
  <c r="H66" i="149"/>
  <c r="K60" i="149"/>
  <c r="J60" i="149"/>
  <c r="I60" i="149"/>
  <c r="C60" i="149"/>
  <c r="K59" i="149"/>
  <c r="J59" i="149"/>
  <c r="I59" i="149"/>
  <c r="C59" i="149"/>
  <c r="K58" i="149"/>
  <c r="J58" i="149"/>
  <c r="I58" i="149"/>
  <c r="C58" i="149"/>
  <c r="K57" i="149"/>
  <c r="J57" i="149"/>
  <c r="I57" i="149"/>
  <c r="C57" i="149"/>
  <c r="K56" i="149"/>
  <c r="J56" i="149"/>
  <c r="I56" i="149"/>
  <c r="C56" i="149"/>
  <c r="K55" i="149"/>
  <c r="J55" i="149"/>
  <c r="I55" i="149"/>
  <c r="C55" i="149"/>
  <c r="K54" i="149"/>
  <c r="J54" i="149"/>
  <c r="I54" i="149"/>
  <c r="C54" i="149"/>
  <c r="K53" i="149"/>
  <c r="J53" i="149"/>
  <c r="I53" i="149"/>
  <c r="C53" i="149"/>
  <c r="K52" i="149"/>
  <c r="J52" i="149"/>
  <c r="I52" i="149"/>
  <c r="C52" i="149"/>
  <c r="J51" i="149"/>
  <c r="K51" i="149" s="1"/>
  <c r="I51" i="149"/>
  <c r="C51" i="149"/>
  <c r="I50" i="149"/>
  <c r="I49" i="149"/>
  <c r="I48" i="149"/>
  <c r="I47" i="149"/>
  <c r="I46" i="149"/>
  <c r="I45" i="149"/>
  <c r="I44" i="149"/>
  <c r="I43" i="149"/>
  <c r="I42" i="149"/>
  <c r="I41" i="149"/>
  <c r="I40" i="149"/>
  <c r="I39" i="149"/>
  <c r="I38" i="149"/>
  <c r="C38" i="149"/>
  <c r="I37" i="149"/>
  <c r="C37" i="149"/>
  <c r="J31" i="149"/>
  <c r="I31" i="149"/>
  <c r="H31" i="149"/>
  <c r="G31" i="149"/>
  <c r="F31" i="149"/>
  <c r="E31" i="149"/>
  <c r="J30" i="149"/>
  <c r="I30" i="149"/>
  <c r="H30" i="149"/>
  <c r="G30" i="149"/>
  <c r="F30" i="149"/>
  <c r="E30" i="149"/>
  <c r="J29" i="149"/>
  <c r="I29" i="149"/>
  <c r="H29" i="149"/>
  <c r="G29" i="149"/>
  <c r="F29" i="149"/>
  <c r="E29" i="149"/>
  <c r="J28" i="149"/>
  <c r="I28" i="149"/>
  <c r="H28" i="149"/>
  <c r="G28" i="149"/>
  <c r="F28" i="149"/>
  <c r="E28" i="149"/>
  <c r="J27" i="149"/>
  <c r="I27" i="149"/>
  <c r="H27" i="149"/>
  <c r="G27" i="149"/>
  <c r="F27" i="149"/>
  <c r="E27" i="149"/>
  <c r="J26" i="149"/>
  <c r="I26" i="149"/>
  <c r="H26" i="149"/>
  <c r="G26" i="149"/>
  <c r="F26" i="149"/>
  <c r="E26" i="149"/>
  <c r="F25" i="149"/>
  <c r="E25" i="149"/>
  <c r="J24" i="149"/>
  <c r="I24" i="149"/>
  <c r="H24" i="149"/>
  <c r="G24" i="149"/>
  <c r="F24" i="149"/>
  <c r="E24" i="149"/>
  <c r="J23" i="149"/>
  <c r="I23" i="149"/>
  <c r="H23" i="149"/>
  <c r="G23" i="149"/>
  <c r="F23" i="149"/>
  <c r="E23" i="149"/>
  <c r="F22" i="149"/>
  <c r="F19" i="149"/>
  <c r="E19" i="149"/>
  <c r="F18" i="149"/>
  <c r="E18" i="149"/>
  <c r="F17" i="149"/>
  <c r="E17" i="149"/>
  <c r="F16" i="149"/>
  <c r="E16" i="149"/>
  <c r="F15" i="149"/>
  <c r="E15" i="149"/>
  <c r="F14" i="149"/>
  <c r="E14" i="149"/>
  <c r="F13" i="149"/>
  <c r="E13" i="149"/>
  <c r="F12" i="149"/>
  <c r="E12" i="149"/>
  <c r="F10" i="149"/>
  <c r="E10" i="149"/>
  <c r="K71" i="149" l="1"/>
  <c r="K70" i="150"/>
  <c r="K22" i="150"/>
  <c r="K70" i="151"/>
  <c r="K71" i="151"/>
  <c r="K24" i="151"/>
  <c r="K23" i="149"/>
  <c r="K24" i="149"/>
  <c r="K28" i="151"/>
  <c r="K26" i="151"/>
  <c r="K27" i="151"/>
  <c r="K30" i="151"/>
  <c r="K31" i="151"/>
  <c r="K50" i="151"/>
  <c r="K29" i="151"/>
  <c r="K70" i="149"/>
  <c r="K24" i="150"/>
  <c r="K27" i="150"/>
  <c r="K31" i="150"/>
  <c r="K26" i="150"/>
  <c r="K30" i="150"/>
  <c r="K25" i="150"/>
  <c r="K28" i="150"/>
  <c r="K29" i="150"/>
  <c r="K71" i="150"/>
  <c r="E20" i="150"/>
  <c r="F20" i="150"/>
  <c r="K26" i="149"/>
  <c r="K30" i="149"/>
  <c r="K29" i="149"/>
  <c r="K27" i="149"/>
  <c r="K28" i="149"/>
  <c r="K31" i="149"/>
  <c r="E22" i="149"/>
  <c r="C18" i="135"/>
  <c r="C17" i="134" l="1"/>
  <c r="I38" i="60"/>
  <c r="I40" i="60"/>
  <c r="I41" i="60"/>
  <c r="I42" i="60"/>
  <c r="I43" i="60"/>
  <c r="I44" i="60"/>
  <c r="J44" i="60"/>
  <c r="I45" i="60"/>
  <c r="J45" i="60"/>
  <c r="I46" i="60"/>
  <c r="J46" i="60"/>
  <c r="I47" i="60"/>
  <c r="J47" i="60"/>
  <c r="I48" i="60"/>
  <c r="J48" i="60"/>
  <c r="I49" i="60"/>
  <c r="J49" i="60"/>
  <c r="I50" i="60"/>
  <c r="J50" i="60"/>
  <c r="I51" i="60"/>
  <c r="J51" i="60"/>
  <c r="I52" i="60"/>
  <c r="J52" i="60"/>
  <c r="I53" i="60"/>
  <c r="J53" i="60"/>
  <c r="I54" i="60"/>
  <c r="J54" i="60"/>
  <c r="I55" i="60"/>
  <c r="J55" i="60"/>
  <c r="I56" i="60"/>
  <c r="J56" i="60"/>
  <c r="I57" i="60"/>
  <c r="J57" i="60"/>
  <c r="I58" i="60"/>
  <c r="J58" i="60"/>
  <c r="I59" i="60"/>
  <c r="J59" i="60"/>
  <c r="I60" i="60"/>
  <c r="J60" i="60"/>
  <c r="I61" i="60"/>
  <c r="J61" i="60"/>
  <c r="I38" i="118"/>
  <c r="I39" i="118"/>
  <c r="I41" i="118"/>
  <c r="I42" i="118"/>
  <c r="I43" i="118"/>
  <c r="I44" i="118"/>
  <c r="J44" i="118"/>
  <c r="I45" i="118"/>
  <c r="J45" i="118"/>
  <c r="I46" i="118"/>
  <c r="J46" i="118"/>
  <c r="I47" i="118"/>
  <c r="J47" i="118"/>
  <c r="I48" i="118"/>
  <c r="J48" i="118"/>
  <c r="I49" i="118"/>
  <c r="J49" i="118"/>
  <c r="I50" i="118"/>
  <c r="J50" i="118"/>
  <c r="I51" i="118"/>
  <c r="J51" i="118"/>
  <c r="I52" i="118"/>
  <c r="J52" i="118"/>
  <c r="I53" i="118"/>
  <c r="J53" i="118"/>
  <c r="I54" i="118"/>
  <c r="J54" i="118"/>
  <c r="I55" i="118"/>
  <c r="J55" i="118"/>
  <c r="I56" i="118"/>
  <c r="J56" i="118"/>
  <c r="I57" i="118"/>
  <c r="J57" i="118"/>
  <c r="I58" i="118"/>
  <c r="J58" i="118"/>
  <c r="I59" i="118"/>
  <c r="J59" i="118"/>
  <c r="I60" i="118"/>
  <c r="J60" i="118"/>
  <c r="I61" i="118"/>
  <c r="J61" i="118"/>
  <c r="I38" i="119"/>
  <c r="I39" i="119"/>
  <c r="I41" i="119"/>
  <c r="I42" i="119"/>
  <c r="I43" i="119"/>
  <c r="J43" i="119"/>
  <c r="I44" i="119"/>
  <c r="J44" i="119"/>
  <c r="I45" i="119"/>
  <c r="J45" i="119"/>
  <c r="I46" i="119"/>
  <c r="J46" i="119"/>
  <c r="I47" i="119"/>
  <c r="J47" i="119"/>
  <c r="I48" i="119"/>
  <c r="J48" i="119"/>
  <c r="I49" i="119"/>
  <c r="J49" i="119"/>
  <c r="I50" i="119"/>
  <c r="J50" i="119"/>
  <c r="I51" i="119"/>
  <c r="J51" i="119"/>
  <c r="I52" i="119"/>
  <c r="J52" i="119"/>
  <c r="I53" i="119"/>
  <c r="J53" i="119"/>
  <c r="I54" i="119"/>
  <c r="J54" i="119"/>
  <c r="I55" i="119"/>
  <c r="J55" i="119"/>
  <c r="I56" i="119"/>
  <c r="J56" i="119"/>
  <c r="I57" i="119"/>
  <c r="J57" i="119"/>
  <c r="I58" i="119"/>
  <c r="J58" i="119"/>
  <c r="I59" i="119"/>
  <c r="J59" i="119"/>
  <c r="I60" i="119"/>
  <c r="J60" i="119"/>
  <c r="I61" i="119"/>
  <c r="J61" i="119"/>
  <c r="I38" i="61"/>
  <c r="I39" i="61"/>
  <c r="I40" i="61"/>
  <c r="I41" i="61"/>
  <c r="I42" i="61"/>
  <c r="I43" i="61"/>
  <c r="I44" i="61"/>
  <c r="J44" i="61"/>
  <c r="I45" i="61"/>
  <c r="J45" i="61"/>
  <c r="I46" i="61"/>
  <c r="J46" i="61"/>
  <c r="I47" i="61"/>
  <c r="J47" i="61"/>
  <c r="I48" i="61"/>
  <c r="J48" i="61"/>
  <c r="I49" i="61"/>
  <c r="J49" i="61"/>
  <c r="I50" i="61"/>
  <c r="J50" i="61"/>
  <c r="I51" i="61"/>
  <c r="J51" i="61"/>
  <c r="I52" i="61"/>
  <c r="J52" i="61"/>
  <c r="I53" i="61"/>
  <c r="J53" i="61"/>
  <c r="I54" i="61"/>
  <c r="J54" i="61"/>
  <c r="I55" i="61"/>
  <c r="J55" i="61"/>
  <c r="I56" i="61"/>
  <c r="J56" i="61"/>
  <c r="I57" i="61"/>
  <c r="J57" i="61"/>
  <c r="I58" i="61"/>
  <c r="J58" i="61"/>
  <c r="I59" i="61"/>
  <c r="J59" i="61"/>
  <c r="I60" i="61"/>
  <c r="J60" i="61"/>
  <c r="I38" i="120"/>
  <c r="I39" i="120"/>
  <c r="I40" i="120"/>
  <c r="I41" i="120"/>
  <c r="I43" i="120"/>
  <c r="I44" i="120"/>
  <c r="I45" i="120"/>
  <c r="J45" i="120"/>
  <c r="I46" i="120"/>
  <c r="J46" i="120"/>
  <c r="I47" i="120"/>
  <c r="J47" i="120"/>
  <c r="I48" i="120"/>
  <c r="J48" i="120"/>
  <c r="I49" i="120"/>
  <c r="J49" i="120"/>
  <c r="I50" i="120"/>
  <c r="J50" i="120"/>
  <c r="I51" i="120"/>
  <c r="J51" i="120"/>
  <c r="I52" i="120"/>
  <c r="J52" i="120"/>
  <c r="I53" i="120"/>
  <c r="J53" i="120"/>
  <c r="I54" i="120"/>
  <c r="J54" i="120"/>
  <c r="I55" i="120"/>
  <c r="J55" i="120"/>
  <c r="I56" i="120"/>
  <c r="J56" i="120"/>
  <c r="I57" i="120"/>
  <c r="J57" i="120"/>
  <c r="I58" i="120"/>
  <c r="J58" i="120"/>
  <c r="I59" i="120"/>
  <c r="J59" i="120"/>
  <c r="I60" i="120"/>
  <c r="J60" i="120"/>
  <c r="I61" i="120"/>
  <c r="J61" i="120"/>
  <c r="I38" i="62"/>
  <c r="I39" i="62"/>
  <c r="I40" i="62"/>
  <c r="I41" i="62"/>
  <c r="I42" i="62"/>
  <c r="I43" i="62"/>
  <c r="I44" i="62"/>
  <c r="J44" i="62"/>
  <c r="I45" i="62"/>
  <c r="J45" i="62"/>
  <c r="I46" i="62"/>
  <c r="J46" i="62"/>
  <c r="I47" i="62"/>
  <c r="J47" i="62"/>
  <c r="I48" i="62"/>
  <c r="J48" i="62"/>
  <c r="I49" i="62"/>
  <c r="J49" i="62"/>
  <c r="I50" i="62"/>
  <c r="J50" i="62"/>
  <c r="I51" i="62"/>
  <c r="J51" i="62"/>
  <c r="I52" i="62"/>
  <c r="J52" i="62"/>
  <c r="I53" i="62"/>
  <c r="J53" i="62"/>
  <c r="I54" i="62"/>
  <c r="J54" i="62"/>
  <c r="I55" i="62"/>
  <c r="J55" i="62"/>
  <c r="I56" i="62"/>
  <c r="J56" i="62"/>
  <c r="I57" i="62"/>
  <c r="J57" i="62"/>
  <c r="I58" i="62"/>
  <c r="J58" i="62"/>
  <c r="I59" i="62"/>
  <c r="J59" i="62"/>
  <c r="I60" i="62"/>
  <c r="J60" i="62"/>
  <c r="I38" i="121"/>
  <c r="I39" i="121"/>
  <c r="I40" i="121"/>
  <c r="I42" i="121"/>
  <c r="I43" i="121"/>
  <c r="I44" i="121"/>
  <c r="I45" i="121"/>
  <c r="J45" i="121"/>
  <c r="I46" i="121"/>
  <c r="J46" i="121"/>
  <c r="I47" i="121"/>
  <c r="J47" i="121"/>
  <c r="I48" i="121"/>
  <c r="J48" i="121"/>
  <c r="I49" i="121"/>
  <c r="J49" i="121"/>
  <c r="I50" i="121"/>
  <c r="J50" i="121"/>
  <c r="I51" i="121"/>
  <c r="J51" i="121"/>
  <c r="I52" i="121"/>
  <c r="J52" i="121"/>
  <c r="I53" i="121"/>
  <c r="J53" i="121"/>
  <c r="I54" i="121"/>
  <c r="J54" i="121"/>
  <c r="I55" i="121"/>
  <c r="J55" i="121"/>
  <c r="I56" i="121"/>
  <c r="J56" i="121"/>
  <c r="I57" i="121"/>
  <c r="J57" i="121"/>
  <c r="I58" i="121"/>
  <c r="J58" i="121"/>
  <c r="I59" i="121"/>
  <c r="J59" i="121"/>
  <c r="I60" i="121"/>
  <c r="J60" i="121"/>
  <c r="I61" i="121"/>
  <c r="J61" i="121"/>
  <c r="I38" i="63"/>
  <c r="I39" i="63"/>
  <c r="I40" i="63"/>
  <c r="I41" i="63"/>
  <c r="I42" i="63"/>
  <c r="I44" i="63"/>
  <c r="I45" i="63"/>
  <c r="I46" i="63"/>
  <c r="I47" i="63"/>
  <c r="J47" i="63"/>
  <c r="I48" i="63"/>
  <c r="J48" i="63"/>
  <c r="I49" i="63"/>
  <c r="J49" i="63"/>
  <c r="I50" i="63"/>
  <c r="J50" i="63"/>
  <c r="I51" i="63"/>
  <c r="J51" i="63"/>
  <c r="I52" i="63"/>
  <c r="J52" i="63"/>
  <c r="I53" i="63"/>
  <c r="J53" i="63"/>
  <c r="I54" i="63"/>
  <c r="J54" i="63"/>
  <c r="I55" i="63"/>
  <c r="J55" i="63"/>
  <c r="I56" i="63"/>
  <c r="J56" i="63"/>
  <c r="I57" i="63"/>
  <c r="J57" i="63"/>
  <c r="I58" i="63"/>
  <c r="J58" i="63"/>
  <c r="I59" i="63"/>
  <c r="J59" i="63"/>
  <c r="I60" i="63"/>
  <c r="J60" i="63"/>
  <c r="I61" i="63"/>
  <c r="J61" i="63"/>
  <c r="I38" i="64"/>
  <c r="I39" i="64"/>
  <c r="I40" i="64"/>
  <c r="J40" i="64"/>
  <c r="I41" i="64"/>
  <c r="J41" i="64"/>
  <c r="I42" i="64"/>
  <c r="J42" i="64"/>
  <c r="I43" i="64"/>
  <c r="J43" i="64"/>
  <c r="I44" i="64"/>
  <c r="J44" i="64"/>
  <c r="I45" i="64"/>
  <c r="J45" i="64"/>
  <c r="I46" i="64"/>
  <c r="J46" i="64"/>
  <c r="I47" i="64"/>
  <c r="J47" i="64"/>
  <c r="I48" i="64"/>
  <c r="J48" i="64"/>
  <c r="I49" i="64"/>
  <c r="J49" i="64"/>
  <c r="I50" i="64"/>
  <c r="J50" i="64"/>
  <c r="I51" i="64"/>
  <c r="J51" i="64"/>
  <c r="I52" i="64"/>
  <c r="J52" i="64"/>
  <c r="I53" i="64"/>
  <c r="J53" i="64"/>
  <c r="I54" i="64"/>
  <c r="J54" i="64"/>
  <c r="I55" i="64"/>
  <c r="J55" i="64"/>
  <c r="I56" i="64"/>
  <c r="J56" i="64"/>
  <c r="I57" i="64"/>
  <c r="J57" i="64"/>
  <c r="I58" i="64"/>
  <c r="J58" i="64"/>
  <c r="I59" i="64"/>
  <c r="J59" i="64"/>
  <c r="I60" i="64"/>
  <c r="J60" i="64"/>
  <c r="I39" i="65"/>
  <c r="I40" i="65"/>
  <c r="I41" i="65"/>
  <c r="I44" i="65"/>
  <c r="I45" i="65"/>
  <c r="I46" i="65"/>
  <c r="I47" i="65"/>
  <c r="I48" i="65"/>
  <c r="J48" i="65"/>
  <c r="I49" i="65"/>
  <c r="J49" i="65"/>
  <c r="I50" i="65"/>
  <c r="J50" i="65"/>
  <c r="I51" i="65"/>
  <c r="J51" i="65"/>
  <c r="I52" i="65"/>
  <c r="J52" i="65"/>
  <c r="I53" i="65"/>
  <c r="J53" i="65"/>
  <c r="I54" i="65"/>
  <c r="J54" i="65"/>
  <c r="I55" i="65"/>
  <c r="J55" i="65"/>
  <c r="I56" i="65"/>
  <c r="J56" i="65"/>
  <c r="I57" i="65"/>
  <c r="J57" i="65"/>
  <c r="I58" i="65"/>
  <c r="J58" i="65"/>
  <c r="I59" i="65"/>
  <c r="J59" i="65"/>
  <c r="I60" i="65"/>
  <c r="J60" i="65"/>
  <c r="I61" i="65"/>
  <c r="J61" i="65"/>
  <c r="I62" i="65"/>
  <c r="J62" i="65"/>
  <c r="I38" i="122"/>
  <c r="I39" i="122"/>
  <c r="I40" i="122"/>
  <c r="I41" i="122"/>
  <c r="I43" i="122"/>
  <c r="I44" i="122"/>
  <c r="I45" i="122"/>
  <c r="I46" i="122"/>
  <c r="J46" i="122"/>
  <c r="I47" i="122"/>
  <c r="J47" i="122"/>
  <c r="I48" i="122"/>
  <c r="J48" i="122"/>
  <c r="I49" i="122"/>
  <c r="J49" i="122"/>
  <c r="I50" i="122"/>
  <c r="J50" i="122"/>
  <c r="I51" i="122"/>
  <c r="J51" i="122"/>
  <c r="I52" i="122"/>
  <c r="J52" i="122"/>
  <c r="I53" i="122"/>
  <c r="J53" i="122"/>
  <c r="I54" i="122"/>
  <c r="J54" i="122"/>
  <c r="I55" i="122"/>
  <c r="J55" i="122"/>
  <c r="I56" i="122"/>
  <c r="J56" i="122"/>
  <c r="I57" i="122"/>
  <c r="J57" i="122"/>
  <c r="I58" i="122"/>
  <c r="J58" i="122"/>
  <c r="I59" i="122"/>
  <c r="J59" i="122"/>
  <c r="I60" i="122"/>
  <c r="J60" i="122"/>
  <c r="I61" i="122"/>
  <c r="J61" i="122"/>
  <c r="I38" i="124"/>
  <c r="I39" i="124"/>
  <c r="I40" i="124"/>
  <c r="I41" i="124"/>
  <c r="I42" i="124"/>
  <c r="I43" i="124"/>
  <c r="I44" i="124"/>
  <c r="J44" i="124"/>
  <c r="I45" i="124"/>
  <c r="J45" i="124"/>
  <c r="I46" i="124"/>
  <c r="J46" i="124"/>
  <c r="I47" i="124"/>
  <c r="J47" i="124"/>
  <c r="I48" i="124"/>
  <c r="J48" i="124"/>
  <c r="I49" i="124"/>
  <c r="J49" i="124"/>
  <c r="I50" i="124"/>
  <c r="J50" i="124"/>
  <c r="I51" i="124"/>
  <c r="J51" i="124"/>
  <c r="I52" i="124"/>
  <c r="J52" i="124"/>
  <c r="I53" i="124"/>
  <c r="J53" i="124"/>
  <c r="I54" i="124"/>
  <c r="J54" i="124"/>
  <c r="I55" i="124"/>
  <c r="J55" i="124"/>
  <c r="I56" i="124"/>
  <c r="J56" i="124"/>
  <c r="I57" i="124"/>
  <c r="J57" i="124"/>
  <c r="I58" i="124"/>
  <c r="J58" i="124"/>
  <c r="I59" i="124"/>
  <c r="J59" i="124"/>
  <c r="I60" i="124"/>
  <c r="J60" i="124"/>
  <c r="I39" i="66"/>
  <c r="I40" i="66"/>
  <c r="I42" i="66"/>
  <c r="I43" i="66"/>
  <c r="I44" i="66"/>
  <c r="I45" i="66"/>
  <c r="I46" i="66"/>
  <c r="J46" i="66"/>
  <c r="I47" i="66"/>
  <c r="J47" i="66"/>
  <c r="I48" i="66"/>
  <c r="J48" i="66"/>
  <c r="I49" i="66"/>
  <c r="J49" i="66"/>
  <c r="I50" i="66"/>
  <c r="J50" i="66"/>
  <c r="I51" i="66"/>
  <c r="J51" i="66"/>
  <c r="I52" i="66"/>
  <c r="J52" i="66"/>
  <c r="I53" i="66"/>
  <c r="J53" i="66"/>
  <c r="I54" i="66"/>
  <c r="J54" i="66"/>
  <c r="I55" i="66"/>
  <c r="J55" i="66"/>
  <c r="I56" i="66"/>
  <c r="J56" i="66"/>
  <c r="I57" i="66"/>
  <c r="J57" i="66"/>
  <c r="I58" i="66"/>
  <c r="J58" i="66"/>
  <c r="I59" i="66"/>
  <c r="J59" i="66"/>
  <c r="I60" i="66"/>
  <c r="J60" i="66"/>
  <c r="I61" i="66"/>
  <c r="J61" i="66"/>
  <c r="I39" i="123"/>
  <c r="I40" i="123"/>
  <c r="I43" i="123"/>
  <c r="I44" i="123"/>
  <c r="I45" i="123"/>
  <c r="I46" i="123"/>
  <c r="J46" i="123"/>
  <c r="I47" i="123"/>
  <c r="J47" i="123"/>
  <c r="I48" i="123"/>
  <c r="J48" i="123"/>
  <c r="I49" i="123"/>
  <c r="J49" i="123"/>
  <c r="I50" i="123"/>
  <c r="J50" i="123"/>
  <c r="I51" i="123"/>
  <c r="J51" i="123"/>
  <c r="I52" i="123"/>
  <c r="J52" i="123"/>
  <c r="I53" i="123"/>
  <c r="J53" i="123"/>
  <c r="I54" i="123"/>
  <c r="J54" i="123"/>
  <c r="I55" i="123"/>
  <c r="J55" i="123"/>
  <c r="I56" i="123"/>
  <c r="J56" i="123"/>
  <c r="I57" i="123"/>
  <c r="J57" i="123"/>
  <c r="I58" i="123"/>
  <c r="J58" i="123"/>
  <c r="I59" i="123"/>
  <c r="J59" i="123"/>
  <c r="I60" i="123"/>
  <c r="J60" i="123"/>
  <c r="I61" i="123"/>
  <c r="J61" i="123"/>
  <c r="I62" i="123"/>
  <c r="J62" i="123"/>
  <c r="I38" i="67"/>
  <c r="I39" i="67"/>
  <c r="I40" i="67"/>
  <c r="I41" i="67"/>
  <c r="I43" i="67"/>
  <c r="I44" i="67"/>
  <c r="I45" i="67"/>
  <c r="I46" i="67"/>
  <c r="I47" i="67"/>
  <c r="I48" i="67"/>
  <c r="I49" i="67"/>
  <c r="I50" i="67"/>
  <c r="I51" i="67"/>
  <c r="I52" i="67"/>
  <c r="I53" i="67"/>
  <c r="J53" i="67"/>
  <c r="I54" i="67"/>
  <c r="J54" i="67"/>
  <c r="I55" i="67"/>
  <c r="J55" i="67"/>
  <c r="I56" i="67"/>
  <c r="J56" i="67"/>
  <c r="I57" i="67"/>
  <c r="J57" i="67"/>
  <c r="I58" i="67"/>
  <c r="J58" i="67"/>
  <c r="I59" i="67"/>
  <c r="J59" i="67"/>
  <c r="I60" i="67"/>
  <c r="J60" i="67"/>
  <c r="I61" i="67"/>
  <c r="J61" i="67"/>
  <c r="I38" i="141"/>
  <c r="I39" i="141"/>
  <c r="I40" i="141"/>
  <c r="I41" i="141"/>
  <c r="I42" i="141"/>
  <c r="I43" i="141"/>
  <c r="I44" i="141"/>
  <c r="I45" i="141"/>
  <c r="I46" i="141"/>
  <c r="I47" i="141"/>
  <c r="I48" i="141"/>
  <c r="I49" i="141"/>
  <c r="I50" i="141"/>
  <c r="I51" i="141"/>
  <c r="J51" i="141"/>
  <c r="I52" i="141"/>
  <c r="J52" i="141"/>
  <c r="I53" i="141"/>
  <c r="J53" i="141"/>
  <c r="I54" i="141"/>
  <c r="J54" i="141"/>
  <c r="I55" i="141"/>
  <c r="J55" i="141"/>
  <c r="I56" i="141"/>
  <c r="J56" i="141"/>
  <c r="I57" i="141"/>
  <c r="J57" i="141"/>
  <c r="I58" i="141"/>
  <c r="J58" i="141"/>
  <c r="I59" i="141"/>
  <c r="J59" i="141"/>
  <c r="I60" i="141"/>
  <c r="J60" i="141"/>
  <c r="I38" i="68"/>
  <c r="I39" i="68"/>
  <c r="I40" i="68"/>
  <c r="I41" i="68"/>
  <c r="I42" i="68"/>
  <c r="I43" i="68"/>
  <c r="I44" i="68"/>
  <c r="I45" i="68"/>
  <c r="I46" i="68"/>
  <c r="I47" i="68"/>
  <c r="I48" i="68"/>
  <c r="I49" i="68"/>
  <c r="I50" i="68"/>
  <c r="I51" i="68"/>
  <c r="I52" i="68"/>
  <c r="I53" i="68"/>
  <c r="I54" i="68"/>
  <c r="I55" i="68"/>
  <c r="J55" i="68"/>
  <c r="I56" i="68"/>
  <c r="J56" i="68"/>
  <c r="I57" i="68"/>
  <c r="J57" i="68"/>
  <c r="I58" i="68"/>
  <c r="J58" i="68"/>
  <c r="I59" i="68"/>
  <c r="J59" i="68"/>
  <c r="I60" i="68"/>
  <c r="J60" i="68"/>
  <c r="I38" i="142"/>
  <c r="I39" i="142"/>
  <c r="I40" i="142"/>
  <c r="I41" i="142"/>
  <c r="I42" i="142"/>
  <c r="I55" i="142"/>
  <c r="J55" i="142"/>
  <c r="I56" i="142"/>
  <c r="J56" i="142"/>
  <c r="I57" i="142"/>
  <c r="J57" i="142"/>
  <c r="I58" i="142"/>
  <c r="J58" i="142"/>
  <c r="I59" i="142"/>
  <c r="J59" i="142"/>
  <c r="I60" i="142"/>
  <c r="J60" i="142"/>
  <c r="I38" i="69"/>
  <c r="I39" i="69"/>
  <c r="I40" i="69"/>
  <c r="I41" i="69"/>
  <c r="I42" i="69"/>
  <c r="I43" i="69"/>
  <c r="I44" i="69"/>
  <c r="I45" i="69"/>
  <c r="I46" i="69"/>
  <c r="I47" i="69"/>
  <c r="I48" i="69"/>
  <c r="I50" i="69"/>
  <c r="I51" i="69"/>
  <c r="I52" i="69"/>
  <c r="I53" i="69"/>
  <c r="J53" i="69"/>
  <c r="I54" i="69"/>
  <c r="J54" i="69"/>
  <c r="I55" i="69"/>
  <c r="J55" i="69"/>
  <c r="I56" i="69"/>
  <c r="J56" i="69"/>
  <c r="I57" i="69"/>
  <c r="J57" i="69"/>
  <c r="I58" i="69"/>
  <c r="J58" i="69"/>
  <c r="I59" i="69"/>
  <c r="J59" i="69"/>
  <c r="I60" i="69"/>
  <c r="J60" i="69"/>
  <c r="I61" i="69"/>
  <c r="J61" i="69"/>
  <c r="I38" i="143"/>
  <c r="I39" i="143"/>
  <c r="I40" i="143"/>
  <c r="I41" i="143"/>
  <c r="I42" i="143"/>
  <c r="I43" i="143"/>
  <c r="I44" i="143"/>
  <c r="I45" i="143"/>
  <c r="I46" i="143"/>
  <c r="I47" i="143"/>
  <c r="I50" i="143"/>
  <c r="I51" i="143"/>
  <c r="I52" i="143"/>
  <c r="I53" i="143"/>
  <c r="J53" i="143"/>
  <c r="I54" i="143"/>
  <c r="J54" i="143"/>
  <c r="I55" i="143"/>
  <c r="J55" i="143"/>
  <c r="I56" i="143"/>
  <c r="J56" i="143"/>
  <c r="I57" i="143"/>
  <c r="J57" i="143"/>
  <c r="I58" i="143"/>
  <c r="J58" i="143"/>
  <c r="I59" i="143"/>
  <c r="J59" i="143"/>
  <c r="I60" i="143"/>
  <c r="J60" i="143"/>
  <c r="I61" i="143"/>
  <c r="J61" i="143"/>
  <c r="I38" i="70"/>
  <c r="I39" i="70"/>
  <c r="I40" i="70"/>
  <c r="I41" i="70"/>
  <c r="I57" i="70"/>
  <c r="J57" i="70"/>
  <c r="I58" i="70"/>
  <c r="J58" i="70"/>
  <c r="I59" i="70"/>
  <c r="J59" i="70"/>
  <c r="I60" i="70"/>
  <c r="J60" i="70"/>
  <c r="I38" i="144"/>
  <c r="I39" i="144"/>
  <c r="I40" i="144"/>
  <c r="I41" i="144"/>
  <c r="I57" i="144"/>
  <c r="J57" i="144"/>
  <c r="I58" i="144"/>
  <c r="J58" i="144"/>
  <c r="I59" i="144"/>
  <c r="J59" i="144"/>
  <c r="I60" i="144"/>
  <c r="J60" i="144"/>
  <c r="I39" i="71"/>
  <c r="I40" i="71"/>
  <c r="I41" i="71"/>
  <c r="I42" i="71"/>
  <c r="I43" i="71"/>
  <c r="I44" i="71"/>
  <c r="I45" i="71"/>
  <c r="I46" i="71"/>
  <c r="I47" i="71"/>
  <c r="I48" i="71"/>
  <c r="I59" i="71"/>
  <c r="J59" i="71"/>
  <c r="I60" i="71"/>
  <c r="J60" i="71"/>
  <c r="I61" i="71"/>
  <c r="J61" i="71"/>
  <c r="I39" i="3"/>
  <c r="I40" i="3"/>
  <c r="I41" i="3"/>
  <c r="I42" i="3"/>
  <c r="I43" i="3"/>
  <c r="I44" i="3"/>
  <c r="I46" i="3"/>
  <c r="I47" i="3"/>
  <c r="I48" i="3"/>
  <c r="I49" i="3"/>
  <c r="I50" i="3"/>
  <c r="I51" i="3"/>
  <c r="I52" i="3"/>
  <c r="I54" i="3"/>
  <c r="I56" i="3"/>
  <c r="I57" i="3"/>
  <c r="I58" i="3"/>
  <c r="I59" i="3"/>
  <c r="I60" i="3"/>
  <c r="I61" i="3"/>
  <c r="J61" i="3"/>
  <c r="I62" i="3"/>
  <c r="J62" i="3"/>
  <c r="I38" i="73"/>
  <c r="I39" i="73"/>
  <c r="I40" i="73"/>
  <c r="I41" i="73"/>
  <c r="I42" i="73"/>
  <c r="I44" i="73"/>
  <c r="I45" i="73"/>
  <c r="I46" i="73"/>
  <c r="I47" i="73"/>
  <c r="I48" i="73"/>
  <c r="I49" i="73"/>
  <c r="I51" i="73"/>
  <c r="I52" i="73"/>
  <c r="I53" i="73"/>
  <c r="I54" i="73"/>
  <c r="I55" i="73"/>
  <c r="I56" i="73"/>
  <c r="J56" i="73"/>
  <c r="I57" i="73"/>
  <c r="J57" i="73"/>
  <c r="I58" i="73"/>
  <c r="J58" i="73"/>
  <c r="I59" i="73"/>
  <c r="J59" i="73"/>
  <c r="I60" i="73"/>
  <c r="J60" i="73"/>
  <c r="I61" i="73"/>
  <c r="J61" i="73"/>
  <c r="I62" i="73"/>
  <c r="J62" i="73"/>
  <c r="I39" i="125"/>
  <c r="I40" i="125"/>
  <c r="I41" i="125"/>
  <c r="I42" i="125"/>
  <c r="I43" i="125"/>
  <c r="I47" i="125"/>
  <c r="I48" i="125"/>
  <c r="I50" i="125"/>
  <c r="I51" i="125"/>
  <c r="I52" i="125"/>
  <c r="I53" i="125"/>
  <c r="I54" i="125"/>
  <c r="I55" i="125"/>
  <c r="I56" i="125"/>
  <c r="J56" i="125"/>
  <c r="I57" i="125"/>
  <c r="J57" i="125"/>
  <c r="I58" i="125"/>
  <c r="J58" i="125"/>
  <c r="I59" i="125"/>
  <c r="J59" i="125"/>
  <c r="I60" i="125"/>
  <c r="J60" i="125"/>
  <c r="I61" i="125"/>
  <c r="J61" i="125"/>
  <c r="I62" i="125"/>
  <c r="J62" i="125"/>
  <c r="I63" i="125"/>
  <c r="J63" i="125"/>
  <c r="I64" i="125"/>
  <c r="J64" i="125"/>
  <c r="I65" i="125"/>
  <c r="J65" i="125"/>
  <c r="I38" i="74"/>
  <c r="I39" i="74"/>
  <c r="I40" i="74"/>
  <c r="I41" i="74"/>
  <c r="I42" i="74"/>
  <c r="I43" i="74"/>
  <c r="I45" i="74"/>
  <c r="I46" i="74"/>
  <c r="I47" i="74"/>
  <c r="I48" i="74"/>
  <c r="I49" i="74"/>
  <c r="I50" i="74"/>
  <c r="I51" i="74"/>
  <c r="I52" i="74"/>
  <c r="I53" i="74"/>
  <c r="I54" i="74"/>
  <c r="I55" i="74"/>
  <c r="I56" i="74"/>
  <c r="I57" i="74"/>
  <c r="I58" i="74"/>
  <c r="I59" i="74"/>
  <c r="J59" i="74"/>
  <c r="I60" i="74"/>
  <c r="J60" i="74"/>
  <c r="I38" i="76"/>
  <c r="I39" i="76"/>
  <c r="I40" i="76"/>
  <c r="I41" i="76"/>
  <c r="I42" i="76"/>
  <c r="I43" i="76"/>
  <c r="I44" i="76"/>
  <c r="I45" i="76"/>
  <c r="I46" i="76"/>
  <c r="I47" i="76"/>
  <c r="I48" i="76"/>
  <c r="I49" i="76"/>
  <c r="I50" i="76"/>
  <c r="I51" i="76"/>
  <c r="I52" i="76"/>
  <c r="J52" i="76"/>
  <c r="I53" i="76"/>
  <c r="J53" i="76"/>
  <c r="I54" i="76"/>
  <c r="J54" i="76"/>
  <c r="I55" i="76"/>
  <c r="J55" i="76"/>
  <c r="I56" i="76"/>
  <c r="J56" i="76"/>
  <c r="I57" i="76"/>
  <c r="J57" i="76"/>
  <c r="I58" i="76"/>
  <c r="J58" i="76"/>
  <c r="I59" i="76"/>
  <c r="J59" i="76"/>
  <c r="I60" i="76"/>
  <c r="J60" i="76"/>
  <c r="I38" i="126"/>
  <c r="I39" i="126"/>
  <c r="I40" i="126"/>
  <c r="I41" i="126"/>
  <c r="I42" i="126"/>
  <c r="I43" i="126"/>
  <c r="I44" i="126"/>
  <c r="I45" i="126"/>
  <c r="I46" i="126"/>
  <c r="I47" i="126"/>
  <c r="I49" i="126"/>
  <c r="I50" i="126"/>
  <c r="I51" i="126"/>
  <c r="I52" i="126"/>
  <c r="I53" i="126"/>
  <c r="I54" i="126"/>
  <c r="I55" i="126"/>
  <c r="I56" i="126"/>
  <c r="J56" i="126"/>
  <c r="I57" i="126"/>
  <c r="J57" i="126"/>
  <c r="I58" i="126"/>
  <c r="J58" i="126"/>
  <c r="I59" i="126"/>
  <c r="J59" i="126"/>
  <c r="I60" i="126"/>
  <c r="J60" i="126"/>
  <c r="I61" i="126"/>
  <c r="J61" i="126"/>
  <c r="I38" i="77"/>
  <c r="I39" i="77"/>
  <c r="I40" i="77"/>
  <c r="I49" i="77"/>
  <c r="I47" i="77"/>
  <c r="I54" i="77"/>
  <c r="J54" i="77"/>
  <c r="I55" i="77"/>
  <c r="J55" i="77"/>
  <c r="I56" i="77"/>
  <c r="J56" i="77"/>
  <c r="I57" i="77"/>
  <c r="J57" i="77"/>
  <c r="I58" i="77"/>
  <c r="J58" i="77"/>
  <c r="I59" i="77"/>
  <c r="J59" i="77"/>
  <c r="I60" i="77"/>
  <c r="J60" i="77"/>
  <c r="I61" i="77"/>
  <c r="J61" i="77"/>
  <c r="I62" i="77"/>
  <c r="J62" i="77"/>
  <c r="I63" i="77"/>
  <c r="J63" i="77"/>
  <c r="I38" i="78"/>
  <c r="I39" i="78"/>
  <c r="I40" i="78"/>
  <c r="I41" i="78"/>
  <c r="I42" i="78"/>
  <c r="I43" i="78"/>
  <c r="I60" i="78"/>
  <c r="J60" i="78"/>
  <c r="I61" i="78"/>
  <c r="J61" i="78"/>
  <c r="I39" i="79"/>
  <c r="I40" i="79"/>
  <c r="I41" i="79"/>
  <c r="I42" i="79"/>
  <c r="I43" i="79"/>
  <c r="I44" i="79"/>
  <c r="I45" i="79"/>
  <c r="I46" i="79"/>
  <c r="I47" i="79"/>
  <c r="I48" i="79"/>
  <c r="J48" i="79"/>
  <c r="I49" i="79"/>
  <c r="I50" i="79"/>
  <c r="I51" i="79"/>
  <c r="I52" i="79"/>
  <c r="I53" i="79"/>
  <c r="J53" i="79"/>
  <c r="I54" i="79"/>
  <c r="J54" i="79"/>
  <c r="I55" i="79"/>
  <c r="J55" i="79"/>
  <c r="I56" i="79"/>
  <c r="J56" i="79"/>
  <c r="I57" i="79"/>
  <c r="J57" i="79"/>
  <c r="I58" i="79"/>
  <c r="J58" i="79"/>
  <c r="I59" i="79"/>
  <c r="J59" i="79"/>
  <c r="I60" i="79"/>
  <c r="J60" i="79"/>
  <c r="I61" i="79"/>
  <c r="J61" i="79"/>
  <c r="I38" i="80"/>
  <c r="I39" i="80"/>
  <c r="I40" i="80"/>
  <c r="I41" i="80"/>
  <c r="I42" i="80"/>
  <c r="I43" i="80"/>
  <c r="I45" i="80"/>
  <c r="I46" i="80"/>
  <c r="I47" i="80"/>
  <c r="I48" i="80"/>
  <c r="J48" i="80"/>
  <c r="I49" i="80"/>
  <c r="I50" i="80"/>
  <c r="J50" i="80"/>
  <c r="I51" i="80"/>
  <c r="I52" i="80"/>
  <c r="I53" i="80"/>
  <c r="I54" i="80"/>
  <c r="I55" i="80"/>
  <c r="I56" i="80"/>
  <c r="J56" i="80"/>
  <c r="I57" i="80"/>
  <c r="J57" i="80"/>
  <c r="I58" i="80"/>
  <c r="J58" i="80"/>
  <c r="I59" i="80"/>
  <c r="J59" i="80"/>
  <c r="I60" i="80"/>
  <c r="J60" i="80"/>
  <c r="I61" i="80"/>
  <c r="J61" i="80"/>
  <c r="I38" i="108"/>
  <c r="I39" i="108"/>
  <c r="I40" i="108"/>
  <c r="I41" i="108"/>
  <c r="I42" i="108"/>
  <c r="I44" i="108"/>
  <c r="I45" i="108"/>
  <c r="I46" i="108"/>
  <c r="J46" i="108"/>
  <c r="I47" i="108"/>
  <c r="I48" i="108"/>
  <c r="J48" i="108"/>
  <c r="I49" i="108"/>
  <c r="I50" i="108"/>
  <c r="I51" i="108"/>
  <c r="I52" i="108"/>
  <c r="I53" i="108"/>
  <c r="I54" i="108"/>
  <c r="J54" i="108"/>
  <c r="I55" i="108"/>
  <c r="J55" i="108"/>
  <c r="I56" i="108"/>
  <c r="J56" i="108"/>
  <c r="I57" i="108"/>
  <c r="J57" i="108"/>
  <c r="I58" i="108"/>
  <c r="J58" i="108"/>
  <c r="I59" i="108"/>
  <c r="J59" i="108"/>
  <c r="I60" i="108"/>
  <c r="J60" i="108"/>
  <c r="I38" i="109"/>
  <c r="I39" i="109"/>
  <c r="I40" i="109"/>
  <c r="I41" i="109"/>
  <c r="I42" i="109"/>
  <c r="I43" i="109"/>
  <c r="I45" i="109"/>
  <c r="I46" i="109"/>
  <c r="I47" i="109"/>
  <c r="I48" i="109"/>
  <c r="J48" i="109"/>
  <c r="I49" i="109"/>
  <c r="I50" i="109"/>
  <c r="J50" i="109"/>
  <c r="I51" i="109"/>
  <c r="I52" i="109"/>
  <c r="I53" i="109"/>
  <c r="I54" i="109"/>
  <c r="I55" i="109"/>
  <c r="J55" i="109"/>
  <c r="I56" i="109"/>
  <c r="J56" i="109"/>
  <c r="I57" i="109"/>
  <c r="J57" i="109"/>
  <c r="I58" i="109"/>
  <c r="J58" i="109"/>
  <c r="I59" i="109"/>
  <c r="J59" i="109"/>
  <c r="I60" i="109"/>
  <c r="J60" i="109"/>
  <c r="I61" i="109"/>
  <c r="J61" i="109"/>
  <c r="I38" i="135"/>
  <c r="I39" i="135"/>
  <c r="I40" i="135"/>
  <c r="I41" i="135"/>
  <c r="I42" i="135"/>
  <c r="I43" i="135"/>
  <c r="I45" i="135"/>
  <c r="I46" i="135"/>
  <c r="I47" i="135"/>
  <c r="I48" i="135"/>
  <c r="J48" i="135"/>
  <c r="I49" i="135"/>
  <c r="I50" i="135"/>
  <c r="J50" i="135"/>
  <c r="I51" i="135"/>
  <c r="I52" i="135"/>
  <c r="I53" i="135"/>
  <c r="I54" i="135"/>
  <c r="I55" i="135"/>
  <c r="I56" i="135"/>
  <c r="J56" i="135"/>
  <c r="I57" i="135"/>
  <c r="J57" i="135"/>
  <c r="I58" i="135"/>
  <c r="J58" i="135"/>
  <c r="I59" i="135"/>
  <c r="J59" i="135"/>
  <c r="I60" i="135"/>
  <c r="J60" i="135"/>
  <c r="I61" i="135"/>
  <c r="J61" i="135"/>
  <c r="I38" i="81"/>
  <c r="I39" i="81"/>
  <c r="I40" i="81"/>
  <c r="I41" i="81"/>
  <c r="I42" i="81"/>
  <c r="I43" i="81"/>
  <c r="I44" i="81"/>
  <c r="J44" i="81"/>
  <c r="I45" i="81"/>
  <c r="I46" i="81"/>
  <c r="I47" i="81"/>
  <c r="I48" i="81"/>
  <c r="J48" i="81"/>
  <c r="I49" i="81"/>
  <c r="J49" i="81"/>
  <c r="I50" i="81"/>
  <c r="J50" i="81"/>
  <c r="I51" i="81"/>
  <c r="J51" i="81"/>
  <c r="I52" i="81"/>
  <c r="J52" i="81"/>
  <c r="I53" i="81"/>
  <c r="J53" i="81"/>
  <c r="I54" i="81"/>
  <c r="J54" i="81"/>
  <c r="I55" i="81"/>
  <c r="J55" i="81"/>
  <c r="I56" i="81"/>
  <c r="J56" i="81"/>
  <c r="I57" i="81"/>
  <c r="J57" i="81"/>
  <c r="I58" i="81"/>
  <c r="J58" i="81"/>
  <c r="I59" i="81"/>
  <c r="J59" i="81"/>
  <c r="I60" i="81"/>
  <c r="J60" i="81"/>
  <c r="I38" i="82"/>
  <c r="I39" i="82"/>
  <c r="I40" i="82"/>
  <c r="I41" i="82"/>
  <c r="I42" i="82"/>
  <c r="I43" i="82"/>
  <c r="I44" i="82"/>
  <c r="I45" i="82"/>
  <c r="I46" i="82"/>
  <c r="I47" i="82"/>
  <c r="J47" i="82"/>
  <c r="I48" i="82"/>
  <c r="I49" i="82"/>
  <c r="I50" i="82"/>
  <c r="I51" i="82"/>
  <c r="J51" i="82"/>
  <c r="I52" i="82"/>
  <c r="J52" i="82"/>
  <c r="I53" i="82"/>
  <c r="J53" i="82"/>
  <c r="I54" i="82"/>
  <c r="J54" i="82"/>
  <c r="I55" i="82"/>
  <c r="J55" i="82"/>
  <c r="I56" i="82"/>
  <c r="J56" i="82"/>
  <c r="I57" i="82"/>
  <c r="J57" i="82"/>
  <c r="I58" i="82"/>
  <c r="J58" i="82"/>
  <c r="I59" i="82"/>
  <c r="J59" i="82"/>
  <c r="I60" i="82"/>
  <c r="J60" i="82"/>
  <c r="I38" i="83"/>
  <c r="I39" i="83"/>
  <c r="I40" i="83"/>
  <c r="I41" i="83"/>
  <c r="I42" i="83"/>
  <c r="I43" i="83"/>
  <c r="I44" i="83"/>
  <c r="I45" i="83"/>
  <c r="I46" i="83"/>
  <c r="I47" i="83"/>
  <c r="I48" i="83"/>
  <c r="J48" i="83"/>
  <c r="I49" i="83"/>
  <c r="I50" i="83"/>
  <c r="I51" i="83"/>
  <c r="I52" i="83"/>
  <c r="J52" i="83"/>
  <c r="I53" i="83"/>
  <c r="J53" i="83"/>
  <c r="I54" i="83"/>
  <c r="J54" i="83"/>
  <c r="I55" i="83"/>
  <c r="J55" i="83"/>
  <c r="I56" i="83"/>
  <c r="J56" i="83"/>
  <c r="I57" i="83"/>
  <c r="J57" i="83"/>
  <c r="I58" i="83"/>
  <c r="J58" i="83"/>
  <c r="I59" i="83"/>
  <c r="J59" i="83"/>
  <c r="I60" i="83"/>
  <c r="J60" i="83"/>
  <c r="I38" i="84"/>
  <c r="I39" i="84"/>
  <c r="I40" i="84"/>
  <c r="I41" i="84"/>
  <c r="I42" i="84"/>
  <c r="I43" i="84"/>
  <c r="I44" i="84"/>
  <c r="I45" i="84"/>
  <c r="I46" i="84"/>
  <c r="I47" i="84"/>
  <c r="J47" i="84"/>
  <c r="I48" i="84"/>
  <c r="I49" i="84"/>
  <c r="I50" i="84"/>
  <c r="I51" i="84"/>
  <c r="J51" i="84"/>
  <c r="I52" i="84"/>
  <c r="J52" i="84"/>
  <c r="I53" i="84"/>
  <c r="J53" i="84"/>
  <c r="I54" i="84"/>
  <c r="J54" i="84"/>
  <c r="I55" i="84"/>
  <c r="J55" i="84"/>
  <c r="I56" i="84"/>
  <c r="J56" i="84"/>
  <c r="I57" i="84"/>
  <c r="J57" i="84"/>
  <c r="I58" i="84"/>
  <c r="J58" i="84"/>
  <c r="I59" i="84"/>
  <c r="J59" i="84"/>
  <c r="I60" i="84"/>
  <c r="J60" i="84"/>
  <c r="I38" i="85"/>
  <c r="I39" i="85"/>
  <c r="J39" i="85"/>
  <c r="I40" i="85"/>
  <c r="J40" i="85"/>
  <c r="I41" i="85"/>
  <c r="J41" i="85"/>
  <c r="I42" i="85"/>
  <c r="J42" i="85"/>
  <c r="I43" i="85"/>
  <c r="J43" i="85"/>
  <c r="I44" i="85"/>
  <c r="J44" i="85"/>
  <c r="I45" i="85"/>
  <c r="J45" i="85"/>
  <c r="I46" i="85"/>
  <c r="J46" i="85"/>
  <c r="I47" i="85"/>
  <c r="J47" i="85"/>
  <c r="I48" i="85"/>
  <c r="J48" i="85"/>
  <c r="I49" i="85"/>
  <c r="J49" i="85"/>
  <c r="I50" i="85"/>
  <c r="J50" i="85"/>
  <c r="I51" i="85"/>
  <c r="J51" i="85"/>
  <c r="I52" i="85"/>
  <c r="J52" i="85"/>
  <c r="I53" i="85"/>
  <c r="J53" i="85"/>
  <c r="I54" i="85"/>
  <c r="J54" i="85"/>
  <c r="I55" i="85"/>
  <c r="J55" i="85"/>
  <c r="I56" i="85"/>
  <c r="J56" i="85"/>
  <c r="I57" i="85"/>
  <c r="J57" i="85"/>
  <c r="I58" i="85"/>
  <c r="J58" i="85"/>
  <c r="I59" i="85"/>
  <c r="J59" i="85"/>
  <c r="I60" i="85"/>
  <c r="J60" i="85"/>
  <c r="I38" i="86"/>
  <c r="I39" i="86"/>
  <c r="I40" i="86"/>
  <c r="J40" i="86"/>
  <c r="I41" i="86"/>
  <c r="J41" i="86"/>
  <c r="I42" i="86"/>
  <c r="J42" i="86"/>
  <c r="I43" i="86"/>
  <c r="J43" i="86"/>
  <c r="I44" i="86"/>
  <c r="J44" i="86"/>
  <c r="I45" i="86"/>
  <c r="J45" i="86"/>
  <c r="I46" i="86"/>
  <c r="J46" i="86"/>
  <c r="I47" i="86"/>
  <c r="J47" i="86"/>
  <c r="I48" i="86"/>
  <c r="J48" i="86"/>
  <c r="I49" i="86"/>
  <c r="J49" i="86"/>
  <c r="I50" i="86"/>
  <c r="J50" i="86"/>
  <c r="I51" i="86"/>
  <c r="J51" i="86"/>
  <c r="I52" i="86"/>
  <c r="J52" i="86"/>
  <c r="I53" i="86"/>
  <c r="J53" i="86"/>
  <c r="I54" i="86"/>
  <c r="J54" i="86"/>
  <c r="I55" i="86"/>
  <c r="J55" i="86"/>
  <c r="I56" i="86"/>
  <c r="J56" i="86"/>
  <c r="I57" i="86"/>
  <c r="J57" i="86"/>
  <c r="I58" i="86"/>
  <c r="J58" i="86"/>
  <c r="I59" i="86"/>
  <c r="J59" i="86"/>
  <c r="I60" i="86"/>
  <c r="J60" i="86"/>
  <c r="I39" i="89"/>
  <c r="I40" i="89"/>
  <c r="I41" i="89"/>
  <c r="I42" i="89"/>
  <c r="I43" i="89"/>
  <c r="I45" i="89"/>
  <c r="I46" i="89"/>
  <c r="J46" i="89"/>
  <c r="I47" i="89"/>
  <c r="J47" i="89"/>
  <c r="I48" i="89"/>
  <c r="J48" i="89"/>
  <c r="I49" i="89"/>
  <c r="J49" i="89"/>
  <c r="I50" i="89"/>
  <c r="J50" i="89"/>
  <c r="I51" i="89"/>
  <c r="J51" i="89"/>
  <c r="I52" i="89"/>
  <c r="J52" i="89"/>
  <c r="I53" i="89"/>
  <c r="J53" i="89"/>
  <c r="I54" i="89"/>
  <c r="J54" i="89"/>
  <c r="I55" i="89"/>
  <c r="J55" i="89"/>
  <c r="I56" i="89"/>
  <c r="J56" i="89"/>
  <c r="I57" i="89"/>
  <c r="J57" i="89"/>
  <c r="I58" i="89"/>
  <c r="J58" i="89"/>
  <c r="I59" i="89"/>
  <c r="J59" i="89"/>
  <c r="I60" i="89"/>
  <c r="J60" i="89"/>
  <c r="I61" i="89"/>
  <c r="J61" i="89"/>
  <c r="I40" i="132"/>
  <c r="I41" i="132"/>
  <c r="I45" i="132"/>
  <c r="I46" i="132"/>
  <c r="J46" i="132"/>
  <c r="I47" i="132"/>
  <c r="J47" i="132"/>
  <c r="I48" i="132"/>
  <c r="J48" i="132"/>
  <c r="I49" i="132"/>
  <c r="J49" i="132"/>
  <c r="I50" i="132"/>
  <c r="J50" i="132"/>
  <c r="I51" i="132"/>
  <c r="J51" i="132"/>
  <c r="I52" i="132"/>
  <c r="J52" i="132"/>
  <c r="I53" i="132"/>
  <c r="J53" i="132"/>
  <c r="I54" i="132"/>
  <c r="J54" i="132"/>
  <c r="I55" i="132"/>
  <c r="J55" i="132"/>
  <c r="I56" i="132"/>
  <c r="J56" i="132"/>
  <c r="I57" i="132"/>
  <c r="J57" i="132"/>
  <c r="I58" i="132"/>
  <c r="J58" i="132"/>
  <c r="I59" i="132"/>
  <c r="J59" i="132"/>
  <c r="I60" i="132"/>
  <c r="J60" i="132"/>
  <c r="I38" i="87"/>
  <c r="I39" i="87"/>
  <c r="I40" i="87"/>
  <c r="I42" i="87"/>
  <c r="I43" i="87"/>
  <c r="I44" i="87"/>
  <c r="J44" i="87"/>
  <c r="I45" i="87"/>
  <c r="J45" i="87"/>
  <c r="I46" i="87"/>
  <c r="J46" i="87"/>
  <c r="I47" i="87"/>
  <c r="J47" i="87"/>
  <c r="I48" i="87"/>
  <c r="J48" i="87"/>
  <c r="I49" i="87"/>
  <c r="J49" i="87"/>
  <c r="I50" i="87"/>
  <c r="J50" i="87"/>
  <c r="I51" i="87"/>
  <c r="J51" i="87"/>
  <c r="I52" i="87"/>
  <c r="J52" i="87"/>
  <c r="I53" i="87"/>
  <c r="J53" i="87"/>
  <c r="I54" i="87"/>
  <c r="J54" i="87"/>
  <c r="I55" i="87"/>
  <c r="J55" i="87"/>
  <c r="I56" i="87"/>
  <c r="J56" i="87"/>
  <c r="I57" i="87"/>
  <c r="J57" i="87"/>
  <c r="I58" i="87"/>
  <c r="J58" i="87"/>
  <c r="I59" i="87"/>
  <c r="J59" i="87"/>
  <c r="I60" i="87"/>
  <c r="J60" i="87"/>
  <c r="I38" i="88"/>
  <c r="I39" i="88"/>
  <c r="I40" i="88"/>
  <c r="I41" i="88"/>
  <c r="J41" i="88"/>
  <c r="I42" i="88"/>
  <c r="J42" i="88"/>
  <c r="I43" i="88"/>
  <c r="J43" i="88"/>
  <c r="I44" i="88"/>
  <c r="J44" i="88"/>
  <c r="I45" i="88"/>
  <c r="J45" i="88"/>
  <c r="I46" i="88"/>
  <c r="J46" i="88"/>
  <c r="I47" i="88"/>
  <c r="J47" i="88"/>
  <c r="I48" i="88"/>
  <c r="J48" i="88"/>
  <c r="I49" i="88"/>
  <c r="J49" i="88"/>
  <c r="I50" i="88"/>
  <c r="J50" i="88"/>
  <c r="I51" i="88"/>
  <c r="J51" i="88"/>
  <c r="I52" i="88"/>
  <c r="J52" i="88"/>
  <c r="I53" i="88"/>
  <c r="J53" i="88"/>
  <c r="I54" i="88"/>
  <c r="J54" i="88"/>
  <c r="I55" i="88"/>
  <c r="J55" i="88"/>
  <c r="I56" i="88"/>
  <c r="J56" i="88"/>
  <c r="I57" i="88"/>
  <c r="J57" i="88"/>
  <c r="I58" i="88"/>
  <c r="J58" i="88"/>
  <c r="I59" i="88"/>
  <c r="J59" i="88"/>
  <c r="I60" i="88"/>
  <c r="J60" i="88"/>
  <c r="I38" i="133"/>
  <c r="I39" i="133"/>
  <c r="I40" i="133"/>
  <c r="I41" i="133"/>
  <c r="I42" i="133"/>
  <c r="J42" i="133"/>
  <c r="I43" i="133"/>
  <c r="J43" i="133"/>
  <c r="I44" i="133"/>
  <c r="J44" i="133"/>
  <c r="I45" i="133"/>
  <c r="J45" i="133"/>
  <c r="I46" i="133"/>
  <c r="J46" i="133"/>
  <c r="I47" i="133"/>
  <c r="J47" i="133"/>
  <c r="I48" i="133"/>
  <c r="J48" i="133"/>
  <c r="I49" i="133"/>
  <c r="J49" i="133"/>
  <c r="I50" i="133"/>
  <c r="J50" i="133"/>
  <c r="I51" i="133"/>
  <c r="J51" i="133"/>
  <c r="I52" i="133"/>
  <c r="J52" i="133"/>
  <c r="I53" i="133"/>
  <c r="J53" i="133"/>
  <c r="I54" i="133"/>
  <c r="J54" i="133"/>
  <c r="I55" i="133"/>
  <c r="J55" i="133"/>
  <c r="I56" i="133"/>
  <c r="J56" i="133"/>
  <c r="I57" i="133"/>
  <c r="J57" i="133"/>
  <c r="I58" i="133"/>
  <c r="J58" i="133"/>
  <c r="I59" i="133"/>
  <c r="J59" i="133"/>
  <c r="I38" i="90"/>
  <c r="I39" i="90"/>
  <c r="I40" i="90"/>
  <c r="J40" i="90"/>
  <c r="I41" i="90"/>
  <c r="J41" i="90"/>
  <c r="I42" i="90"/>
  <c r="J42" i="90"/>
  <c r="I43" i="90"/>
  <c r="J43" i="90"/>
  <c r="I44" i="90"/>
  <c r="J44" i="90"/>
  <c r="I45" i="90"/>
  <c r="J45" i="90"/>
  <c r="I46" i="90"/>
  <c r="J46" i="90"/>
  <c r="I47" i="90"/>
  <c r="J47" i="90"/>
  <c r="I48" i="90"/>
  <c r="J48" i="90"/>
  <c r="I49" i="90"/>
  <c r="J49" i="90"/>
  <c r="I50" i="90"/>
  <c r="J50" i="90"/>
  <c r="I51" i="90"/>
  <c r="J51" i="90"/>
  <c r="I52" i="90"/>
  <c r="J52" i="90"/>
  <c r="I53" i="90"/>
  <c r="J53" i="90"/>
  <c r="I54" i="90"/>
  <c r="J54" i="90"/>
  <c r="I55" i="90"/>
  <c r="J55" i="90"/>
  <c r="I56" i="90"/>
  <c r="J56" i="90"/>
  <c r="I57" i="90"/>
  <c r="J57" i="90"/>
  <c r="I58" i="90"/>
  <c r="J58" i="90"/>
  <c r="I59" i="90"/>
  <c r="J59" i="90"/>
  <c r="I60" i="90"/>
  <c r="J60" i="90"/>
  <c r="I39" i="91"/>
  <c r="I41" i="91"/>
  <c r="I42" i="91"/>
  <c r="I51" i="91"/>
  <c r="J51" i="91"/>
  <c r="I52" i="91"/>
  <c r="J52" i="91"/>
  <c r="I53" i="91"/>
  <c r="J53" i="91"/>
  <c r="I54" i="91"/>
  <c r="J54" i="91"/>
  <c r="I55" i="91"/>
  <c r="J55" i="91"/>
  <c r="I56" i="91"/>
  <c r="J56" i="91"/>
  <c r="I57" i="91"/>
  <c r="J57" i="91"/>
  <c r="I58" i="91"/>
  <c r="J58" i="91"/>
  <c r="I59" i="91"/>
  <c r="J59" i="91"/>
  <c r="I60" i="91"/>
  <c r="J60" i="91"/>
  <c r="I61" i="91"/>
  <c r="J61" i="91"/>
  <c r="I62" i="91"/>
  <c r="J62" i="91"/>
  <c r="I63" i="91"/>
  <c r="J63" i="91"/>
  <c r="I64" i="91"/>
  <c r="J64" i="91"/>
  <c r="I39" i="92"/>
  <c r="I40" i="92"/>
  <c r="I41" i="92"/>
  <c r="I42" i="92"/>
  <c r="I43" i="92"/>
  <c r="I44" i="92"/>
  <c r="I46" i="92"/>
  <c r="I47" i="92"/>
  <c r="I56" i="92"/>
  <c r="J56" i="92"/>
  <c r="I57" i="92"/>
  <c r="J57" i="92"/>
  <c r="I58" i="92"/>
  <c r="J58" i="92"/>
  <c r="I59" i="92"/>
  <c r="J59" i="92"/>
  <c r="I60" i="92"/>
  <c r="J60" i="92"/>
  <c r="I61" i="92"/>
  <c r="J61" i="92"/>
  <c r="I62" i="92"/>
  <c r="J62" i="92"/>
  <c r="I63" i="92"/>
  <c r="J63" i="92"/>
  <c r="I39" i="93"/>
  <c r="I40" i="93"/>
  <c r="I41" i="93"/>
  <c r="I42" i="93"/>
  <c r="I52" i="93"/>
  <c r="J52" i="93"/>
  <c r="I54" i="93"/>
  <c r="J54" i="93"/>
  <c r="I55" i="93"/>
  <c r="J55" i="93"/>
  <c r="I56" i="93"/>
  <c r="J56" i="93"/>
  <c r="I57" i="93"/>
  <c r="J57" i="93"/>
  <c r="I58" i="93"/>
  <c r="J58" i="93"/>
  <c r="I59" i="93"/>
  <c r="J59" i="93"/>
  <c r="I60" i="93"/>
  <c r="J60" i="93"/>
  <c r="I61" i="93"/>
  <c r="J61" i="93"/>
  <c r="I62" i="93"/>
  <c r="J62" i="93"/>
  <c r="I63" i="93"/>
  <c r="J63" i="93"/>
  <c r="I64" i="93"/>
  <c r="J64" i="93"/>
  <c r="I38" i="94"/>
  <c r="I40" i="94"/>
  <c r="I41" i="94"/>
  <c r="I50" i="94"/>
  <c r="J50" i="94"/>
  <c r="I51" i="94"/>
  <c r="J51" i="94"/>
  <c r="I52" i="94"/>
  <c r="J52" i="94"/>
  <c r="I53" i="94"/>
  <c r="J53" i="94"/>
  <c r="I54" i="94"/>
  <c r="J54" i="94"/>
  <c r="I55" i="94"/>
  <c r="J55" i="94"/>
  <c r="I56" i="94"/>
  <c r="J56" i="94"/>
  <c r="I57" i="94"/>
  <c r="J57" i="94"/>
  <c r="I59" i="94"/>
  <c r="J59" i="94"/>
  <c r="I60" i="94"/>
  <c r="J60" i="94"/>
  <c r="I61" i="94"/>
  <c r="J61" i="94"/>
  <c r="I38" i="95"/>
  <c r="I39" i="95"/>
  <c r="I40" i="95"/>
  <c r="I41" i="95"/>
  <c r="I43" i="95"/>
  <c r="I44" i="95"/>
  <c r="I45" i="95"/>
  <c r="I54" i="95"/>
  <c r="J54" i="95"/>
  <c r="I55" i="95"/>
  <c r="J55" i="95"/>
  <c r="I56" i="95"/>
  <c r="J56" i="95"/>
  <c r="I57" i="95"/>
  <c r="J57" i="95"/>
  <c r="I58" i="95"/>
  <c r="J58" i="95"/>
  <c r="I59" i="95"/>
  <c r="J59" i="95"/>
  <c r="I60" i="95"/>
  <c r="J60" i="95"/>
  <c r="I61" i="95"/>
  <c r="J61" i="95"/>
  <c r="I38" i="97"/>
  <c r="I39" i="97"/>
  <c r="I41" i="97"/>
  <c r="I43" i="97"/>
  <c r="I45" i="97"/>
  <c r="I46" i="97"/>
  <c r="J46" i="97"/>
  <c r="I47" i="97"/>
  <c r="I48" i="97"/>
  <c r="J48" i="97"/>
  <c r="I49" i="97"/>
  <c r="I50" i="97"/>
  <c r="I51" i="97"/>
  <c r="I52" i="97"/>
  <c r="J52" i="97"/>
  <c r="I53" i="97"/>
  <c r="J53" i="97"/>
  <c r="I54" i="97"/>
  <c r="J54" i="97"/>
  <c r="I55" i="97"/>
  <c r="J55" i="97"/>
  <c r="I56" i="97"/>
  <c r="J56" i="97"/>
  <c r="I57" i="97"/>
  <c r="J57" i="97"/>
  <c r="I58" i="97"/>
  <c r="J58" i="97"/>
  <c r="I59" i="97"/>
  <c r="J59" i="97"/>
  <c r="I60" i="97"/>
  <c r="J60" i="97"/>
  <c r="I61" i="97"/>
  <c r="J61" i="97"/>
  <c r="I62" i="97"/>
  <c r="J62" i="97"/>
  <c r="I38" i="98"/>
  <c r="I39" i="98"/>
  <c r="I40" i="98"/>
  <c r="I41" i="98"/>
  <c r="I43" i="98"/>
  <c r="I53" i="98"/>
  <c r="J53" i="98"/>
  <c r="I54" i="98"/>
  <c r="J54" i="98"/>
  <c r="I55" i="98"/>
  <c r="J55" i="98"/>
  <c r="I57" i="98"/>
  <c r="J57" i="98"/>
  <c r="I58" i="98"/>
  <c r="J58" i="98"/>
  <c r="I59" i="98"/>
  <c r="J59" i="98"/>
  <c r="I60" i="98"/>
  <c r="J60" i="98"/>
  <c r="I61" i="98"/>
  <c r="J61" i="98"/>
  <c r="I38" i="127"/>
  <c r="I39" i="127"/>
  <c r="I42" i="127"/>
  <c r="I43" i="127"/>
  <c r="I44" i="127"/>
  <c r="I45" i="127"/>
  <c r="I47" i="127"/>
  <c r="I48" i="127"/>
  <c r="I49" i="127"/>
  <c r="I51" i="127"/>
  <c r="I52" i="127"/>
  <c r="J52" i="127"/>
  <c r="I53" i="127"/>
  <c r="I54" i="127"/>
  <c r="I58" i="127"/>
  <c r="J58" i="127"/>
  <c r="I59" i="127"/>
  <c r="J59" i="127"/>
  <c r="I60" i="127"/>
  <c r="J60" i="127"/>
  <c r="I61" i="127"/>
  <c r="J61" i="127"/>
  <c r="I62" i="127"/>
  <c r="J62" i="127"/>
  <c r="I38" i="128"/>
  <c r="I39" i="128"/>
  <c r="I42" i="128"/>
  <c r="I43" i="128"/>
  <c r="I44" i="128"/>
  <c r="I45" i="128"/>
  <c r="I47" i="128"/>
  <c r="I48" i="128"/>
  <c r="I49" i="128"/>
  <c r="I51" i="128"/>
  <c r="I52" i="128"/>
  <c r="J52" i="128"/>
  <c r="I53" i="128"/>
  <c r="I58" i="128"/>
  <c r="J58" i="128"/>
  <c r="I59" i="128"/>
  <c r="J59" i="128"/>
  <c r="I60" i="128"/>
  <c r="J60" i="128"/>
  <c r="I61" i="128"/>
  <c r="J61" i="128"/>
  <c r="I62" i="128"/>
  <c r="J62" i="128"/>
  <c r="I63" i="128"/>
  <c r="J63" i="128"/>
  <c r="I38" i="129"/>
  <c r="I39" i="129"/>
  <c r="I42" i="129"/>
  <c r="I43" i="129"/>
  <c r="I44" i="129"/>
  <c r="I45" i="129"/>
  <c r="I47" i="129"/>
  <c r="I48" i="129"/>
  <c r="I50" i="129"/>
  <c r="I51" i="129"/>
  <c r="J51" i="129"/>
  <c r="I52" i="129"/>
  <c r="I57" i="129"/>
  <c r="J57" i="129"/>
  <c r="I58" i="129"/>
  <c r="J58" i="129"/>
  <c r="I59" i="129"/>
  <c r="J59" i="129"/>
  <c r="I60" i="129"/>
  <c r="J60" i="129"/>
  <c r="I61" i="129"/>
  <c r="J61" i="129"/>
  <c r="I62" i="129"/>
  <c r="J62" i="129"/>
  <c r="I63" i="129"/>
  <c r="J63" i="129"/>
  <c r="I64" i="129"/>
  <c r="J64" i="129"/>
  <c r="I39" i="130"/>
  <c r="I43" i="130"/>
  <c r="I44" i="130"/>
  <c r="I46" i="130"/>
  <c r="I47" i="130"/>
  <c r="I48" i="130"/>
  <c r="I50" i="130"/>
  <c r="I51" i="130"/>
  <c r="J51" i="130"/>
  <c r="I52" i="130"/>
  <c r="I57" i="130"/>
  <c r="J57" i="130"/>
  <c r="I58" i="130"/>
  <c r="J58" i="130"/>
  <c r="I59" i="130"/>
  <c r="J59" i="130"/>
  <c r="I60" i="130"/>
  <c r="J60" i="130"/>
  <c r="I61" i="130"/>
  <c r="J61" i="130"/>
  <c r="I62" i="130"/>
  <c r="J62" i="130"/>
  <c r="I63" i="130"/>
  <c r="J63" i="130"/>
  <c r="I64" i="130"/>
  <c r="J64" i="130"/>
  <c r="I65" i="130"/>
  <c r="J65" i="130"/>
  <c r="I66" i="130"/>
  <c r="J66" i="130"/>
  <c r="I38" i="101"/>
  <c r="I39" i="101"/>
  <c r="I40" i="101"/>
  <c r="I41" i="101"/>
  <c r="I42" i="101"/>
  <c r="I43" i="101"/>
  <c r="I44" i="101"/>
  <c r="I45" i="101"/>
  <c r="I46" i="101"/>
  <c r="I47" i="101"/>
  <c r="I48" i="101"/>
  <c r="I49" i="101"/>
  <c r="J49" i="101"/>
  <c r="I50" i="101"/>
  <c r="I51" i="101"/>
  <c r="I52" i="101"/>
  <c r="J52" i="101"/>
  <c r="I53" i="101"/>
  <c r="J53" i="101"/>
  <c r="I54" i="101"/>
  <c r="J54" i="101"/>
  <c r="I55" i="101"/>
  <c r="J55" i="101"/>
  <c r="I56" i="101"/>
  <c r="J56" i="101"/>
  <c r="I57" i="101"/>
  <c r="J57" i="101"/>
  <c r="I58" i="101"/>
  <c r="J58" i="101"/>
  <c r="I59" i="101"/>
  <c r="J59" i="101"/>
  <c r="I60" i="101"/>
  <c r="J60" i="101"/>
  <c r="I38" i="102"/>
  <c r="I39" i="102"/>
  <c r="I40" i="102"/>
  <c r="I41" i="102"/>
  <c r="I42" i="102"/>
  <c r="I43" i="102"/>
  <c r="I44" i="102"/>
  <c r="I45" i="102"/>
  <c r="I46" i="102"/>
  <c r="I47" i="102"/>
  <c r="I48" i="102"/>
  <c r="I49" i="102"/>
  <c r="I50" i="102"/>
  <c r="I51" i="102"/>
  <c r="I52" i="102"/>
  <c r="I53" i="102"/>
  <c r="J53" i="102"/>
  <c r="I54" i="102"/>
  <c r="I55" i="102"/>
  <c r="I56" i="102"/>
  <c r="J56" i="102"/>
  <c r="I57" i="102"/>
  <c r="J57" i="102"/>
  <c r="I58" i="102"/>
  <c r="J58" i="102"/>
  <c r="I59" i="102"/>
  <c r="J59" i="102"/>
  <c r="I60" i="102"/>
  <c r="J60" i="102"/>
  <c r="I38" i="134"/>
  <c r="I39" i="134"/>
  <c r="I40" i="134"/>
  <c r="I41" i="134"/>
  <c r="I42" i="134"/>
  <c r="I43" i="134"/>
  <c r="I45" i="134"/>
  <c r="I46" i="134"/>
  <c r="I47" i="134"/>
  <c r="I48" i="134"/>
  <c r="I49" i="134"/>
  <c r="I50" i="134"/>
  <c r="I51" i="134"/>
  <c r="I52" i="134"/>
  <c r="J52" i="134"/>
  <c r="I53" i="134"/>
  <c r="J53" i="134"/>
  <c r="I54" i="134"/>
  <c r="J54" i="134"/>
  <c r="I55" i="134"/>
  <c r="J55" i="134"/>
  <c r="I56" i="134"/>
  <c r="J56" i="134"/>
  <c r="I57" i="134"/>
  <c r="J57" i="134"/>
  <c r="I58" i="134"/>
  <c r="J58" i="134"/>
  <c r="I59" i="134"/>
  <c r="J59" i="134"/>
  <c r="I60" i="134"/>
  <c r="J60" i="134"/>
  <c r="I61" i="134"/>
  <c r="J61" i="134"/>
  <c r="I38" i="103"/>
  <c r="I39" i="103"/>
  <c r="I40" i="103"/>
  <c r="I41" i="103"/>
  <c r="I42" i="103"/>
  <c r="I43" i="103"/>
  <c r="J43" i="103"/>
  <c r="I44" i="103"/>
  <c r="I45" i="103"/>
  <c r="J45" i="103"/>
  <c r="I49" i="103"/>
  <c r="I50" i="103"/>
  <c r="J50" i="103"/>
  <c r="I51" i="103"/>
  <c r="J51" i="103"/>
  <c r="I52" i="103"/>
  <c r="J52" i="103"/>
  <c r="I53" i="103"/>
  <c r="J53" i="103"/>
  <c r="I54" i="103"/>
  <c r="J54" i="103"/>
  <c r="I55" i="103"/>
  <c r="J55" i="103"/>
  <c r="I56" i="103"/>
  <c r="J56" i="103"/>
  <c r="I57" i="103"/>
  <c r="J57" i="103"/>
  <c r="I58" i="103"/>
  <c r="J58" i="103"/>
  <c r="I59" i="103"/>
  <c r="J59" i="103"/>
  <c r="I60" i="103"/>
  <c r="J60" i="103"/>
  <c r="I38" i="113"/>
  <c r="I39" i="113"/>
  <c r="I40" i="113"/>
  <c r="I41" i="113"/>
  <c r="I42" i="113"/>
  <c r="I43" i="113"/>
  <c r="I44" i="113"/>
  <c r="I45" i="113"/>
  <c r="I46" i="113"/>
  <c r="I47" i="113"/>
  <c r="I48" i="113"/>
  <c r="I49" i="113"/>
  <c r="I50" i="113"/>
  <c r="I51" i="113"/>
  <c r="I52" i="113"/>
  <c r="I53" i="113"/>
  <c r="I54" i="113"/>
  <c r="J54" i="113"/>
  <c r="I55" i="113"/>
  <c r="I56" i="113"/>
  <c r="J56" i="113"/>
  <c r="I57" i="113"/>
  <c r="I58" i="113"/>
  <c r="I59" i="113"/>
  <c r="I60" i="113"/>
  <c r="I38" i="104"/>
  <c r="I39" i="104"/>
  <c r="I40" i="104"/>
  <c r="I41" i="104"/>
  <c r="I42" i="104"/>
  <c r="I43" i="104"/>
  <c r="J43" i="104"/>
  <c r="I44" i="104"/>
  <c r="I45" i="104"/>
  <c r="J45" i="104"/>
  <c r="I46" i="104"/>
  <c r="I47" i="104"/>
  <c r="I48" i="104"/>
  <c r="I49" i="104"/>
  <c r="I50" i="104"/>
  <c r="J50" i="104"/>
  <c r="I51" i="104"/>
  <c r="J51" i="104"/>
  <c r="I52" i="104"/>
  <c r="J52" i="104"/>
  <c r="I53" i="104"/>
  <c r="J53" i="104"/>
  <c r="I54" i="104"/>
  <c r="J54" i="104"/>
  <c r="I55" i="104"/>
  <c r="J55" i="104"/>
  <c r="I56" i="104"/>
  <c r="J56" i="104"/>
  <c r="I57" i="104"/>
  <c r="J57" i="104"/>
  <c r="I58" i="104"/>
  <c r="J58" i="104"/>
  <c r="I59" i="104"/>
  <c r="J59" i="104"/>
  <c r="I60" i="104"/>
  <c r="J60" i="104"/>
  <c r="I38" i="105"/>
  <c r="I39" i="105"/>
  <c r="I40" i="105"/>
  <c r="I41" i="105"/>
  <c r="I42" i="105"/>
  <c r="I43" i="105"/>
  <c r="J43" i="105"/>
  <c r="I44" i="105"/>
  <c r="I45" i="105"/>
  <c r="J45" i="105"/>
  <c r="I46" i="105"/>
  <c r="I47" i="105"/>
  <c r="I48" i="105"/>
  <c r="I49" i="105"/>
  <c r="I50" i="105"/>
  <c r="J50" i="105"/>
  <c r="I51" i="105"/>
  <c r="J51" i="105"/>
  <c r="I52" i="105"/>
  <c r="J52" i="105"/>
  <c r="I53" i="105"/>
  <c r="J53" i="105"/>
  <c r="I54" i="105"/>
  <c r="J54" i="105"/>
  <c r="I55" i="105"/>
  <c r="J55" i="105"/>
  <c r="I56" i="105"/>
  <c r="J56" i="105"/>
  <c r="I57" i="105"/>
  <c r="J57" i="105"/>
  <c r="I58" i="105"/>
  <c r="J58" i="105"/>
  <c r="I59" i="105"/>
  <c r="J59" i="105"/>
  <c r="I60" i="105"/>
  <c r="J60" i="105"/>
  <c r="I38" i="106"/>
  <c r="I39" i="106"/>
  <c r="I40" i="106"/>
  <c r="I41" i="106"/>
  <c r="I42" i="106"/>
  <c r="I43" i="106"/>
  <c r="I44" i="106"/>
  <c r="I45" i="106"/>
  <c r="I46" i="106"/>
  <c r="I47" i="106"/>
  <c r="I48" i="106"/>
  <c r="I49" i="106"/>
  <c r="I50" i="106"/>
  <c r="I51" i="106"/>
  <c r="I52" i="106"/>
  <c r="I53" i="106"/>
  <c r="I54" i="106"/>
  <c r="J54" i="106"/>
  <c r="I55" i="106"/>
  <c r="I56" i="106"/>
  <c r="J56" i="106"/>
  <c r="I57" i="106"/>
  <c r="I58" i="106"/>
  <c r="I59" i="106"/>
  <c r="I60" i="106"/>
  <c r="I38" i="107"/>
  <c r="I39" i="107"/>
  <c r="I40" i="107"/>
  <c r="I41" i="107"/>
  <c r="I42" i="107"/>
  <c r="I43" i="107"/>
  <c r="J43" i="107"/>
  <c r="I44" i="107"/>
  <c r="I45" i="107"/>
  <c r="J45" i="107"/>
  <c r="I46" i="107"/>
  <c r="I47" i="107"/>
  <c r="I48" i="107"/>
  <c r="I49" i="107"/>
  <c r="I50" i="107"/>
  <c r="J50" i="107"/>
  <c r="I51" i="107"/>
  <c r="J51" i="107"/>
  <c r="I52" i="107"/>
  <c r="J52" i="107"/>
  <c r="I53" i="107"/>
  <c r="J53" i="107"/>
  <c r="I54" i="107"/>
  <c r="J54" i="107"/>
  <c r="I55" i="107"/>
  <c r="J55" i="107"/>
  <c r="I56" i="107"/>
  <c r="J56" i="107"/>
  <c r="I57" i="107"/>
  <c r="J57" i="107"/>
  <c r="I58" i="107"/>
  <c r="J58" i="107"/>
  <c r="I59" i="107"/>
  <c r="J59" i="107"/>
  <c r="I60" i="107"/>
  <c r="J60" i="107"/>
  <c r="I38" i="131"/>
  <c r="I39" i="131"/>
  <c r="I40" i="131"/>
  <c r="I41" i="131"/>
  <c r="I42" i="131"/>
  <c r="I43" i="131"/>
  <c r="I44" i="131"/>
  <c r="I45" i="131"/>
  <c r="I46" i="131"/>
  <c r="I47" i="131"/>
  <c r="I48" i="131"/>
  <c r="J48" i="131"/>
  <c r="I49" i="131"/>
  <c r="I50" i="131"/>
  <c r="I51" i="131"/>
  <c r="I52" i="131"/>
  <c r="I53" i="131"/>
  <c r="I54" i="131"/>
  <c r="I55" i="131"/>
  <c r="J55" i="131"/>
  <c r="I56" i="131"/>
  <c r="J56" i="131"/>
  <c r="I57" i="131"/>
  <c r="J57" i="131"/>
  <c r="I58" i="131"/>
  <c r="J58" i="131"/>
  <c r="I59" i="131"/>
  <c r="J59" i="131"/>
  <c r="I60" i="131"/>
  <c r="J60" i="131"/>
  <c r="I38" i="137"/>
  <c r="J38" i="137"/>
  <c r="I42" i="137"/>
  <c r="I44" i="137"/>
  <c r="I45" i="137"/>
  <c r="J45" i="137"/>
  <c r="I46" i="137"/>
  <c r="J46" i="137"/>
  <c r="I47" i="137"/>
  <c r="J47" i="137"/>
  <c r="I48" i="137"/>
  <c r="J48" i="137"/>
  <c r="I49" i="137"/>
  <c r="J49" i="137"/>
  <c r="I50" i="137"/>
  <c r="J50" i="137"/>
  <c r="I51" i="137"/>
  <c r="J51" i="137"/>
  <c r="I52" i="137"/>
  <c r="J52" i="137"/>
  <c r="I53" i="137"/>
  <c r="J53" i="137"/>
  <c r="I54" i="137"/>
  <c r="J54" i="137"/>
  <c r="I55" i="137"/>
  <c r="J55" i="137"/>
  <c r="I56" i="137"/>
  <c r="J56" i="137"/>
  <c r="I57" i="137"/>
  <c r="J57" i="137"/>
  <c r="I58" i="137"/>
  <c r="J58" i="137"/>
  <c r="I59" i="137"/>
  <c r="J59" i="137"/>
  <c r="I60" i="137"/>
  <c r="J60" i="137"/>
  <c r="I61" i="137"/>
  <c r="J61" i="137"/>
  <c r="I62" i="137"/>
  <c r="J62" i="137"/>
  <c r="I63" i="137"/>
  <c r="J63" i="137"/>
  <c r="I40" i="138"/>
  <c r="I41" i="138"/>
  <c r="I44" i="138"/>
  <c r="J44" i="138"/>
  <c r="I45" i="138"/>
  <c r="J45" i="138"/>
  <c r="I46" i="138"/>
  <c r="J46" i="138"/>
  <c r="I47" i="138"/>
  <c r="J47" i="138"/>
  <c r="I48" i="138"/>
  <c r="J48" i="138"/>
  <c r="I49" i="138"/>
  <c r="J49" i="138"/>
  <c r="I50" i="138"/>
  <c r="J50" i="138"/>
  <c r="I51" i="138"/>
  <c r="J51" i="138"/>
  <c r="I52" i="138"/>
  <c r="J52" i="138"/>
  <c r="I53" i="138"/>
  <c r="J53" i="138"/>
  <c r="I54" i="138"/>
  <c r="J54" i="138"/>
  <c r="I55" i="138"/>
  <c r="J55" i="138"/>
  <c r="I56" i="138"/>
  <c r="J56" i="138"/>
  <c r="I57" i="138"/>
  <c r="J57" i="138"/>
  <c r="I58" i="138"/>
  <c r="J58" i="138"/>
  <c r="I59" i="138"/>
  <c r="J59" i="138"/>
  <c r="I60" i="138"/>
  <c r="J60" i="138"/>
  <c r="I61" i="138"/>
  <c r="J61" i="138"/>
  <c r="I62" i="138"/>
  <c r="J62" i="138"/>
  <c r="I63" i="138"/>
  <c r="J63" i="138"/>
  <c r="I64" i="138"/>
  <c r="J64" i="138"/>
  <c r="I38" i="72"/>
  <c r="J38" i="72"/>
  <c r="I39" i="72"/>
  <c r="J39" i="72"/>
  <c r="I40" i="72"/>
  <c r="J40" i="72"/>
  <c r="I41" i="72"/>
  <c r="J41" i="72"/>
  <c r="I42" i="72"/>
  <c r="J42" i="72"/>
  <c r="I43" i="72"/>
  <c r="J43" i="72"/>
  <c r="I44" i="72"/>
  <c r="J44" i="72"/>
  <c r="I45" i="72"/>
  <c r="J45" i="72"/>
  <c r="I46" i="72"/>
  <c r="J46" i="72"/>
  <c r="I47" i="72"/>
  <c r="J47" i="72"/>
  <c r="I48" i="72"/>
  <c r="J48" i="72"/>
  <c r="I49" i="72"/>
  <c r="J49" i="72"/>
  <c r="I50" i="72"/>
  <c r="J50" i="72"/>
  <c r="I51" i="72"/>
  <c r="J51" i="72"/>
  <c r="I52" i="72"/>
  <c r="J52" i="72"/>
  <c r="I53" i="72"/>
  <c r="J53" i="72"/>
  <c r="I54" i="72"/>
  <c r="J54" i="72"/>
  <c r="I55" i="72"/>
  <c r="J55" i="72"/>
  <c r="I56" i="72"/>
  <c r="J56" i="72"/>
  <c r="I57" i="72"/>
  <c r="J57" i="72"/>
  <c r="I58" i="72"/>
  <c r="J58" i="72"/>
  <c r="I59" i="72"/>
  <c r="J59" i="72"/>
  <c r="I60" i="72"/>
  <c r="J60" i="72"/>
  <c r="J37" i="72"/>
  <c r="I37" i="60"/>
  <c r="I37" i="118"/>
  <c r="I37" i="119"/>
  <c r="I37" i="61"/>
  <c r="I37" i="120"/>
  <c r="I37" i="62"/>
  <c r="I37" i="121"/>
  <c r="I37" i="63"/>
  <c r="I37" i="64"/>
  <c r="I37" i="65"/>
  <c r="I37" i="122"/>
  <c r="I37" i="124"/>
  <c r="I37" i="66"/>
  <c r="I37" i="123"/>
  <c r="I37" i="67"/>
  <c r="I37" i="141"/>
  <c r="I37" i="68"/>
  <c r="I37" i="142"/>
  <c r="I37" i="69"/>
  <c r="I37" i="143"/>
  <c r="I37" i="70"/>
  <c r="I37" i="144"/>
  <c r="I37" i="71"/>
  <c r="I38" i="3"/>
  <c r="I37" i="73"/>
  <c r="I38" i="125"/>
  <c r="I37" i="74"/>
  <c r="I37" i="76"/>
  <c r="I37" i="126"/>
  <c r="I37" i="77"/>
  <c r="I37" i="78"/>
  <c r="I37" i="79"/>
  <c r="I37" i="80"/>
  <c r="I37" i="109"/>
  <c r="I37" i="135"/>
  <c r="I37" i="81"/>
  <c r="I37" i="82"/>
  <c r="I37" i="83"/>
  <c r="I37" i="84"/>
  <c r="I37" i="85"/>
  <c r="I37" i="86"/>
  <c r="I38" i="89"/>
  <c r="I38" i="132"/>
  <c r="I37" i="87"/>
  <c r="I37" i="88"/>
  <c r="I37" i="133"/>
  <c r="I37" i="90"/>
  <c r="I38" i="91"/>
  <c r="I38" i="92"/>
  <c r="I37" i="94"/>
  <c r="I37" i="95"/>
  <c r="I37" i="97"/>
  <c r="I37" i="98"/>
  <c r="I37" i="127"/>
  <c r="I37" i="128"/>
  <c r="I37" i="129"/>
  <c r="I38" i="130"/>
  <c r="I37" i="101"/>
  <c r="I37" i="102"/>
  <c r="I37" i="134"/>
  <c r="I37" i="103"/>
  <c r="I37" i="113"/>
  <c r="I37" i="104"/>
  <c r="I37" i="105"/>
  <c r="I37" i="106"/>
  <c r="I37" i="107"/>
  <c r="I37" i="131"/>
  <c r="I37" i="137"/>
  <c r="I38" i="138"/>
  <c r="I37" i="72"/>
  <c r="C61" i="60"/>
  <c r="C61" i="118"/>
  <c r="C61" i="119"/>
  <c r="C60" i="61"/>
  <c r="C61" i="120"/>
  <c r="C60" i="62"/>
  <c r="C61" i="121"/>
  <c r="C61" i="63"/>
  <c r="C60" i="64"/>
  <c r="C62" i="65"/>
  <c r="C61" i="122"/>
  <c r="C60" i="124"/>
  <c r="C61" i="66"/>
  <c r="C62" i="123"/>
  <c r="C61" i="67"/>
  <c r="C60" i="141"/>
  <c r="C60" i="68"/>
  <c r="C60" i="142"/>
  <c r="C61" i="69"/>
  <c r="C61" i="143"/>
  <c r="C60" i="70"/>
  <c r="C60" i="144"/>
  <c r="C61" i="71"/>
  <c r="C62" i="3"/>
  <c r="C62" i="73"/>
  <c r="C65" i="125"/>
  <c r="C60" i="74"/>
  <c r="C60" i="76"/>
  <c r="C61" i="126"/>
  <c r="C63" i="77"/>
  <c r="C61" i="78"/>
  <c r="C61" i="79"/>
  <c r="C61" i="80"/>
  <c r="C60" i="108"/>
  <c r="C61" i="109"/>
  <c r="C61" i="135"/>
  <c r="C60" i="81"/>
  <c r="C60" i="82"/>
  <c r="C60" i="83"/>
  <c r="C60" i="84"/>
  <c r="C60" i="85"/>
  <c r="C60" i="86"/>
  <c r="C61" i="89"/>
  <c r="C60" i="132"/>
  <c r="C60" i="87"/>
  <c r="C60" i="88"/>
  <c r="C59" i="133"/>
  <c r="C60" i="90"/>
  <c r="C64" i="91"/>
  <c r="C63" i="92"/>
  <c r="C64" i="93"/>
  <c r="C61" i="94"/>
  <c r="D61" i="95"/>
  <c r="C62" i="97"/>
  <c r="C61" i="98"/>
  <c r="C62" i="127"/>
  <c r="C63" i="128"/>
  <c r="C64" i="129"/>
  <c r="C66" i="130"/>
  <c r="C60" i="101"/>
  <c r="C60" i="102"/>
  <c r="C61" i="134"/>
  <c r="C60" i="103"/>
  <c r="C60" i="113"/>
  <c r="C60" i="104"/>
  <c r="C60" i="105"/>
  <c r="C60" i="106"/>
  <c r="C60" i="107"/>
  <c r="C60" i="131"/>
  <c r="C63" i="137"/>
  <c r="C64" i="138"/>
  <c r="C60" i="72"/>
  <c r="C60" i="60"/>
  <c r="C60" i="118"/>
  <c r="C60" i="119"/>
  <c r="C59" i="61"/>
  <c r="C60" i="120"/>
  <c r="C59" i="62"/>
  <c r="C60" i="121"/>
  <c r="C60" i="63"/>
  <c r="C59" i="64"/>
  <c r="C61" i="65"/>
  <c r="C60" i="122"/>
  <c r="C59" i="124"/>
  <c r="C60" i="66"/>
  <c r="C61" i="123"/>
  <c r="C60" i="67"/>
  <c r="C59" i="141"/>
  <c r="C59" i="68"/>
  <c r="C59" i="142"/>
  <c r="C60" i="69"/>
  <c r="C60" i="143"/>
  <c r="C59" i="70"/>
  <c r="C59" i="144"/>
  <c r="C60" i="71"/>
  <c r="C61" i="3"/>
  <c r="C61" i="73"/>
  <c r="C64" i="125"/>
  <c r="C59" i="74"/>
  <c r="C59" i="76"/>
  <c r="C60" i="126"/>
  <c r="C62" i="77"/>
  <c r="C60" i="79"/>
  <c r="C60" i="80"/>
  <c r="C59" i="108"/>
  <c r="C60" i="109"/>
  <c r="C60" i="135"/>
  <c r="C59" i="81"/>
  <c r="C59" i="82"/>
  <c r="C59" i="83"/>
  <c r="C59" i="84"/>
  <c r="C59" i="85"/>
  <c r="C59" i="86"/>
  <c r="C60" i="89"/>
  <c r="C59" i="132"/>
  <c r="C59" i="87"/>
  <c r="C59" i="88"/>
  <c r="C58" i="133"/>
  <c r="C59" i="90"/>
  <c r="C63" i="91"/>
  <c r="C62" i="92"/>
  <c r="C63" i="93"/>
  <c r="C60" i="94"/>
  <c r="D60" i="95"/>
  <c r="C61" i="97"/>
  <c r="C60" i="98"/>
  <c r="C61" i="127"/>
  <c r="C62" i="128"/>
  <c r="C63" i="129"/>
  <c r="C65" i="130"/>
  <c r="C59" i="101"/>
  <c r="C59" i="102"/>
  <c r="C60" i="134"/>
  <c r="C59" i="103"/>
  <c r="C59" i="104"/>
  <c r="C59" i="105"/>
  <c r="C59" i="107"/>
  <c r="C59" i="131"/>
  <c r="C62" i="137"/>
  <c r="C63" i="138"/>
  <c r="C59" i="72"/>
  <c r="C59" i="60"/>
  <c r="C59" i="118"/>
  <c r="C59" i="119"/>
  <c r="C58" i="61"/>
  <c r="C59" i="120"/>
  <c r="C58" i="62"/>
  <c r="C59" i="121"/>
  <c r="C59" i="63"/>
  <c r="C58" i="64"/>
  <c r="C60" i="65"/>
  <c r="C59" i="122"/>
  <c r="C58" i="124"/>
  <c r="C59" i="66"/>
  <c r="C60" i="123"/>
  <c r="C59" i="67"/>
  <c r="C58" i="141"/>
  <c r="C58" i="68"/>
  <c r="C58" i="142"/>
  <c r="C59" i="69"/>
  <c r="C59" i="143"/>
  <c r="C58" i="70"/>
  <c r="C58" i="144"/>
  <c r="C59" i="71"/>
  <c r="C60" i="73"/>
  <c r="C63" i="125"/>
  <c r="C58" i="76"/>
  <c r="C59" i="126"/>
  <c r="C61" i="77"/>
  <c r="C59" i="79"/>
  <c r="C59" i="80"/>
  <c r="C58" i="108"/>
  <c r="C59" i="109"/>
  <c r="C59" i="135"/>
  <c r="C58" i="81"/>
  <c r="C58" i="82"/>
  <c r="C58" i="83"/>
  <c r="C58" i="84"/>
  <c r="C58" i="85"/>
  <c r="C58" i="86"/>
  <c r="C59" i="89"/>
  <c r="C58" i="132"/>
  <c r="C58" i="87"/>
  <c r="C58" i="88"/>
  <c r="C57" i="133"/>
  <c r="C58" i="90"/>
  <c r="C62" i="91"/>
  <c r="C61" i="92"/>
  <c r="C62" i="93"/>
  <c r="C59" i="94"/>
  <c r="D59" i="95"/>
  <c r="C60" i="97"/>
  <c r="C59" i="98"/>
  <c r="C60" i="127"/>
  <c r="C61" i="128"/>
  <c r="C62" i="129"/>
  <c r="C64" i="130"/>
  <c r="C58" i="101"/>
  <c r="C58" i="102"/>
  <c r="C59" i="134"/>
  <c r="C58" i="103"/>
  <c r="C58" i="104"/>
  <c r="C58" i="105"/>
  <c r="C58" i="107"/>
  <c r="C58" i="131"/>
  <c r="C61" i="137"/>
  <c r="C62" i="138"/>
  <c r="C58" i="72"/>
  <c r="C58" i="60"/>
  <c r="C58" i="118"/>
  <c r="C58" i="119"/>
  <c r="C57" i="61"/>
  <c r="C58" i="120"/>
  <c r="C57" i="62"/>
  <c r="C58" i="121"/>
  <c r="C58" i="63"/>
  <c r="C57" i="64"/>
  <c r="C59" i="65"/>
  <c r="C58" i="122"/>
  <c r="C57" i="124"/>
  <c r="C58" i="66"/>
  <c r="C59" i="123"/>
  <c r="C58" i="67"/>
  <c r="C57" i="141"/>
  <c r="C57" i="68"/>
  <c r="C57" i="142"/>
  <c r="C58" i="69"/>
  <c r="C58" i="143"/>
  <c r="C57" i="70"/>
  <c r="C57" i="144"/>
  <c r="C59" i="73"/>
  <c r="C62" i="125"/>
  <c r="C57" i="76"/>
  <c r="C58" i="126"/>
  <c r="C60" i="77"/>
  <c r="C58" i="79"/>
  <c r="C58" i="80"/>
  <c r="C57" i="108"/>
  <c r="C58" i="109"/>
  <c r="C58" i="135"/>
  <c r="C57" i="81"/>
  <c r="C57" i="82"/>
  <c r="C57" i="83"/>
  <c r="C57" i="84"/>
  <c r="C57" i="85"/>
  <c r="C57" i="86"/>
  <c r="C58" i="89"/>
  <c r="C57" i="132"/>
  <c r="C57" i="87"/>
  <c r="C57" i="88"/>
  <c r="C56" i="133"/>
  <c r="C57" i="90"/>
  <c r="C61" i="91"/>
  <c r="C60" i="92"/>
  <c r="C61" i="93"/>
  <c r="C57" i="94"/>
  <c r="D58" i="95"/>
  <c r="C59" i="97"/>
  <c r="C58" i="98"/>
  <c r="C59" i="127"/>
  <c r="C60" i="128"/>
  <c r="C61" i="129"/>
  <c r="C63" i="130"/>
  <c r="C57" i="101"/>
  <c r="C57" i="102"/>
  <c r="C58" i="134"/>
  <c r="C57" i="103"/>
  <c r="C57" i="104"/>
  <c r="C57" i="105"/>
  <c r="C57" i="107"/>
  <c r="C57" i="131"/>
  <c r="C60" i="137"/>
  <c r="C61" i="138"/>
  <c r="C57" i="72"/>
  <c r="C57" i="60"/>
  <c r="C57" i="118"/>
  <c r="C57" i="119"/>
  <c r="C56" i="61"/>
  <c r="C57" i="120"/>
  <c r="C56" i="62"/>
  <c r="C57" i="121"/>
  <c r="C57" i="63"/>
  <c r="C56" i="64"/>
  <c r="C58" i="65"/>
  <c r="C57" i="122"/>
  <c r="C56" i="124"/>
  <c r="C57" i="66"/>
  <c r="C58" i="123"/>
  <c r="C57" i="67"/>
  <c r="C56" i="141"/>
  <c r="C56" i="68"/>
  <c r="C56" i="142"/>
  <c r="C57" i="69"/>
  <c r="C57" i="143"/>
  <c r="C58" i="3"/>
  <c r="C58" i="73"/>
  <c r="C61" i="125"/>
  <c r="C56" i="76"/>
  <c r="C57" i="126"/>
  <c r="C57" i="79"/>
  <c r="C57" i="80"/>
  <c r="C56" i="108"/>
  <c r="C57" i="109"/>
  <c r="C57" i="135"/>
  <c r="C56" i="81"/>
  <c r="C56" i="82"/>
  <c r="C56" i="83"/>
  <c r="C56" i="84"/>
  <c r="C56" i="85"/>
  <c r="C56" i="86"/>
  <c r="C57" i="89"/>
  <c r="C56" i="132"/>
  <c r="C56" i="87"/>
  <c r="C56" i="88"/>
  <c r="C55" i="133"/>
  <c r="C56" i="90"/>
  <c r="C60" i="91"/>
  <c r="C59" i="92"/>
  <c r="C60" i="93"/>
  <c r="C56" i="94"/>
  <c r="D57" i="95"/>
  <c r="C58" i="97"/>
  <c r="C57" i="98"/>
  <c r="C58" i="127"/>
  <c r="C59" i="128"/>
  <c r="C60" i="129"/>
  <c r="C62" i="130"/>
  <c r="C56" i="101"/>
  <c r="C56" i="102"/>
  <c r="C57" i="134"/>
  <c r="C56" i="103"/>
  <c r="C56" i="113"/>
  <c r="C56" i="104"/>
  <c r="C56" i="105"/>
  <c r="C56" i="106"/>
  <c r="C56" i="107"/>
  <c r="C56" i="131"/>
  <c r="C59" i="137"/>
  <c r="C60" i="138"/>
  <c r="C56" i="72"/>
  <c r="C56" i="60"/>
  <c r="C56" i="118"/>
  <c r="C56" i="119"/>
  <c r="C55" i="61"/>
  <c r="C56" i="120"/>
  <c r="C55" i="62"/>
  <c r="C56" i="121"/>
  <c r="C56" i="63"/>
  <c r="C55" i="64"/>
  <c r="C57" i="65"/>
  <c r="C56" i="122"/>
  <c r="C55" i="124"/>
  <c r="C56" i="66"/>
  <c r="C57" i="123"/>
  <c r="C56" i="67"/>
  <c r="C55" i="141"/>
  <c r="C55" i="68"/>
  <c r="C55" i="142"/>
  <c r="C56" i="69"/>
  <c r="C56" i="143"/>
  <c r="C57" i="3"/>
  <c r="C57" i="73"/>
  <c r="C60" i="125"/>
  <c r="C55" i="76"/>
  <c r="C56" i="126"/>
  <c r="C59" i="77"/>
  <c r="C56" i="79"/>
  <c r="C56" i="80"/>
  <c r="C55" i="108"/>
  <c r="C56" i="109"/>
  <c r="C56" i="135"/>
  <c r="C55" i="81"/>
  <c r="C55" i="82"/>
  <c r="C55" i="83"/>
  <c r="C55" i="84"/>
  <c r="C55" i="85"/>
  <c r="C55" i="86"/>
  <c r="C56" i="89"/>
  <c r="C55" i="132"/>
  <c r="C55" i="87"/>
  <c r="C55" i="88"/>
  <c r="C54" i="133"/>
  <c r="C55" i="90"/>
  <c r="C59" i="91"/>
  <c r="C58" i="92"/>
  <c r="C59" i="93"/>
  <c r="C55" i="94"/>
  <c r="D56" i="95"/>
  <c r="C57" i="97"/>
  <c r="C55" i="98"/>
  <c r="C58" i="128"/>
  <c r="C59" i="129"/>
  <c r="C61" i="130"/>
  <c r="C55" i="101"/>
  <c r="C55" i="102"/>
  <c r="C56" i="134"/>
  <c r="C55" i="103"/>
  <c r="C55" i="113"/>
  <c r="C55" i="104"/>
  <c r="C55" i="105"/>
  <c r="C55" i="106"/>
  <c r="C55" i="107"/>
  <c r="C55" i="131"/>
  <c r="C58" i="137"/>
  <c r="C59" i="138"/>
  <c r="C55" i="72"/>
  <c r="C55" i="60"/>
  <c r="C55" i="118"/>
  <c r="C55" i="119"/>
  <c r="C54" i="61"/>
  <c r="C55" i="120"/>
  <c r="C54" i="62"/>
  <c r="C55" i="121"/>
  <c r="C55" i="63"/>
  <c r="C54" i="64"/>
  <c r="C56" i="65"/>
  <c r="C55" i="122"/>
  <c r="C54" i="124"/>
  <c r="C55" i="66"/>
  <c r="C56" i="123"/>
  <c r="C55" i="67"/>
  <c r="C54" i="141"/>
  <c r="C55" i="69"/>
  <c r="C55" i="143"/>
  <c r="C56" i="3"/>
  <c r="C56" i="73"/>
  <c r="C59" i="125"/>
  <c r="C54" i="76"/>
  <c r="C55" i="126"/>
  <c r="C58" i="77"/>
  <c r="C55" i="79"/>
  <c r="C55" i="80"/>
  <c r="C54" i="108"/>
  <c r="C55" i="109"/>
  <c r="C55" i="135"/>
  <c r="C54" i="81"/>
  <c r="C54" i="82"/>
  <c r="C54" i="83"/>
  <c r="C54" i="84"/>
  <c r="C54" i="85"/>
  <c r="C54" i="86"/>
  <c r="C55" i="89"/>
  <c r="C54" i="132"/>
  <c r="C54" i="87"/>
  <c r="C54" i="88"/>
  <c r="C53" i="133"/>
  <c r="C54" i="90"/>
  <c r="C58" i="91"/>
  <c r="C57" i="92"/>
  <c r="C58" i="93"/>
  <c r="C54" i="94"/>
  <c r="D55" i="95"/>
  <c r="C56" i="97"/>
  <c r="C54" i="98"/>
  <c r="C58" i="129"/>
  <c r="C60" i="130"/>
  <c r="C54" i="101"/>
  <c r="C54" i="102"/>
  <c r="C55" i="134"/>
  <c r="C54" i="103"/>
  <c r="C54" i="113"/>
  <c r="C54" i="104"/>
  <c r="C54" i="105"/>
  <c r="C54" i="106"/>
  <c r="C54" i="107"/>
  <c r="C57" i="137"/>
  <c r="C58" i="138"/>
  <c r="C54" i="72"/>
  <c r="C54" i="60"/>
  <c r="C54" i="118"/>
  <c r="C54" i="119"/>
  <c r="C53" i="61"/>
  <c r="C54" i="120"/>
  <c r="C53" i="62"/>
  <c r="C54" i="121"/>
  <c r="C54" i="63"/>
  <c r="C53" i="64"/>
  <c r="C55" i="65"/>
  <c r="C54" i="122"/>
  <c r="C53" i="124"/>
  <c r="C54" i="66"/>
  <c r="C55" i="123"/>
  <c r="C54" i="67"/>
  <c r="C53" i="141"/>
  <c r="C54" i="69"/>
  <c r="C54" i="143"/>
  <c r="C55" i="73"/>
  <c r="C58" i="125"/>
  <c r="C53" i="76"/>
  <c r="C57" i="77"/>
  <c r="C54" i="79"/>
  <c r="C54" i="80"/>
  <c r="C53" i="108"/>
  <c r="C54" i="109"/>
  <c r="C54" i="135"/>
  <c r="C53" i="81"/>
  <c r="C53" i="82"/>
  <c r="C53" i="83"/>
  <c r="C53" i="84"/>
  <c r="C53" i="85"/>
  <c r="C53" i="86"/>
  <c r="C54" i="89"/>
  <c r="C53" i="132"/>
  <c r="C53" i="87"/>
  <c r="C53" i="88"/>
  <c r="C52" i="133"/>
  <c r="C53" i="90"/>
  <c r="C57" i="91"/>
  <c r="C56" i="92"/>
  <c r="C57" i="93"/>
  <c r="C53" i="94"/>
  <c r="D54" i="95"/>
  <c r="C55" i="97"/>
  <c r="C53" i="98"/>
  <c r="C57" i="129"/>
  <c r="C59" i="130"/>
  <c r="C53" i="101"/>
  <c r="C53" i="102"/>
  <c r="C54" i="134"/>
  <c r="C53" i="103"/>
  <c r="C53" i="113"/>
  <c r="C53" i="104"/>
  <c r="C53" i="105"/>
  <c r="C53" i="106"/>
  <c r="C53" i="107"/>
  <c r="C56" i="137"/>
  <c r="C57" i="138"/>
  <c r="C53" i="72"/>
  <c r="C53" i="60"/>
  <c r="C53" i="118"/>
  <c r="C53" i="119"/>
  <c r="C52" i="61"/>
  <c r="C53" i="120"/>
  <c r="C52" i="62"/>
  <c r="C53" i="121"/>
  <c r="C53" i="63"/>
  <c r="C52" i="64"/>
  <c r="C54" i="65"/>
  <c r="C53" i="122"/>
  <c r="C52" i="124"/>
  <c r="C53" i="66"/>
  <c r="C54" i="123"/>
  <c r="C53" i="67"/>
  <c r="C52" i="141"/>
  <c r="C53" i="69"/>
  <c r="C53" i="143"/>
  <c r="C54" i="3"/>
  <c r="C54" i="73"/>
  <c r="C57" i="125"/>
  <c r="C52" i="76"/>
  <c r="C56" i="77"/>
  <c r="C53" i="79"/>
  <c r="C53" i="80"/>
  <c r="C52" i="108"/>
  <c r="C53" i="109"/>
  <c r="C53" i="135"/>
  <c r="C52" i="81"/>
  <c r="C52" i="82"/>
  <c r="C52" i="83"/>
  <c r="C52" i="84"/>
  <c r="C52" i="85"/>
  <c r="C52" i="86"/>
  <c r="C53" i="89"/>
  <c r="C52" i="132"/>
  <c r="C52" i="87"/>
  <c r="C52" i="88"/>
  <c r="C51" i="133"/>
  <c r="C52" i="90"/>
  <c r="C56" i="91"/>
  <c r="C56" i="93"/>
  <c r="C52" i="94"/>
  <c r="C54" i="97"/>
  <c r="C54" i="127"/>
  <c r="C58" i="130"/>
  <c r="C52" i="101"/>
  <c r="C52" i="102"/>
  <c r="C53" i="134"/>
  <c r="C52" i="103"/>
  <c r="C52" i="113"/>
  <c r="C52" i="104"/>
  <c r="C52" i="105"/>
  <c r="C52" i="106"/>
  <c r="C52" i="107"/>
  <c r="C55" i="137"/>
  <c r="C56" i="138"/>
  <c r="C52" i="72"/>
  <c r="C52" i="60"/>
  <c r="C52" i="118"/>
  <c r="C52" i="119"/>
  <c r="C51" i="61"/>
  <c r="C52" i="120"/>
  <c r="C51" i="62"/>
  <c r="C52" i="121"/>
  <c r="C52" i="63"/>
  <c r="C51" i="64"/>
  <c r="C53" i="65"/>
  <c r="C52" i="122"/>
  <c r="C51" i="124"/>
  <c r="C52" i="66"/>
  <c r="C53" i="123"/>
  <c r="C52" i="67"/>
  <c r="C51" i="141"/>
  <c r="C52" i="69"/>
  <c r="C52" i="143"/>
  <c r="C53" i="73"/>
  <c r="C56" i="125"/>
  <c r="C51" i="76"/>
  <c r="C55" i="77"/>
  <c r="C52" i="79"/>
  <c r="C52" i="80"/>
  <c r="C51" i="108"/>
  <c r="C52" i="109"/>
  <c r="C52" i="135"/>
  <c r="C51" i="81"/>
  <c r="C51" i="82"/>
  <c r="C51" i="83"/>
  <c r="C51" i="84"/>
  <c r="C51" i="85"/>
  <c r="C51" i="86"/>
  <c r="C52" i="89"/>
  <c r="C51" i="132"/>
  <c r="C51" i="87"/>
  <c r="C51" i="88"/>
  <c r="C50" i="133"/>
  <c r="C51" i="90"/>
  <c r="C55" i="91"/>
  <c r="C55" i="93"/>
  <c r="C51" i="94"/>
  <c r="C53" i="97"/>
  <c r="C53" i="127"/>
  <c r="C57" i="130"/>
  <c r="C51" i="101"/>
  <c r="C51" i="102"/>
  <c r="C52" i="134"/>
  <c r="C51" i="103"/>
  <c r="C51" i="113"/>
  <c r="C51" i="104"/>
  <c r="C51" i="105"/>
  <c r="C51" i="106"/>
  <c r="C51" i="107"/>
  <c r="C54" i="137"/>
  <c r="C55" i="138"/>
  <c r="C51" i="72"/>
  <c r="C51" i="60"/>
  <c r="C51" i="118"/>
  <c r="C51" i="119"/>
  <c r="C50" i="61"/>
  <c r="C51" i="120"/>
  <c r="C50" i="62"/>
  <c r="C51" i="121"/>
  <c r="C51" i="63"/>
  <c r="C50" i="64"/>
  <c r="C52" i="65"/>
  <c r="C51" i="122"/>
  <c r="C50" i="124"/>
  <c r="C51" i="66"/>
  <c r="C52" i="123"/>
  <c r="C51" i="67"/>
  <c r="C50" i="141"/>
  <c r="C51" i="69"/>
  <c r="C51" i="143"/>
  <c r="C52" i="3"/>
  <c r="C52" i="73"/>
  <c r="C55" i="125"/>
  <c r="C50" i="76"/>
  <c r="C54" i="77"/>
  <c r="C51" i="79"/>
  <c r="C51" i="80"/>
  <c r="C50" i="108"/>
  <c r="C51" i="109"/>
  <c r="C51" i="135"/>
  <c r="C50" i="81"/>
  <c r="C50" i="82"/>
  <c r="C50" i="83"/>
  <c r="C50" i="84"/>
  <c r="C50" i="85"/>
  <c r="C50" i="86"/>
  <c r="C51" i="89"/>
  <c r="C50" i="132"/>
  <c r="C50" i="87"/>
  <c r="C50" i="88"/>
  <c r="C49" i="133"/>
  <c r="C50" i="90"/>
  <c r="C54" i="91"/>
  <c r="C54" i="93"/>
  <c r="C50" i="94"/>
  <c r="C52" i="97"/>
  <c r="C52" i="127"/>
  <c r="C53" i="128"/>
  <c r="C50" i="101"/>
  <c r="C50" i="102"/>
  <c r="C51" i="134"/>
  <c r="C50" i="103"/>
  <c r="C50" i="113"/>
  <c r="C50" i="104"/>
  <c r="C50" i="105"/>
  <c r="C50" i="106"/>
  <c r="C50" i="107"/>
  <c r="C53" i="137"/>
  <c r="C54" i="138"/>
  <c r="C50" i="72"/>
  <c r="C50" i="60"/>
  <c r="C50" i="118"/>
  <c r="C50" i="119"/>
  <c r="C49" i="61"/>
  <c r="C50" i="120"/>
  <c r="C49" i="62"/>
  <c r="C50" i="121"/>
  <c r="C50" i="63"/>
  <c r="C49" i="64"/>
  <c r="C51" i="65"/>
  <c r="C50" i="122"/>
  <c r="C49" i="124"/>
  <c r="C50" i="66"/>
  <c r="C51" i="123"/>
  <c r="C50" i="67"/>
  <c r="C49" i="141"/>
  <c r="C50" i="69"/>
  <c r="C50" i="143"/>
  <c r="C51" i="3"/>
  <c r="C51" i="73"/>
  <c r="C54" i="125"/>
  <c r="C50" i="79"/>
  <c r="C50" i="80"/>
  <c r="C49" i="108"/>
  <c r="C50" i="109"/>
  <c r="C50" i="135"/>
  <c r="C49" i="81"/>
  <c r="C49" i="82"/>
  <c r="C49" i="83"/>
  <c r="C49" i="84"/>
  <c r="C49" i="85"/>
  <c r="C49" i="86"/>
  <c r="C50" i="89"/>
  <c r="C49" i="132"/>
  <c r="C49" i="87"/>
  <c r="C49" i="88"/>
  <c r="C48" i="133"/>
  <c r="C49" i="90"/>
  <c r="C53" i="91"/>
  <c r="C52" i="93"/>
  <c r="C51" i="97"/>
  <c r="C51" i="127"/>
  <c r="C52" i="128"/>
  <c r="C49" i="101"/>
  <c r="C49" i="102"/>
  <c r="C50" i="134"/>
  <c r="C49" i="103"/>
  <c r="C49" i="113"/>
  <c r="C49" i="104"/>
  <c r="C49" i="105"/>
  <c r="C49" i="106"/>
  <c r="C49" i="107"/>
  <c r="C52" i="137"/>
  <c r="C53" i="138"/>
  <c r="C49" i="72"/>
  <c r="C49" i="60"/>
  <c r="C49" i="118"/>
  <c r="C49" i="119"/>
  <c r="C48" i="61"/>
  <c r="C49" i="120"/>
  <c r="C48" i="62"/>
  <c r="C49" i="121"/>
  <c r="C49" i="63"/>
  <c r="C48" i="64"/>
  <c r="C50" i="65"/>
  <c r="C49" i="122"/>
  <c r="C48" i="124"/>
  <c r="C49" i="66"/>
  <c r="C50" i="123"/>
  <c r="C49" i="67"/>
  <c r="C48" i="141"/>
  <c r="C48" i="69"/>
  <c r="C48" i="143"/>
  <c r="C50" i="3"/>
  <c r="C49" i="73"/>
  <c r="C53" i="125"/>
  <c r="C49" i="79"/>
  <c r="C49" i="80"/>
  <c r="C48" i="108"/>
  <c r="C49" i="109"/>
  <c r="C49" i="135"/>
  <c r="C48" i="81"/>
  <c r="C48" i="82"/>
  <c r="C48" i="83"/>
  <c r="C48" i="84"/>
  <c r="C48" i="85"/>
  <c r="C48" i="86"/>
  <c r="C49" i="89"/>
  <c r="C48" i="132"/>
  <c r="C48" i="87"/>
  <c r="C48" i="88"/>
  <c r="C47" i="133"/>
  <c r="C48" i="90"/>
  <c r="C52" i="91"/>
  <c r="C50" i="97"/>
  <c r="C49" i="127"/>
  <c r="C51" i="128"/>
  <c r="C52" i="129"/>
  <c r="C48" i="101"/>
  <c r="C48" i="102"/>
  <c r="C49" i="134"/>
  <c r="C48" i="113"/>
  <c r="C48" i="106"/>
  <c r="C48" i="107"/>
  <c r="C51" i="137"/>
  <c r="C52" i="138"/>
  <c r="C48" i="72"/>
  <c r="C48" i="60"/>
  <c r="C48" i="118"/>
  <c r="C48" i="119"/>
  <c r="C47" i="61"/>
  <c r="C48" i="120"/>
  <c r="C47" i="62"/>
  <c r="C48" i="121"/>
  <c r="C48" i="63"/>
  <c r="C47" i="64"/>
  <c r="C49" i="65"/>
  <c r="C48" i="122"/>
  <c r="C47" i="124"/>
  <c r="C48" i="66"/>
  <c r="C49" i="123"/>
  <c r="C48" i="67"/>
  <c r="C47" i="141"/>
  <c r="C47" i="69"/>
  <c r="C47" i="143"/>
  <c r="C48" i="71"/>
  <c r="C49" i="3"/>
  <c r="C48" i="73"/>
  <c r="C52" i="125"/>
  <c r="C48" i="79"/>
  <c r="C48" i="80"/>
  <c r="C47" i="108"/>
  <c r="C48" i="109"/>
  <c r="C48" i="135"/>
  <c r="C47" i="81"/>
  <c r="C47" i="82"/>
  <c r="C47" i="83"/>
  <c r="C47" i="84"/>
  <c r="C47" i="85"/>
  <c r="C47" i="86"/>
  <c r="C48" i="89"/>
  <c r="C47" i="132"/>
  <c r="C47" i="87"/>
  <c r="C47" i="88"/>
  <c r="C46" i="133"/>
  <c r="C47" i="90"/>
  <c r="C51" i="91"/>
  <c r="C48" i="92"/>
  <c r="C49" i="97"/>
  <c r="C49" i="128"/>
  <c r="C51" i="129"/>
  <c r="C47" i="101"/>
  <c r="C47" i="102"/>
  <c r="C48" i="134"/>
  <c r="C47" i="113"/>
  <c r="C47" i="106"/>
  <c r="C47" i="107"/>
  <c r="C50" i="137"/>
  <c r="C51" i="138"/>
  <c r="C47" i="72"/>
  <c r="C47" i="60"/>
  <c r="C47" i="118"/>
  <c r="C47" i="119"/>
  <c r="C46" i="61"/>
  <c r="C47" i="120"/>
  <c r="C46" i="62"/>
  <c r="C47" i="121"/>
  <c r="C47" i="63"/>
  <c r="C46" i="64"/>
  <c r="C48" i="65"/>
  <c r="C47" i="122"/>
  <c r="C46" i="124"/>
  <c r="C47" i="66"/>
  <c r="C48" i="123"/>
  <c r="C47" i="67"/>
  <c r="C46" i="141"/>
  <c r="C46" i="69"/>
  <c r="C46" i="143"/>
  <c r="C47" i="71"/>
  <c r="C48" i="3"/>
  <c r="C47" i="73"/>
  <c r="C51" i="125"/>
  <c r="C47" i="79"/>
  <c r="C47" i="80"/>
  <c r="C46" i="108"/>
  <c r="C47" i="109"/>
  <c r="C47" i="135"/>
  <c r="C46" i="81"/>
  <c r="C46" i="82"/>
  <c r="C46" i="83"/>
  <c r="C46" i="84"/>
  <c r="C46" i="85"/>
  <c r="C46" i="86"/>
  <c r="C47" i="89"/>
  <c r="C46" i="132"/>
  <c r="C46" i="87"/>
  <c r="C46" i="88"/>
  <c r="C45" i="133"/>
  <c r="C46" i="90"/>
  <c r="C47" i="92"/>
  <c r="C48" i="97"/>
  <c r="C48" i="127"/>
  <c r="C50" i="129"/>
  <c r="C52" i="130"/>
  <c r="C46" i="101"/>
  <c r="C46" i="102"/>
  <c r="C47" i="134"/>
  <c r="C46" i="113"/>
  <c r="C46" i="106"/>
  <c r="C46" i="107"/>
  <c r="C49" i="137"/>
  <c r="C50" i="138"/>
  <c r="C46" i="72"/>
  <c r="C46" i="60"/>
  <c r="C46" i="118"/>
  <c r="C46" i="119"/>
  <c r="C45" i="61"/>
  <c r="C46" i="120"/>
  <c r="C45" i="62"/>
  <c r="C46" i="121"/>
  <c r="C46" i="63"/>
  <c r="C45" i="64"/>
  <c r="C47" i="65"/>
  <c r="C46" i="122"/>
  <c r="C45" i="124"/>
  <c r="C46" i="66"/>
  <c r="C47" i="123"/>
  <c r="C46" i="67"/>
  <c r="C45" i="141"/>
  <c r="C45" i="69"/>
  <c r="C45" i="143"/>
  <c r="C46" i="71"/>
  <c r="C47" i="3"/>
  <c r="C46" i="73"/>
  <c r="C50" i="125"/>
  <c r="C46" i="79"/>
  <c r="C46" i="80"/>
  <c r="C45" i="108"/>
  <c r="C46" i="109"/>
  <c r="C46" i="135"/>
  <c r="C45" i="81"/>
  <c r="C45" i="82"/>
  <c r="C45" i="83"/>
  <c r="C45" i="84"/>
  <c r="C45" i="85"/>
  <c r="C45" i="86"/>
  <c r="C46" i="89"/>
  <c r="C45" i="87"/>
  <c r="C45" i="88"/>
  <c r="C44" i="133"/>
  <c r="C45" i="90"/>
  <c r="C46" i="92"/>
  <c r="C46" i="95"/>
  <c r="C47" i="97"/>
  <c r="C47" i="127"/>
  <c r="C48" i="128"/>
  <c r="C48" i="129"/>
  <c r="C51" i="130"/>
  <c r="C45" i="101"/>
  <c r="C45" i="102"/>
  <c r="C46" i="134"/>
  <c r="C45" i="103"/>
  <c r="C45" i="113"/>
  <c r="C45" i="104"/>
  <c r="C45" i="105"/>
  <c r="C45" i="106"/>
  <c r="C45" i="107"/>
  <c r="C48" i="137"/>
  <c r="C49" i="138"/>
  <c r="C45" i="72"/>
  <c r="C45" i="60"/>
  <c r="C45" i="118"/>
  <c r="C45" i="119"/>
  <c r="C44" i="61"/>
  <c r="C45" i="120"/>
  <c r="C44" i="62"/>
  <c r="C45" i="121"/>
  <c r="C45" i="63"/>
  <c r="C44" i="64"/>
  <c r="C46" i="65"/>
  <c r="C45" i="122"/>
  <c r="C44" i="124"/>
  <c r="C46" i="123"/>
  <c r="C45" i="67"/>
  <c r="C44" i="141"/>
  <c r="C44" i="69"/>
  <c r="C44" i="143"/>
  <c r="C45" i="71"/>
  <c r="C46" i="3"/>
  <c r="C45" i="73"/>
  <c r="C48" i="125"/>
  <c r="C45" i="79"/>
  <c r="C45" i="80"/>
  <c r="C44" i="108"/>
  <c r="C45" i="109"/>
  <c r="C45" i="135"/>
  <c r="C44" i="81"/>
  <c r="C44" i="82"/>
  <c r="C44" i="83"/>
  <c r="C44" i="84"/>
  <c r="C44" i="85"/>
  <c r="C44" i="86"/>
  <c r="C45" i="89"/>
  <c r="C44" i="87"/>
  <c r="C44" i="88"/>
  <c r="C43" i="133"/>
  <c r="C44" i="90"/>
  <c r="C44" i="92"/>
  <c r="C45" i="95"/>
  <c r="C46" i="97"/>
  <c r="C45" i="127"/>
  <c r="C47" i="128"/>
  <c r="C47" i="129"/>
  <c r="C50" i="130"/>
  <c r="C44" i="101"/>
  <c r="C44" i="102"/>
  <c r="C45" i="134"/>
  <c r="C44" i="103"/>
  <c r="C44" i="113"/>
  <c r="C44" i="104"/>
  <c r="C44" i="105"/>
  <c r="C44" i="106"/>
  <c r="C44" i="107"/>
  <c r="C47" i="137"/>
  <c r="C48" i="138"/>
  <c r="C44" i="72"/>
  <c r="C44" i="60"/>
  <c r="C44" i="118"/>
  <c r="C44" i="119"/>
  <c r="C43" i="61"/>
  <c r="C44" i="120"/>
  <c r="C43" i="62"/>
  <c r="C44" i="121"/>
  <c r="C44" i="63"/>
  <c r="C43" i="64"/>
  <c r="C45" i="65"/>
  <c r="C44" i="122"/>
  <c r="C43" i="124"/>
  <c r="C44" i="67"/>
  <c r="C43" i="141"/>
  <c r="C43" i="69"/>
  <c r="C43" i="143"/>
  <c r="C44" i="71"/>
  <c r="C44" i="3"/>
  <c r="C44" i="73"/>
  <c r="C47" i="125"/>
  <c r="C43" i="78"/>
  <c r="C44" i="79"/>
  <c r="C43" i="80"/>
  <c r="C42" i="108"/>
  <c r="C43" i="109"/>
  <c r="C43" i="135"/>
  <c r="C43" i="81"/>
  <c r="C43" i="82"/>
  <c r="C43" i="83"/>
  <c r="C43" i="84"/>
  <c r="C43" i="85"/>
  <c r="C43" i="86"/>
  <c r="C43" i="87"/>
  <c r="C43" i="88"/>
  <c r="C42" i="133"/>
  <c r="C43" i="90"/>
  <c r="C43" i="92"/>
  <c r="C44" i="93"/>
  <c r="C44" i="95"/>
  <c r="C45" i="97"/>
  <c r="C45" i="128"/>
  <c r="C45" i="129"/>
  <c r="C48" i="130"/>
  <c r="C43" i="101"/>
  <c r="C43" i="102"/>
  <c r="C43" i="134"/>
  <c r="C43" i="103"/>
  <c r="C43" i="113"/>
  <c r="C43" i="104"/>
  <c r="C43" i="105"/>
  <c r="C43" i="106"/>
  <c r="C43" i="107"/>
  <c r="C46" i="137"/>
  <c r="C47" i="138"/>
  <c r="C43" i="72"/>
  <c r="C43" i="60"/>
  <c r="C43" i="118"/>
  <c r="C43" i="119"/>
  <c r="C42" i="61"/>
  <c r="C43" i="120"/>
  <c r="C42" i="62"/>
  <c r="C43" i="121"/>
  <c r="C42" i="63"/>
  <c r="C42" i="64"/>
  <c r="C44" i="65"/>
  <c r="C43" i="122"/>
  <c r="C42" i="124"/>
  <c r="C43" i="67"/>
  <c r="C42" i="141"/>
  <c r="C42" i="68"/>
  <c r="C42" i="142"/>
  <c r="C42" i="69"/>
  <c r="C42" i="143"/>
  <c r="C43" i="71"/>
  <c r="C43" i="3"/>
  <c r="C42" i="73"/>
  <c r="C43" i="125"/>
  <c r="C41" i="74"/>
  <c r="C47" i="77"/>
  <c r="C42" i="78"/>
  <c r="C43" i="79"/>
  <c r="C42" i="80"/>
  <c r="C41" i="108"/>
  <c r="C42" i="109"/>
  <c r="C42" i="135"/>
  <c r="C42" i="81"/>
  <c r="C42" i="82"/>
  <c r="C42" i="83"/>
  <c r="C42" i="84"/>
  <c r="C42" i="85"/>
  <c r="C42" i="86"/>
  <c r="C43" i="89"/>
  <c r="C42" i="88"/>
  <c r="C41" i="133"/>
  <c r="C42" i="90"/>
  <c r="C42" i="92"/>
  <c r="C43" i="95"/>
  <c r="C43" i="97"/>
  <c r="C43" i="98"/>
  <c r="C44" i="127"/>
  <c r="C44" i="128"/>
  <c r="C44" i="129"/>
  <c r="C47" i="130"/>
  <c r="C42" i="101"/>
  <c r="C42" i="102"/>
  <c r="C42" i="134"/>
  <c r="C42" i="103"/>
  <c r="C42" i="113"/>
  <c r="C42" i="104"/>
  <c r="C42" i="105"/>
  <c r="C42" i="106"/>
  <c r="C42" i="107"/>
  <c r="C45" i="137"/>
  <c r="C46" i="138"/>
  <c r="C42" i="72"/>
  <c r="C38" i="60"/>
  <c r="C40" i="60"/>
  <c r="C41" i="60"/>
  <c r="C42" i="60"/>
  <c r="C38" i="118"/>
  <c r="C39" i="118"/>
  <c r="C41" i="118"/>
  <c r="C42" i="118"/>
  <c r="C38" i="119"/>
  <c r="C39" i="119"/>
  <c r="C41" i="119"/>
  <c r="C42" i="119"/>
  <c r="C38" i="61"/>
  <c r="C39" i="61"/>
  <c r="C40" i="61"/>
  <c r="C41" i="61"/>
  <c r="C38" i="120"/>
  <c r="C39" i="120"/>
  <c r="C40" i="120"/>
  <c r="C41" i="120"/>
  <c r="C38" i="62"/>
  <c r="C39" i="62"/>
  <c r="C40" i="62"/>
  <c r="C41" i="62"/>
  <c r="C38" i="121"/>
  <c r="C39" i="121"/>
  <c r="C40" i="121"/>
  <c r="C42" i="121"/>
  <c r="C38" i="63"/>
  <c r="C39" i="63"/>
  <c r="C40" i="63"/>
  <c r="C41" i="63"/>
  <c r="C38" i="64"/>
  <c r="C39" i="64"/>
  <c r="C40" i="64"/>
  <c r="C41" i="64"/>
  <c r="C38" i="65"/>
  <c r="C39" i="65"/>
  <c r="C40" i="65"/>
  <c r="C41" i="65"/>
  <c r="C38" i="122"/>
  <c r="C39" i="122"/>
  <c r="C40" i="122"/>
  <c r="C41" i="122"/>
  <c r="C38" i="124"/>
  <c r="C39" i="124"/>
  <c r="C40" i="124"/>
  <c r="C41" i="124"/>
  <c r="C39" i="66"/>
  <c r="C39" i="123"/>
  <c r="C38" i="67"/>
  <c r="C39" i="67"/>
  <c r="C40" i="67"/>
  <c r="C41" i="67"/>
  <c r="C38" i="141"/>
  <c r="C39" i="141"/>
  <c r="C40" i="141"/>
  <c r="C41" i="141"/>
  <c r="C38" i="68"/>
  <c r="C39" i="68"/>
  <c r="C40" i="68"/>
  <c r="C41" i="68"/>
  <c r="C38" i="142"/>
  <c r="C39" i="142"/>
  <c r="C40" i="142"/>
  <c r="C41" i="142"/>
  <c r="C38" i="69"/>
  <c r="C39" i="69"/>
  <c r="C40" i="69"/>
  <c r="C41" i="69"/>
  <c r="C38" i="143"/>
  <c r="C39" i="143"/>
  <c r="C40" i="143"/>
  <c r="C41" i="143"/>
  <c r="C38" i="70"/>
  <c r="C39" i="70"/>
  <c r="C40" i="70"/>
  <c r="C41" i="70"/>
  <c r="C38" i="144"/>
  <c r="C39" i="144"/>
  <c r="C40" i="144"/>
  <c r="C41" i="144"/>
  <c r="C39" i="71"/>
  <c r="C40" i="71"/>
  <c r="C41" i="71"/>
  <c r="C42" i="71"/>
  <c r="C39" i="3"/>
  <c r="C40" i="3"/>
  <c r="C41" i="3"/>
  <c r="C42" i="3"/>
  <c r="C38" i="73"/>
  <c r="C39" i="73"/>
  <c r="C40" i="73"/>
  <c r="C41" i="73"/>
  <c r="C39" i="125"/>
  <c r="C40" i="125"/>
  <c r="C41" i="125"/>
  <c r="C42" i="125"/>
  <c r="C38" i="74"/>
  <c r="C39" i="74"/>
  <c r="C40" i="74"/>
  <c r="C38" i="76"/>
  <c r="C39" i="76"/>
  <c r="C38" i="77"/>
  <c r="C39" i="77"/>
  <c r="C40" i="77"/>
  <c r="C49" i="77"/>
  <c r="C38" i="78"/>
  <c r="C39" i="78"/>
  <c r="C40" i="78"/>
  <c r="C41" i="78"/>
  <c r="C39" i="79"/>
  <c r="C40" i="79"/>
  <c r="C41" i="79"/>
  <c r="C42" i="79"/>
  <c r="C38" i="80"/>
  <c r="C39" i="80"/>
  <c r="C40" i="80"/>
  <c r="C41" i="80"/>
  <c r="C37" i="108"/>
  <c r="C38" i="108"/>
  <c r="C39" i="108"/>
  <c r="C40" i="108"/>
  <c r="C38" i="109"/>
  <c r="C39" i="109"/>
  <c r="C40" i="109"/>
  <c r="C41" i="109"/>
  <c r="C38" i="135"/>
  <c r="C39" i="135"/>
  <c r="C40" i="135"/>
  <c r="C41" i="135"/>
  <c r="C38" i="81"/>
  <c r="C39" i="81"/>
  <c r="C40" i="81"/>
  <c r="C41" i="81"/>
  <c r="C38" i="82"/>
  <c r="C39" i="82"/>
  <c r="C40" i="82"/>
  <c r="C41" i="82"/>
  <c r="C38" i="83"/>
  <c r="C39" i="83"/>
  <c r="C40" i="83"/>
  <c r="C41" i="83"/>
  <c r="C38" i="84"/>
  <c r="C39" i="84"/>
  <c r="C40" i="84"/>
  <c r="C41" i="84"/>
  <c r="C38" i="85"/>
  <c r="C39" i="85"/>
  <c r="C40" i="85"/>
  <c r="C41" i="85"/>
  <c r="C38" i="86"/>
  <c r="C39" i="86"/>
  <c r="C40" i="86"/>
  <c r="C41" i="86"/>
  <c r="C39" i="89"/>
  <c r="C40" i="89"/>
  <c r="C41" i="89"/>
  <c r="C42" i="89"/>
  <c r="C40" i="132"/>
  <c r="C41" i="132"/>
  <c r="C38" i="87"/>
  <c r="C39" i="87"/>
  <c r="C40" i="87"/>
  <c r="C42" i="87"/>
  <c r="C38" i="88"/>
  <c r="C41" i="88"/>
  <c r="C38" i="133"/>
  <c r="C39" i="133"/>
  <c r="C40" i="133"/>
  <c r="C38" i="90"/>
  <c r="C39" i="90"/>
  <c r="C40" i="90"/>
  <c r="C41" i="90"/>
  <c r="C39" i="91"/>
  <c r="C41" i="91"/>
  <c r="C42" i="91"/>
  <c r="C43" i="91"/>
  <c r="C39" i="92"/>
  <c r="C40" i="92"/>
  <c r="C41" i="92"/>
  <c r="C39" i="93"/>
  <c r="C40" i="93"/>
  <c r="C41" i="93"/>
  <c r="C42" i="93"/>
  <c r="C38" i="94"/>
  <c r="C40" i="94"/>
  <c r="C41" i="94"/>
  <c r="C42" i="94"/>
  <c r="C38" i="95"/>
  <c r="C39" i="95"/>
  <c r="C40" i="95"/>
  <c r="C41" i="95"/>
  <c r="C38" i="97"/>
  <c r="C39" i="97"/>
  <c r="C40" i="97"/>
  <c r="C41" i="97"/>
  <c r="C38" i="98"/>
  <c r="C39" i="98"/>
  <c r="C40" i="98"/>
  <c r="C41" i="98"/>
  <c r="C38" i="127"/>
  <c r="C39" i="127"/>
  <c r="C42" i="127"/>
  <c r="C43" i="127"/>
  <c r="C38" i="128"/>
  <c r="C39" i="128"/>
  <c r="C42" i="128"/>
  <c r="C43" i="128"/>
  <c r="C38" i="129"/>
  <c r="C39" i="129"/>
  <c r="C42" i="129"/>
  <c r="C43" i="129"/>
  <c r="C39" i="130"/>
  <c r="C43" i="130"/>
  <c r="C44" i="130"/>
  <c r="C46" i="130"/>
  <c r="C38" i="101"/>
  <c r="C39" i="101"/>
  <c r="C40" i="101"/>
  <c r="C41" i="101"/>
  <c r="C38" i="102"/>
  <c r="C39" i="102"/>
  <c r="C40" i="102"/>
  <c r="C41" i="102"/>
  <c r="C38" i="134"/>
  <c r="C39" i="134"/>
  <c r="C40" i="134"/>
  <c r="C41" i="134"/>
  <c r="C38" i="103"/>
  <c r="C39" i="103"/>
  <c r="C40" i="103"/>
  <c r="C41" i="103"/>
  <c r="C38" i="113"/>
  <c r="C39" i="113"/>
  <c r="C40" i="113"/>
  <c r="C41" i="113"/>
  <c r="C38" i="104"/>
  <c r="C39" i="104"/>
  <c r="C40" i="104"/>
  <c r="C41" i="104"/>
  <c r="C38" i="105"/>
  <c r="C39" i="105"/>
  <c r="C40" i="105"/>
  <c r="C41" i="105"/>
  <c r="C38" i="106"/>
  <c r="C39" i="106"/>
  <c r="C40" i="106"/>
  <c r="C41" i="106"/>
  <c r="C38" i="107"/>
  <c r="C39" i="107"/>
  <c r="C40" i="107"/>
  <c r="C41" i="107"/>
  <c r="C38" i="131"/>
  <c r="C39" i="131"/>
  <c r="C38" i="137"/>
  <c r="C40" i="137"/>
  <c r="C42" i="137"/>
  <c r="C44" i="137"/>
  <c r="C40" i="138"/>
  <c r="C41" i="138"/>
  <c r="C44" i="138"/>
  <c r="C45" i="138"/>
  <c r="C38" i="72"/>
  <c r="C39" i="72"/>
  <c r="C40" i="72"/>
  <c r="C41" i="72"/>
  <c r="C37" i="60"/>
  <c r="C37" i="118"/>
  <c r="C37" i="119"/>
  <c r="C37" i="61"/>
  <c r="C37" i="120"/>
  <c r="C37" i="62"/>
  <c r="C37" i="121"/>
  <c r="C37" i="63"/>
  <c r="C37" i="64"/>
  <c r="C37" i="65"/>
  <c r="C37" i="122"/>
  <c r="C37" i="124"/>
  <c r="C37" i="123"/>
  <c r="C37" i="67"/>
  <c r="C37" i="141"/>
  <c r="C37" i="68"/>
  <c r="C37" i="142"/>
  <c r="C37" i="69"/>
  <c r="C37" i="143"/>
  <c r="C37" i="70"/>
  <c r="C37" i="144"/>
  <c r="C37" i="71"/>
  <c r="C38" i="3"/>
  <c r="C37" i="73"/>
  <c r="C38" i="125"/>
  <c r="C37" i="74"/>
  <c r="C37" i="76"/>
  <c r="C37" i="77"/>
  <c r="C37" i="78"/>
  <c r="C37" i="79"/>
  <c r="C37" i="80"/>
  <c r="C36" i="108"/>
  <c r="C37" i="109"/>
  <c r="C37" i="135"/>
  <c r="C37" i="81"/>
  <c r="C37" i="82"/>
  <c r="C37" i="83"/>
  <c r="C37" i="84"/>
  <c r="C37" i="85"/>
  <c r="C37" i="86"/>
  <c r="C38" i="89"/>
  <c r="C38" i="132"/>
  <c r="C37" i="87"/>
  <c r="C37" i="88"/>
  <c r="C37" i="133"/>
  <c r="C37" i="90"/>
  <c r="C38" i="91"/>
  <c r="C38" i="92"/>
  <c r="C38" i="93"/>
  <c r="C37" i="94"/>
  <c r="C37" i="95"/>
  <c r="C37" i="97"/>
  <c r="C37" i="98"/>
  <c r="C37" i="127"/>
  <c r="C37" i="128"/>
  <c r="C37" i="129"/>
  <c r="C38" i="130"/>
  <c r="C37" i="101"/>
  <c r="C37" i="102"/>
  <c r="C37" i="134"/>
  <c r="C37" i="103"/>
  <c r="C37" i="113"/>
  <c r="C37" i="104"/>
  <c r="C37" i="105"/>
  <c r="C37" i="106"/>
  <c r="C37" i="107"/>
  <c r="C37" i="131"/>
  <c r="C37" i="137"/>
  <c r="C38" i="138"/>
  <c r="C37" i="72"/>
  <c r="H66" i="2"/>
  <c r="J46" i="101" s="1"/>
  <c r="H166" i="2"/>
  <c r="H165" i="2"/>
  <c r="J50" i="102" l="1"/>
  <c r="J45" i="134"/>
  <c r="P42" i="148"/>
  <c r="O42" i="148"/>
  <c r="J42" i="148"/>
  <c r="I42" i="148"/>
  <c r="G42" i="148"/>
  <c r="D42" i="148"/>
  <c r="P41" i="148"/>
  <c r="O41" i="148"/>
  <c r="H41" i="148"/>
  <c r="D41" i="148"/>
  <c r="O45" i="148"/>
  <c r="D45" i="148"/>
  <c r="O44" i="148"/>
  <c r="D44" i="148"/>
  <c r="H47" i="148"/>
  <c r="H48" i="148" s="1"/>
  <c r="H35" i="148"/>
  <c r="D47" i="148"/>
  <c r="D48" i="148" s="1"/>
  <c r="G48" i="148"/>
  <c r="I48" i="148"/>
  <c r="J48" i="148"/>
  <c r="O47" i="148"/>
  <c r="O48" i="148" s="1"/>
  <c r="J35" i="148"/>
  <c r="I35" i="148"/>
  <c r="G35" i="148"/>
  <c r="R34" i="148"/>
  <c r="R35" i="148" s="1"/>
  <c r="O34" i="148"/>
  <c r="O35" i="148" s="1"/>
  <c r="D34" i="148"/>
  <c r="D35" i="148" s="1"/>
  <c r="O32" i="148"/>
  <c r="D32" i="148" l="1"/>
  <c r="O31" i="148"/>
  <c r="D31" i="148"/>
  <c r="P29" i="148"/>
  <c r="O29" i="148"/>
  <c r="D29" i="148"/>
  <c r="J28" i="148"/>
  <c r="D28" i="148"/>
  <c r="C12" i="148" l="1"/>
  <c r="C11" i="148"/>
  <c r="C10" i="148"/>
  <c r="K61" i="68" l="1"/>
  <c r="F74" i="138" l="1"/>
  <c r="F75" i="93" l="1"/>
  <c r="K62" i="71" l="1"/>
  <c r="K55" i="68"/>
  <c r="K56" i="68"/>
  <c r="K57" i="68"/>
  <c r="K58" i="68"/>
  <c r="K59" i="68"/>
  <c r="K60" i="68"/>
  <c r="C31" i="140" l="1"/>
  <c r="C32" i="140"/>
  <c r="C34" i="140"/>
  <c r="C35" i="140"/>
  <c r="D34" i="140"/>
  <c r="D31" i="140"/>
  <c r="D32" i="140"/>
  <c r="D35" i="140"/>
  <c r="K36" i="140" l="1"/>
  <c r="K35" i="140"/>
  <c r="K37" i="140"/>
  <c r="K34" i="140"/>
  <c r="C15" i="131"/>
  <c r="C13" i="107"/>
  <c r="C20" i="130"/>
  <c r="C18" i="129"/>
  <c r="C21" i="128"/>
  <c r="C20" i="127"/>
  <c r="C17" i="98"/>
  <c r="C17" i="97"/>
  <c r="C16" i="95"/>
  <c r="C16" i="94"/>
  <c r="C12" i="88"/>
  <c r="C16" i="85"/>
  <c r="C18" i="84"/>
  <c r="C19" i="109"/>
  <c r="C21" i="108"/>
  <c r="C15" i="78"/>
  <c r="C20" i="126"/>
  <c r="C20" i="76"/>
  <c r="C15" i="74"/>
  <c r="C19" i="66"/>
  <c r="C18" i="124"/>
  <c r="C20" i="122"/>
  <c r="C20" i="65"/>
  <c r="C22" i="63"/>
  <c r="H18" i="60" l="1"/>
  <c r="H16" i="152"/>
  <c r="H17" i="60"/>
  <c r="H15" i="152"/>
  <c r="H19" i="60"/>
  <c r="H16" i="153"/>
  <c r="H20" i="152"/>
  <c r="H14" i="152"/>
  <c r="H16" i="60"/>
  <c r="H13" i="152"/>
  <c r="H12" i="152"/>
  <c r="J12" i="152" l="1"/>
  <c r="J17" i="60"/>
  <c r="J14" i="152"/>
  <c r="H15" i="151"/>
  <c r="H15" i="153"/>
  <c r="H13" i="151"/>
  <c r="H13" i="153"/>
  <c r="H12" i="151"/>
  <c r="H12" i="153"/>
  <c r="H14" i="151"/>
  <c r="H14" i="153"/>
  <c r="H25" i="151"/>
  <c r="H25" i="152"/>
  <c r="J19" i="61"/>
  <c r="H16" i="151"/>
  <c r="H17" i="151"/>
  <c r="H17" i="150"/>
  <c r="H16" i="150"/>
  <c r="H12" i="149"/>
  <c r="H12" i="150"/>
  <c r="H15" i="149"/>
  <c r="H15" i="150"/>
  <c r="J22" i="149"/>
  <c r="J20" i="150"/>
  <c r="J16" i="153"/>
  <c r="H13" i="149"/>
  <c r="H13" i="150"/>
  <c r="J13" i="152"/>
  <c r="J20" i="152"/>
  <c r="H22" i="149"/>
  <c r="H20" i="150"/>
  <c r="H25" i="149"/>
  <c r="H23" i="150"/>
  <c r="H14" i="149"/>
  <c r="H14" i="150"/>
  <c r="H18" i="149"/>
  <c r="H17" i="149"/>
  <c r="H19" i="149"/>
  <c r="H16" i="149"/>
  <c r="J16" i="152"/>
  <c r="J16" i="60"/>
  <c r="J15" i="152"/>
  <c r="C242" i="118"/>
  <c r="C243" i="118"/>
  <c r="C244" i="118"/>
  <c r="C245" i="118"/>
  <c r="C246" i="118"/>
  <c r="C242" i="119"/>
  <c r="C243" i="119"/>
  <c r="C244" i="119"/>
  <c r="C245" i="119"/>
  <c r="C246" i="119"/>
  <c r="C241" i="61"/>
  <c r="C242" i="61"/>
  <c r="C243" i="61"/>
  <c r="C244" i="61"/>
  <c r="C245" i="61"/>
  <c r="C242" i="120"/>
  <c r="C243" i="120"/>
  <c r="C244" i="120"/>
  <c r="C245" i="120"/>
  <c r="C246" i="120"/>
  <c r="C241" i="62"/>
  <c r="C242" i="62"/>
  <c r="C243" i="62"/>
  <c r="C244" i="62"/>
  <c r="C245" i="62"/>
  <c r="C242" i="121"/>
  <c r="C243" i="121"/>
  <c r="C244" i="121"/>
  <c r="C245" i="121"/>
  <c r="C246" i="121"/>
  <c r="C242" i="63"/>
  <c r="C243" i="63"/>
  <c r="C244" i="63"/>
  <c r="C245" i="63"/>
  <c r="C246" i="63"/>
  <c r="C241" i="64"/>
  <c r="C242" i="64"/>
  <c r="C243" i="64"/>
  <c r="C244" i="64"/>
  <c r="C245" i="64"/>
  <c r="C243" i="65"/>
  <c r="C244" i="65"/>
  <c r="C245" i="65"/>
  <c r="C246" i="65"/>
  <c r="C247" i="65"/>
  <c r="C242" i="122"/>
  <c r="C243" i="122"/>
  <c r="C244" i="122"/>
  <c r="C245" i="122"/>
  <c r="C246" i="122"/>
  <c r="C241" i="124"/>
  <c r="C242" i="124"/>
  <c r="C243" i="124"/>
  <c r="C244" i="124"/>
  <c r="C245" i="124"/>
  <c r="C242" i="66"/>
  <c r="C243" i="66"/>
  <c r="C244" i="66"/>
  <c r="C245" i="66"/>
  <c r="C246" i="66"/>
  <c r="C243" i="123"/>
  <c r="C244" i="123"/>
  <c r="C245" i="123"/>
  <c r="C246" i="123"/>
  <c r="C247" i="123"/>
  <c r="C242" i="67"/>
  <c r="C243" i="67"/>
  <c r="C244" i="67"/>
  <c r="C245" i="67"/>
  <c r="C246" i="67"/>
  <c r="C241" i="141"/>
  <c r="C242" i="141"/>
  <c r="C243" i="141"/>
  <c r="C244" i="141"/>
  <c r="C245" i="141"/>
  <c r="C241" i="68"/>
  <c r="C242" i="68"/>
  <c r="C243" i="68"/>
  <c r="C244" i="68"/>
  <c r="C245" i="68"/>
  <c r="C241" i="142"/>
  <c r="C242" i="142"/>
  <c r="C243" i="142"/>
  <c r="C244" i="142"/>
  <c r="C245" i="142"/>
  <c r="C242" i="69"/>
  <c r="C243" i="69"/>
  <c r="C244" i="69"/>
  <c r="C245" i="69"/>
  <c r="C246" i="69"/>
  <c r="C242" i="143"/>
  <c r="C243" i="143"/>
  <c r="C244" i="143"/>
  <c r="C245" i="143"/>
  <c r="C246" i="143"/>
  <c r="C241" i="70"/>
  <c r="C242" i="70"/>
  <c r="C243" i="70"/>
  <c r="C244" i="70"/>
  <c r="C245" i="70"/>
  <c r="C241" i="144"/>
  <c r="C242" i="144"/>
  <c r="C243" i="144"/>
  <c r="C244" i="144"/>
  <c r="C245" i="144"/>
  <c r="C242" i="71"/>
  <c r="C243" i="71"/>
  <c r="C244" i="71"/>
  <c r="C245" i="71"/>
  <c r="C246" i="71"/>
  <c r="C243" i="3"/>
  <c r="C244" i="3"/>
  <c r="C245" i="3"/>
  <c r="C246" i="3"/>
  <c r="C247" i="3"/>
  <c r="C243" i="73"/>
  <c r="C244" i="73"/>
  <c r="C245" i="73"/>
  <c r="C246" i="73"/>
  <c r="C247" i="73"/>
  <c r="C246" i="125"/>
  <c r="C247" i="125"/>
  <c r="C248" i="125"/>
  <c r="C249" i="125"/>
  <c r="C250" i="125"/>
  <c r="C241" i="74"/>
  <c r="C242" i="74"/>
  <c r="C243" i="74"/>
  <c r="C244" i="74"/>
  <c r="C245" i="74"/>
  <c r="C241" i="76"/>
  <c r="C242" i="76"/>
  <c r="C243" i="76"/>
  <c r="C244" i="76"/>
  <c r="C245" i="76"/>
  <c r="C242" i="126"/>
  <c r="C243" i="126"/>
  <c r="C244" i="126"/>
  <c r="C245" i="126"/>
  <c r="C246" i="126"/>
  <c r="C244" i="77"/>
  <c r="C245" i="77"/>
  <c r="C246" i="77"/>
  <c r="C247" i="77"/>
  <c r="C248" i="77"/>
  <c r="C242" i="78"/>
  <c r="C243" i="78"/>
  <c r="C244" i="78"/>
  <c r="C245" i="78"/>
  <c r="C246" i="78"/>
  <c r="C242" i="79"/>
  <c r="C243" i="79"/>
  <c r="C244" i="79"/>
  <c r="C245" i="79"/>
  <c r="C246" i="79"/>
  <c r="C242" i="80"/>
  <c r="C243" i="80"/>
  <c r="C244" i="80"/>
  <c r="C245" i="80"/>
  <c r="C246" i="80"/>
  <c r="C241" i="108"/>
  <c r="C242" i="108"/>
  <c r="C243" i="108"/>
  <c r="C244" i="108"/>
  <c r="C245" i="108"/>
  <c r="C242" i="109"/>
  <c r="C243" i="109"/>
  <c r="C244" i="109"/>
  <c r="C245" i="109"/>
  <c r="C246" i="109"/>
  <c r="C241" i="135"/>
  <c r="C242" i="135"/>
  <c r="C243" i="135"/>
  <c r="C244" i="135"/>
  <c r="C245" i="135"/>
  <c r="C240" i="81"/>
  <c r="C241" i="81"/>
  <c r="C242" i="81"/>
  <c r="C243" i="81"/>
  <c r="C244" i="81"/>
  <c r="C241" i="82"/>
  <c r="C242" i="82"/>
  <c r="C243" i="82"/>
  <c r="C244" i="82"/>
  <c r="C245" i="82"/>
  <c r="C240" i="83"/>
  <c r="C241" i="83"/>
  <c r="C242" i="83"/>
  <c r="C243" i="83"/>
  <c r="C244" i="83"/>
  <c r="C241" i="84"/>
  <c r="C242" i="84"/>
  <c r="C243" i="84"/>
  <c r="C244" i="84"/>
  <c r="C245" i="84"/>
  <c r="C241" i="85"/>
  <c r="C242" i="85"/>
  <c r="C243" i="85"/>
  <c r="C244" i="85"/>
  <c r="C245" i="85"/>
  <c r="C241" i="86"/>
  <c r="C242" i="86"/>
  <c r="C243" i="86"/>
  <c r="C244" i="86"/>
  <c r="C245" i="86"/>
  <c r="C243" i="89"/>
  <c r="C244" i="89"/>
  <c r="C245" i="89"/>
  <c r="C246" i="89"/>
  <c r="C247" i="89"/>
  <c r="C242" i="132"/>
  <c r="C243" i="132"/>
  <c r="C244" i="132"/>
  <c r="C245" i="132"/>
  <c r="C246" i="132"/>
  <c r="C242" i="87"/>
  <c r="C243" i="87"/>
  <c r="C244" i="87"/>
  <c r="C245" i="87"/>
  <c r="C246" i="87"/>
  <c r="C241" i="88"/>
  <c r="C242" i="88"/>
  <c r="C243" i="88"/>
  <c r="C244" i="88"/>
  <c r="C245" i="88"/>
  <c r="C241" i="133"/>
  <c r="C242" i="133"/>
  <c r="C243" i="133"/>
  <c r="C244" i="133"/>
  <c r="C245" i="133"/>
  <c r="C241" i="90"/>
  <c r="C242" i="90"/>
  <c r="C243" i="90"/>
  <c r="C244" i="90"/>
  <c r="C245" i="90"/>
  <c r="C246" i="91"/>
  <c r="C247" i="91"/>
  <c r="C248" i="91"/>
  <c r="C249" i="91"/>
  <c r="C250" i="91"/>
  <c r="C244" i="92"/>
  <c r="C245" i="92"/>
  <c r="C246" i="92"/>
  <c r="C247" i="92"/>
  <c r="C248" i="92"/>
  <c r="C246" i="93"/>
  <c r="C247" i="93"/>
  <c r="C248" i="93"/>
  <c r="C249" i="93"/>
  <c r="C250" i="93"/>
  <c r="C242" i="94"/>
  <c r="C243" i="94"/>
  <c r="C244" i="94"/>
  <c r="C245" i="94"/>
  <c r="C246" i="94"/>
  <c r="C242" i="95"/>
  <c r="C243" i="95"/>
  <c r="C244" i="95"/>
  <c r="C245" i="95"/>
  <c r="C246" i="95"/>
  <c r="C243" i="97"/>
  <c r="C244" i="97"/>
  <c r="C245" i="97"/>
  <c r="C246" i="97"/>
  <c r="C247" i="97"/>
  <c r="C242" i="98"/>
  <c r="C243" i="98"/>
  <c r="C244" i="98"/>
  <c r="C245" i="98"/>
  <c r="C246" i="98"/>
  <c r="C243" i="127"/>
  <c r="C244" i="127"/>
  <c r="C245" i="127"/>
  <c r="C246" i="127"/>
  <c r="C247" i="127"/>
  <c r="C244" i="128"/>
  <c r="C245" i="128"/>
  <c r="C246" i="128"/>
  <c r="C247" i="128"/>
  <c r="C248" i="128"/>
  <c r="C245" i="129"/>
  <c r="C246" i="129"/>
  <c r="C247" i="129"/>
  <c r="C248" i="129"/>
  <c r="C249" i="129"/>
  <c r="C247" i="130"/>
  <c r="C248" i="130"/>
  <c r="C249" i="130"/>
  <c r="C250" i="130"/>
  <c r="C251" i="130"/>
  <c r="C242" i="101"/>
  <c r="C243" i="101"/>
  <c r="C244" i="101"/>
  <c r="C245" i="101"/>
  <c r="C246" i="101"/>
  <c r="C242" i="102"/>
  <c r="C243" i="102"/>
  <c r="C244" i="102"/>
  <c r="C245" i="102"/>
  <c r="C246" i="102"/>
  <c r="C243" i="134"/>
  <c r="C244" i="134"/>
  <c r="C245" i="134"/>
  <c r="C246" i="134"/>
  <c r="C247" i="134"/>
  <c r="C242" i="103"/>
  <c r="C243" i="103"/>
  <c r="C244" i="103"/>
  <c r="C245" i="103"/>
  <c r="C246" i="103"/>
  <c r="C242" i="113"/>
  <c r="C243" i="113"/>
  <c r="C244" i="113"/>
  <c r="C245" i="113"/>
  <c r="C246" i="113"/>
  <c r="C242" i="104"/>
  <c r="C243" i="104"/>
  <c r="C244" i="104"/>
  <c r="C245" i="104"/>
  <c r="C246" i="104"/>
  <c r="C242" i="105"/>
  <c r="C243" i="105"/>
  <c r="C244" i="105"/>
  <c r="C245" i="105"/>
  <c r="C246" i="105"/>
  <c r="C242" i="106"/>
  <c r="C243" i="106"/>
  <c r="C244" i="106"/>
  <c r="C245" i="106"/>
  <c r="C246" i="106"/>
  <c r="C242" i="107"/>
  <c r="C243" i="107"/>
  <c r="C244" i="107"/>
  <c r="C245" i="107"/>
  <c r="C246" i="107"/>
  <c r="C242" i="131"/>
  <c r="C243" i="131"/>
  <c r="C244" i="131"/>
  <c r="C245" i="131"/>
  <c r="C246" i="131"/>
  <c r="C244" i="137"/>
  <c r="C245" i="137"/>
  <c r="C246" i="137"/>
  <c r="C247" i="137"/>
  <c r="C248" i="137"/>
  <c r="C245" i="138"/>
  <c r="C246" i="138"/>
  <c r="C247" i="138"/>
  <c r="C248" i="138"/>
  <c r="C249" i="138"/>
  <c r="C241" i="72"/>
  <c r="C242" i="72"/>
  <c r="C243" i="72"/>
  <c r="C244" i="72"/>
  <c r="C245" i="72"/>
  <c r="C242" i="60"/>
  <c r="C243" i="60"/>
  <c r="C244" i="60"/>
  <c r="C245" i="60"/>
  <c r="C246" i="60"/>
  <c r="B242" i="118"/>
  <c r="B243" i="118"/>
  <c r="B244" i="118"/>
  <c r="B245" i="118"/>
  <c r="B246" i="118"/>
  <c r="B242" i="119"/>
  <c r="B243" i="119"/>
  <c r="B244" i="119"/>
  <c r="B245" i="119"/>
  <c r="B246" i="119"/>
  <c r="B241" i="61"/>
  <c r="B242" i="61"/>
  <c r="B243" i="61"/>
  <c r="B244" i="61"/>
  <c r="B245" i="61"/>
  <c r="B242" i="120"/>
  <c r="B243" i="120"/>
  <c r="B244" i="120"/>
  <c r="B245" i="120"/>
  <c r="B246" i="120"/>
  <c r="B241" i="62"/>
  <c r="B242" i="62"/>
  <c r="B243" i="62"/>
  <c r="B244" i="62"/>
  <c r="B245" i="62"/>
  <c r="B242" i="121"/>
  <c r="B243" i="121"/>
  <c r="B244" i="121"/>
  <c r="B245" i="121"/>
  <c r="B246" i="121"/>
  <c r="B242" i="63"/>
  <c r="B243" i="63"/>
  <c r="B244" i="63"/>
  <c r="B245" i="63"/>
  <c r="B246" i="63"/>
  <c r="B241" i="64"/>
  <c r="B242" i="64"/>
  <c r="B243" i="64"/>
  <c r="B244" i="64"/>
  <c r="B245" i="64"/>
  <c r="B243" i="65"/>
  <c r="B244" i="65"/>
  <c r="B245" i="65"/>
  <c r="B246" i="65"/>
  <c r="B247" i="65"/>
  <c r="B242" i="122"/>
  <c r="B243" i="122"/>
  <c r="B244" i="122"/>
  <c r="B245" i="122"/>
  <c r="B246" i="122"/>
  <c r="B241" i="124"/>
  <c r="B242" i="124"/>
  <c r="B243" i="124"/>
  <c r="B244" i="124"/>
  <c r="B245" i="124"/>
  <c r="B242" i="66"/>
  <c r="B243" i="66"/>
  <c r="B244" i="66"/>
  <c r="B245" i="66"/>
  <c r="B246" i="66"/>
  <c r="B243" i="123"/>
  <c r="B244" i="123"/>
  <c r="B245" i="123"/>
  <c r="B246" i="123"/>
  <c r="B247" i="123"/>
  <c r="B242" i="67"/>
  <c r="B243" i="67"/>
  <c r="B244" i="67"/>
  <c r="B245" i="67"/>
  <c r="B246" i="67"/>
  <c r="B241" i="141"/>
  <c r="B242" i="141"/>
  <c r="B243" i="141"/>
  <c r="B244" i="141"/>
  <c r="B245" i="141"/>
  <c r="B241" i="68"/>
  <c r="B242" i="68"/>
  <c r="B243" i="68"/>
  <c r="B244" i="68"/>
  <c r="B245" i="68"/>
  <c r="B241" i="142"/>
  <c r="B242" i="142"/>
  <c r="B243" i="142"/>
  <c r="B244" i="142"/>
  <c r="B245" i="142"/>
  <c r="B242" i="69"/>
  <c r="B243" i="69"/>
  <c r="B244" i="69"/>
  <c r="B245" i="69"/>
  <c r="B246" i="69"/>
  <c r="B242" i="143"/>
  <c r="B243" i="143"/>
  <c r="B244" i="143"/>
  <c r="B245" i="143"/>
  <c r="B246" i="143"/>
  <c r="B241" i="70"/>
  <c r="B242" i="70"/>
  <c r="B243" i="70"/>
  <c r="B244" i="70"/>
  <c r="B245" i="70"/>
  <c r="B241" i="144"/>
  <c r="B242" i="144"/>
  <c r="B243" i="144"/>
  <c r="B244" i="144"/>
  <c r="B245" i="144"/>
  <c r="B242" i="71"/>
  <c r="B243" i="71"/>
  <c r="B244" i="71"/>
  <c r="B245" i="71"/>
  <c r="B246" i="71"/>
  <c r="B243" i="3"/>
  <c r="B244" i="3"/>
  <c r="B245" i="3"/>
  <c r="B246" i="3"/>
  <c r="B247" i="3"/>
  <c r="B243" i="73"/>
  <c r="B244" i="73"/>
  <c r="B245" i="73"/>
  <c r="B246" i="73"/>
  <c r="B247" i="73"/>
  <c r="B246" i="125"/>
  <c r="B247" i="125"/>
  <c r="B248" i="125"/>
  <c r="B249" i="125"/>
  <c r="B250" i="125"/>
  <c r="B241" i="74"/>
  <c r="B242" i="74"/>
  <c r="B243" i="74"/>
  <c r="B244" i="74"/>
  <c r="B245" i="74"/>
  <c r="B241" i="76"/>
  <c r="B242" i="76"/>
  <c r="B243" i="76"/>
  <c r="B244" i="76"/>
  <c r="B245" i="76"/>
  <c r="B242" i="126"/>
  <c r="B243" i="126"/>
  <c r="B244" i="126"/>
  <c r="B245" i="126"/>
  <c r="B246" i="126"/>
  <c r="B244" i="77"/>
  <c r="B245" i="77"/>
  <c r="B246" i="77"/>
  <c r="B247" i="77"/>
  <c r="B248" i="77"/>
  <c r="B242" i="78"/>
  <c r="B243" i="78"/>
  <c r="B244" i="78"/>
  <c r="B245" i="78"/>
  <c r="B246" i="78"/>
  <c r="B242" i="79"/>
  <c r="B243" i="79"/>
  <c r="B244" i="79"/>
  <c r="B245" i="79"/>
  <c r="B246" i="79"/>
  <c r="B242" i="80"/>
  <c r="B243" i="80"/>
  <c r="B244" i="80"/>
  <c r="B245" i="80"/>
  <c r="B246" i="80"/>
  <c r="B241" i="108"/>
  <c r="B242" i="108"/>
  <c r="B243" i="108"/>
  <c r="B244" i="108"/>
  <c r="B245" i="108"/>
  <c r="B242" i="109"/>
  <c r="B243" i="109"/>
  <c r="B244" i="109"/>
  <c r="B245" i="109"/>
  <c r="B246" i="109"/>
  <c r="B241" i="135"/>
  <c r="B242" i="135"/>
  <c r="B243" i="135"/>
  <c r="B244" i="135"/>
  <c r="B245" i="135"/>
  <c r="B240" i="81"/>
  <c r="B241" i="81"/>
  <c r="B242" i="81"/>
  <c r="B243" i="81"/>
  <c r="B244" i="81"/>
  <c r="B241" i="82"/>
  <c r="B242" i="82"/>
  <c r="B243" i="82"/>
  <c r="B244" i="82"/>
  <c r="B245" i="82"/>
  <c r="B240" i="83"/>
  <c r="B241" i="83"/>
  <c r="B242" i="83"/>
  <c r="B243" i="83"/>
  <c r="B244" i="83"/>
  <c r="B241" i="84"/>
  <c r="B242" i="84"/>
  <c r="B243" i="84"/>
  <c r="B244" i="84"/>
  <c r="B245" i="84"/>
  <c r="B241" i="85"/>
  <c r="B242" i="85"/>
  <c r="B243" i="85"/>
  <c r="B244" i="85"/>
  <c r="B245" i="85"/>
  <c r="B241" i="86"/>
  <c r="B242" i="86"/>
  <c r="B243" i="86"/>
  <c r="B244" i="86"/>
  <c r="B245" i="86"/>
  <c r="B243" i="89"/>
  <c r="B244" i="89"/>
  <c r="B245" i="89"/>
  <c r="B246" i="89"/>
  <c r="B247" i="89"/>
  <c r="B242" i="132"/>
  <c r="B243" i="132"/>
  <c r="B244" i="132"/>
  <c r="B245" i="132"/>
  <c r="B246" i="132"/>
  <c r="B242" i="87"/>
  <c r="B243" i="87"/>
  <c r="B244" i="87"/>
  <c r="B245" i="87"/>
  <c r="B246" i="87"/>
  <c r="B241" i="88"/>
  <c r="B242" i="88"/>
  <c r="B243" i="88"/>
  <c r="B244" i="88"/>
  <c r="B245" i="88"/>
  <c r="B241" i="133"/>
  <c r="B242" i="133"/>
  <c r="B243" i="133"/>
  <c r="B244" i="133"/>
  <c r="B245" i="133"/>
  <c r="B241" i="90"/>
  <c r="B242" i="90"/>
  <c r="B243" i="90"/>
  <c r="B244" i="90"/>
  <c r="B245" i="90"/>
  <c r="B246" i="91"/>
  <c r="B247" i="91"/>
  <c r="B248" i="91"/>
  <c r="B249" i="91"/>
  <c r="B250" i="91"/>
  <c r="B244" i="92"/>
  <c r="B245" i="92"/>
  <c r="B246" i="92"/>
  <c r="B247" i="92"/>
  <c r="B248" i="92"/>
  <c r="B246" i="93"/>
  <c r="B247" i="93"/>
  <c r="B248" i="93"/>
  <c r="B249" i="93"/>
  <c r="B250" i="93"/>
  <c r="B242" i="94"/>
  <c r="B243" i="94"/>
  <c r="B244" i="94"/>
  <c r="B245" i="94"/>
  <c r="B246" i="94"/>
  <c r="B242" i="95"/>
  <c r="B243" i="95"/>
  <c r="B244" i="95"/>
  <c r="B245" i="95"/>
  <c r="B246" i="95"/>
  <c r="B243" i="97"/>
  <c r="B244" i="97"/>
  <c r="B245" i="97"/>
  <c r="B246" i="97"/>
  <c r="B247" i="97"/>
  <c r="B242" i="98"/>
  <c r="B243" i="98"/>
  <c r="B244" i="98"/>
  <c r="B245" i="98"/>
  <c r="B246" i="98"/>
  <c r="B243" i="127"/>
  <c r="B244" i="127"/>
  <c r="B245" i="127"/>
  <c r="B246" i="127"/>
  <c r="B247" i="127"/>
  <c r="B244" i="128"/>
  <c r="B245" i="128"/>
  <c r="B246" i="128"/>
  <c r="B247" i="128"/>
  <c r="B248" i="128"/>
  <c r="B245" i="129"/>
  <c r="B246" i="129"/>
  <c r="B247" i="129"/>
  <c r="B248" i="129"/>
  <c r="B249" i="129"/>
  <c r="B247" i="130"/>
  <c r="B248" i="130"/>
  <c r="B249" i="130"/>
  <c r="B250" i="130"/>
  <c r="B251" i="130"/>
  <c r="B242" i="101"/>
  <c r="B243" i="101"/>
  <c r="B244" i="101"/>
  <c r="B245" i="101"/>
  <c r="B246" i="101"/>
  <c r="B242" i="102"/>
  <c r="B243" i="102"/>
  <c r="B244" i="102"/>
  <c r="B245" i="102"/>
  <c r="B246" i="102"/>
  <c r="B243" i="134"/>
  <c r="B244" i="134"/>
  <c r="B245" i="134"/>
  <c r="B246" i="134"/>
  <c r="B247" i="134"/>
  <c r="B242" i="103"/>
  <c r="B243" i="103"/>
  <c r="B244" i="103"/>
  <c r="B245" i="103"/>
  <c r="B246" i="103"/>
  <c r="B242" i="113"/>
  <c r="B243" i="113"/>
  <c r="B244" i="113"/>
  <c r="B245" i="113"/>
  <c r="B246" i="113"/>
  <c r="B242" i="104"/>
  <c r="B243" i="104"/>
  <c r="B244" i="104"/>
  <c r="B245" i="104"/>
  <c r="B246" i="104"/>
  <c r="B242" i="105"/>
  <c r="B243" i="105"/>
  <c r="B244" i="105"/>
  <c r="B245" i="105"/>
  <c r="B246" i="105"/>
  <c r="B242" i="106"/>
  <c r="B243" i="106"/>
  <c r="B244" i="106"/>
  <c r="B245" i="106"/>
  <c r="B246" i="106"/>
  <c r="B242" i="107"/>
  <c r="B243" i="107"/>
  <c r="B244" i="107"/>
  <c r="B245" i="107"/>
  <c r="B246" i="107"/>
  <c r="B242" i="131"/>
  <c r="B243" i="131"/>
  <c r="B244" i="131"/>
  <c r="B245" i="131"/>
  <c r="B246" i="131"/>
  <c r="B244" i="137"/>
  <c r="B245" i="137"/>
  <c r="B246" i="137"/>
  <c r="B247" i="137"/>
  <c r="B248" i="137"/>
  <c r="B245" i="138"/>
  <c r="B246" i="138"/>
  <c r="B247" i="138"/>
  <c r="B248" i="138"/>
  <c r="B249" i="138"/>
  <c r="B241" i="72"/>
  <c r="B242" i="72"/>
  <c r="B243" i="72"/>
  <c r="B244" i="72"/>
  <c r="B245" i="72"/>
  <c r="B242" i="60"/>
  <c r="B243" i="60"/>
  <c r="B244" i="60"/>
  <c r="B245" i="60"/>
  <c r="B246" i="60"/>
  <c r="J19" i="60" l="1"/>
  <c r="J18" i="60"/>
  <c r="J14" i="151"/>
  <c r="J14" i="153"/>
  <c r="J12" i="151"/>
  <c r="J12" i="153"/>
  <c r="J15" i="151"/>
  <c r="J15" i="153"/>
  <c r="J25" i="151"/>
  <c r="J25" i="152"/>
  <c r="J17" i="149"/>
  <c r="J16" i="151"/>
  <c r="J17" i="151"/>
  <c r="J14" i="149"/>
  <c r="J14" i="150"/>
  <c r="J17" i="150"/>
  <c r="J25" i="149"/>
  <c r="J23" i="150"/>
  <c r="J12" i="149"/>
  <c r="J12" i="150"/>
  <c r="J15" i="149"/>
  <c r="J13" i="149"/>
  <c r="J13" i="150"/>
  <c r="J16" i="149"/>
  <c r="J19" i="149"/>
  <c r="H137" i="2"/>
  <c r="H167" i="2"/>
  <c r="H126" i="144"/>
  <c r="H125" i="144"/>
  <c r="H124" i="144"/>
  <c r="H123" i="144"/>
  <c r="H122" i="144"/>
  <c r="H121" i="144"/>
  <c r="H120" i="144"/>
  <c r="H119" i="144"/>
  <c r="H118" i="144"/>
  <c r="H117" i="144"/>
  <c r="H116" i="144"/>
  <c r="H115" i="144"/>
  <c r="H114" i="144"/>
  <c r="H113" i="144"/>
  <c r="H112" i="144"/>
  <c r="H111" i="144"/>
  <c r="I71" i="144"/>
  <c r="F71" i="144"/>
  <c r="I70" i="144"/>
  <c r="F70" i="144"/>
  <c r="I66" i="144"/>
  <c r="H66" i="144"/>
  <c r="K61" i="144"/>
  <c r="K60" i="144"/>
  <c r="K59" i="144"/>
  <c r="K58" i="144"/>
  <c r="K57" i="144"/>
  <c r="J31" i="144"/>
  <c r="I31" i="144"/>
  <c r="H31" i="144"/>
  <c r="G31" i="144"/>
  <c r="F31" i="144"/>
  <c r="E31" i="144"/>
  <c r="J30" i="144"/>
  <c r="I30" i="144"/>
  <c r="H30" i="144"/>
  <c r="G30" i="144"/>
  <c r="F30" i="144"/>
  <c r="E30" i="144"/>
  <c r="J29" i="144"/>
  <c r="I29" i="144"/>
  <c r="H29" i="144"/>
  <c r="G29" i="144"/>
  <c r="F29" i="144"/>
  <c r="E29" i="144"/>
  <c r="J28" i="144"/>
  <c r="I28" i="144"/>
  <c r="H28" i="144"/>
  <c r="G28" i="144"/>
  <c r="F28" i="144"/>
  <c r="E28" i="144"/>
  <c r="J27" i="144"/>
  <c r="I27" i="144"/>
  <c r="H27" i="144"/>
  <c r="G27" i="144"/>
  <c r="F27" i="144"/>
  <c r="E27" i="144"/>
  <c r="J26" i="144"/>
  <c r="I26" i="144"/>
  <c r="H26" i="144"/>
  <c r="G26" i="144"/>
  <c r="F26" i="144"/>
  <c r="E26" i="144"/>
  <c r="J25" i="144"/>
  <c r="I25" i="144"/>
  <c r="H25" i="144"/>
  <c r="G25" i="144"/>
  <c r="F25" i="144"/>
  <c r="E25" i="144"/>
  <c r="J24" i="144"/>
  <c r="I24" i="144"/>
  <c r="H24" i="144"/>
  <c r="G24" i="144"/>
  <c r="F24" i="144"/>
  <c r="E24" i="144"/>
  <c r="J23" i="144"/>
  <c r="I23" i="144"/>
  <c r="H23" i="144"/>
  <c r="G23" i="144"/>
  <c r="F23" i="144"/>
  <c r="E23" i="144"/>
  <c r="J22" i="144"/>
  <c r="I22" i="144"/>
  <c r="H22" i="144"/>
  <c r="G22" i="144"/>
  <c r="F22" i="144"/>
  <c r="E22" i="144"/>
  <c r="K21" i="144"/>
  <c r="J21" i="144"/>
  <c r="I21" i="144"/>
  <c r="H21" i="144"/>
  <c r="G21" i="144"/>
  <c r="F21" i="144"/>
  <c r="E21" i="144"/>
  <c r="K20" i="144"/>
  <c r="J20" i="144"/>
  <c r="I20" i="144"/>
  <c r="H20" i="144"/>
  <c r="G20" i="144"/>
  <c r="F20" i="144"/>
  <c r="E20" i="144"/>
  <c r="K17" i="144"/>
  <c r="J17" i="144"/>
  <c r="I17" i="144"/>
  <c r="H17" i="144"/>
  <c r="G17" i="144"/>
  <c r="F17" i="144"/>
  <c r="E17" i="144"/>
  <c r="E16" i="144"/>
  <c r="E15" i="144"/>
  <c r="E14" i="144"/>
  <c r="E13" i="144"/>
  <c r="E12" i="144"/>
  <c r="F10" i="144"/>
  <c r="E10" i="144"/>
  <c r="H54" i="2"/>
  <c r="J40" i="164" s="1"/>
  <c r="K40" i="164" s="1"/>
  <c r="H127" i="143"/>
  <c r="H126" i="143"/>
  <c r="H125" i="143"/>
  <c r="H124" i="143"/>
  <c r="H123" i="143"/>
  <c r="H122" i="143"/>
  <c r="H121" i="143"/>
  <c r="H120" i="143"/>
  <c r="H119" i="143"/>
  <c r="H118" i="143"/>
  <c r="H117" i="143"/>
  <c r="H116" i="143"/>
  <c r="H115" i="143"/>
  <c r="H114" i="143"/>
  <c r="H113" i="143"/>
  <c r="H112" i="143"/>
  <c r="I72" i="143"/>
  <c r="F72" i="143"/>
  <c r="I71" i="143"/>
  <c r="F71" i="143"/>
  <c r="I67" i="143"/>
  <c r="H67" i="143"/>
  <c r="K62" i="143"/>
  <c r="K61" i="143"/>
  <c r="K60" i="143"/>
  <c r="K59" i="143"/>
  <c r="K58" i="143"/>
  <c r="K57" i="143"/>
  <c r="K56" i="143"/>
  <c r="K55" i="143"/>
  <c r="K54" i="143"/>
  <c r="K53" i="143"/>
  <c r="J31" i="143"/>
  <c r="I31" i="143"/>
  <c r="H31" i="143"/>
  <c r="G31" i="143"/>
  <c r="F31" i="143"/>
  <c r="E31" i="143"/>
  <c r="J30" i="143"/>
  <c r="I30" i="143"/>
  <c r="H30" i="143"/>
  <c r="G30" i="143"/>
  <c r="F30" i="143"/>
  <c r="E30" i="143"/>
  <c r="J29" i="143"/>
  <c r="I29" i="143"/>
  <c r="H29" i="143"/>
  <c r="G29" i="143"/>
  <c r="F29" i="143"/>
  <c r="E29" i="143"/>
  <c r="J28" i="143"/>
  <c r="I28" i="143"/>
  <c r="H28" i="143"/>
  <c r="G28" i="143"/>
  <c r="F28" i="143"/>
  <c r="E28" i="143"/>
  <c r="J27" i="143"/>
  <c r="I27" i="143"/>
  <c r="H27" i="143"/>
  <c r="G27" i="143"/>
  <c r="F27" i="143"/>
  <c r="E27" i="143"/>
  <c r="J26" i="143"/>
  <c r="I26" i="143"/>
  <c r="H26" i="143"/>
  <c r="G26" i="143"/>
  <c r="F26" i="143"/>
  <c r="E26" i="143"/>
  <c r="J25" i="143"/>
  <c r="I25" i="143"/>
  <c r="H25" i="143"/>
  <c r="G25" i="143"/>
  <c r="F25" i="143"/>
  <c r="E25" i="143"/>
  <c r="J24" i="143"/>
  <c r="I24" i="143"/>
  <c r="H24" i="143"/>
  <c r="G24" i="143"/>
  <c r="F24" i="143"/>
  <c r="E24" i="143"/>
  <c r="J23" i="143"/>
  <c r="I23" i="143"/>
  <c r="H23" i="143"/>
  <c r="G23" i="143"/>
  <c r="F23" i="143"/>
  <c r="E23" i="143"/>
  <c r="J22" i="143"/>
  <c r="I22" i="143"/>
  <c r="H22" i="143"/>
  <c r="G22" i="143"/>
  <c r="F22" i="143"/>
  <c r="E22" i="143"/>
  <c r="J21" i="143"/>
  <c r="I21" i="143"/>
  <c r="H21" i="143"/>
  <c r="G21" i="143"/>
  <c r="F21" i="143"/>
  <c r="E21" i="143"/>
  <c r="K20" i="143"/>
  <c r="J20" i="143"/>
  <c r="I20" i="143"/>
  <c r="H20" i="143"/>
  <c r="G20" i="143"/>
  <c r="F20" i="143"/>
  <c r="E20" i="143"/>
  <c r="K19" i="143"/>
  <c r="J19" i="143"/>
  <c r="I19" i="143"/>
  <c r="H19" i="143"/>
  <c r="G19" i="143"/>
  <c r="F19" i="143"/>
  <c r="E19" i="143"/>
  <c r="K16" i="143"/>
  <c r="J16" i="143"/>
  <c r="I16" i="143"/>
  <c r="H16" i="143"/>
  <c r="G16" i="143"/>
  <c r="F16" i="143"/>
  <c r="E16" i="143"/>
  <c r="E15" i="143"/>
  <c r="E14" i="143"/>
  <c r="E13" i="143"/>
  <c r="E12" i="143"/>
  <c r="F10" i="143"/>
  <c r="E10" i="143"/>
  <c r="H126" i="142"/>
  <c r="H125" i="142"/>
  <c r="H124" i="142"/>
  <c r="H123" i="142"/>
  <c r="H122" i="142"/>
  <c r="H121" i="142"/>
  <c r="H120" i="142"/>
  <c r="H119" i="142"/>
  <c r="H118" i="142"/>
  <c r="H117" i="142"/>
  <c r="H116" i="142"/>
  <c r="H115" i="142"/>
  <c r="H114" i="142"/>
  <c r="H113" i="142"/>
  <c r="H112" i="142"/>
  <c r="H111" i="142"/>
  <c r="I71" i="142"/>
  <c r="F71" i="142"/>
  <c r="I70" i="142"/>
  <c r="F70" i="142"/>
  <c r="I66" i="142"/>
  <c r="H66" i="142"/>
  <c r="K61" i="142"/>
  <c r="K60" i="142"/>
  <c r="K59" i="142"/>
  <c r="K58" i="142"/>
  <c r="K57" i="142"/>
  <c r="K56" i="142"/>
  <c r="K55" i="142"/>
  <c r="J31" i="142"/>
  <c r="I31" i="142"/>
  <c r="H31" i="142"/>
  <c r="G31" i="142"/>
  <c r="F31" i="142"/>
  <c r="E31" i="142"/>
  <c r="J30" i="142"/>
  <c r="I30" i="142"/>
  <c r="H30" i="142"/>
  <c r="G30" i="142"/>
  <c r="F30" i="142"/>
  <c r="E30" i="142"/>
  <c r="J29" i="142"/>
  <c r="I29" i="142"/>
  <c r="H29" i="142"/>
  <c r="G29" i="142"/>
  <c r="F29" i="142"/>
  <c r="E29" i="142"/>
  <c r="J28" i="142"/>
  <c r="I28" i="142"/>
  <c r="H28" i="142"/>
  <c r="G28" i="142"/>
  <c r="F28" i="142"/>
  <c r="E28" i="142"/>
  <c r="J27" i="142"/>
  <c r="I27" i="142"/>
  <c r="H27" i="142"/>
  <c r="G27" i="142"/>
  <c r="F27" i="142"/>
  <c r="E27" i="142"/>
  <c r="J26" i="142"/>
  <c r="I26" i="142"/>
  <c r="H26" i="142"/>
  <c r="G26" i="142"/>
  <c r="F26" i="142"/>
  <c r="E26" i="142"/>
  <c r="J25" i="142"/>
  <c r="I25" i="142"/>
  <c r="H25" i="142"/>
  <c r="G25" i="142"/>
  <c r="F25" i="142"/>
  <c r="E25" i="142"/>
  <c r="J24" i="142"/>
  <c r="I24" i="142"/>
  <c r="H24" i="142"/>
  <c r="G24" i="142"/>
  <c r="F24" i="142"/>
  <c r="E24" i="142"/>
  <c r="J23" i="142"/>
  <c r="I23" i="142"/>
  <c r="H23" i="142"/>
  <c r="G23" i="142"/>
  <c r="F23" i="142"/>
  <c r="E23" i="142"/>
  <c r="J22" i="142"/>
  <c r="I22" i="142"/>
  <c r="H22" i="142"/>
  <c r="G22" i="142"/>
  <c r="F22" i="142"/>
  <c r="E22" i="142"/>
  <c r="J21" i="142"/>
  <c r="I21" i="142"/>
  <c r="H21" i="142"/>
  <c r="G21" i="142"/>
  <c r="F21" i="142"/>
  <c r="E21" i="142"/>
  <c r="K20" i="142"/>
  <c r="J20" i="142"/>
  <c r="I20" i="142"/>
  <c r="H20" i="142"/>
  <c r="G20" i="142"/>
  <c r="F20" i="142"/>
  <c r="E20" i="142"/>
  <c r="K19" i="142"/>
  <c r="J19" i="142"/>
  <c r="I19" i="142"/>
  <c r="H19" i="142"/>
  <c r="G19" i="142"/>
  <c r="F19" i="142"/>
  <c r="E19" i="142"/>
  <c r="K16" i="142"/>
  <c r="J16" i="142"/>
  <c r="I16" i="142"/>
  <c r="H16" i="142"/>
  <c r="G16" i="142"/>
  <c r="F16" i="142"/>
  <c r="E16" i="142"/>
  <c r="E15" i="142"/>
  <c r="E14" i="142"/>
  <c r="E13" i="142"/>
  <c r="E12" i="142"/>
  <c r="F10" i="142"/>
  <c r="E10" i="142"/>
  <c r="H126" i="141"/>
  <c r="H125" i="141"/>
  <c r="H124" i="141"/>
  <c r="H123" i="141"/>
  <c r="H122" i="141"/>
  <c r="H121" i="141"/>
  <c r="H120" i="141"/>
  <c r="H119" i="141"/>
  <c r="H118" i="141"/>
  <c r="H117" i="141"/>
  <c r="H116" i="141"/>
  <c r="H115" i="141"/>
  <c r="H114" i="141"/>
  <c r="H113" i="141"/>
  <c r="H112" i="141"/>
  <c r="H111" i="141"/>
  <c r="I71" i="141"/>
  <c r="F71" i="141"/>
  <c r="I70" i="141"/>
  <c r="F70" i="141"/>
  <c r="I66" i="141"/>
  <c r="H66" i="141"/>
  <c r="K60" i="141"/>
  <c r="K59" i="141"/>
  <c r="K58" i="141"/>
  <c r="K57" i="141"/>
  <c r="K56" i="141"/>
  <c r="K55" i="141"/>
  <c r="K54" i="141"/>
  <c r="K53" i="141"/>
  <c r="K52" i="141"/>
  <c r="J31" i="141"/>
  <c r="I31" i="141"/>
  <c r="H31" i="141"/>
  <c r="G31" i="141"/>
  <c r="F31" i="141"/>
  <c r="E31" i="141"/>
  <c r="J30" i="141"/>
  <c r="I30" i="141"/>
  <c r="H30" i="141"/>
  <c r="G30" i="141"/>
  <c r="F30" i="141"/>
  <c r="E30" i="141"/>
  <c r="J29" i="141"/>
  <c r="I29" i="141"/>
  <c r="H29" i="141"/>
  <c r="G29" i="141"/>
  <c r="F29" i="141"/>
  <c r="E29" i="141"/>
  <c r="J28" i="141"/>
  <c r="I28" i="141"/>
  <c r="H28" i="141"/>
  <c r="G28" i="141"/>
  <c r="F28" i="141"/>
  <c r="E28" i="141"/>
  <c r="J27" i="141"/>
  <c r="I27" i="141"/>
  <c r="H27" i="141"/>
  <c r="G27" i="141"/>
  <c r="F27" i="141"/>
  <c r="E27" i="141"/>
  <c r="J26" i="141"/>
  <c r="I26" i="141"/>
  <c r="H26" i="141"/>
  <c r="G26" i="141"/>
  <c r="F26" i="141"/>
  <c r="E26" i="141"/>
  <c r="E25" i="141"/>
  <c r="J24" i="141"/>
  <c r="I24" i="141"/>
  <c r="H24" i="141"/>
  <c r="G24" i="141"/>
  <c r="F24" i="141"/>
  <c r="E24" i="141"/>
  <c r="J23" i="141"/>
  <c r="H23" i="141"/>
  <c r="F23" i="141"/>
  <c r="E23" i="141"/>
  <c r="E22" i="141"/>
  <c r="E21" i="141"/>
  <c r="E18" i="141"/>
  <c r="E17" i="141"/>
  <c r="E16" i="141"/>
  <c r="E15" i="141"/>
  <c r="E14" i="141"/>
  <c r="E13" i="141"/>
  <c r="E12" i="141"/>
  <c r="F10" i="141"/>
  <c r="E10" i="141"/>
  <c r="J40" i="161" l="1"/>
  <c r="K40" i="161" s="1"/>
  <c r="J41" i="163"/>
  <c r="K41" i="163" s="1"/>
  <c r="J53" i="131"/>
  <c r="K53" i="131" s="1"/>
  <c r="J49" i="107"/>
  <c r="K49" i="107" s="1"/>
  <c r="J40" i="157"/>
  <c r="K40" i="157" s="1"/>
  <c r="J40" i="156"/>
  <c r="K40" i="156" s="1"/>
  <c r="J16" i="150"/>
  <c r="J18" i="149"/>
  <c r="J13" i="153"/>
  <c r="J15" i="150"/>
  <c r="J13" i="151"/>
  <c r="J43" i="70"/>
  <c r="J43" i="144"/>
  <c r="J49" i="131"/>
  <c r="J40" i="78"/>
  <c r="H42" i="148"/>
  <c r="K70" i="144"/>
  <c r="K24" i="141"/>
  <c r="K71" i="142"/>
  <c r="K72" i="143"/>
  <c r="K71" i="141"/>
  <c r="K71" i="144"/>
  <c r="K70" i="142"/>
  <c r="K29" i="144"/>
  <c r="K23" i="142"/>
  <c r="K31" i="142"/>
  <c r="K27" i="144"/>
  <c r="K70" i="141"/>
  <c r="K71" i="143"/>
  <c r="K28" i="144"/>
  <c r="K30" i="143"/>
  <c r="K25" i="144"/>
  <c r="K22" i="143"/>
  <c r="K24" i="143"/>
  <c r="K28" i="143"/>
  <c r="K24" i="144"/>
  <c r="K26" i="144"/>
  <c r="K25" i="143"/>
  <c r="K22" i="144"/>
  <c r="K23" i="144"/>
  <c r="K30" i="144"/>
  <c r="K31" i="144"/>
  <c r="K23" i="143"/>
  <c r="K27" i="143"/>
  <c r="K29" i="143"/>
  <c r="K31" i="143"/>
  <c r="K25" i="142"/>
  <c r="K21" i="143"/>
  <c r="K26" i="142"/>
  <c r="K26" i="143"/>
  <c r="K21" i="142"/>
  <c r="K30" i="142"/>
  <c r="K29" i="142"/>
  <c r="K28" i="142"/>
  <c r="K27" i="142"/>
  <c r="K28" i="141"/>
  <c r="K31" i="141"/>
  <c r="K22" i="142"/>
  <c r="K24" i="142"/>
  <c r="K27" i="141"/>
  <c r="K26" i="141"/>
  <c r="K29" i="141"/>
  <c r="K30" i="141"/>
  <c r="C80" i="140"/>
  <c r="C79" i="140"/>
  <c r="C78" i="140"/>
  <c r="C77" i="140"/>
  <c r="C76" i="140"/>
  <c r="C74" i="140"/>
  <c r="C73" i="140"/>
  <c r="C72" i="140"/>
  <c r="C70" i="140"/>
  <c r="C69" i="140"/>
  <c r="C68" i="140"/>
  <c r="C66" i="140"/>
  <c r="C65" i="140"/>
  <c r="C64" i="140"/>
  <c r="C63" i="140"/>
  <c r="C62" i="140"/>
  <c r="C61" i="140"/>
  <c r="C60" i="140"/>
  <c r="C59" i="140"/>
  <c r="C58" i="140"/>
  <c r="C57" i="140"/>
  <c r="C56" i="140"/>
  <c r="C55" i="140"/>
  <c r="C54" i="140"/>
  <c r="C53" i="140"/>
  <c r="C52" i="140"/>
  <c r="C51" i="140"/>
  <c r="C50" i="140"/>
  <c r="C49" i="140"/>
  <c r="C48" i="140"/>
  <c r="C47" i="140"/>
  <c r="C46" i="140"/>
  <c r="C45" i="140"/>
  <c r="C44" i="140"/>
  <c r="C42" i="140"/>
  <c r="C41" i="140"/>
  <c r="C30" i="140"/>
  <c r="C29" i="140"/>
  <c r="C28" i="140"/>
  <c r="C27" i="140"/>
  <c r="C26" i="140"/>
  <c r="C25" i="140"/>
  <c r="C24" i="140"/>
  <c r="C23" i="140"/>
  <c r="C22" i="140"/>
  <c r="C21" i="140"/>
  <c r="C20" i="140"/>
  <c r="C19" i="140"/>
  <c r="C18" i="140"/>
  <c r="C17" i="140"/>
  <c r="C16" i="140"/>
  <c r="C15" i="140"/>
  <c r="C14" i="140"/>
  <c r="C13" i="140"/>
  <c r="C12" i="140"/>
  <c r="C11" i="140"/>
  <c r="C10" i="140"/>
  <c r="C9" i="140"/>
  <c r="C8" i="140"/>
  <c r="C7" i="140"/>
  <c r="C6" i="140"/>
  <c r="C5" i="140"/>
  <c r="C4" i="140"/>
  <c r="C3" i="140"/>
  <c r="C2" i="140"/>
  <c r="D70" i="140"/>
  <c r="D54" i="140"/>
  <c r="D52" i="140"/>
  <c r="D48" i="140"/>
  <c r="D65" i="140"/>
  <c r="D7" i="140"/>
  <c r="D66" i="140"/>
  <c r="D51" i="140"/>
  <c r="D59" i="140"/>
  <c r="D62" i="140"/>
  <c r="D20" i="140"/>
  <c r="D57" i="140"/>
  <c r="D5" i="140"/>
  <c r="D79" i="140"/>
  <c r="D41" i="140"/>
  <c r="D12" i="140"/>
  <c r="D4" i="140"/>
  <c r="D64" i="140"/>
  <c r="D24" i="140"/>
  <c r="D27" i="140"/>
  <c r="D9" i="140"/>
  <c r="D2" i="140"/>
  <c r="D14" i="140"/>
  <c r="D76" i="140"/>
  <c r="D29" i="140"/>
  <c r="D58" i="140"/>
  <c r="D6" i="140"/>
  <c r="D42" i="140"/>
  <c r="D26" i="140"/>
  <c r="D63" i="140"/>
  <c r="D69" i="140"/>
  <c r="D72" i="140"/>
  <c r="D53" i="140"/>
  <c r="D30" i="140"/>
  <c r="D23" i="140"/>
  <c r="D46" i="140"/>
  <c r="D44" i="140"/>
  <c r="D17" i="140"/>
  <c r="D74" i="140"/>
  <c r="D78" i="140"/>
  <c r="D22" i="140"/>
  <c r="D16" i="140"/>
  <c r="D11" i="140"/>
  <c r="D56" i="140"/>
  <c r="D8" i="140"/>
  <c r="D55" i="140"/>
  <c r="D80" i="140"/>
  <c r="D47" i="140"/>
  <c r="D18" i="140"/>
  <c r="D68" i="140"/>
  <c r="D45" i="140"/>
  <c r="D21" i="140"/>
  <c r="D50" i="140"/>
  <c r="D3" i="140"/>
  <c r="D19" i="140"/>
  <c r="D28" i="140"/>
  <c r="D13" i="140"/>
  <c r="D49" i="140"/>
  <c r="D73" i="140"/>
  <c r="D10" i="140"/>
  <c r="D25" i="140"/>
  <c r="D60" i="140"/>
  <c r="D15" i="140"/>
  <c r="D61" i="140"/>
  <c r="D77" i="140"/>
  <c r="K62" i="140" l="1"/>
  <c r="K84" i="140"/>
  <c r="K9" i="140"/>
  <c r="K3" i="140"/>
  <c r="K7" i="140"/>
  <c r="K11" i="140"/>
  <c r="K15" i="140"/>
  <c r="K21" i="140"/>
  <c r="K25" i="140"/>
  <c r="K29" i="140"/>
  <c r="K44" i="140"/>
  <c r="K50" i="140"/>
  <c r="K54" i="140"/>
  <c r="K58" i="140"/>
  <c r="K65" i="140"/>
  <c r="K67" i="140"/>
  <c r="K72" i="140"/>
  <c r="K77" i="140"/>
  <c r="K81" i="140"/>
  <c r="K4" i="140"/>
  <c r="K8" i="140"/>
  <c r="K12" i="140"/>
  <c r="K18" i="140"/>
  <c r="K22" i="140"/>
  <c r="K26" i="140"/>
  <c r="K30" i="140"/>
  <c r="K45" i="140"/>
  <c r="K51" i="140"/>
  <c r="K55" i="140"/>
  <c r="K59" i="140"/>
  <c r="K63" i="140"/>
  <c r="K66" i="140"/>
  <c r="K68" i="140"/>
  <c r="K73" i="140"/>
  <c r="K78" i="140"/>
  <c r="K82" i="140"/>
  <c r="K5" i="140"/>
  <c r="K13" i="140"/>
  <c r="K19" i="140"/>
  <c r="K23" i="140"/>
  <c r="K27" i="140"/>
  <c r="K31" i="140"/>
  <c r="K48" i="140"/>
  <c r="K52" i="140"/>
  <c r="K56" i="140"/>
  <c r="K60" i="140"/>
  <c r="K69" i="140"/>
  <c r="K74" i="140"/>
  <c r="K79" i="140"/>
  <c r="K83" i="140"/>
  <c r="K6" i="140"/>
  <c r="K10" i="140"/>
  <c r="K14" i="140"/>
  <c r="K20" i="140"/>
  <c r="K24" i="140"/>
  <c r="K28" i="140"/>
  <c r="K32" i="140"/>
  <c r="K49" i="140"/>
  <c r="K53" i="140"/>
  <c r="K57" i="140"/>
  <c r="K61" i="140"/>
  <c r="K64" i="140"/>
  <c r="K70" i="140"/>
  <c r="K76" i="140"/>
  <c r="K80" i="140"/>
  <c r="K2" i="140"/>
  <c r="H149" i="2"/>
  <c r="H130" i="138"/>
  <c r="H129" i="138"/>
  <c r="H128" i="138"/>
  <c r="H127" i="138"/>
  <c r="H126" i="138"/>
  <c r="H125" i="138"/>
  <c r="H124" i="138"/>
  <c r="H123" i="138"/>
  <c r="H122" i="138"/>
  <c r="H121" i="138"/>
  <c r="H120" i="138"/>
  <c r="H119" i="138"/>
  <c r="H118" i="138"/>
  <c r="H117" i="138"/>
  <c r="H116" i="138"/>
  <c r="H115" i="138"/>
  <c r="I75" i="138"/>
  <c r="F75" i="138"/>
  <c r="I74" i="138"/>
  <c r="I70" i="138"/>
  <c r="H70" i="138"/>
  <c r="K65" i="138"/>
  <c r="K64" i="138"/>
  <c r="K63" i="138"/>
  <c r="K62" i="138"/>
  <c r="K61" i="138"/>
  <c r="K60" i="138"/>
  <c r="K59" i="138"/>
  <c r="K58" i="138"/>
  <c r="K57" i="138"/>
  <c r="K56" i="138"/>
  <c r="K55" i="138"/>
  <c r="K54" i="138"/>
  <c r="K53" i="138"/>
  <c r="K52" i="138"/>
  <c r="K51" i="138"/>
  <c r="K50" i="138"/>
  <c r="K49" i="138"/>
  <c r="K48" i="138"/>
  <c r="K47" i="138"/>
  <c r="K46" i="138"/>
  <c r="K45" i="138"/>
  <c r="K44" i="138"/>
  <c r="J32" i="138"/>
  <c r="I32" i="138"/>
  <c r="H32" i="138"/>
  <c r="G32" i="138"/>
  <c r="F32" i="138"/>
  <c r="E32" i="138"/>
  <c r="J31" i="138"/>
  <c r="I31" i="138"/>
  <c r="H31" i="138"/>
  <c r="G31" i="138"/>
  <c r="F31" i="138"/>
  <c r="E31" i="138"/>
  <c r="J30" i="138"/>
  <c r="I30" i="138"/>
  <c r="H30" i="138"/>
  <c r="G30" i="138"/>
  <c r="F30" i="138"/>
  <c r="E30" i="138"/>
  <c r="J29" i="138"/>
  <c r="I29" i="138"/>
  <c r="H29" i="138"/>
  <c r="G29" i="138"/>
  <c r="F29" i="138"/>
  <c r="E29" i="138"/>
  <c r="J28" i="138"/>
  <c r="I28" i="138"/>
  <c r="H28" i="138"/>
  <c r="G28" i="138"/>
  <c r="F28" i="138"/>
  <c r="E28" i="138"/>
  <c r="J27" i="138"/>
  <c r="I27" i="138"/>
  <c r="H27" i="138"/>
  <c r="G27" i="138"/>
  <c r="F27" i="138"/>
  <c r="E27" i="138"/>
  <c r="J26" i="138"/>
  <c r="I26" i="138"/>
  <c r="H26" i="138"/>
  <c r="G26" i="138"/>
  <c r="F26" i="138"/>
  <c r="E26" i="138"/>
  <c r="J25" i="138"/>
  <c r="I25" i="138"/>
  <c r="H25" i="138"/>
  <c r="G25" i="138"/>
  <c r="F25" i="138"/>
  <c r="E25" i="138"/>
  <c r="J24" i="138"/>
  <c r="I24" i="138"/>
  <c r="H24" i="138"/>
  <c r="G24" i="138"/>
  <c r="F24" i="138"/>
  <c r="E24" i="138"/>
  <c r="J23" i="138"/>
  <c r="I23" i="138"/>
  <c r="H23" i="138"/>
  <c r="G23" i="138"/>
  <c r="F23" i="138"/>
  <c r="E23" i="138"/>
  <c r="J22" i="138"/>
  <c r="I22" i="138"/>
  <c r="H22" i="138"/>
  <c r="G22" i="138"/>
  <c r="F22" i="138"/>
  <c r="E22" i="138"/>
  <c r="J21" i="138"/>
  <c r="I21" i="138"/>
  <c r="H21" i="138"/>
  <c r="G21" i="138"/>
  <c r="F21" i="138"/>
  <c r="E21" i="138"/>
  <c r="J20" i="138"/>
  <c r="I20" i="138"/>
  <c r="H20" i="138"/>
  <c r="G20" i="138"/>
  <c r="F20" i="138"/>
  <c r="E20" i="138"/>
  <c r="J19" i="138"/>
  <c r="I19" i="138"/>
  <c r="H19" i="138"/>
  <c r="G19" i="138"/>
  <c r="F19" i="138"/>
  <c r="E19" i="138"/>
  <c r="J18" i="138"/>
  <c r="I18" i="138"/>
  <c r="H18" i="138"/>
  <c r="G18" i="138"/>
  <c r="F18" i="138"/>
  <c r="E18" i="138"/>
  <c r="J17" i="138"/>
  <c r="I17" i="138"/>
  <c r="H17" i="138"/>
  <c r="G17" i="138"/>
  <c r="F17" i="138"/>
  <c r="E17" i="138"/>
  <c r="J16" i="138"/>
  <c r="I16" i="138"/>
  <c r="H16" i="138"/>
  <c r="G16" i="138"/>
  <c r="F16" i="138"/>
  <c r="E16" i="138"/>
  <c r="J15" i="138"/>
  <c r="I15" i="138"/>
  <c r="H15" i="138"/>
  <c r="G15" i="138"/>
  <c r="F15" i="138"/>
  <c r="E15" i="138"/>
  <c r="E13" i="138"/>
  <c r="E12" i="138"/>
  <c r="F10" i="138"/>
  <c r="E10" i="138"/>
  <c r="H129" i="137"/>
  <c r="H128" i="137"/>
  <c r="H127" i="137"/>
  <c r="H126" i="137"/>
  <c r="H125" i="137"/>
  <c r="H124" i="137"/>
  <c r="H123" i="137"/>
  <c r="H122" i="137"/>
  <c r="H121" i="137"/>
  <c r="H120" i="137"/>
  <c r="H119" i="137"/>
  <c r="H118" i="137"/>
  <c r="H117" i="137"/>
  <c r="H116" i="137"/>
  <c r="H115" i="137"/>
  <c r="H114" i="137"/>
  <c r="I74" i="137"/>
  <c r="F74" i="137"/>
  <c r="I73" i="137"/>
  <c r="F73" i="137"/>
  <c r="I69" i="137"/>
  <c r="H69" i="137"/>
  <c r="K64" i="137"/>
  <c r="K63" i="137"/>
  <c r="K62" i="137"/>
  <c r="K61" i="137"/>
  <c r="K60" i="137"/>
  <c r="K59" i="137"/>
  <c r="K58" i="137"/>
  <c r="K57" i="137"/>
  <c r="K56" i="137"/>
  <c r="K55" i="137"/>
  <c r="K54" i="137"/>
  <c r="K53" i="137"/>
  <c r="K52" i="137"/>
  <c r="K51" i="137"/>
  <c r="K50" i="137"/>
  <c r="K49" i="137"/>
  <c r="K48" i="137"/>
  <c r="K47" i="137"/>
  <c r="K46" i="137"/>
  <c r="K45" i="137"/>
  <c r="K38" i="137"/>
  <c r="J31" i="137"/>
  <c r="I31" i="137"/>
  <c r="H31" i="137"/>
  <c r="G31" i="137"/>
  <c r="F31" i="137"/>
  <c r="E31" i="137"/>
  <c r="J30" i="137"/>
  <c r="I30" i="137"/>
  <c r="H30" i="137"/>
  <c r="G30" i="137"/>
  <c r="F30" i="137"/>
  <c r="E30" i="137"/>
  <c r="J29" i="137"/>
  <c r="I29" i="137"/>
  <c r="H29" i="137"/>
  <c r="G29" i="137"/>
  <c r="F29" i="137"/>
  <c r="E29" i="137"/>
  <c r="J28" i="137"/>
  <c r="I28" i="137"/>
  <c r="H28" i="137"/>
  <c r="G28" i="137"/>
  <c r="F28" i="137"/>
  <c r="E28" i="137"/>
  <c r="J27" i="137"/>
  <c r="I27" i="137"/>
  <c r="H27" i="137"/>
  <c r="G27" i="137"/>
  <c r="F27" i="137"/>
  <c r="E27" i="137"/>
  <c r="J26" i="137"/>
  <c r="I26" i="137"/>
  <c r="H26" i="137"/>
  <c r="G26" i="137"/>
  <c r="F26" i="137"/>
  <c r="E26" i="137"/>
  <c r="J25" i="137"/>
  <c r="I25" i="137"/>
  <c r="H25" i="137"/>
  <c r="G25" i="137"/>
  <c r="F25" i="137"/>
  <c r="E25" i="137"/>
  <c r="J24" i="137"/>
  <c r="I24" i="137"/>
  <c r="H24" i="137"/>
  <c r="G24" i="137"/>
  <c r="F24" i="137"/>
  <c r="E24" i="137"/>
  <c r="J23" i="137"/>
  <c r="I23" i="137"/>
  <c r="H23" i="137"/>
  <c r="G23" i="137"/>
  <c r="F23" i="137"/>
  <c r="E23" i="137"/>
  <c r="J22" i="137"/>
  <c r="I22" i="137"/>
  <c r="H22" i="137"/>
  <c r="G22" i="137"/>
  <c r="F22" i="137"/>
  <c r="E22" i="137"/>
  <c r="J21" i="137"/>
  <c r="I21" i="137"/>
  <c r="H21" i="137"/>
  <c r="G21" i="137"/>
  <c r="F21" i="137"/>
  <c r="E21" i="137"/>
  <c r="J20" i="137"/>
  <c r="I20" i="137"/>
  <c r="H20" i="137"/>
  <c r="G20" i="137"/>
  <c r="F20" i="137"/>
  <c r="E20" i="137"/>
  <c r="J19" i="137"/>
  <c r="I19" i="137"/>
  <c r="H19" i="137"/>
  <c r="G19" i="137"/>
  <c r="F19" i="137"/>
  <c r="E19" i="137"/>
  <c r="J18" i="137"/>
  <c r="I18" i="137"/>
  <c r="H18" i="137"/>
  <c r="G18" i="137"/>
  <c r="F18" i="137"/>
  <c r="E18" i="137"/>
  <c r="J17" i="137"/>
  <c r="I17" i="137"/>
  <c r="H17" i="137"/>
  <c r="G17" i="137"/>
  <c r="F17" i="137"/>
  <c r="E17" i="137"/>
  <c r="J16" i="137"/>
  <c r="I16" i="137"/>
  <c r="H16" i="137"/>
  <c r="G16" i="137"/>
  <c r="F16" i="137"/>
  <c r="E16" i="137"/>
  <c r="J15" i="137"/>
  <c r="I15" i="137"/>
  <c r="H15" i="137"/>
  <c r="G15" i="137"/>
  <c r="F15" i="137"/>
  <c r="E15" i="137"/>
  <c r="E14" i="137"/>
  <c r="E13" i="137"/>
  <c r="E12" i="137"/>
  <c r="F10" i="137"/>
  <c r="E10" i="137"/>
  <c r="K37" i="137" l="1"/>
  <c r="J38" i="138"/>
  <c r="K38" i="138" s="1"/>
  <c r="K73" i="137"/>
  <c r="K74" i="138"/>
  <c r="K31" i="137"/>
  <c r="K30" i="138"/>
  <c r="K17" i="137"/>
  <c r="K23" i="138"/>
  <c r="K27" i="138"/>
  <c r="K22" i="138"/>
  <c r="K26" i="138"/>
  <c r="K75" i="138"/>
  <c r="K31" i="138"/>
  <c r="E34" i="138"/>
  <c r="K18" i="138"/>
  <c r="K21" i="138"/>
  <c r="K16" i="138"/>
  <c r="K20" i="138"/>
  <c r="K25" i="138"/>
  <c r="K29" i="138"/>
  <c r="K24" i="138"/>
  <c r="K28" i="138"/>
  <c r="K15" i="138"/>
  <c r="K19" i="138"/>
  <c r="K32" i="138"/>
  <c r="K27" i="137"/>
  <c r="K19" i="137"/>
  <c r="K26" i="137"/>
  <c r="K25" i="137"/>
  <c r="K17" i="138"/>
  <c r="K15" i="137"/>
  <c r="K24" i="137"/>
  <c r="K28" i="137"/>
  <c r="K29" i="137"/>
  <c r="K16" i="137"/>
  <c r="K20" i="137"/>
  <c r="K23" i="137"/>
  <c r="K22" i="137"/>
  <c r="K30" i="137"/>
  <c r="K74" i="137"/>
  <c r="K18" i="137"/>
  <c r="K21" i="137"/>
  <c r="E33" i="137"/>
  <c r="E84" i="140"/>
  <c r="H28" i="148" l="1"/>
  <c r="E18" i="78"/>
  <c r="J37" i="1" l="1"/>
  <c r="E20" i="152" s="1"/>
  <c r="H7" i="1"/>
  <c r="E21" i="163" l="1"/>
  <c r="F21" i="163"/>
  <c r="F34" i="163" s="1"/>
  <c r="E20" i="161"/>
  <c r="F20" i="161"/>
  <c r="F33" i="161" s="1"/>
  <c r="F18" i="82"/>
  <c r="E18" i="82"/>
  <c r="E20" i="156"/>
  <c r="E20" i="157"/>
  <c r="E23" i="77"/>
  <c r="F20" i="157"/>
  <c r="F33" i="157" s="1"/>
  <c r="F23" i="77"/>
  <c r="F20" i="156"/>
  <c r="F33" i="156" s="1"/>
  <c r="P7" i="1"/>
  <c r="O7" i="1"/>
  <c r="Q7" i="1"/>
  <c r="F21" i="153"/>
  <c r="F33" i="153" s="1"/>
  <c r="E21" i="153"/>
  <c r="E24" i="125"/>
  <c r="E22" i="152"/>
  <c r="E34" i="152" s="1"/>
  <c r="F21" i="149"/>
  <c r="F33" i="149" s="1"/>
  <c r="E21" i="149"/>
  <c r="E33" i="149" s="1"/>
  <c r="F22" i="152"/>
  <c r="F34" i="152" s="1"/>
  <c r="F33" i="151"/>
  <c r="F19" i="150"/>
  <c r="F33" i="150" s="1"/>
  <c r="E19" i="150"/>
  <c r="E33" i="150" s="1"/>
  <c r="F20" i="141"/>
  <c r="E20" i="141"/>
  <c r="E33" i="141" s="1"/>
  <c r="E18" i="143"/>
  <c r="E33" i="143" s="1"/>
  <c r="E19" i="144"/>
  <c r="E33" i="144" s="1"/>
  <c r="E18" i="142"/>
  <c r="E33" i="142" s="1"/>
  <c r="E19" i="83"/>
  <c r="H21" i="151" l="1"/>
  <c r="H20" i="164"/>
  <c r="H33" i="164" s="1"/>
  <c r="H20" i="161"/>
  <c r="H21" i="163"/>
  <c r="H18" i="82"/>
  <c r="R7" i="1"/>
  <c r="S7" i="1"/>
  <c r="T7" i="1"/>
  <c r="H20" i="156"/>
  <c r="H20" i="157"/>
  <c r="H23" i="77"/>
  <c r="H22" i="153"/>
  <c r="H21" i="149"/>
  <c r="H33" i="149" s="1"/>
  <c r="H22" i="152"/>
  <c r="H34" i="152" s="1"/>
  <c r="H19" i="150"/>
  <c r="H33" i="150" s="1"/>
  <c r="H21" i="153"/>
  <c r="H20" i="141"/>
  <c r="H126" i="135"/>
  <c r="H125" i="135"/>
  <c r="H124" i="135"/>
  <c r="H123" i="135"/>
  <c r="H122" i="135"/>
  <c r="H121" i="135"/>
  <c r="H120" i="135"/>
  <c r="H119" i="135"/>
  <c r="H118" i="135"/>
  <c r="H117" i="135"/>
  <c r="H116" i="135"/>
  <c r="H115" i="135"/>
  <c r="H114" i="135"/>
  <c r="H113" i="135"/>
  <c r="H112" i="135"/>
  <c r="H111" i="135"/>
  <c r="I72" i="135"/>
  <c r="F72" i="135"/>
  <c r="I71" i="135"/>
  <c r="F71" i="135"/>
  <c r="K70" i="135"/>
  <c r="I67" i="135"/>
  <c r="H67" i="135"/>
  <c r="K62" i="135"/>
  <c r="K61" i="135"/>
  <c r="K60" i="135"/>
  <c r="K59" i="135"/>
  <c r="K58" i="135"/>
  <c r="K57" i="135"/>
  <c r="K56" i="135"/>
  <c r="E22" i="135"/>
  <c r="J21" i="135"/>
  <c r="H21" i="135"/>
  <c r="F21" i="135"/>
  <c r="E21" i="135"/>
  <c r="K20" i="135"/>
  <c r="J20" i="135"/>
  <c r="I20" i="135"/>
  <c r="H20" i="135"/>
  <c r="G20" i="135"/>
  <c r="F20" i="135"/>
  <c r="E20" i="135"/>
  <c r="F19" i="135"/>
  <c r="E17" i="135"/>
  <c r="E16" i="135"/>
  <c r="E15" i="135"/>
  <c r="E14" i="135"/>
  <c r="E13" i="135"/>
  <c r="E12" i="135"/>
  <c r="F10" i="135"/>
  <c r="E10" i="135"/>
  <c r="U7" i="1" l="1"/>
  <c r="K71" i="135"/>
  <c r="K72" i="135"/>
  <c r="G22" i="2"/>
  <c r="G10" i="2"/>
  <c r="J21" i="151" l="1"/>
  <c r="J20" i="164"/>
  <c r="J20" i="161"/>
  <c r="J21" i="163"/>
  <c r="J18" i="82"/>
  <c r="J23" i="77"/>
  <c r="J20" i="156"/>
  <c r="J20" i="157"/>
  <c r="J22" i="153"/>
  <c r="J21" i="153"/>
  <c r="J22" i="152"/>
  <c r="J34" i="152" s="1"/>
  <c r="J21" i="149"/>
  <c r="J33" i="149" s="1"/>
  <c r="J19" i="150"/>
  <c r="J33" i="150" s="1"/>
  <c r="J20" i="141"/>
  <c r="K55" i="108"/>
  <c r="K56" i="108"/>
  <c r="K57" i="108"/>
  <c r="H128" i="134" l="1"/>
  <c r="H127" i="134"/>
  <c r="H126" i="134"/>
  <c r="H125" i="134"/>
  <c r="H124" i="134"/>
  <c r="H123" i="134"/>
  <c r="H122" i="134"/>
  <c r="H121" i="134"/>
  <c r="H120" i="134"/>
  <c r="H119" i="134"/>
  <c r="H118" i="134"/>
  <c r="H117" i="134"/>
  <c r="H116" i="134"/>
  <c r="H115" i="134"/>
  <c r="H114" i="134"/>
  <c r="H113" i="134"/>
  <c r="I73" i="134"/>
  <c r="F73" i="134"/>
  <c r="I72" i="134"/>
  <c r="F72" i="134"/>
  <c r="K71" i="134"/>
  <c r="I68" i="134"/>
  <c r="H68" i="134"/>
  <c r="K62" i="134"/>
  <c r="K61" i="134"/>
  <c r="K60" i="134"/>
  <c r="K59" i="134"/>
  <c r="K58" i="134"/>
  <c r="K57" i="134"/>
  <c r="K56" i="134"/>
  <c r="K55" i="134"/>
  <c r="K54" i="134"/>
  <c r="K53" i="134"/>
  <c r="K52" i="134"/>
  <c r="J31" i="134"/>
  <c r="I31" i="134"/>
  <c r="H31" i="134"/>
  <c r="G31" i="134"/>
  <c r="F31" i="134"/>
  <c r="E31" i="134"/>
  <c r="J30" i="134"/>
  <c r="I30" i="134"/>
  <c r="H30" i="134"/>
  <c r="G30" i="134"/>
  <c r="F30" i="134"/>
  <c r="E30" i="134"/>
  <c r="J29" i="134"/>
  <c r="I29" i="134"/>
  <c r="H29" i="134"/>
  <c r="G29" i="134"/>
  <c r="F29" i="134"/>
  <c r="E29" i="134"/>
  <c r="J28" i="134"/>
  <c r="I28" i="134"/>
  <c r="H28" i="134"/>
  <c r="G28" i="134"/>
  <c r="F28" i="134"/>
  <c r="E28" i="134"/>
  <c r="J27" i="134"/>
  <c r="I27" i="134"/>
  <c r="H27" i="134"/>
  <c r="G27" i="134"/>
  <c r="F27" i="134"/>
  <c r="E27" i="134"/>
  <c r="J26" i="134"/>
  <c r="I26" i="134"/>
  <c r="H26" i="134"/>
  <c r="G26" i="134"/>
  <c r="F26" i="134"/>
  <c r="E26" i="134"/>
  <c r="J25" i="134"/>
  <c r="I25" i="134"/>
  <c r="H25" i="134"/>
  <c r="G25" i="134"/>
  <c r="F25" i="134"/>
  <c r="E25" i="134"/>
  <c r="J24" i="134"/>
  <c r="I24" i="134"/>
  <c r="H24" i="134"/>
  <c r="G24" i="134"/>
  <c r="F24" i="134"/>
  <c r="E24" i="134"/>
  <c r="J23" i="134"/>
  <c r="I23" i="134"/>
  <c r="H23" i="134"/>
  <c r="G23" i="134"/>
  <c r="F23" i="134"/>
  <c r="E23" i="134"/>
  <c r="J22" i="134"/>
  <c r="I22" i="134"/>
  <c r="H22" i="134"/>
  <c r="G22" i="134"/>
  <c r="F22" i="134"/>
  <c r="E22" i="134"/>
  <c r="J21" i="134"/>
  <c r="I21" i="134"/>
  <c r="H21" i="134"/>
  <c r="G21" i="134"/>
  <c r="F21" i="134"/>
  <c r="E21" i="134"/>
  <c r="J20" i="134"/>
  <c r="I20" i="134"/>
  <c r="H20" i="134"/>
  <c r="G20" i="134"/>
  <c r="F20" i="134"/>
  <c r="E20" i="134"/>
  <c r="J19" i="134"/>
  <c r="I19" i="134"/>
  <c r="H19" i="134"/>
  <c r="G19" i="134"/>
  <c r="F19" i="134"/>
  <c r="E19" i="134"/>
  <c r="J15" i="134"/>
  <c r="I15" i="134"/>
  <c r="H15" i="134"/>
  <c r="G15" i="134"/>
  <c r="F15" i="134"/>
  <c r="E15" i="134"/>
  <c r="K15" i="134" s="1"/>
  <c r="E14" i="134"/>
  <c r="E13" i="134"/>
  <c r="E12" i="134"/>
  <c r="F10" i="134"/>
  <c r="E10" i="134"/>
  <c r="H126" i="133"/>
  <c r="H125" i="133"/>
  <c r="H124" i="133"/>
  <c r="H123" i="133"/>
  <c r="H122" i="133"/>
  <c r="H121" i="133"/>
  <c r="H120" i="133"/>
  <c r="H119" i="133"/>
  <c r="H118" i="133"/>
  <c r="H117" i="133"/>
  <c r="H116" i="133"/>
  <c r="H115" i="133"/>
  <c r="H114" i="133"/>
  <c r="H113" i="133"/>
  <c r="H112" i="133"/>
  <c r="H111" i="133"/>
  <c r="I71" i="133"/>
  <c r="F71" i="133"/>
  <c r="I70" i="133"/>
  <c r="F70" i="133"/>
  <c r="I66" i="133"/>
  <c r="H66" i="133"/>
  <c r="K60" i="133"/>
  <c r="K59" i="133"/>
  <c r="K58" i="133"/>
  <c r="K57" i="133"/>
  <c r="K56" i="133"/>
  <c r="K55" i="133"/>
  <c r="K54" i="133"/>
  <c r="K53" i="133"/>
  <c r="K52" i="133"/>
  <c r="K51" i="133"/>
  <c r="K50" i="133"/>
  <c r="K49" i="133"/>
  <c r="K48" i="133"/>
  <c r="K47" i="133"/>
  <c r="K46" i="133"/>
  <c r="K45" i="133"/>
  <c r="K44" i="133"/>
  <c r="K43" i="133"/>
  <c r="K42" i="133"/>
  <c r="J31" i="133"/>
  <c r="I31" i="133"/>
  <c r="H31" i="133"/>
  <c r="G31" i="133"/>
  <c r="F31" i="133"/>
  <c r="E31" i="133"/>
  <c r="J30" i="133"/>
  <c r="I30" i="133"/>
  <c r="H30" i="133"/>
  <c r="G30" i="133"/>
  <c r="F30" i="133"/>
  <c r="E30" i="133"/>
  <c r="J29" i="133"/>
  <c r="I29" i="133"/>
  <c r="H29" i="133"/>
  <c r="G29" i="133"/>
  <c r="F29" i="133"/>
  <c r="E29" i="133"/>
  <c r="J28" i="133"/>
  <c r="I28" i="133"/>
  <c r="H28" i="133"/>
  <c r="G28" i="133"/>
  <c r="F28" i="133"/>
  <c r="E28" i="133"/>
  <c r="J27" i="133"/>
  <c r="I27" i="133"/>
  <c r="H27" i="133"/>
  <c r="G27" i="133"/>
  <c r="F27" i="133"/>
  <c r="E27" i="133"/>
  <c r="J26" i="133"/>
  <c r="I26" i="133"/>
  <c r="H26" i="133"/>
  <c r="G26" i="133"/>
  <c r="F26" i="133"/>
  <c r="E26" i="133"/>
  <c r="J25" i="133"/>
  <c r="I25" i="133"/>
  <c r="H25" i="133"/>
  <c r="G25" i="133"/>
  <c r="F25" i="133"/>
  <c r="E25" i="133"/>
  <c r="J24" i="133"/>
  <c r="I24" i="133"/>
  <c r="H24" i="133"/>
  <c r="G24" i="133"/>
  <c r="F24" i="133"/>
  <c r="E24" i="133"/>
  <c r="J23" i="133"/>
  <c r="I23" i="133"/>
  <c r="H23" i="133"/>
  <c r="G23" i="133"/>
  <c r="F23" i="133"/>
  <c r="E23" i="133"/>
  <c r="J22" i="133"/>
  <c r="I22" i="133"/>
  <c r="H22" i="133"/>
  <c r="G22" i="133"/>
  <c r="F22" i="133"/>
  <c r="E22" i="133"/>
  <c r="J21" i="133"/>
  <c r="I21" i="133"/>
  <c r="H21" i="133"/>
  <c r="G21" i="133"/>
  <c r="F21" i="133"/>
  <c r="E21" i="133"/>
  <c r="J20" i="133"/>
  <c r="I20" i="133"/>
  <c r="H20" i="133"/>
  <c r="G20" i="133"/>
  <c r="F20" i="133"/>
  <c r="E20" i="133"/>
  <c r="J19" i="133"/>
  <c r="I19" i="133"/>
  <c r="H19" i="133"/>
  <c r="G19" i="133"/>
  <c r="F19" i="133"/>
  <c r="E19" i="133"/>
  <c r="J18" i="133"/>
  <c r="I18" i="133"/>
  <c r="H18" i="133"/>
  <c r="G18" i="133"/>
  <c r="F18" i="133"/>
  <c r="E18" i="133"/>
  <c r="J17" i="133"/>
  <c r="I17" i="133"/>
  <c r="H17" i="133"/>
  <c r="G17" i="133"/>
  <c r="F17" i="133"/>
  <c r="E17" i="133"/>
  <c r="J16" i="133"/>
  <c r="I16" i="133"/>
  <c r="H16" i="133"/>
  <c r="G16" i="133"/>
  <c r="F16" i="133"/>
  <c r="E16" i="133"/>
  <c r="J15" i="133"/>
  <c r="I15" i="133"/>
  <c r="H15" i="133"/>
  <c r="G15" i="133"/>
  <c r="F15" i="133"/>
  <c r="E15" i="133"/>
  <c r="K15" i="133" s="1"/>
  <c r="E13" i="133"/>
  <c r="E12" i="133"/>
  <c r="F10" i="133"/>
  <c r="E10" i="133"/>
  <c r="H127" i="132"/>
  <c r="H126" i="132"/>
  <c r="H125" i="132"/>
  <c r="H124" i="132"/>
  <c r="H123" i="132"/>
  <c r="H122" i="132"/>
  <c r="H121" i="132"/>
  <c r="H120" i="132"/>
  <c r="H119" i="132"/>
  <c r="H118" i="132"/>
  <c r="H117" i="132"/>
  <c r="H116" i="132"/>
  <c r="H115" i="132"/>
  <c r="H114" i="132"/>
  <c r="H113" i="132"/>
  <c r="H112" i="132"/>
  <c r="I72" i="132"/>
  <c r="F72" i="132"/>
  <c r="I71" i="132"/>
  <c r="F71" i="132"/>
  <c r="I67" i="132"/>
  <c r="H67" i="132"/>
  <c r="K61" i="132"/>
  <c r="K60" i="132"/>
  <c r="K59" i="132"/>
  <c r="K58" i="132"/>
  <c r="K57" i="132"/>
  <c r="K56" i="132"/>
  <c r="K55" i="132"/>
  <c r="K54" i="132"/>
  <c r="K53" i="132"/>
  <c r="K52" i="132"/>
  <c r="K51" i="132"/>
  <c r="K50" i="132"/>
  <c r="K49" i="132"/>
  <c r="K48" i="132"/>
  <c r="K47" i="132"/>
  <c r="K46" i="132"/>
  <c r="J32" i="132"/>
  <c r="I32" i="132"/>
  <c r="H32" i="132"/>
  <c r="G32" i="132"/>
  <c r="F32" i="132"/>
  <c r="E32" i="132"/>
  <c r="J31" i="132"/>
  <c r="I31" i="132"/>
  <c r="H31" i="132"/>
  <c r="G31" i="132"/>
  <c r="F31" i="132"/>
  <c r="E31" i="132"/>
  <c r="J30" i="132"/>
  <c r="I30" i="132"/>
  <c r="H30" i="132"/>
  <c r="G30" i="132"/>
  <c r="F30" i="132"/>
  <c r="E30" i="132"/>
  <c r="J29" i="132"/>
  <c r="I29" i="132"/>
  <c r="H29" i="132"/>
  <c r="G29" i="132"/>
  <c r="F29" i="132"/>
  <c r="E29" i="132"/>
  <c r="J28" i="132"/>
  <c r="I28" i="132"/>
  <c r="H28" i="132"/>
  <c r="G28" i="132"/>
  <c r="F28" i="132"/>
  <c r="E28" i="132"/>
  <c r="J27" i="132"/>
  <c r="I27" i="132"/>
  <c r="H27" i="132"/>
  <c r="G27" i="132"/>
  <c r="F27" i="132"/>
  <c r="E27" i="132"/>
  <c r="J26" i="132"/>
  <c r="I26" i="132"/>
  <c r="H26" i="132"/>
  <c r="G26" i="132"/>
  <c r="F26" i="132"/>
  <c r="E26" i="132"/>
  <c r="J25" i="132"/>
  <c r="I25" i="132"/>
  <c r="H25" i="132"/>
  <c r="G25" i="132"/>
  <c r="F25" i="132"/>
  <c r="E25" i="132"/>
  <c r="J24" i="132"/>
  <c r="I24" i="132"/>
  <c r="H24" i="132"/>
  <c r="G24" i="132"/>
  <c r="F24" i="132"/>
  <c r="E24" i="132"/>
  <c r="J23" i="132"/>
  <c r="I23" i="132"/>
  <c r="H23" i="132"/>
  <c r="G23" i="132"/>
  <c r="F23" i="132"/>
  <c r="E23" i="132"/>
  <c r="J22" i="132"/>
  <c r="I22" i="132"/>
  <c r="H22" i="132"/>
  <c r="G22" i="132"/>
  <c r="F22" i="132"/>
  <c r="E22" i="132"/>
  <c r="J21" i="132"/>
  <c r="I21" i="132"/>
  <c r="H21" i="132"/>
  <c r="G21" i="132"/>
  <c r="F21" i="132"/>
  <c r="E21" i="132"/>
  <c r="J20" i="132"/>
  <c r="I20" i="132"/>
  <c r="H20" i="132"/>
  <c r="G20" i="132"/>
  <c r="F20" i="132"/>
  <c r="E20" i="132"/>
  <c r="J19" i="132"/>
  <c r="I19" i="132"/>
  <c r="H19" i="132"/>
  <c r="G19" i="132"/>
  <c r="F19" i="132"/>
  <c r="E19" i="132"/>
  <c r="E17" i="132"/>
  <c r="E15" i="132"/>
  <c r="E14" i="132"/>
  <c r="E13" i="132"/>
  <c r="E12" i="132"/>
  <c r="F10" i="132"/>
  <c r="E10" i="132"/>
  <c r="F15" i="131"/>
  <c r="H127" i="131"/>
  <c r="H126" i="131"/>
  <c r="H125" i="131"/>
  <c r="H124" i="131"/>
  <c r="H123" i="131"/>
  <c r="H122" i="131"/>
  <c r="H121" i="131"/>
  <c r="H120" i="131"/>
  <c r="H119" i="131"/>
  <c r="H118" i="131"/>
  <c r="H117" i="131"/>
  <c r="H116" i="131"/>
  <c r="H115" i="131"/>
  <c r="H114" i="131"/>
  <c r="H113" i="131"/>
  <c r="H112" i="131"/>
  <c r="I72" i="131"/>
  <c r="F72" i="131"/>
  <c r="I71" i="131"/>
  <c r="F71" i="131"/>
  <c r="I67" i="131"/>
  <c r="H67" i="131"/>
  <c r="K61" i="131"/>
  <c r="K60" i="131"/>
  <c r="K59" i="131"/>
  <c r="K58" i="131"/>
  <c r="K57" i="131"/>
  <c r="K56" i="131"/>
  <c r="K55" i="131"/>
  <c r="J31" i="131"/>
  <c r="I31" i="131"/>
  <c r="H31" i="131"/>
  <c r="G31" i="131"/>
  <c r="F31" i="131"/>
  <c r="E31" i="131"/>
  <c r="J30" i="131"/>
  <c r="I30" i="131"/>
  <c r="H30" i="131"/>
  <c r="G30" i="131"/>
  <c r="F30" i="131"/>
  <c r="E30" i="131"/>
  <c r="J29" i="131"/>
  <c r="I29" i="131"/>
  <c r="H29" i="131"/>
  <c r="G29" i="131"/>
  <c r="F29" i="131"/>
  <c r="E29" i="131"/>
  <c r="J28" i="131"/>
  <c r="I28" i="131"/>
  <c r="H28" i="131"/>
  <c r="G28" i="131"/>
  <c r="F28" i="131"/>
  <c r="E28" i="131"/>
  <c r="J27" i="131"/>
  <c r="I27" i="131"/>
  <c r="H27" i="131"/>
  <c r="G27" i="131"/>
  <c r="F27" i="131"/>
  <c r="E27" i="131"/>
  <c r="J26" i="131"/>
  <c r="I26" i="131"/>
  <c r="H26" i="131"/>
  <c r="G26" i="131"/>
  <c r="F26" i="131"/>
  <c r="E26" i="131"/>
  <c r="J25" i="131"/>
  <c r="I25" i="131"/>
  <c r="H25" i="131"/>
  <c r="G25" i="131"/>
  <c r="F25" i="131"/>
  <c r="E25" i="131"/>
  <c r="J24" i="131"/>
  <c r="I24" i="131"/>
  <c r="H24" i="131"/>
  <c r="G24" i="131"/>
  <c r="F24" i="131"/>
  <c r="E24" i="131"/>
  <c r="J23" i="131"/>
  <c r="I23" i="131"/>
  <c r="H23" i="131"/>
  <c r="G23" i="131"/>
  <c r="F23" i="131"/>
  <c r="E23" i="131"/>
  <c r="J22" i="131"/>
  <c r="I22" i="131"/>
  <c r="H22" i="131"/>
  <c r="G22" i="131"/>
  <c r="F22" i="131"/>
  <c r="E22" i="131"/>
  <c r="J21" i="131"/>
  <c r="I21" i="131"/>
  <c r="H21" i="131"/>
  <c r="G21" i="131"/>
  <c r="F21" i="131"/>
  <c r="E21" i="131"/>
  <c r="J20" i="131"/>
  <c r="I20" i="131"/>
  <c r="H20" i="131"/>
  <c r="G20" i="131"/>
  <c r="F20" i="131"/>
  <c r="E20" i="131"/>
  <c r="J19" i="131"/>
  <c r="I19" i="131"/>
  <c r="H19" i="131"/>
  <c r="G19" i="131"/>
  <c r="F19" i="131"/>
  <c r="E19" i="131"/>
  <c r="J17" i="131"/>
  <c r="I17" i="131"/>
  <c r="H17" i="131"/>
  <c r="G17" i="131"/>
  <c r="F17" i="131"/>
  <c r="E17" i="131"/>
  <c r="K17" i="131" s="1"/>
  <c r="J16" i="131"/>
  <c r="I16" i="131"/>
  <c r="H16" i="131"/>
  <c r="G16" i="131"/>
  <c r="F16" i="131"/>
  <c r="E16" i="131"/>
  <c r="E14" i="131"/>
  <c r="E13" i="131"/>
  <c r="E12" i="131"/>
  <c r="F10" i="131"/>
  <c r="E10" i="131"/>
  <c r="K72" i="134" l="1"/>
  <c r="K70" i="133"/>
  <c r="K73" i="134"/>
  <c r="K71" i="131"/>
  <c r="K71" i="132"/>
  <c r="K28" i="134"/>
  <c r="K22" i="134"/>
  <c r="K30" i="134"/>
  <c r="K25" i="134"/>
  <c r="K26" i="134"/>
  <c r="K24" i="134"/>
  <c r="K21" i="134"/>
  <c r="K23" i="134"/>
  <c r="K20" i="134"/>
  <c r="K29" i="134"/>
  <c r="K31" i="134"/>
  <c r="K19" i="134"/>
  <c r="K27" i="134"/>
  <c r="F16" i="134"/>
  <c r="K17" i="133"/>
  <c r="K25" i="133"/>
  <c r="K16" i="133"/>
  <c r="K21" i="133"/>
  <c r="K24" i="133"/>
  <c r="K29" i="133"/>
  <c r="K19" i="133"/>
  <c r="K23" i="133"/>
  <c r="K27" i="133"/>
  <c r="K31" i="133"/>
  <c r="K20" i="133"/>
  <c r="K18" i="133"/>
  <c r="K22" i="133"/>
  <c r="K28" i="133"/>
  <c r="K26" i="133"/>
  <c r="K30" i="133"/>
  <c r="K71" i="133"/>
  <c r="E33" i="133"/>
  <c r="K22" i="132"/>
  <c r="K26" i="132"/>
  <c r="K21" i="132"/>
  <c r="K30" i="132"/>
  <c r="K24" i="132"/>
  <c r="K29" i="132"/>
  <c r="K28" i="132"/>
  <c r="K32" i="132"/>
  <c r="K23" i="132"/>
  <c r="K25" i="132"/>
  <c r="K27" i="132"/>
  <c r="K31" i="132"/>
  <c r="K72" i="132"/>
  <c r="K20" i="132"/>
  <c r="K19" i="132"/>
  <c r="E34" i="132"/>
  <c r="K24" i="131"/>
  <c r="K31" i="131"/>
  <c r="K22" i="131"/>
  <c r="K23" i="131"/>
  <c r="K19" i="131"/>
  <c r="K28" i="131"/>
  <c r="K25" i="131"/>
  <c r="K21" i="131"/>
  <c r="K30" i="131"/>
  <c r="K20" i="131"/>
  <c r="K29" i="131"/>
  <c r="K27" i="131"/>
  <c r="K26" i="131"/>
  <c r="K16" i="131"/>
  <c r="E26" i="105"/>
  <c r="F26" i="105"/>
  <c r="G26" i="105"/>
  <c r="H26" i="105"/>
  <c r="I26" i="105"/>
  <c r="J26" i="105"/>
  <c r="E27" i="105"/>
  <c r="F27" i="105"/>
  <c r="G27" i="105"/>
  <c r="H27" i="105"/>
  <c r="I27" i="105"/>
  <c r="J27" i="105"/>
  <c r="E28" i="105"/>
  <c r="F28" i="105"/>
  <c r="G28" i="105"/>
  <c r="H28" i="105"/>
  <c r="I28" i="105"/>
  <c r="J28" i="105"/>
  <c r="E29" i="105"/>
  <c r="F29" i="105"/>
  <c r="G29" i="105"/>
  <c r="H29" i="105"/>
  <c r="I29" i="105"/>
  <c r="J29" i="105"/>
  <c r="E30" i="105"/>
  <c r="F30" i="105"/>
  <c r="G30" i="105"/>
  <c r="H30" i="105"/>
  <c r="I30" i="105"/>
  <c r="J30" i="105"/>
  <c r="E31" i="105"/>
  <c r="F31" i="105"/>
  <c r="G31" i="105"/>
  <c r="H31" i="105"/>
  <c r="I31" i="105"/>
  <c r="J31" i="105"/>
  <c r="K31" i="105" l="1"/>
  <c r="K30" i="105"/>
  <c r="K27" i="105"/>
  <c r="K28" i="105"/>
  <c r="K29" i="105"/>
  <c r="K26" i="105"/>
  <c r="H132" i="130" l="1"/>
  <c r="H131" i="130"/>
  <c r="H130" i="130"/>
  <c r="H129" i="130"/>
  <c r="H128" i="130"/>
  <c r="H127" i="130"/>
  <c r="H126" i="130"/>
  <c r="H125" i="130"/>
  <c r="H124" i="130"/>
  <c r="H123" i="130"/>
  <c r="H122" i="130"/>
  <c r="H121" i="130"/>
  <c r="H120" i="130"/>
  <c r="H119" i="130"/>
  <c r="H118" i="130"/>
  <c r="H117" i="130"/>
  <c r="I77" i="130"/>
  <c r="F77" i="130"/>
  <c r="I76" i="130"/>
  <c r="F76" i="130"/>
  <c r="K75" i="130"/>
  <c r="I72" i="130"/>
  <c r="H72" i="130"/>
  <c r="K67" i="130"/>
  <c r="K66" i="130"/>
  <c r="K65" i="130"/>
  <c r="K64" i="130"/>
  <c r="K63" i="130"/>
  <c r="K62" i="130"/>
  <c r="K61" i="130"/>
  <c r="K60" i="130"/>
  <c r="K59" i="130"/>
  <c r="K58" i="130"/>
  <c r="K57" i="130"/>
  <c r="J32" i="130"/>
  <c r="I32" i="130"/>
  <c r="H32" i="130"/>
  <c r="G32" i="130"/>
  <c r="F32" i="130"/>
  <c r="E32" i="130"/>
  <c r="J31" i="130"/>
  <c r="I31" i="130"/>
  <c r="H31" i="130"/>
  <c r="G31" i="130"/>
  <c r="F31" i="130"/>
  <c r="E31" i="130"/>
  <c r="J30" i="130"/>
  <c r="I30" i="130"/>
  <c r="H30" i="130"/>
  <c r="G30" i="130"/>
  <c r="F30" i="130"/>
  <c r="E30" i="130"/>
  <c r="J29" i="130"/>
  <c r="I29" i="130"/>
  <c r="H29" i="130"/>
  <c r="G29" i="130"/>
  <c r="F29" i="130"/>
  <c r="E29" i="130"/>
  <c r="J28" i="130"/>
  <c r="I28" i="130"/>
  <c r="H28" i="130"/>
  <c r="G28" i="130"/>
  <c r="F28" i="130"/>
  <c r="E28" i="130"/>
  <c r="E23" i="130"/>
  <c r="J22" i="130"/>
  <c r="I22" i="130"/>
  <c r="H22" i="130"/>
  <c r="G22" i="130"/>
  <c r="F22" i="130"/>
  <c r="E22" i="130"/>
  <c r="J21" i="130"/>
  <c r="I21" i="130"/>
  <c r="H21" i="130"/>
  <c r="G21" i="130"/>
  <c r="F21" i="130"/>
  <c r="E21" i="130"/>
  <c r="E19" i="130"/>
  <c r="J18" i="130"/>
  <c r="I18" i="130"/>
  <c r="H18" i="130"/>
  <c r="G18" i="130"/>
  <c r="F18" i="130"/>
  <c r="E18" i="130"/>
  <c r="E17" i="130"/>
  <c r="E15" i="130"/>
  <c r="E14" i="130"/>
  <c r="E13" i="130"/>
  <c r="E12" i="130"/>
  <c r="F10" i="130"/>
  <c r="E10" i="130"/>
  <c r="H130" i="129"/>
  <c r="H129" i="129"/>
  <c r="H128" i="129"/>
  <c r="H127" i="129"/>
  <c r="H126" i="129"/>
  <c r="H125" i="129"/>
  <c r="H124" i="129"/>
  <c r="H123" i="129"/>
  <c r="H122" i="129"/>
  <c r="H121" i="129"/>
  <c r="H120" i="129"/>
  <c r="H119" i="129"/>
  <c r="H118" i="129"/>
  <c r="H117" i="129"/>
  <c r="H116" i="129"/>
  <c r="H115" i="129"/>
  <c r="I75" i="129"/>
  <c r="F75" i="129"/>
  <c r="I74" i="129"/>
  <c r="F74" i="129"/>
  <c r="K73" i="129"/>
  <c r="I70" i="129"/>
  <c r="H70" i="129"/>
  <c r="K65" i="129"/>
  <c r="K64" i="129"/>
  <c r="K63" i="129"/>
  <c r="K62" i="129"/>
  <c r="K61" i="129"/>
  <c r="K60" i="129"/>
  <c r="K59" i="129"/>
  <c r="K58" i="129"/>
  <c r="K57" i="129"/>
  <c r="J31" i="129"/>
  <c r="I31" i="129"/>
  <c r="H31" i="129"/>
  <c r="G31" i="129"/>
  <c r="F31" i="129"/>
  <c r="E31" i="129"/>
  <c r="J30" i="129"/>
  <c r="I30" i="129"/>
  <c r="H30" i="129"/>
  <c r="G30" i="129"/>
  <c r="F30" i="129"/>
  <c r="E30" i="129"/>
  <c r="J29" i="129"/>
  <c r="I29" i="129"/>
  <c r="H29" i="129"/>
  <c r="G29" i="129"/>
  <c r="F29" i="129"/>
  <c r="E29" i="129"/>
  <c r="J28" i="129"/>
  <c r="I28" i="129"/>
  <c r="H28" i="129"/>
  <c r="G28" i="129"/>
  <c r="F28" i="129"/>
  <c r="E28" i="129"/>
  <c r="J27" i="129"/>
  <c r="I27" i="129"/>
  <c r="H27" i="129"/>
  <c r="G27" i="129"/>
  <c r="F27" i="129"/>
  <c r="E27" i="129"/>
  <c r="J26" i="129"/>
  <c r="I26" i="129"/>
  <c r="H26" i="129"/>
  <c r="G26" i="129"/>
  <c r="F26" i="129"/>
  <c r="E26" i="129"/>
  <c r="E21" i="129"/>
  <c r="J20" i="129"/>
  <c r="I20" i="129"/>
  <c r="H20" i="129"/>
  <c r="G20" i="129"/>
  <c r="F20" i="129"/>
  <c r="E20" i="129"/>
  <c r="J19" i="129"/>
  <c r="I19" i="129"/>
  <c r="H19" i="129"/>
  <c r="G19" i="129"/>
  <c r="F19" i="129"/>
  <c r="E19" i="129"/>
  <c r="J17" i="129"/>
  <c r="I17" i="129"/>
  <c r="H17" i="129"/>
  <c r="G17" i="129"/>
  <c r="F17" i="129"/>
  <c r="E17" i="129"/>
  <c r="E16" i="129"/>
  <c r="E15" i="129"/>
  <c r="J14" i="129"/>
  <c r="I14" i="129"/>
  <c r="H14" i="129"/>
  <c r="G14" i="129"/>
  <c r="F14" i="129"/>
  <c r="E14" i="129"/>
  <c r="E13" i="129"/>
  <c r="E12" i="129"/>
  <c r="F10" i="129"/>
  <c r="E10" i="129"/>
  <c r="H129" i="128"/>
  <c r="H128" i="128"/>
  <c r="H127" i="128"/>
  <c r="H126" i="128"/>
  <c r="H125" i="128"/>
  <c r="H124" i="128"/>
  <c r="H123" i="128"/>
  <c r="H122" i="128"/>
  <c r="H121" i="128"/>
  <c r="H120" i="128"/>
  <c r="H119" i="128"/>
  <c r="H118" i="128"/>
  <c r="H117" i="128"/>
  <c r="H116" i="128"/>
  <c r="H115" i="128"/>
  <c r="H114" i="128"/>
  <c r="I74" i="128"/>
  <c r="F74" i="128"/>
  <c r="I73" i="128"/>
  <c r="F73" i="128"/>
  <c r="K72" i="128"/>
  <c r="I69" i="128"/>
  <c r="H69" i="128"/>
  <c r="K64" i="128"/>
  <c r="K63" i="128"/>
  <c r="K62" i="128"/>
  <c r="K61" i="128"/>
  <c r="K60" i="128"/>
  <c r="K59" i="128"/>
  <c r="K58" i="128"/>
  <c r="J31" i="128"/>
  <c r="I31" i="128"/>
  <c r="H31" i="128"/>
  <c r="G31" i="128"/>
  <c r="F31" i="128"/>
  <c r="E31" i="128"/>
  <c r="J30" i="128"/>
  <c r="I30" i="128"/>
  <c r="H30" i="128"/>
  <c r="G30" i="128"/>
  <c r="F30" i="128"/>
  <c r="E30" i="128"/>
  <c r="J29" i="128"/>
  <c r="I29" i="128"/>
  <c r="H29" i="128"/>
  <c r="G29" i="128"/>
  <c r="F29" i="128"/>
  <c r="E29" i="128"/>
  <c r="E24" i="128"/>
  <c r="J23" i="128"/>
  <c r="I23" i="128"/>
  <c r="H23" i="128"/>
  <c r="G23" i="128"/>
  <c r="F23" i="128"/>
  <c r="E23" i="128"/>
  <c r="J22" i="128"/>
  <c r="I22" i="128"/>
  <c r="H22" i="128"/>
  <c r="G22" i="128"/>
  <c r="F22" i="128"/>
  <c r="E22" i="128"/>
  <c r="J20" i="128"/>
  <c r="I20" i="128"/>
  <c r="H20" i="128"/>
  <c r="G20" i="128"/>
  <c r="F20" i="128"/>
  <c r="E20" i="128"/>
  <c r="E19" i="128"/>
  <c r="E18" i="128"/>
  <c r="E17" i="128"/>
  <c r="E16" i="128"/>
  <c r="E15" i="128"/>
  <c r="J14" i="128"/>
  <c r="I14" i="128"/>
  <c r="H14" i="128"/>
  <c r="G14" i="128"/>
  <c r="F14" i="128"/>
  <c r="E14" i="128"/>
  <c r="E13" i="128"/>
  <c r="E12" i="128"/>
  <c r="F10" i="128"/>
  <c r="E10" i="128"/>
  <c r="H128" i="127"/>
  <c r="H127" i="127"/>
  <c r="H126" i="127"/>
  <c r="H125" i="127"/>
  <c r="H124" i="127"/>
  <c r="H123" i="127"/>
  <c r="H122" i="127"/>
  <c r="H121" i="127"/>
  <c r="H120" i="127"/>
  <c r="H119" i="127"/>
  <c r="H118" i="127"/>
  <c r="H117" i="127"/>
  <c r="H116" i="127"/>
  <c r="H115" i="127"/>
  <c r="H114" i="127"/>
  <c r="H113" i="127"/>
  <c r="I73" i="127"/>
  <c r="F73" i="127"/>
  <c r="I72" i="127"/>
  <c r="F72" i="127"/>
  <c r="K71" i="127"/>
  <c r="I68" i="127"/>
  <c r="H68" i="127"/>
  <c r="K63" i="127"/>
  <c r="K62" i="127"/>
  <c r="K61" i="127"/>
  <c r="K60" i="127"/>
  <c r="K59" i="127"/>
  <c r="K58" i="127"/>
  <c r="J31" i="127"/>
  <c r="I31" i="127"/>
  <c r="H31" i="127"/>
  <c r="G31" i="127"/>
  <c r="F31" i="127"/>
  <c r="E31" i="127"/>
  <c r="J30" i="127"/>
  <c r="I30" i="127"/>
  <c r="H30" i="127"/>
  <c r="G30" i="127"/>
  <c r="F30" i="127"/>
  <c r="E30" i="127"/>
  <c r="J29" i="127"/>
  <c r="I29" i="127"/>
  <c r="H29" i="127"/>
  <c r="G29" i="127"/>
  <c r="F29" i="127"/>
  <c r="E29" i="127"/>
  <c r="J28" i="127"/>
  <c r="I28" i="127"/>
  <c r="H28" i="127"/>
  <c r="G28" i="127"/>
  <c r="F28" i="127"/>
  <c r="E28" i="127"/>
  <c r="E23" i="127"/>
  <c r="J22" i="127"/>
  <c r="I22" i="127"/>
  <c r="H22" i="127"/>
  <c r="G22" i="127"/>
  <c r="F22" i="127"/>
  <c r="E22" i="127"/>
  <c r="J21" i="127"/>
  <c r="I21" i="127"/>
  <c r="H21" i="127"/>
  <c r="G21" i="127"/>
  <c r="F21" i="127"/>
  <c r="E21" i="127"/>
  <c r="J19" i="127"/>
  <c r="I19" i="127"/>
  <c r="H19" i="127"/>
  <c r="G19" i="127"/>
  <c r="F19" i="127"/>
  <c r="E19" i="127"/>
  <c r="E18" i="127"/>
  <c r="E17" i="127"/>
  <c r="E16" i="127"/>
  <c r="E15" i="127"/>
  <c r="J14" i="127"/>
  <c r="I14" i="127"/>
  <c r="H14" i="127"/>
  <c r="G14" i="127"/>
  <c r="F14" i="127"/>
  <c r="E14" i="127"/>
  <c r="E13" i="127"/>
  <c r="E12" i="127"/>
  <c r="F10" i="127"/>
  <c r="E10" i="127"/>
  <c r="K76" i="130" l="1"/>
  <c r="K74" i="128"/>
  <c r="K73" i="127"/>
  <c r="K73" i="128"/>
  <c r="K74" i="129"/>
  <c r="E21" i="128"/>
  <c r="E33" i="128" s="1"/>
  <c r="F21" i="128"/>
  <c r="K28" i="130"/>
  <c r="K32" i="130"/>
  <c r="E20" i="127"/>
  <c r="F20" i="127"/>
  <c r="K18" i="130"/>
  <c r="K22" i="130"/>
  <c r="K21" i="130"/>
  <c r="K77" i="130"/>
  <c r="K17" i="129"/>
  <c r="K30" i="130"/>
  <c r="K29" i="130"/>
  <c r="K31" i="130"/>
  <c r="K20" i="129"/>
  <c r="K30" i="128"/>
  <c r="K19" i="129"/>
  <c r="K28" i="129"/>
  <c r="K22" i="128"/>
  <c r="K14" i="129"/>
  <c r="K27" i="129"/>
  <c r="K29" i="129"/>
  <c r="K75" i="129"/>
  <c r="K14" i="128"/>
  <c r="K26" i="129"/>
  <c r="K30" i="129"/>
  <c r="K31" i="129"/>
  <c r="K23" i="128"/>
  <c r="K20" i="128"/>
  <c r="K29" i="128"/>
  <c r="K31" i="128"/>
  <c r="K14" i="127"/>
  <c r="K21" i="127"/>
  <c r="K22" i="127"/>
  <c r="K72" i="127"/>
  <c r="K29" i="127"/>
  <c r="K31" i="127"/>
  <c r="K28" i="127"/>
  <c r="K30" i="127"/>
  <c r="K19" i="127"/>
  <c r="J41" i="1"/>
  <c r="H41" i="1"/>
  <c r="H127" i="126"/>
  <c r="H126" i="126"/>
  <c r="H125" i="126"/>
  <c r="H124" i="126"/>
  <c r="H123" i="126"/>
  <c r="H122" i="126"/>
  <c r="H121" i="126"/>
  <c r="H120" i="126"/>
  <c r="H119" i="126"/>
  <c r="H118" i="126"/>
  <c r="H117" i="126"/>
  <c r="H116" i="126"/>
  <c r="H115" i="126"/>
  <c r="H114" i="126"/>
  <c r="H113" i="126"/>
  <c r="H112" i="126"/>
  <c r="I72" i="126"/>
  <c r="F72" i="126"/>
  <c r="I71" i="126"/>
  <c r="F71" i="126"/>
  <c r="K70" i="126"/>
  <c r="I67" i="126"/>
  <c r="H67" i="126"/>
  <c r="K62" i="126"/>
  <c r="K61" i="126"/>
  <c r="K60" i="126"/>
  <c r="K59" i="126"/>
  <c r="K58" i="126"/>
  <c r="K57" i="126"/>
  <c r="K56" i="126"/>
  <c r="J31" i="126"/>
  <c r="I31" i="126"/>
  <c r="H31" i="126"/>
  <c r="G31" i="126"/>
  <c r="F31" i="126"/>
  <c r="E31" i="126"/>
  <c r="J30" i="126"/>
  <c r="I30" i="126"/>
  <c r="H30" i="126"/>
  <c r="G30" i="126"/>
  <c r="F30" i="126"/>
  <c r="E30" i="126"/>
  <c r="J29" i="126"/>
  <c r="I29" i="126"/>
  <c r="H29" i="126"/>
  <c r="G29" i="126"/>
  <c r="F29" i="126"/>
  <c r="E29" i="126"/>
  <c r="J28" i="126"/>
  <c r="I28" i="126"/>
  <c r="H28" i="126"/>
  <c r="G28" i="126"/>
  <c r="F28" i="126"/>
  <c r="E28" i="126"/>
  <c r="J27" i="126"/>
  <c r="I27" i="126"/>
  <c r="H27" i="126"/>
  <c r="G27" i="126"/>
  <c r="F27" i="126"/>
  <c r="E27" i="126"/>
  <c r="J26" i="126"/>
  <c r="I26" i="126"/>
  <c r="H26" i="126"/>
  <c r="G26" i="126"/>
  <c r="F26" i="126"/>
  <c r="E26" i="126"/>
  <c r="J25" i="126"/>
  <c r="I25" i="126"/>
  <c r="H25" i="126"/>
  <c r="G25" i="126"/>
  <c r="F25" i="126"/>
  <c r="E25" i="126"/>
  <c r="E24" i="126"/>
  <c r="F23" i="126"/>
  <c r="E23" i="126"/>
  <c r="E22" i="126"/>
  <c r="F20" i="126"/>
  <c r="F19" i="126"/>
  <c r="E19" i="126"/>
  <c r="J18" i="126"/>
  <c r="I18" i="126"/>
  <c r="H18" i="126"/>
  <c r="G18" i="126"/>
  <c r="F18" i="126"/>
  <c r="E18" i="126"/>
  <c r="K18" i="126" s="1"/>
  <c r="I17" i="126"/>
  <c r="G17" i="126"/>
  <c r="F17" i="126"/>
  <c r="E17" i="126"/>
  <c r="E16" i="126"/>
  <c r="E15" i="126"/>
  <c r="E14" i="126"/>
  <c r="E13" i="126"/>
  <c r="E12" i="126"/>
  <c r="F10" i="126"/>
  <c r="E10" i="126"/>
  <c r="H131" i="125"/>
  <c r="H130" i="125"/>
  <c r="H129" i="125"/>
  <c r="H128" i="125"/>
  <c r="H127" i="125"/>
  <c r="H126" i="125"/>
  <c r="H125" i="125"/>
  <c r="H124" i="125"/>
  <c r="H123" i="125"/>
  <c r="H122" i="125"/>
  <c r="H121" i="125"/>
  <c r="H120" i="125"/>
  <c r="H119" i="125"/>
  <c r="H118" i="125"/>
  <c r="H117" i="125"/>
  <c r="H116" i="125"/>
  <c r="I76" i="125"/>
  <c r="F76" i="125"/>
  <c r="I75" i="125"/>
  <c r="F75" i="125"/>
  <c r="I71" i="125"/>
  <c r="H71" i="125"/>
  <c r="K66" i="125"/>
  <c r="K65" i="125"/>
  <c r="K64" i="125"/>
  <c r="K63" i="125"/>
  <c r="K62" i="125"/>
  <c r="K61" i="125"/>
  <c r="K60" i="125"/>
  <c r="K59" i="125"/>
  <c r="K58" i="125"/>
  <c r="K57" i="125"/>
  <c r="K56" i="125"/>
  <c r="J32" i="125"/>
  <c r="I32" i="125"/>
  <c r="H32" i="125"/>
  <c r="G32" i="125"/>
  <c r="F32" i="125"/>
  <c r="E32" i="125"/>
  <c r="J31" i="125"/>
  <c r="I31" i="125"/>
  <c r="H31" i="125"/>
  <c r="G31" i="125"/>
  <c r="F31" i="125"/>
  <c r="E31" i="125"/>
  <c r="J30" i="125"/>
  <c r="I30" i="125"/>
  <c r="H30" i="125"/>
  <c r="G30" i="125"/>
  <c r="F30" i="125"/>
  <c r="E30" i="125"/>
  <c r="J29" i="125"/>
  <c r="I29" i="125"/>
  <c r="H29" i="125"/>
  <c r="G29" i="125"/>
  <c r="F29" i="125"/>
  <c r="E29" i="125"/>
  <c r="J28" i="125"/>
  <c r="I28" i="125"/>
  <c r="H28" i="125"/>
  <c r="G28" i="125"/>
  <c r="F28" i="125"/>
  <c r="F27" i="125"/>
  <c r="F25" i="125"/>
  <c r="F24" i="125"/>
  <c r="F21" i="125"/>
  <c r="E21" i="125"/>
  <c r="F20" i="125"/>
  <c r="E20" i="125"/>
  <c r="E18" i="125"/>
  <c r="E17" i="125"/>
  <c r="E16" i="125"/>
  <c r="E15" i="125"/>
  <c r="E14" i="125"/>
  <c r="E13" i="125"/>
  <c r="E12" i="125"/>
  <c r="F10" i="125"/>
  <c r="E10" i="125"/>
  <c r="G15" i="124"/>
  <c r="H126" i="124"/>
  <c r="H125" i="124"/>
  <c r="H124" i="124"/>
  <c r="H123" i="124"/>
  <c r="H122" i="124"/>
  <c r="H121" i="124"/>
  <c r="H120" i="124"/>
  <c r="H119" i="124"/>
  <c r="H118" i="124"/>
  <c r="H117" i="124"/>
  <c r="H116" i="124"/>
  <c r="H115" i="124"/>
  <c r="H114" i="124"/>
  <c r="H113" i="124"/>
  <c r="H112" i="124"/>
  <c r="H111" i="124"/>
  <c r="I71" i="124"/>
  <c r="F71" i="124"/>
  <c r="I70" i="124"/>
  <c r="F70" i="124"/>
  <c r="I66" i="124"/>
  <c r="H66" i="124"/>
  <c r="K61" i="124"/>
  <c r="K60" i="124"/>
  <c r="K59" i="124"/>
  <c r="K58" i="124"/>
  <c r="K57" i="124"/>
  <c r="K56" i="124"/>
  <c r="K55" i="124"/>
  <c r="K54" i="124"/>
  <c r="K53" i="124"/>
  <c r="K52" i="124"/>
  <c r="K51" i="124"/>
  <c r="K50" i="124"/>
  <c r="K49" i="124"/>
  <c r="K48" i="124"/>
  <c r="K47" i="124"/>
  <c r="K46" i="124"/>
  <c r="K45" i="124"/>
  <c r="K44" i="124"/>
  <c r="J31" i="124"/>
  <c r="I31" i="124"/>
  <c r="H31" i="124"/>
  <c r="G31" i="124"/>
  <c r="F31" i="124"/>
  <c r="E31" i="124"/>
  <c r="J30" i="124"/>
  <c r="I30" i="124"/>
  <c r="H30" i="124"/>
  <c r="G30" i="124"/>
  <c r="F30" i="124"/>
  <c r="E30" i="124"/>
  <c r="J29" i="124"/>
  <c r="I29" i="124"/>
  <c r="H29" i="124"/>
  <c r="G29" i="124"/>
  <c r="F29" i="124"/>
  <c r="E29" i="124"/>
  <c r="J28" i="124"/>
  <c r="I28" i="124"/>
  <c r="H28" i="124"/>
  <c r="G28" i="124"/>
  <c r="F28" i="124"/>
  <c r="E28" i="124"/>
  <c r="J27" i="124"/>
  <c r="I27" i="124"/>
  <c r="H27" i="124"/>
  <c r="G27" i="124"/>
  <c r="F27" i="124"/>
  <c r="E27" i="124"/>
  <c r="J26" i="124"/>
  <c r="I26" i="124"/>
  <c r="H26" i="124"/>
  <c r="G26" i="124"/>
  <c r="F26" i="124"/>
  <c r="E26" i="124"/>
  <c r="J25" i="124"/>
  <c r="I25" i="124"/>
  <c r="H25" i="124"/>
  <c r="G25" i="124"/>
  <c r="F25" i="124"/>
  <c r="E25" i="124"/>
  <c r="J24" i="124"/>
  <c r="I24" i="124"/>
  <c r="H24" i="124"/>
  <c r="G24" i="124"/>
  <c r="F24" i="124"/>
  <c r="E24" i="124"/>
  <c r="J23" i="124"/>
  <c r="I23" i="124"/>
  <c r="H23" i="124"/>
  <c r="G23" i="124"/>
  <c r="F23" i="124"/>
  <c r="E23" i="124"/>
  <c r="J22" i="124"/>
  <c r="I22" i="124"/>
  <c r="H22" i="124"/>
  <c r="G22" i="124"/>
  <c r="F22" i="124"/>
  <c r="E22" i="124"/>
  <c r="J21" i="124"/>
  <c r="I21" i="124"/>
  <c r="H21" i="124"/>
  <c r="G21" i="124"/>
  <c r="F21" i="124"/>
  <c r="E21" i="124"/>
  <c r="E20" i="124"/>
  <c r="E19" i="124"/>
  <c r="J15" i="124"/>
  <c r="I15" i="124"/>
  <c r="H15" i="124"/>
  <c r="E13" i="124"/>
  <c r="E12" i="124"/>
  <c r="F10" i="124"/>
  <c r="E10" i="124"/>
  <c r="F16" i="80"/>
  <c r="E23" i="80"/>
  <c r="K22" i="80"/>
  <c r="J22" i="80"/>
  <c r="I22" i="80"/>
  <c r="H22" i="80"/>
  <c r="G22" i="80"/>
  <c r="F22" i="80"/>
  <c r="E22" i="80"/>
  <c r="E20" i="80"/>
  <c r="K19" i="80"/>
  <c r="J19" i="80"/>
  <c r="I19" i="80"/>
  <c r="H19" i="80"/>
  <c r="G19" i="80"/>
  <c r="F19" i="80"/>
  <c r="E19" i="80"/>
  <c r="K18" i="80"/>
  <c r="J18" i="80"/>
  <c r="I18" i="80"/>
  <c r="H18" i="80"/>
  <c r="G18" i="80"/>
  <c r="F18" i="80"/>
  <c r="E18" i="80"/>
  <c r="E17" i="80"/>
  <c r="E19" i="163" l="1"/>
  <c r="E34" i="163" s="1"/>
  <c r="E18" i="161"/>
  <c r="E33" i="161" s="1"/>
  <c r="O41" i="1"/>
  <c r="Q41" i="1"/>
  <c r="P41" i="1"/>
  <c r="E21" i="77"/>
  <c r="E15" i="156"/>
  <c r="E33" i="156" s="1"/>
  <c r="E15" i="157"/>
  <c r="E33" i="157" s="1"/>
  <c r="E20" i="126"/>
  <c r="E19" i="153"/>
  <c r="E33" i="153" s="1"/>
  <c r="E17" i="134"/>
  <c r="K76" i="125"/>
  <c r="K70" i="124"/>
  <c r="K72" i="126"/>
  <c r="K71" i="124"/>
  <c r="E16" i="134"/>
  <c r="E15" i="131"/>
  <c r="E33" i="131" s="1"/>
  <c r="K71" i="126"/>
  <c r="E33" i="127"/>
  <c r="E16" i="124"/>
  <c r="E17" i="124"/>
  <c r="K28" i="126"/>
  <c r="K25" i="126"/>
  <c r="K27" i="126"/>
  <c r="K26" i="126"/>
  <c r="K31" i="126"/>
  <c r="K30" i="126"/>
  <c r="K29" i="126"/>
  <c r="K32" i="125"/>
  <c r="K75" i="125"/>
  <c r="K31" i="125"/>
  <c r="K28" i="125"/>
  <c r="K30" i="125"/>
  <c r="K29" i="125"/>
  <c r="K27" i="124"/>
  <c r="K25" i="124"/>
  <c r="K28" i="124"/>
  <c r="K30" i="124"/>
  <c r="K21" i="124"/>
  <c r="K29" i="124"/>
  <c r="K24" i="124"/>
  <c r="K23" i="124"/>
  <c r="K22" i="124"/>
  <c r="K26" i="124"/>
  <c r="K31" i="124"/>
  <c r="E14" i="124"/>
  <c r="H39" i="124"/>
  <c r="H38" i="124"/>
  <c r="F18" i="124"/>
  <c r="E15" i="124"/>
  <c r="F15" i="124"/>
  <c r="K15" i="124"/>
  <c r="J39" i="1"/>
  <c r="E19" i="151" s="1"/>
  <c r="E33" i="151" s="1"/>
  <c r="H39" i="1"/>
  <c r="R41" i="1" l="1"/>
  <c r="H33" i="161"/>
  <c r="H34" i="163"/>
  <c r="H33" i="153"/>
  <c r="S41" i="1"/>
  <c r="H33" i="157"/>
  <c r="H33" i="156"/>
  <c r="O39" i="1"/>
  <c r="H33" i="151" s="1"/>
  <c r="P39" i="1"/>
  <c r="S39" i="1" s="1"/>
  <c r="Q39" i="1"/>
  <c r="T41" i="1"/>
  <c r="E33" i="126"/>
  <c r="E33" i="134"/>
  <c r="H48" i="2"/>
  <c r="H108" i="2"/>
  <c r="H155" i="2"/>
  <c r="H101" i="2"/>
  <c r="H143" i="2"/>
  <c r="J40" i="153" s="1"/>
  <c r="K40" i="153" s="1"/>
  <c r="H158" i="2"/>
  <c r="J54" i="80"/>
  <c r="U41" i="1" l="1"/>
  <c r="R39" i="1"/>
  <c r="T39" i="1"/>
  <c r="J41" i="158"/>
  <c r="K41" i="158" s="1"/>
  <c r="J50" i="98"/>
  <c r="K50" i="98" s="1"/>
  <c r="J50" i="158"/>
  <c r="K50" i="158" s="1"/>
  <c r="J51" i="95"/>
  <c r="K51" i="95" s="1"/>
  <c r="J41" i="97"/>
  <c r="J48" i="71"/>
  <c r="J38" i="133"/>
  <c r="K38" i="133" s="1"/>
  <c r="J37" i="133"/>
  <c r="K37" i="133" s="1"/>
  <c r="E20" i="78"/>
  <c r="E21" i="78"/>
  <c r="E20" i="76"/>
  <c r="I73" i="123"/>
  <c r="F73" i="123"/>
  <c r="I72" i="123"/>
  <c r="F72" i="123"/>
  <c r="I68" i="123"/>
  <c r="H68" i="123"/>
  <c r="K63" i="123"/>
  <c r="K62" i="123"/>
  <c r="K61" i="123"/>
  <c r="K60" i="123"/>
  <c r="K59" i="123"/>
  <c r="K58" i="123"/>
  <c r="K57" i="123"/>
  <c r="K56" i="123"/>
  <c r="K55" i="123"/>
  <c r="K54" i="123"/>
  <c r="K53" i="123"/>
  <c r="K52" i="123"/>
  <c r="K51" i="123"/>
  <c r="K50" i="123"/>
  <c r="K49" i="123"/>
  <c r="K48" i="123"/>
  <c r="K47" i="123"/>
  <c r="K46" i="123"/>
  <c r="J31" i="123"/>
  <c r="I31" i="123"/>
  <c r="H31" i="123"/>
  <c r="G31" i="123"/>
  <c r="F31" i="123"/>
  <c r="E31" i="123"/>
  <c r="J30" i="123"/>
  <c r="I30" i="123"/>
  <c r="H30" i="123"/>
  <c r="G30" i="123"/>
  <c r="F30" i="123"/>
  <c r="E30" i="123"/>
  <c r="J29" i="123"/>
  <c r="I29" i="123"/>
  <c r="H29" i="123"/>
  <c r="G29" i="123"/>
  <c r="F29" i="123"/>
  <c r="E29" i="123"/>
  <c r="J28" i="123"/>
  <c r="I28" i="123"/>
  <c r="H28" i="123"/>
  <c r="G28" i="123"/>
  <c r="F28" i="123"/>
  <c r="E28" i="123"/>
  <c r="J27" i="123"/>
  <c r="I27" i="123"/>
  <c r="H27" i="123"/>
  <c r="G27" i="123"/>
  <c r="F27" i="123"/>
  <c r="E27" i="123"/>
  <c r="J26" i="123"/>
  <c r="I26" i="123"/>
  <c r="H26" i="123"/>
  <c r="G26" i="123"/>
  <c r="F26" i="123"/>
  <c r="E26" i="123"/>
  <c r="J25" i="123"/>
  <c r="I25" i="123"/>
  <c r="H25" i="123"/>
  <c r="G25" i="123"/>
  <c r="F25" i="123"/>
  <c r="E25" i="123"/>
  <c r="J24" i="123"/>
  <c r="I24" i="123"/>
  <c r="H24" i="123"/>
  <c r="G24" i="123"/>
  <c r="F24" i="123"/>
  <c r="E24" i="123"/>
  <c r="J23" i="123"/>
  <c r="I23" i="123"/>
  <c r="H23" i="123"/>
  <c r="G23" i="123"/>
  <c r="F23" i="123"/>
  <c r="E23" i="123"/>
  <c r="J22" i="123"/>
  <c r="I22" i="123"/>
  <c r="H22" i="123"/>
  <c r="G22" i="123"/>
  <c r="F22" i="123"/>
  <c r="E22" i="123"/>
  <c r="E21" i="123"/>
  <c r="E20" i="123"/>
  <c r="E18" i="123"/>
  <c r="K17" i="123"/>
  <c r="J17" i="123"/>
  <c r="I17" i="123"/>
  <c r="H17" i="123"/>
  <c r="G17" i="123"/>
  <c r="F17" i="123"/>
  <c r="E17" i="123"/>
  <c r="J16" i="123"/>
  <c r="H16" i="123"/>
  <c r="F16" i="123"/>
  <c r="E16" i="123"/>
  <c r="E15" i="123"/>
  <c r="E14" i="123"/>
  <c r="E13" i="123"/>
  <c r="E12" i="123"/>
  <c r="F10" i="123"/>
  <c r="E10" i="123"/>
  <c r="I72" i="122"/>
  <c r="F72" i="122"/>
  <c r="I71" i="122"/>
  <c r="F71" i="122"/>
  <c r="I67" i="122"/>
  <c r="H67" i="122"/>
  <c r="K62" i="122"/>
  <c r="K61" i="122"/>
  <c r="K60" i="122"/>
  <c r="K59" i="122"/>
  <c r="K58" i="122"/>
  <c r="K57" i="122"/>
  <c r="K56" i="122"/>
  <c r="K55" i="122"/>
  <c r="K54" i="122"/>
  <c r="K53" i="122"/>
  <c r="K52" i="122"/>
  <c r="K51" i="122"/>
  <c r="K50" i="122"/>
  <c r="K49" i="122"/>
  <c r="K48" i="122"/>
  <c r="K47" i="122"/>
  <c r="K46" i="122"/>
  <c r="J31" i="122"/>
  <c r="I31" i="122"/>
  <c r="H31" i="122"/>
  <c r="G31" i="122"/>
  <c r="F31" i="122"/>
  <c r="E31" i="122"/>
  <c r="J30" i="122"/>
  <c r="I30" i="122"/>
  <c r="H30" i="122"/>
  <c r="G30" i="122"/>
  <c r="F30" i="122"/>
  <c r="E30" i="122"/>
  <c r="J29" i="122"/>
  <c r="I29" i="122"/>
  <c r="H29" i="122"/>
  <c r="G29" i="122"/>
  <c r="F29" i="122"/>
  <c r="E29" i="122"/>
  <c r="J28" i="122"/>
  <c r="I28" i="122"/>
  <c r="H28" i="122"/>
  <c r="G28" i="122"/>
  <c r="F28" i="122"/>
  <c r="E28" i="122"/>
  <c r="J27" i="122"/>
  <c r="I27" i="122"/>
  <c r="H27" i="122"/>
  <c r="G27" i="122"/>
  <c r="F27" i="122"/>
  <c r="E27" i="122"/>
  <c r="J26" i="122"/>
  <c r="I26" i="122"/>
  <c r="H26" i="122"/>
  <c r="G26" i="122"/>
  <c r="F26" i="122"/>
  <c r="E26" i="122"/>
  <c r="J25" i="122"/>
  <c r="I25" i="122"/>
  <c r="H25" i="122"/>
  <c r="G25" i="122"/>
  <c r="F25" i="122"/>
  <c r="E25" i="122"/>
  <c r="J24" i="122"/>
  <c r="I24" i="122"/>
  <c r="H24" i="122"/>
  <c r="G24" i="122"/>
  <c r="F24" i="122"/>
  <c r="E24" i="122"/>
  <c r="J23" i="122"/>
  <c r="I23" i="122"/>
  <c r="H23" i="122"/>
  <c r="G23" i="122"/>
  <c r="F23" i="122"/>
  <c r="E23" i="122"/>
  <c r="E22" i="122"/>
  <c r="E21" i="122"/>
  <c r="K17" i="122"/>
  <c r="J17" i="122"/>
  <c r="I17" i="122"/>
  <c r="H17" i="122"/>
  <c r="G17" i="122"/>
  <c r="F17" i="122"/>
  <c r="E17" i="122"/>
  <c r="E15" i="122"/>
  <c r="E14" i="122"/>
  <c r="E13" i="122"/>
  <c r="E12" i="122"/>
  <c r="F10" i="122"/>
  <c r="E10" i="122"/>
  <c r="I72" i="121"/>
  <c r="F72" i="121"/>
  <c r="I71" i="121"/>
  <c r="F71" i="121"/>
  <c r="I67" i="121"/>
  <c r="H67" i="121"/>
  <c r="K62" i="121"/>
  <c r="K61" i="121"/>
  <c r="K60" i="121"/>
  <c r="K59" i="121"/>
  <c r="K58" i="121"/>
  <c r="K57" i="121"/>
  <c r="K56" i="121"/>
  <c r="K55" i="121"/>
  <c r="K54" i="121"/>
  <c r="K53" i="121"/>
  <c r="K52" i="121"/>
  <c r="K51" i="121"/>
  <c r="K50" i="121"/>
  <c r="K49" i="121"/>
  <c r="K48" i="121"/>
  <c r="K47" i="121"/>
  <c r="K46" i="121"/>
  <c r="J31" i="121"/>
  <c r="I31" i="121"/>
  <c r="H31" i="121"/>
  <c r="G31" i="121"/>
  <c r="F31" i="121"/>
  <c r="E31" i="121"/>
  <c r="J30" i="121"/>
  <c r="I30" i="121"/>
  <c r="H30" i="121"/>
  <c r="G30" i="121"/>
  <c r="F30" i="121"/>
  <c r="E30" i="121"/>
  <c r="J29" i="121"/>
  <c r="I29" i="121"/>
  <c r="H29" i="121"/>
  <c r="G29" i="121"/>
  <c r="F29" i="121"/>
  <c r="E29" i="121"/>
  <c r="J28" i="121"/>
  <c r="I28" i="121"/>
  <c r="H28" i="121"/>
  <c r="G28" i="121"/>
  <c r="F28" i="121"/>
  <c r="E28" i="121"/>
  <c r="J27" i="121"/>
  <c r="I27" i="121"/>
  <c r="H27" i="121"/>
  <c r="G27" i="121"/>
  <c r="F27" i="121"/>
  <c r="E27" i="121"/>
  <c r="J26" i="121"/>
  <c r="I26" i="121"/>
  <c r="H26" i="121"/>
  <c r="G26" i="121"/>
  <c r="F26" i="121"/>
  <c r="E26" i="121"/>
  <c r="J25" i="121"/>
  <c r="I25" i="121"/>
  <c r="H25" i="121"/>
  <c r="G25" i="121"/>
  <c r="F25" i="121"/>
  <c r="E25" i="121"/>
  <c r="J24" i="121"/>
  <c r="I24" i="121"/>
  <c r="H24" i="121"/>
  <c r="G24" i="121"/>
  <c r="F24" i="121"/>
  <c r="E24" i="121"/>
  <c r="E23" i="121"/>
  <c r="E20" i="121"/>
  <c r="E19" i="121"/>
  <c r="E16" i="121"/>
  <c r="E15" i="121"/>
  <c r="E14" i="121"/>
  <c r="E13" i="121"/>
  <c r="E12" i="121"/>
  <c r="F10" i="121"/>
  <c r="E10" i="121"/>
  <c r="I72" i="120"/>
  <c r="F72" i="120"/>
  <c r="I71" i="120"/>
  <c r="F71" i="120"/>
  <c r="I67" i="120"/>
  <c r="H67" i="120"/>
  <c r="K62" i="120"/>
  <c r="K61" i="120"/>
  <c r="K60" i="120"/>
  <c r="K59" i="120"/>
  <c r="K58" i="120"/>
  <c r="K57" i="120"/>
  <c r="K56" i="120"/>
  <c r="K55" i="120"/>
  <c r="K54" i="120"/>
  <c r="K53" i="120"/>
  <c r="K52" i="120"/>
  <c r="K51" i="120"/>
  <c r="K50" i="120"/>
  <c r="K49" i="120"/>
  <c r="K48" i="120"/>
  <c r="K47" i="120"/>
  <c r="K46" i="120"/>
  <c r="K45" i="120"/>
  <c r="J31" i="120"/>
  <c r="I31" i="120"/>
  <c r="H31" i="120"/>
  <c r="G31" i="120"/>
  <c r="F31" i="120"/>
  <c r="E31" i="120"/>
  <c r="J30" i="120"/>
  <c r="I30" i="120"/>
  <c r="H30" i="120"/>
  <c r="G30" i="120"/>
  <c r="F30" i="120"/>
  <c r="E30" i="120"/>
  <c r="J29" i="120"/>
  <c r="I29" i="120"/>
  <c r="H29" i="120"/>
  <c r="G29" i="120"/>
  <c r="F29" i="120"/>
  <c r="E29" i="120"/>
  <c r="J28" i="120"/>
  <c r="I28" i="120"/>
  <c r="H28" i="120"/>
  <c r="G28" i="120"/>
  <c r="F28" i="120"/>
  <c r="E28" i="120"/>
  <c r="J27" i="120"/>
  <c r="I27" i="120"/>
  <c r="H27" i="120"/>
  <c r="G27" i="120"/>
  <c r="F27" i="120"/>
  <c r="E27" i="120"/>
  <c r="J26" i="120"/>
  <c r="I26" i="120"/>
  <c r="H26" i="120"/>
  <c r="G26" i="120"/>
  <c r="F26" i="120"/>
  <c r="E26" i="120"/>
  <c r="J25" i="120"/>
  <c r="I25" i="120"/>
  <c r="H25" i="120"/>
  <c r="G25" i="120"/>
  <c r="F25" i="120"/>
  <c r="E25" i="120"/>
  <c r="J24" i="120"/>
  <c r="I24" i="120"/>
  <c r="H24" i="120"/>
  <c r="G24" i="120"/>
  <c r="F24" i="120"/>
  <c r="E24" i="120"/>
  <c r="J23" i="120"/>
  <c r="I23" i="120"/>
  <c r="H23" i="120"/>
  <c r="G23" i="120"/>
  <c r="F23" i="120"/>
  <c r="E23" i="120"/>
  <c r="J22" i="120"/>
  <c r="I22" i="120"/>
  <c r="H22" i="120"/>
  <c r="G22" i="120"/>
  <c r="F22" i="120"/>
  <c r="E22" i="120"/>
  <c r="E19" i="120"/>
  <c r="E18" i="120"/>
  <c r="E17" i="120"/>
  <c r="E16" i="120"/>
  <c r="E15" i="120"/>
  <c r="E14" i="120"/>
  <c r="E13" i="120"/>
  <c r="E12" i="120"/>
  <c r="F10" i="120"/>
  <c r="E10" i="120"/>
  <c r="I72" i="119"/>
  <c r="F72" i="119"/>
  <c r="I71" i="119"/>
  <c r="F71" i="119"/>
  <c r="I67" i="119"/>
  <c r="H67" i="119"/>
  <c r="K62" i="119"/>
  <c r="K61" i="119"/>
  <c r="K60" i="119"/>
  <c r="K59" i="119"/>
  <c r="K58" i="119"/>
  <c r="K57" i="119"/>
  <c r="K56" i="119"/>
  <c r="K55" i="119"/>
  <c r="K54" i="119"/>
  <c r="K53" i="119"/>
  <c r="K52" i="119"/>
  <c r="K51" i="119"/>
  <c r="K50" i="119"/>
  <c r="K49" i="119"/>
  <c r="K48" i="119"/>
  <c r="K47" i="119"/>
  <c r="K46" i="119"/>
  <c r="K45" i="119"/>
  <c r="K44" i="119"/>
  <c r="K43" i="119"/>
  <c r="J31" i="119"/>
  <c r="I31" i="119"/>
  <c r="H31" i="119"/>
  <c r="G31" i="119"/>
  <c r="F31" i="119"/>
  <c r="E31" i="119"/>
  <c r="J30" i="119"/>
  <c r="I30" i="119"/>
  <c r="H30" i="119"/>
  <c r="G30" i="119"/>
  <c r="F30" i="119"/>
  <c r="E30" i="119"/>
  <c r="J29" i="119"/>
  <c r="I29" i="119"/>
  <c r="H29" i="119"/>
  <c r="G29" i="119"/>
  <c r="F29" i="119"/>
  <c r="E29" i="119"/>
  <c r="J28" i="119"/>
  <c r="I28" i="119"/>
  <c r="H28" i="119"/>
  <c r="G28" i="119"/>
  <c r="F28" i="119"/>
  <c r="E28" i="119"/>
  <c r="J27" i="119"/>
  <c r="I27" i="119"/>
  <c r="H27" i="119"/>
  <c r="G27" i="119"/>
  <c r="F27" i="119"/>
  <c r="E27" i="119"/>
  <c r="J26" i="119"/>
  <c r="I26" i="119"/>
  <c r="H26" i="119"/>
  <c r="G26" i="119"/>
  <c r="F26" i="119"/>
  <c r="E26" i="119"/>
  <c r="J25" i="119"/>
  <c r="I25" i="119"/>
  <c r="H25" i="119"/>
  <c r="G25" i="119"/>
  <c r="F25" i="119"/>
  <c r="E25" i="119"/>
  <c r="J24" i="119"/>
  <c r="I24" i="119"/>
  <c r="H24" i="119"/>
  <c r="G24" i="119"/>
  <c r="F24" i="119"/>
  <c r="E24" i="119"/>
  <c r="J23" i="119"/>
  <c r="I23" i="119"/>
  <c r="H23" i="119"/>
  <c r="G23" i="119"/>
  <c r="F23" i="119"/>
  <c r="E23" i="119"/>
  <c r="J22" i="119"/>
  <c r="I22" i="119"/>
  <c r="H22" i="119"/>
  <c r="G22" i="119"/>
  <c r="F22" i="119"/>
  <c r="E22" i="119"/>
  <c r="J21" i="119"/>
  <c r="I21" i="119"/>
  <c r="H21" i="119"/>
  <c r="G21" i="119"/>
  <c r="F21" i="119"/>
  <c r="E21" i="119"/>
  <c r="E20" i="119"/>
  <c r="E19" i="119"/>
  <c r="E18" i="119"/>
  <c r="E17" i="119"/>
  <c r="E16" i="119"/>
  <c r="E15" i="119"/>
  <c r="E14" i="119"/>
  <c r="E13" i="119"/>
  <c r="E12" i="119"/>
  <c r="F10" i="119"/>
  <c r="E10" i="119"/>
  <c r="I72" i="118"/>
  <c r="F72" i="118"/>
  <c r="I71" i="118"/>
  <c r="F71" i="118"/>
  <c r="I67" i="118"/>
  <c r="H67" i="118"/>
  <c r="K62" i="118"/>
  <c r="K61" i="118"/>
  <c r="K60" i="118"/>
  <c r="K59" i="118"/>
  <c r="K58" i="118"/>
  <c r="K57" i="118"/>
  <c r="K56" i="118"/>
  <c r="K55" i="118"/>
  <c r="K54" i="118"/>
  <c r="K53" i="118"/>
  <c r="K52" i="118"/>
  <c r="K51" i="118"/>
  <c r="K50" i="118"/>
  <c r="K49" i="118"/>
  <c r="K48" i="118"/>
  <c r="K47" i="118"/>
  <c r="K46" i="118"/>
  <c r="K45" i="118"/>
  <c r="K44" i="118"/>
  <c r="J31" i="118"/>
  <c r="I31" i="118"/>
  <c r="H31" i="118"/>
  <c r="G31" i="118"/>
  <c r="F31" i="118"/>
  <c r="E31" i="118"/>
  <c r="J30" i="118"/>
  <c r="I30" i="118"/>
  <c r="H30" i="118"/>
  <c r="G30" i="118"/>
  <c r="F30" i="118"/>
  <c r="E30" i="118"/>
  <c r="J29" i="118"/>
  <c r="I29" i="118"/>
  <c r="H29" i="118"/>
  <c r="G29" i="118"/>
  <c r="F29" i="118"/>
  <c r="E29" i="118"/>
  <c r="J28" i="118"/>
  <c r="I28" i="118"/>
  <c r="H28" i="118"/>
  <c r="G28" i="118"/>
  <c r="F28" i="118"/>
  <c r="E28" i="118"/>
  <c r="J27" i="118"/>
  <c r="I27" i="118"/>
  <c r="H27" i="118"/>
  <c r="G27" i="118"/>
  <c r="F27" i="118"/>
  <c r="E27" i="118"/>
  <c r="J26" i="118"/>
  <c r="I26" i="118"/>
  <c r="H26" i="118"/>
  <c r="G26" i="118"/>
  <c r="F26" i="118"/>
  <c r="E26" i="118"/>
  <c r="J25" i="118"/>
  <c r="I25" i="118"/>
  <c r="H25" i="118"/>
  <c r="G25" i="118"/>
  <c r="F25" i="118"/>
  <c r="E25" i="118"/>
  <c r="J24" i="118"/>
  <c r="I24" i="118"/>
  <c r="H24" i="118"/>
  <c r="G24" i="118"/>
  <c r="F24" i="118"/>
  <c r="E24" i="118"/>
  <c r="J23" i="118"/>
  <c r="I23" i="118"/>
  <c r="H23" i="118"/>
  <c r="G23" i="118"/>
  <c r="F23" i="118"/>
  <c r="E23" i="118"/>
  <c r="J22" i="118"/>
  <c r="I22" i="118"/>
  <c r="H22" i="118"/>
  <c r="G22" i="118"/>
  <c r="F22" i="118"/>
  <c r="E22" i="118"/>
  <c r="J21" i="118"/>
  <c r="I21" i="118"/>
  <c r="H21" i="118"/>
  <c r="G21" i="118"/>
  <c r="F21" i="118"/>
  <c r="E21" i="118"/>
  <c r="J20" i="118"/>
  <c r="I20" i="118"/>
  <c r="H20" i="118"/>
  <c r="G20" i="118"/>
  <c r="F20" i="118"/>
  <c r="E20" i="118"/>
  <c r="F19" i="118"/>
  <c r="E19" i="118"/>
  <c r="F18" i="118"/>
  <c r="E18" i="118"/>
  <c r="F17" i="118"/>
  <c r="E17" i="118"/>
  <c r="F16" i="118"/>
  <c r="E16" i="118"/>
  <c r="E15" i="118"/>
  <c r="E14" i="118"/>
  <c r="E13" i="118"/>
  <c r="E12" i="118"/>
  <c r="F10" i="118"/>
  <c r="E10" i="118"/>
  <c r="J15" i="164" l="1"/>
  <c r="U39" i="1"/>
  <c r="J19" i="151" s="1"/>
  <c r="J33" i="151" s="1"/>
  <c r="J18" i="161"/>
  <c r="J33" i="161" s="1"/>
  <c r="J19" i="163"/>
  <c r="J34" i="163" s="1"/>
  <c r="J21" i="77"/>
  <c r="J19" i="153"/>
  <c r="J33" i="153" s="1"/>
  <c r="J15" i="157"/>
  <c r="J33" i="157" s="1"/>
  <c r="J15" i="156"/>
  <c r="J33" i="156" s="1"/>
  <c r="K71" i="121"/>
  <c r="K72" i="120"/>
  <c r="K72" i="121"/>
  <c r="K71" i="122"/>
  <c r="K73" i="123"/>
  <c r="K72" i="122"/>
  <c r="K71" i="118"/>
  <c r="K71" i="119"/>
  <c r="K71" i="120"/>
  <c r="K72" i="123"/>
  <c r="E21" i="120"/>
  <c r="K26" i="123"/>
  <c r="K23" i="123"/>
  <c r="E21" i="121"/>
  <c r="K30" i="123"/>
  <c r="K29" i="123"/>
  <c r="E20" i="120"/>
  <c r="K31" i="123"/>
  <c r="K28" i="123"/>
  <c r="K25" i="123"/>
  <c r="K27" i="123"/>
  <c r="K22" i="123"/>
  <c r="K24" i="123"/>
  <c r="K30" i="122"/>
  <c r="K29" i="120"/>
  <c r="K27" i="122"/>
  <c r="K23" i="122"/>
  <c r="K31" i="122"/>
  <c r="K24" i="122"/>
  <c r="K25" i="122"/>
  <c r="K26" i="122"/>
  <c r="K28" i="122"/>
  <c r="K29" i="122"/>
  <c r="E18" i="122"/>
  <c r="E16" i="122"/>
  <c r="F20" i="122"/>
  <c r="H38" i="122"/>
  <c r="H39" i="122" s="1"/>
  <c r="K25" i="121"/>
  <c r="E19" i="122"/>
  <c r="K24" i="121"/>
  <c r="K26" i="121"/>
  <c r="K30" i="121"/>
  <c r="K31" i="121"/>
  <c r="K29" i="121"/>
  <c r="E22" i="121"/>
  <c r="K28" i="121"/>
  <c r="K27" i="121"/>
  <c r="K30" i="120"/>
  <c r="K26" i="120"/>
  <c r="K24" i="120"/>
  <c r="K28" i="120"/>
  <c r="K27" i="120"/>
  <c r="K25" i="120"/>
  <c r="K23" i="120"/>
  <c r="K22" i="120"/>
  <c r="K31" i="120"/>
  <c r="K22" i="119"/>
  <c r="K31" i="119"/>
  <c r="K28" i="119"/>
  <c r="K23" i="119"/>
  <c r="K24" i="119"/>
  <c r="K21" i="119"/>
  <c r="K23" i="118"/>
  <c r="K24" i="118"/>
  <c r="K72" i="119"/>
  <c r="K72" i="118"/>
  <c r="K26" i="119"/>
  <c r="K25" i="119"/>
  <c r="K30" i="119"/>
  <c r="K27" i="119"/>
  <c r="K29" i="119"/>
  <c r="K31" i="118"/>
  <c r="E33" i="119"/>
  <c r="K28" i="118"/>
  <c r="K30" i="118"/>
  <c r="K20" i="118"/>
  <c r="K26" i="118"/>
  <c r="K22" i="118"/>
  <c r="K21" i="118"/>
  <c r="K27" i="118"/>
  <c r="K29" i="118"/>
  <c r="K25" i="118"/>
  <c r="E33" i="118"/>
  <c r="J33" i="164" l="1"/>
  <c r="E33" i="120"/>
  <c r="E16" i="66" l="1"/>
  <c r="F16" i="66"/>
  <c r="H16" i="66"/>
  <c r="J16" i="66"/>
  <c r="E17" i="66"/>
  <c r="F17" i="66"/>
  <c r="G17" i="66"/>
  <c r="H17" i="66"/>
  <c r="I17" i="66"/>
  <c r="J17" i="66"/>
  <c r="K17" i="66"/>
  <c r="K48" i="65"/>
  <c r="K49" i="65"/>
  <c r="K50" i="65"/>
  <c r="K51" i="65"/>
  <c r="K52" i="65"/>
  <c r="K53" i="65"/>
  <c r="K54" i="65"/>
  <c r="K55" i="65"/>
  <c r="K56" i="65"/>
  <c r="K57" i="65"/>
  <c r="K58" i="65"/>
  <c r="K59" i="65"/>
  <c r="K60" i="65"/>
  <c r="K61" i="65"/>
  <c r="K62" i="65"/>
  <c r="K63" i="65"/>
  <c r="E16" i="78"/>
  <c r="E23" i="63" l="1"/>
  <c r="K61" i="83" l="1"/>
  <c r="K63" i="73"/>
  <c r="K61" i="85"/>
  <c r="K61" i="86"/>
  <c r="K61" i="88"/>
  <c r="K61" i="90"/>
  <c r="K62" i="69"/>
  <c r="K61" i="70"/>
  <c r="K63" i="3"/>
  <c r="K61" i="74"/>
  <c r="K61" i="76"/>
  <c r="K64" i="77"/>
  <c r="K62" i="78"/>
  <c r="K62" i="79"/>
  <c r="K62" i="80"/>
  <c r="K61" i="108"/>
  <c r="K62" i="109"/>
  <c r="K61" i="81"/>
  <c r="K61" i="82"/>
  <c r="K61" i="84"/>
  <c r="K61" i="87"/>
  <c r="K62" i="89"/>
  <c r="K65" i="91"/>
  <c r="K64" i="92"/>
  <c r="K65" i="93"/>
  <c r="K62" i="94"/>
  <c r="K62" i="95"/>
  <c r="K63" i="97"/>
  <c r="K62" i="98"/>
  <c r="K61" i="101"/>
  <c r="K61" i="102"/>
  <c r="K61" i="103"/>
  <c r="K61" i="113"/>
  <c r="K61" i="104"/>
  <c r="K61" i="105"/>
  <c r="K61" i="106"/>
  <c r="K61" i="107"/>
  <c r="K61" i="72"/>
  <c r="H125" i="67"/>
  <c r="H126" i="67"/>
  <c r="H127" i="67"/>
  <c r="H124" i="68"/>
  <c r="H125" i="68"/>
  <c r="H126" i="68"/>
  <c r="H125" i="69"/>
  <c r="H126" i="69"/>
  <c r="H127" i="69"/>
  <c r="H124" i="70"/>
  <c r="H125" i="70"/>
  <c r="H126" i="70"/>
  <c r="H125" i="71"/>
  <c r="H126" i="71"/>
  <c r="H127" i="71"/>
  <c r="H126" i="3"/>
  <c r="H127" i="3"/>
  <c r="H128" i="3"/>
  <c r="H117" i="73"/>
  <c r="H118" i="73"/>
  <c r="H119" i="73"/>
  <c r="H124" i="74"/>
  <c r="H125" i="74"/>
  <c r="H126" i="74"/>
  <c r="H124" i="76"/>
  <c r="H125" i="76"/>
  <c r="H126" i="76"/>
  <c r="H127" i="77"/>
  <c r="H128" i="77"/>
  <c r="H129" i="77"/>
  <c r="H125" i="78"/>
  <c r="H126" i="78"/>
  <c r="H127" i="78"/>
  <c r="H125" i="79"/>
  <c r="H126" i="79"/>
  <c r="H127" i="79"/>
  <c r="H125" i="80"/>
  <c r="H126" i="80"/>
  <c r="H127" i="80"/>
  <c r="H124" i="108"/>
  <c r="H125" i="108"/>
  <c r="H126" i="108"/>
  <c r="H125" i="109"/>
  <c r="H126" i="109"/>
  <c r="H127" i="109"/>
  <c r="H123" i="81"/>
  <c r="H124" i="81"/>
  <c r="H125" i="81"/>
  <c r="H124" i="82"/>
  <c r="H125" i="82"/>
  <c r="H126" i="82"/>
  <c r="H108" i="83"/>
  <c r="H109" i="83"/>
  <c r="H110" i="83"/>
  <c r="H124" i="84"/>
  <c r="H125" i="84"/>
  <c r="H126" i="84"/>
  <c r="H124" i="85"/>
  <c r="H125" i="85"/>
  <c r="H126" i="85"/>
  <c r="H124" i="86"/>
  <c r="H125" i="86"/>
  <c r="H126" i="86"/>
  <c r="H125" i="87"/>
  <c r="H126" i="87"/>
  <c r="H127" i="87"/>
  <c r="H124" i="88"/>
  <c r="H125" i="88"/>
  <c r="H126" i="88"/>
  <c r="H126" i="89"/>
  <c r="H127" i="89"/>
  <c r="H128" i="89"/>
  <c r="H124" i="90"/>
  <c r="H125" i="90"/>
  <c r="H126" i="90"/>
  <c r="H129" i="91"/>
  <c r="H130" i="91"/>
  <c r="H131" i="91"/>
  <c r="H127" i="92"/>
  <c r="H128" i="92"/>
  <c r="H129" i="92"/>
  <c r="H129" i="93"/>
  <c r="H130" i="93"/>
  <c r="H131" i="93"/>
  <c r="H125" i="94"/>
  <c r="H126" i="94"/>
  <c r="H127" i="94"/>
  <c r="H125" i="95"/>
  <c r="H126" i="95"/>
  <c r="H127" i="95"/>
  <c r="H126" i="97"/>
  <c r="H127" i="97"/>
  <c r="H128" i="97"/>
  <c r="H125" i="98"/>
  <c r="H126" i="98"/>
  <c r="H127" i="98"/>
  <c r="H125" i="101"/>
  <c r="H126" i="101"/>
  <c r="H127" i="101"/>
  <c r="H125" i="102"/>
  <c r="H126" i="102"/>
  <c r="H127" i="102"/>
  <c r="H125" i="103"/>
  <c r="H126" i="103"/>
  <c r="H127" i="103"/>
  <c r="H125" i="113"/>
  <c r="H126" i="113"/>
  <c r="H127" i="113"/>
  <c r="H125" i="104"/>
  <c r="H126" i="104"/>
  <c r="H127" i="104"/>
  <c r="H125" i="105"/>
  <c r="H126" i="105"/>
  <c r="H127" i="105"/>
  <c r="H125" i="106"/>
  <c r="H126" i="106"/>
  <c r="H127" i="106"/>
  <c r="H125" i="107"/>
  <c r="H126" i="107"/>
  <c r="H127" i="107"/>
  <c r="H124" i="72"/>
  <c r="H125" i="72"/>
  <c r="H126" i="72"/>
  <c r="H122" i="67"/>
  <c r="H123" i="67"/>
  <c r="H124" i="67"/>
  <c r="H121" i="68"/>
  <c r="H122" i="68"/>
  <c r="H123" i="68"/>
  <c r="H122" i="69"/>
  <c r="H123" i="69"/>
  <c r="H124" i="69"/>
  <c r="H121" i="70"/>
  <c r="H122" i="70"/>
  <c r="H123" i="70"/>
  <c r="H122" i="71"/>
  <c r="H123" i="71"/>
  <c r="H124" i="71"/>
  <c r="H123" i="3"/>
  <c r="H124" i="3"/>
  <c r="H125" i="3"/>
  <c r="H114" i="73"/>
  <c r="H115" i="73"/>
  <c r="H116" i="73"/>
  <c r="H121" i="74"/>
  <c r="H122" i="74"/>
  <c r="H123" i="74"/>
  <c r="H121" i="76"/>
  <c r="H122" i="76"/>
  <c r="H123" i="76"/>
  <c r="H124" i="77"/>
  <c r="H125" i="77"/>
  <c r="H126" i="77"/>
  <c r="H122" i="78"/>
  <c r="H123" i="78"/>
  <c r="H124" i="78"/>
  <c r="H122" i="79"/>
  <c r="H123" i="79"/>
  <c r="H124" i="79"/>
  <c r="H122" i="80"/>
  <c r="H123" i="80"/>
  <c r="H124" i="80"/>
  <c r="H121" i="108"/>
  <c r="H122" i="108"/>
  <c r="H123" i="108"/>
  <c r="H122" i="109"/>
  <c r="H123" i="109"/>
  <c r="H124" i="109"/>
  <c r="H120" i="81"/>
  <c r="H121" i="81"/>
  <c r="H122" i="81"/>
  <c r="H121" i="82"/>
  <c r="H122" i="82"/>
  <c r="H123" i="82"/>
  <c r="H105" i="83"/>
  <c r="H106" i="83"/>
  <c r="H107" i="83"/>
  <c r="H121" i="84"/>
  <c r="H122" i="84"/>
  <c r="H123" i="84"/>
  <c r="H121" i="85"/>
  <c r="H122" i="85"/>
  <c r="H123" i="85"/>
  <c r="H121" i="86"/>
  <c r="H122" i="86"/>
  <c r="H123" i="86"/>
  <c r="H122" i="87"/>
  <c r="H123" i="87"/>
  <c r="H124" i="87"/>
  <c r="H121" i="88"/>
  <c r="H122" i="88"/>
  <c r="H123" i="88"/>
  <c r="H123" i="89"/>
  <c r="H124" i="89"/>
  <c r="H125" i="89"/>
  <c r="H121" i="90"/>
  <c r="H122" i="90"/>
  <c r="H123" i="90"/>
  <c r="H126" i="91"/>
  <c r="H127" i="91"/>
  <c r="H128" i="91"/>
  <c r="H124" i="92"/>
  <c r="H125" i="92"/>
  <c r="H126" i="92"/>
  <c r="H126" i="93"/>
  <c r="H127" i="93"/>
  <c r="H128" i="93"/>
  <c r="H122" i="94"/>
  <c r="H123" i="94"/>
  <c r="H124" i="94"/>
  <c r="H122" i="95"/>
  <c r="H123" i="95"/>
  <c r="H124" i="95"/>
  <c r="H123" i="97"/>
  <c r="H124" i="97"/>
  <c r="H125" i="97"/>
  <c r="H122" i="98"/>
  <c r="H123" i="98"/>
  <c r="H124" i="98"/>
  <c r="H122" i="101"/>
  <c r="H123" i="101"/>
  <c r="H124" i="101"/>
  <c r="H122" i="102"/>
  <c r="H123" i="102"/>
  <c r="H124" i="102"/>
  <c r="H122" i="103"/>
  <c r="H123" i="103"/>
  <c r="H124" i="103"/>
  <c r="H122" i="113"/>
  <c r="H123" i="113"/>
  <c r="H124" i="113"/>
  <c r="H122" i="104"/>
  <c r="H123" i="104"/>
  <c r="H124" i="104"/>
  <c r="H122" i="105"/>
  <c r="H123" i="105"/>
  <c r="H124" i="105"/>
  <c r="H122" i="106"/>
  <c r="H123" i="106"/>
  <c r="H124" i="106"/>
  <c r="H122" i="107"/>
  <c r="H123" i="107"/>
  <c r="H124" i="107"/>
  <c r="H121" i="72"/>
  <c r="H122" i="72"/>
  <c r="H123" i="72"/>
  <c r="H113" i="67"/>
  <c r="H114" i="67"/>
  <c r="H115" i="67"/>
  <c r="H116" i="67"/>
  <c r="H117" i="67"/>
  <c r="H118" i="67"/>
  <c r="H119" i="67"/>
  <c r="H120" i="67"/>
  <c r="H121" i="67"/>
  <c r="H112" i="68"/>
  <c r="H113" i="68"/>
  <c r="H114" i="68"/>
  <c r="H115" i="68"/>
  <c r="H116" i="68"/>
  <c r="H117" i="68"/>
  <c r="H118" i="68"/>
  <c r="H119" i="68"/>
  <c r="H120" i="68"/>
  <c r="H113" i="69"/>
  <c r="H114" i="69"/>
  <c r="H115" i="69"/>
  <c r="H116" i="69"/>
  <c r="H117" i="69"/>
  <c r="H118" i="69"/>
  <c r="H119" i="69"/>
  <c r="H120" i="69"/>
  <c r="H121" i="69"/>
  <c r="H112" i="70"/>
  <c r="H113" i="70"/>
  <c r="H114" i="70"/>
  <c r="H115" i="70"/>
  <c r="H116" i="70"/>
  <c r="H117" i="70"/>
  <c r="H118" i="70"/>
  <c r="H119" i="70"/>
  <c r="H120" i="70"/>
  <c r="H113" i="71"/>
  <c r="H114" i="71"/>
  <c r="H115" i="71"/>
  <c r="H116" i="71"/>
  <c r="H117" i="71"/>
  <c r="H118" i="71"/>
  <c r="H119" i="71"/>
  <c r="H120" i="71"/>
  <c r="H121" i="71"/>
  <c r="H114" i="3"/>
  <c r="H115" i="3"/>
  <c r="H116" i="3"/>
  <c r="H117" i="3"/>
  <c r="H118" i="3"/>
  <c r="H119" i="3"/>
  <c r="H120" i="3"/>
  <c r="H121" i="3"/>
  <c r="H122" i="3"/>
  <c r="H105" i="73"/>
  <c r="H106" i="73"/>
  <c r="H107" i="73"/>
  <c r="H108" i="73"/>
  <c r="H109" i="73"/>
  <c r="H110" i="73"/>
  <c r="H111" i="73"/>
  <c r="H112" i="73"/>
  <c r="H113" i="73"/>
  <c r="H112" i="74"/>
  <c r="H113" i="74"/>
  <c r="H114" i="74"/>
  <c r="H115" i="74"/>
  <c r="H116" i="74"/>
  <c r="H117" i="74"/>
  <c r="H118" i="74"/>
  <c r="H119" i="74"/>
  <c r="H120" i="74"/>
  <c r="H112" i="76"/>
  <c r="H113" i="76"/>
  <c r="H114" i="76"/>
  <c r="H115" i="76"/>
  <c r="H116" i="76"/>
  <c r="H117" i="76"/>
  <c r="H118" i="76"/>
  <c r="H119" i="76"/>
  <c r="H120" i="76"/>
  <c r="H115" i="77"/>
  <c r="H116" i="77"/>
  <c r="H117" i="77"/>
  <c r="H118" i="77"/>
  <c r="H119" i="77"/>
  <c r="H120" i="77"/>
  <c r="H121" i="77"/>
  <c r="H122" i="77"/>
  <c r="H123" i="77"/>
  <c r="H113" i="78"/>
  <c r="H114" i="78"/>
  <c r="H115" i="78"/>
  <c r="H116" i="78"/>
  <c r="H117" i="78"/>
  <c r="H118" i="78"/>
  <c r="H119" i="78"/>
  <c r="H120" i="78"/>
  <c r="H121" i="78"/>
  <c r="H113" i="79"/>
  <c r="H114" i="79"/>
  <c r="H115" i="79"/>
  <c r="H116" i="79"/>
  <c r="H117" i="79"/>
  <c r="H118" i="79"/>
  <c r="H119" i="79"/>
  <c r="H120" i="79"/>
  <c r="H121" i="79"/>
  <c r="H113" i="80"/>
  <c r="H114" i="80"/>
  <c r="H115" i="80"/>
  <c r="H116" i="80"/>
  <c r="H117" i="80"/>
  <c r="H118" i="80"/>
  <c r="H119" i="80"/>
  <c r="H120" i="80"/>
  <c r="H121" i="80"/>
  <c r="H112" i="108"/>
  <c r="H113" i="108"/>
  <c r="H114" i="108"/>
  <c r="H115" i="108"/>
  <c r="H116" i="108"/>
  <c r="H117" i="108"/>
  <c r="H118" i="108"/>
  <c r="H119" i="108"/>
  <c r="H120" i="108"/>
  <c r="H113" i="109"/>
  <c r="H114" i="109"/>
  <c r="H115" i="109"/>
  <c r="H116" i="109"/>
  <c r="H117" i="109"/>
  <c r="H118" i="109"/>
  <c r="H119" i="109"/>
  <c r="H120" i="109"/>
  <c r="H121" i="109"/>
  <c r="H111" i="81"/>
  <c r="H112" i="81"/>
  <c r="H113" i="81"/>
  <c r="H114" i="81"/>
  <c r="H115" i="81"/>
  <c r="H116" i="81"/>
  <c r="H117" i="81"/>
  <c r="H118" i="81"/>
  <c r="H119" i="81"/>
  <c r="H112" i="82"/>
  <c r="H113" i="82"/>
  <c r="H114" i="82"/>
  <c r="H115" i="82"/>
  <c r="H116" i="82"/>
  <c r="H117" i="82"/>
  <c r="H118" i="82"/>
  <c r="H119" i="82"/>
  <c r="H120" i="82"/>
  <c r="H96" i="83"/>
  <c r="H97" i="83"/>
  <c r="H98" i="83"/>
  <c r="H99" i="83"/>
  <c r="H100" i="83"/>
  <c r="H101" i="83"/>
  <c r="H102" i="83"/>
  <c r="H103" i="83"/>
  <c r="H104" i="83"/>
  <c r="H112" i="84"/>
  <c r="H113" i="84"/>
  <c r="H114" i="84"/>
  <c r="H115" i="84"/>
  <c r="H116" i="84"/>
  <c r="H117" i="84"/>
  <c r="H118" i="84"/>
  <c r="H119" i="84"/>
  <c r="H120" i="84"/>
  <c r="H112" i="85"/>
  <c r="H113" i="85"/>
  <c r="H114" i="85"/>
  <c r="H115" i="85"/>
  <c r="H116" i="85"/>
  <c r="H117" i="85"/>
  <c r="H118" i="85"/>
  <c r="H119" i="85"/>
  <c r="H120" i="85"/>
  <c r="H112" i="86"/>
  <c r="H113" i="86"/>
  <c r="H114" i="86"/>
  <c r="H115" i="86"/>
  <c r="H116" i="86"/>
  <c r="H117" i="86"/>
  <c r="H118" i="86"/>
  <c r="H119" i="86"/>
  <c r="H120" i="86"/>
  <c r="H113" i="87"/>
  <c r="H114" i="87"/>
  <c r="H115" i="87"/>
  <c r="H116" i="87"/>
  <c r="H117" i="87"/>
  <c r="H118" i="87"/>
  <c r="H119" i="87"/>
  <c r="H120" i="87"/>
  <c r="H121" i="87"/>
  <c r="H112" i="88"/>
  <c r="H113" i="88"/>
  <c r="H114" i="88"/>
  <c r="H115" i="88"/>
  <c r="H116" i="88"/>
  <c r="H117" i="88"/>
  <c r="H118" i="88"/>
  <c r="H119" i="88"/>
  <c r="H120" i="88"/>
  <c r="H114" i="89"/>
  <c r="H115" i="89"/>
  <c r="H116" i="89"/>
  <c r="H117" i="89"/>
  <c r="H118" i="89"/>
  <c r="H119" i="89"/>
  <c r="H120" i="89"/>
  <c r="H121" i="89"/>
  <c r="H122" i="89"/>
  <c r="H112" i="90"/>
  <c r="H113" i="90"/>
  <c r="H114" i="90"/>
  <c r="H115" i="90"/>
  <c r="H116" i="90"/>
  <c r="H117" i="90"/>
  <c r="H118" i="90"/>
  <c r="H119" i="90"/>
  <c r="H120" i="90"/>
  <c r="H117" i="91"/>
  <c r="H118" i="91"/>
  <c r="H119" i="91"/>
  <c r="H120" i="91"/>
  <c r="H121" i="91"/>
  <c r="H122" i="91"/>
  <c r="H123" i="91"/>
  <c r="H124" i="91"/>
  <c r="H125" i="91"/>
  <c r="H115" i="92"/>
  <c r="H116" i="92"/>
  <c r="H117" i="92"/>
  <c r="H118" i="92"/>
  <c r="H119" i="92"/>
  <c r="H120" i="92"/>
  <c r="H121" i="92"/>
  <c r="H122" i="92"/>
  <c r="H123" i="92"/>
  <c r="H117" i="93"/>
  <c r="H118" i="93"/>
  <c r="H119" i="93"/>
  <c r="H120" i="93"/>
  <c r="H121" i="93"/>
  <c r="H122" i="93"/>
  <c r="H123" i="93"/>
  <c r="H124" i="93"/>
  <c r="H125" i="93"/>
  <c r="H113" i="94"/>
  <c r="H114" i="94"/>
  <c r="H115" i="94"/>
  <c r="H116" i="94"/>
  <c r="H117" i="94"/>
  <c r="H118" i="94"/>
  <c r="H119" i="94"/>
  <c r="H120" i="94"/>
  <c r="H121" i="94"/>
  <c r="H113" i="95"/>
  <c r="H114" i="95"/>
  <c r="H115" i="95"/>
  <c r="H116" i="95"/>
  <c r="H117" i="95"/>
  <c r="H118" i="95"/>
  <c r="H119" i="95"/>
  <c r="H120" i="95"/>
  <c r="H121" i="95"/>
  <c r="H114" i="97"/>
  <c r="H115" i="97"/>
  <c r="H116" i="97"/>
  <c r="H117" i="97"/>
  <c r="H118" i="97"/>
  <c r="H119" i="97"/>
  <c r="H120" i="97"/>
  <c r="H121" i="97"/>
  <c r="H122" i="97"/>
  <c r="H113" i="98"/>
  <c r="H114" i="98"/>
  <c r="H115" i="98"/>
  <c r="H116" i="98"/>
  <c r="H117" i="98"/>
  <c r="H118" i="98"/>
  <c r="H119" i="98"/>
  <c r="H120" i="98"/>
  <c r="H121" i="98"/>
  <c r="H113" i="101"/>
  <c r="H114" i="101"/>
  <c r="H115" i="101"/>
  <c r="H116" i="101"/>
  <c r="H117" i="101"/>
  <c r="H118" i="101"/>
  <c r="H119" i="101"/>
  <c r="H120" i="101"/>
  <c r="H121" i="101"/>
  <c r="H113" i="102"/>
  <c r="H114" i="102"/>
  <c r="H115" i="102"/>
  <c r="H116" i="102"/>
  <c r="H117" i="102"/>
  <c r="H118" i="102"/>
  <c r="H119" i="102"/>
  <c r="H120" i="102"/>
  <c r="H121" i="102"/>
  <c r="H113" i="103"/>
  <c r="H114" i="103"/>
  <c r="H115" i="103"/>
  <c r="H116" i="103"/>
  <c r="H117" i="103"/>
  <c r="H118" i="103"/>
  <c r="H119" i="103"/>
  <c r="H120" i="103"/>
  <c r="H121" i="103"/>
  <c r="H113" i="113"/>
  <c r="H114" i="113"/>
  <c r="H115" i="113"/>
  <c r="H116" i="113"/>
  <c r="H117" i="113"/>
  <c r="H118" i="113"/>
  <c r="H119" i="113"/>
  <c r="H120" i="113"/>
  <c r="H121" i="113"/>
  <c r="H113" i="104"/>
  <c r="H114" i="104"/>
  <c r="H115" i="104"/>
  <c r="H116" i="104"/>
  <c r="H117" i="104"/>
  <c r="H118" i="104"/>
  <c r="H119" i="104"/>
  <c r="H120" i="104"/>
  <c r="H121" i="104"/>
  <c r="H113" i="105"/>
  <c r="H114" i="105"/>
  <c r="H115" i="105"/>
  <c r="H116" i="105"/>
  <c r="H117" i="105"/>
  <c r="H118" i="105"/>
  <c r="H119" i="105"/>
  <c r="H120" i="105"/>
  <c r="H121" i="105"/>
  <c r="H113" i="106"/>
  <c r="H114" i="106"/>
  <c r="H115" i="106"/>
  <c r="H116" i="106"/>
  <c r="H117" i="106"/>
  <c r="H118" i="106"/>
  <c r="H119" i="106"/>
  <c r="H120" i="106"/>
  <c r="H121" i="106"/>
  <c r="H113" i="107"/>
  <c r="H114" i="107"/>
  <c r="H115" i="107"/>
  <c r="H116" i="107"/>
  <c r="H117" i="107"/>
  <c r="H118" i="107"/>
  <c r="H119" i="107"/>
  <c r="H120" i="107"/>
  <c r="H121" i="107"/>
  <c r="H112" i="72"/>
  <c r="H113" i="72"/>
  <c r="H114" i="72"/>
  <c r="H115" i="72"/>
  <c r="H116" i="72"/>
  <c r="H117" i="72"/>
  <c r="H118" i="72"/>
  <c r="H119" i="72"/>
  <c r="H120" i="72"/>
  <c r="H112" i="67"/>
  <c r="H111" i="68"/>
  <c r="H112" i="69"/>
  <c r="H111" i="70"/>
  <c r="H112" i="71"/>
  <c r="H113" i="3"/>
  <c r="H104" i="73"/>
  <c r="H111" i="74"/>
  <c r="H111" i="76"/>
  <c r="H114" i="77"/>
  <c r="H112" i="78"/>
  <c r="H112" i="79"/>
  <c r="H112" i="80"/>
  <c r="H111" i="108"/>
  <c r="H112" i="109"/>
  <c r="H110" i="81"/>
  <c r="H111" i="82"/>
  <c r="H95" i="83"/>
  <c r="H111" i="84"/>
  <c r="H111" i="85"/>
  <c r="H111" i="86"/>
  <c r="H112" i="87"/>
  <c r="H111" i="88"/>
  <c r="H113" i="89"/>
  <c r="H111" i="90"/>
  <c r="H116" i="91"/>
  <c r="H114" i="92"/>
  <c r="H116" i="93"/>
  <c r="H112" i="94"/>
  <c r="H112" i="95"/>
  <c r="H113" i="97"/>
  <c r="H112" i="98"/>
  <c r="H112" i="101"/>
  <c r="H112" i="102"/>
  <c r="H112" i="103"/>
  <c r="H112" i="113"/>
  <c r="H112" i="104"/>
  <c r="H112" i="105"/>
  <c r="H112" i="106"/>
  <c r="H112" i="107"/>
  <c r="H111" i="72"/>
  <c r="E26" i="73" l="1"/>
  <c r="E27" i="73"/>
  <c r="F27" i="73"/>
  <c r="G27" i="73"/>
  <c r="H27" i="73"/>
  <c r="I27" i="73"/>
  <c r="J27" i="73"/>
  <c r="E28" i="73"/>
  <c r="F28" i="73"/>
  <c r="G28" i="73"/>
  <c r="H28" i="73"/>
  <c r="I28" i="73"/>
  <c r="J28" i="73"/>
  <c r="E29" i="73"/>
  <c r="F29" i="73"/>
  <c r="G29" i="73"/>
  <c r="H29" i="73"/>
  <c r="I29" i="73"/>
  <c r="J29" i="73"/>
  <c r="E30" i="73"/>
  <c r="F30" i="73"/>
  <c r="G30" i="73"/>
  <c r="H30" i="73"/>
  <c r="I30" i="73"/>
  <c r="J30" i="73"/>
  <c r="E31" i="73"/>
  <c r="F31" i="73"/>
  <c r="G31" i="73"/>
  <c r="H31" i="73"/>
  <c r="I31" i="73"/>
  <c r="J31" i="73"/>
  <c r="E22" i="73"/>
  <c r="E23" i="73"/>
  <c r="E24" i="73"/>
  <c r="F24" i="73"/>
  <c r="G24" i="73"/>
  <c r="H24" i="73"/>
  <c r="I24" i="73"/>
  <c r="J24" i="73"/>
  <c r="K24" i="73"/>
  <c r="E25" i="73"/>
  <c r="K30" i="73" l="1"/>
  <c r="K28" i="73"/>
  <c r="K29" i="73"/>
  <c r="K31" i="73"/>
  <c r="K27" i="73"/>
  <c r="E22" i="76" l="1"/>
  <c r="E24" i="76"/>
  <c r="F24" i="76"/>
  <c r="G24" i="76"/>
  <c r="H24" i="76"/>
  <c r="I24" i="76"/>
  <c r="J24" i="76"/>
  <c r="K24" i="76"/>
  <c r="E25" i="76"/>
  <c r="E26" i="76"/>
  <c r="E23" i="76" l="1"/>
  <c r="E17" i="113"/>
  <c r="E18" i="113"/>
  <c r="E19" i="113"/>
  <c r="E20" i="113"/>
  <c r="E21" i="113"/>
  <c r="E23" i="113"/>
  <c r="I72" i="113"/>
  <c r="I71" i="113"/>
  <c r="I67" i="113"/>
  <c r="H67" i="113"/>
  <c r="J31" i="113"/>
  <c r="I31" i="113"/>
  <c r="H31" i="113"/>
  <c r="G31" i="113"/>
  <c r="F31" i="113"/>
  <c r="E31" i="113"/>
  <c r="J30" i="113"/>
  <c r="I30" i="113"/>
  <c r="H30" i="113"/>
  <c r="G30" i="113"/>
  <c r="F30" i="113"/>
  <c r="E30" i="113"/>
  <c r="J29" i="113"/>
  <c r="I29" i="113"/>
  <c r="H29" i="113"/>
  <c r="G29" i="113"/>
  <c r="F29" i="113"/>
  <c r="E29" i="113"/>
  <c r="J28" i="113"/>
  <c r="I28" i="113"/>
  <c r="H28" i="113"/>
  <c r="G28" i="113"/>
  <c r="F28" i="113"/>
  <c r="E28" i="113"/>
  <c r="J27" i="113"/>
  <c r="I27" i="113"/>
  <c r="H27" i="113"/>
  <c r="G27" i="113"/>
  <c r="F27" i="113"/>
  <c r="E27" i="113"/>
  <c r="J26" i="113"/>
  <c r="I26" i="113"/>
  <c r="H26" i="113"/>
  <c r="G26" i="113"/>
  <c r="F26" i="113"/>
  <c r="E26" i="113"/>
  <c r="J25" i="113"/>
  <c r="I25" i="113"/>
  <c r="H25" i="113"/>
  <c r="G25" i="113"/>
  <c r="F25" i="113"/>
  <c r="E25" i="113"/>
  <c r="J24" i="113"/>
  <c r="I24" i="113"/>
  <c r="H24" i="113"/>
  <c r="G24" i="113"/>
  <c r="F24" i="113"/>
  <c r="E24" i="113"/>
  <c r="J23" i="113"/>
  <c r="I23" i="113"/>
  <c r="H23" i="113"/>
  <c r="G23" i="113"/>
  <c r="F23" i="113"/>
  <c r="F21" i="113"/>
  <c r="F20" i="113"/>
  <c r="E16" i="113"/>
  <c r="E15" i="113"/>
  <c r="E14" i="113"/>
  <c r="E13" i="113"/>
  <c r="E12" i="113"/>
  <c r="F10" i="113"/>
  <c r="E10" i="113"/>
  <c r="K57" i="60"/>
  <c r="K58" i="60"/>
  <c r="K59" i="60"/>
  <c r="K60" i="60"/>
  <c r="K61" i="60"/>
  <c r="K56" i="61"/>
  <c r="K57" i="61"/>
  <c r="K58" i="61"/>
  <c r="K59" i="61"/>
  <c r="K60" i="61"/>
  <c r="K56" i="62"/>
  <c r="K57" i="62"/>
  <c r="K58" i="62"/>
  <c r="K59" i="62"/>
  <c r="K60" i="62"/>
  <c r="K57" i="63"/>
  <c r="K58" i="63"/>
  <c r="K59" i="63"/>
  <c r="K60" i="63"/>
  <c r="K61" i="63"/>
  <c r="K56" i="64"/>
  <c r="K57" i="64"/>
  <c r="K58" i="64"/>
  <c r="K59" i="64"/>
  <c r="K60" i="64"/>
  <c r="K57" i="66"/>
  <c r="K58" i="66"/>
  <c r="K59" i="66"/>
  <c r="K60" i="66"/>
  <c r="K61" i="66"/>
  <c r="K57" i="67"/>
  <c r="K58" i="67"/>
  <c r="K59" i="67"/>
  <c r="K60" i="67"/>
  <c r="K61" i="67"/>
  <c r="K57" i="69"/>
  <c r="K58" i="69"/>
  <c r="K59" i="69"/>
  <c r="K60" i="69"/>
  <c r="K61" i="69"/>
  <c r="K57" i="70"/>
  <c r="K58" i="70"/>
  <c r="K59" i="70"/>
  <c r="K60" i="70"/>
  <c r="K62" i="3"/>
  <c r="K59" i="73"/>
  <c r="K60" i="73"/>
  <c r="K61" i="73"/>
  <c r="K62" i="73"/>
  <c r="K59" i="74"/>
  <c r="K60" i="74"/>
  <c r="K56" i="76"/>
  <c r="K57" i="76"/>
  <c r="K58" i="76"/>
  <c r="K59" i="76"/>
  <c r="K60" i="76"/>
  <c r="K60" i="77"/>
  <c r="K61" i="77"/>
  <c r="K62" i="77"/>
  <c r="K63" i="77"/>
  <c r="K61" i="78"/>
  <c r="K57" i="79"/>
  <c r="K58" i="79"/>
  <c r="K59" i="79"/>
  <c r="K60" i="79"/>
  <c r="K61" i="79"/>
  <c r="K57" i="80"/>
  <c r="K58" i="80"/>
  <c r="K59" i="80"/>
  <c r="K60" i="80"/>
  <c r="K61" i="80"/>
  <c r="K58" i="108"/>
  <c r="K59" i="108"/>
  <c r="K60" i="108"/>
  <c r="K57" i="109"/>
  <c r="K58" i="109"/>
  <c r="K59" i="109"/>
  <c r="K60" i="109"/>
  <c r="K61" i="109"/>
  <c r="K56" i="81"/>
  <c r="K57" i="81"/>
  <c r="K58" i="81"/>
  <c r="K59" i="81"/>
  <c r="K60" i="81"/>
  <c r="K56" i="82"/>
  <c r="K57" i="82"/>
  <c r="K58" i="82"/>
  <c r="K59" i="82"/>
  <c r="K60" i="82"/>
  <c r="K56" i="83"/>
  <c r="K57" i="83"/>
  <c r="K58" i="83"/>
  <c r="K59" i="83"/>
  <c r="K60" i="83"/>
  <c r="K56" i="84"/>
  <c r="K57" i="84"/>
  <c r="K58" i="84"/>
  <c r="K59" i="84"/>
  <c r="K60" i="84"/>
  <c r="K56" i="85"/>
  <c r="K57" i="85"/>
  <c r="K58" i="85"/>
  <c r="K59" i="85"/>
  <c r="K60" i="85"/>
  <c r="K56" i="86"/>
  <c r="K57" i="86"/>
  <c r="K58" i="86"/>
  <c r="K59" i="86"/>
  <c r="K60" i="86"/>
  <c r="K56" i="87"/>
  <c r="K57" i="87"/>
  <c r="K58" i="87"/>
  <c r="K59" i="87"/>
  <c r="K60" i="87"/>
  <c r="K56" i="88"/>
  <c r="K57" i="88"/>
  <c r="K58" i="88"/>
  <c r="K59" i="88"/>
  <c r="K60" i="88"/>
  <c r="K57" i="89"/>
  <c r="K58" i="89"/>
  <c r="K59" i="89"/>
  <c r="K60" i="89"/>
  <c r="K61" i="89"/>
  <c r="K56" i="90"/>
  <c r="K57" i="90"/>
  <c r="K58" i="90"/>
  <c r="K59" i="90"/>
  <c r="K60" i="90"/>
  <c r="K60" i="91"/>
  <c r="K61" i="91"/>
  <c r="K62" i="91"/>
  <c r="K63" i="91"/>
  <c r="K64" i="91"/>
  <c r="K59" i="92"/>
  <c r="K60" i="92"/>
  <c r="K61" i="92"/>
  <c r="K62" i="92"/>
  <c r="K63" i="92"/>
  <c r="K60" i="93"/>
  <c r="K61" i="93"/>
  <c r="K62" i="93"/>
  <c r="K63" i="93"/>
  <c r="K64" i="93"/>
  <c r="K56" i="94"/>
  <c r="K57" i="94"/>
  <c r="K59" i="94"/>
  <c r="K60" i="94"/>
  <c r="K61" i="94"/>
  <c r="K57" i="95"/>
  <c r="K58" i="95"/>
  <c r="K59" i="95"/>
  <c r="K60" i="95"/>
  <c r="K61" i="95"/>
  <c r="K58" i="97"/>
  <c r="K59" i="97"/>
  <c r="K60" i="97"/>
  <c r="K61" i="97"/>
  <c r="K62" i="97"/>
  <c r="K57" i="98"/>
  <c r="K58" i="98"/>
  <c r="K59" i="98"/>
  <c r="K60" i="98"/>
  <c r="K61" i="98"/>
  <c r="K56" i="101"/>
  <c r="K57" i="101"/>
  <c r="K58" i="101"/>
  <c r="K59" i="101"/>
  <c r="K60" i="101"/>
  <c r="K56" i="102"/>
  <c r="K57" i="102"/>
  <c r="K58" i="102"/>
  <c r="K59" i="102"/>
  <c r="K60" i="102"/>
  <c r="K56" i="103"/>
  <c r="K57" i="103"/>
  <c r="K58" i="103"/>
  <c r="K59" i="103"/>
  <c r="K60" i="103"/>
  <c r="K56" i="104"/>
  <c r="K57" i="104"/>
  <c r="K58" i="104"/>
  <c r="K59" i="104"/>
  <c r="K60" i="104"/>
  <c r="K54" i="105"/>
  <c r="K57" i="105"/>
  <c r="K58" i="105"/>
  <c r="K59" i="105"/>
  <c r="K60" i="105"/>
  <c r="K56" i="107"/>
  <c r="K57" i="107"/>
  <c r="K58" i="107"/>
  <c r="K59" i="107"/>
  <c r="K60" i="107"/>
  <c r="K56" i="72"/>
  <c r="K57" i="72"/>
  <c r="K58" i="72"/>
  <c r="K59" i="72"/>
  <c r="K60" i="72"/>
  <c r="E33" i="113" l="1"/>
  <c r="K23" i="113"/>
  <c r="K24" i="113"/>
  <c r="K25" i="113"/>
  <c r="K26" i="113"/>
  <c r="K27" i="113"/>
  <c r="K28" i="113"/>
  <c r="K29" i="113"/>
  <c r="K30" i="113"/>
  <c r="K31" i="113"/>
  <c r="F10" i="61" l="1"/>
  <c r="F10" i="62"/>
  <c r="F10" i="63"/>
  <c r="F10" i="64"/>
  <c r="F10" i="65"/>
  <c r="F10" i="66"/>
  <c r="F10" i="67"/>
  <c r="F10" i="68"/>
  <c r="F10" i="69"/>
  <c r="F10" i="70"/>
  <c r="F10" i="71"/>
  <c r="F10" i="3"/>
  <c r="F10" i="73"/>
  <c r="F10" i="74"/>
  <c r="F10" i="76"/>
  <c r="F10" i="77"/>
  <c r="F10" i="78"/>
  <c r="F10" i="79"/>
  <c r="F10" i="80"/>
  <c r="F10" i="108"/>
  <c r="F10" i="109"/>
  <c r="F10" i="81"/>
  <c r="F10" i="82"/>
  <c r="F10" i="83"/>
  <c r="F10" i="84"/>
  <c r="F10" i="85"/>
  <c r="F10" i="86"/>
  <c r="F10" i="87"/>
  <c r="F10" i="88"/>
  <c r="F10" i="89"/>
  <c r="F10" i="90"/>
  <c r="F10" i="91"/>
  <c r="F10" i="92"/>
  <c r="F10" i="93"/>
  <c r="F10" i="94"/>
  <c r="F10" i="95"/>
  <c r="F10" i="97"/>
  <c r="F10" i="98"/>
  <c r="F10" i="101"/>
  <c r="F10" i="102"/>
  <c r="F10" i="103"/>
  <c r="F10" i="104"/>
  <c r="F10" i="105"/>
  <c r="F10" i="106"/>
  <c r="F10" i="107"/>
  <c r="F10" i="72"/>
  <c r="H39" i="65" l="1"/>
  <c r="E19" i="61"/>
  <c r="E19" i="62"/>
  <c r="E19" i="63"/>
  <c r="E19" i="64"/>
  <c r="E19" i="67"/>
  <c r="E19" i="68"/>
  <c r="E19" i="69"/>
  <c r="E19" i="70"/>
  <c r="E19" i="76"/>
  <c r="E19" i="77"/>
  <c r="E19" i="79"/>
  <c r="E19" i="81"/>
  <c r="E19" i="85"/>
  <c r="E19" i="86"/>
  <c r="E19" i="87"/>
  <c r="E19" i="88"/>
  <c r="E19" i="90"/>
  <c r="E20" i="91"/>
  <c r="E20" i="92"/>
  <c r="E20" i="93"/>
  <c r="E19" i="94"/>
  <c r="E19" i="95"/>
  <c r="E19" i="97"/>
  <c r="E19" i="98"/>
  <c r="E19" i="101"/>
  <c r="E19" i="103"/>
  <c r="E19" i="104"/>
  <c r="E19" i="105"/>
  <c r="E19" i="106"/>
  <c r="E19" i="107"/>
  <c r="E18" i="108"/>
  <c r="E19" i="72"/>
  <c r="E12" i="61"/>
  <c r="E12" i="62"/>
  <c r="E12" i="63"/>
  <c r="E12" i="64"/>
  <c r="E12" i="65"/>
  <c r="E12" i="66"/>
  <c r="E12" i="67"/>
  <c r="E12" i="68"/>
  <c r="E12" i="69"/>
  <c r="E12" i="70"/>
  <c r="E12" i="71"/>
  <c r="E12" i="73"/>
  <c r="E12" i="74"/>
  <c r="E12" i="76"/>
  <c r="E12" i="77"/>
  <c r="E12" i="78"/>
  <c r="E12" i="79"/>
  <c r="E12" i="80"/>
  <c r="E12" i="81"/>
  <c r="E12" i="82"/>
  <c r="E12" i="83"/>
  <c r="E12" i="84"/>
  <c r="E12" i="85"/>
  <c r="E12" i="86"/>
  <c r="E12" i="87"/>
  <c r="E12" i="89"/>
  <c r="E12" i="90"/>
  <c r="E12" i="91"/>
  <c r="E12" i="92"/>
  <c r="E12" i="93"/>
  <c r="E12" i="94"/>
  <c r="E12" i="95"/>
  <c r="E12" i="97"/>
  <c r="E12" i="98"/>
  <c r="E12" i="101"/>
  <c r="E12" i="102"/>
  <c r="E12" i="103"/>
  <c r="E12" i="104"/>
  <c r="E12" i="105"/>
  <c r="E12" i="106"/>
  <c r="E12" i="107"/>
  <c r="E12" i="108"/>
  <c r="E12" i="109"/>
  <c r="E12" i="72"/>
  <c r="E12" i="3"/>
  <c r="E17" i="87" l="1"/>
  <c r="E18" i="87"/>
  <c r="F19" i="109"/>
  <c r="E18" i="90"/>
  <c r="E15" i="86"/>
  <c r="E17" i="85"/>
  <c r="E20" i="74"/>
  <c r="E18" i="3"/>
  <c r="F18" i="3"/>
  <c r="G18" i="3"/>
  <c r="H18" i="3"/>
  <c r="I18" i="3"/>
  <c r="J18" i="3"/>
  <c r="K18" i="3"/>
  <c r="E22" i="3"/>
  <c r="E19" i="71"/>
  <c r="E18" i="69"/>
  <c r="F19" i="69"/>
  <c r="G19" i="69"/>
  <c r="H19" i="69"/>
  <c r="I19" i="69"/>
  <c r="J19" i="69"/>
  <c r="K19" i="69"/>
  <c r="E20" i="69"/>
  <c r="F20" i="69"/>
  <c r="G20" i="69"/>
  <c r="H20" i="69"/>
  <c r="I20" i="69"/>
  <c r="J20" i="69"/>
  <c r="E20" i="67"/>
  <c r="F20" i="67"/>
  <c r="G20" i="67"/>
  <c r="H20" i="67"/>
  <c r="I20" i="67"/>
  <c r="J20" i="67"/>
  <c r="K20" i="67"/>
  <c r="E23" i="67"/>
  <c r="F23" i="67"/>
  <c r="G23" i="67"/>
  <c r="H23" i="67"/>
  <c r="I23" i="67"/>
  <c r="J23" i="67"/>
  <c r="K23" i="67"/>
  <c r="E24" i="67"/>
  <c r="F24" i="67"/>
  <c r="G24" i="67"/>
  <c r="H24" i="67"/>
  <c r="I24" i="67"/>
  <c r="J24" i="67"/>
  <c r="K24" i="67"/>
  <c r="E25" i="67"/>
  <c r="E22" i="67"/>
  <c r="E16" i="65"/>
  <c r="E17" i="65"/>
  <c r="F20" i="65"/>
  <c r="E19" i="65"/>
  <c r="E20" i="63"/>
  <c r="E15" i="64"/>
  <c r="E16" i="64"/>
  <c r="F22" i="63"/>
  <c r="E20" i="62"/>
  <c r="E22" i="62"/>
  <c r="E21" i="61"/>
  <c r="I72" i="109"/>
  <c r="F72" i="109"/>
  <c r="I71" i="109"/>
  <c r="F71" i="109"/>
  <c r="K70" i="109"/>
  <c r="I67" i="109"/>
  <c r="H67" i="109"/>
  <c r="K56" i="109"/>
  <c r="K55" i="109"/>
  <c r="J31" i="109"/>
  <c r="I31" i="109"/>
  <c r="H31" i="109"/>
  <c r="G31" i="109"/>
  <c r="F31" i="109"/>
  <c r="E31" i="109"/>
  <c r="J30" i="109"/>
  <c r="I30" i="109"/>
  <c r="H30" i="109"/>
  <c r="G30" i="109"/>
  <c r="F30" i="109"/>
  <c r="E30" i="109"/>
  <c r="J29" i="109"/>
  <c r="I29" i="109"/>
  <c r="H29" i="109"/>
  <c r="G29" i="109"/>
  <c r="F29" i="109"/>
  <c r="E29" i="109"/>
  <c r="J28" i="109"/>
  <c r="I28" i="109"/>
  <c r="H28" i="109"/>
  <c r="G28" i="109"/>
  <c r="F28" i="109"/>
  <c r="E28" i="109"/>
  <c r="J27" i="109"/>
  <c r="I27" i="109"/>
  <c r="H27" i="109"/>
  <c r="G27" i="109"/>
  <c r="F27" i="109"/>
  <c r="E27" i="109"/>
  <c r="J26" i="109"/>
  <c r="I26" i="109"/>
  <c r="H26" i="109"/>
  <c r="G26" i="109"/>
  <c r="F26" i="109"/>
  <c r="E26" i="109"/>
  <c r="J25" i="109"/>
  <c r="I25" i="109"/>
  <c r="H25" i="109"/>
  <c r="G25" i="109"/>
  <c r="F25" i="109"/>
  <c r="E25" i="109"/>
  <c r="E24" i="109"/>
  <c r="E22" i="109"/>
  <c r="E21" i="109"/>
  <c r="E20" i="109"/>
  <c r="E18" i="109"/>
  <c r="E17" i="109"/>
  <c r="E16" i="109"/>
  <c r="E15" i="109"/>
  <c r="E14" i="109"/>
  <c r="E13" i="109"/>
  <c r="E10" i="109"/>
  <c r="I71" i="108"/>
  <c r="F71" i="108"/>
  <c r="I70" i="108"/>
  <c r="F70" i="108"/>
  <c r="K69" i="108"/>
  <c r="I66" i="108"/>
  <c r="H66" i="108"/>
  <c r="K54" i="108"/>
  <c r="J30" i="108"/>
  <c r="I30" i="108"/>
  <c r="H30" i="108"/>
  <c r="G30" i="108"/>
  <c r="F30" i="108"/>
  <c r="E30" i="108"/>
  <c r="J29" i="108"/>
  <c r="I29" i="108"/>
  <c r="H29" i="108"/>
  <c r="G29" i="108"/>
  <c r="F29" i="108"/>
  <c r="E29" i="108"/>
  <c r="J28" i="108"/>
  <c r="I28" i="108"/>
  <c r="H28" i="108"/>
  <c r="G28" i="108"/>
  <c r="F28" i="108"/>
  <c r="E28" i="108"/>
  <c r="E27" i="108"/>
  <c r="J26" i="108"/>
  <c r="I26" i="108"/>
  <c r="H26" i="108"/>
  <c r="G26" i="108"/>
  <c r="F26" i="108"/>
  <c r="E26" i="108"/>
  <c r="E24" i="108"/>
  <c r="E23" i="108"/>
  <c r="E22" i="108"/>
  <c r="E20" i="108"/>
  <c r="E17" i="108"/>
  <c r="E15" i="108"/>
  <c r="E14" i="108"/>
  <c r="E13" i="108"/>
  <c r="E16" i="108"/>
  <c r="E10" i="108"/>
  <c r="I72" i="107"/>
  <c r="F72" i="107"/>
  <c r="I71" i="107"/>
  <c r="F71" i="107"/>
  <c r="I67" i="107"/>
  <c r="H67" i="107"/>
  <c r="K55" i="107"/>
  <c r="K54" i="107"/>
  <c r="K53" i="107"/>
  <c r="K52" i="107"/>
  <c r="K51" i="107"/>
  <c r="J31" i="107"/>
  <c r="I31" i="107"/>
  <c r="H31" i="107"/>
  <c r="G31" i="107"/>
  <c r="F31" i="107"/>
  <c r="E31" i="107"/>
  <c r="J30" i="107"/>
  <c r="I30" i="107"/>
  <c r="H30" i="107"/>
  <c r="G30" i="107"/>
  <c r="F30" i="107"/>
  <c r="E30" i="107"/>
  <c r="J29" i="107"/>
  <c r="I29" i="107"/>
  <c r="H29" i="107"/>
  <c r="G29" i="107"/>
  <c r="F29" i="107"/>
  <c r="E29" i="107"/>
  <c r="J28" i="107"/>
  <c r="I28" i="107"/>
  <c r="H28" i="107"/>
  <c r="G28" i="107"/>
  <c r="F28" i="107"/>
  <c r="E28" i="107"/>
  <c r="J27" i="107"/>
  <c r="I27" i="107"/>
  <c r="H27" i="107"/>
  <c r="G27" i="107"/>
  <c r="F27" i="107"/>
  <c r="E27" i="107"/>
  <c r="J26" i="107"/>
  <c r="I26" i="107"/>
  <c r="H26" i="107"/>
  <c r="G26" i="107"/>
  <c r="F26" i="107"/>
  <c r="E26" i="107"/>
  <c r="J25" i="107"/>
  <c r="I25" i="107"/>
  <c r="H25" i="107"/>
  <c r="G25" i="107"/>
  <c r="F25" i="107"/>
  <c r="E25" i="107"/>
  <c r="J24" i="107"/>
  <c r="I24" i="107"/>
  <c r="H24" i="107"/>
  <c r="G24" i="107"/>
  <c r="F24" i="107"/>
  <c r="E24" i="107"/>
  <c r="J23" i="107"/>
  <c r="I23" i="107"/>
  <c r="H23" i="107"/>
  <c r="G23" i="107"/>
  <c r="F23" i="107"/>
  <c r="E23" i="107"/>
  <c r="J22" i="107"/>
  <c r="I22" i="107"/>
  <c r="H22" i="107"/>
  <c r="G22" i="107"/>
  <c r="F22" i="107"/>
  <c r="E22" i="107"/>
  <c r="J21" i="107"/>
  <c r="I21" i="107"/>
  <c r="H21" i="107"/>
  <c r="G21" i="107"/>
  <c r="F21" i="107"/>
  <c r="E21" i="107"/>
  <c r="J20" i="107"/>
  <c r="I20" i="107"/>
  <c r="H20" i="107"/>
  <c r="G20" i="107"/>
  <c r="F20" i="107"/>
  <c r="E20" i="107"/>
  <c r="J19" i="107"/>
  <c r="I19" i="107"/>
  <c r="H19" i="107"/>
  <c r="G19" i="107"/>
  <c r="F19" i="107"/>
  <c r="J18" i="107"/>
  <c r="I18" i="107"/>
  <c r="H18" i="107"/>
  <c r="G18" i="107"/>
  <c r="F18" i="107"/>
  <c r="E18" i="107"/>
  <c r="K18" i="107" s="1"/>
  <c r="J16" i="107"/>
  <c r="I16" i="107"/>
  <c r="H16" i="107"/>
  <c r="G16" i="107"/>
  <c r="F16" i="107"/>
  <c r="E16" i="107"/>
  <c r="K16" i="107" s="1"/>
  <c r="J15" i="107"/>
  <c r="I15" i="107"/>
  <c r="H15" i="107"/>
  <c r="G15" i="107"/>
  <c r="F15" i="107"/>
  <c r="E15" i="107"/>
  <c r="K15" i="107" s="1"/>
  <c r="E14" i="107"/>
  <c r="E10" i="107"/>
  <c r="I72" i="106"/>
  <c r="F72" i="106"/>
  <c r="I71" i="106"/>
  <c r="F71" i="106"/>
  <c r="I67" i="106"/>
  <c r="H67" i="106"/>
  <c r="J31" i="106"/>
  <c r="I31" i="106"/>
  <c r="H31" i="106"/>
  <c r="G31" i="106"/>
  <c r="F31" i="106"/>
  <c r="E31" i="106"/>
  <c r="J30" i="106"/>
  <c r="I30" i="106"/>
  <c r="H30" i="106"/>
  <c r="G30" i="106"/>
  <c r="F30" i="106"/>
  <c r="E30" i="106"/>
  <c r="J29" i="106"/>
  <c r="I29" i="106"/>
  <c r="H29" i="106"/>
  <c r="G29" i="106"/>
  <c r="F29" i="106"/>
  <c r="E29" i="106"/>
  <c r="J28" i="106"/>
  <c r="I28" i="106"/>
  <c r="H28" i="106"/>
  <c r="G28" i="106"/>
  <c r="F28" i="106"/>
  <c r="E28" i="106"/>
  <c r="J27" i="106"/>
  <c r="I27" i="106"/>
  <c r="H27" i="106"/>
  <c r="G27" i="106"/>
  <c r="F27" i="106"/>
  <c r="E27" i="106"/>
  <c r="J26" i="106"/>
  <c r="I26" i="106"/>
  <c r="H26" i="106"/>
  <c r="G26" i="106"/>
  <c r="F26" i="106"/>
  <c r="E26" i="106"/>
  <c r="J25" i="106"/>
  <c r="I25" i="106"/>
  <c r="H25" i="106"/>
  <c r="G25" i="106"/>
  <c r="F25" i="106"/>
  <c r="E25" i="106"/>
  <c r="J24" i="106"/>
  <c r="I24" i="106"/>
  <c r="H24" i="106"/>
  <c r="G24" i="106"/>
  <c r="F24" i="106"/>
  <c r="E24" i="106"/>
  <c r="J23" i="106"/>
  <c r="I23" i="106"/>
  <c r="H23" i="106"/>
  <c r="G23" i="106"/>
  <c r="F23" i="106"/>
  <c r="E23" i="106"/>
  <c r="J22" i="106"/>
  <c r="I22" i="106"/>
  <c r="H22" i="106"/>
  <c r="G22" i="106"/>
  <c r="F22" i="106"/>
  <c r="E22" i="106"/>
  <c r="E20" i="106"/>
  <c r="J19" i="106"/>
  <c r="I19" i="106"/>
  <c r="H19" i="106"/>
  <c r="G19" i="106"/>
  <c r="F19" i="106"/>
  <c r="K19" i="106"/>
  <c r="E18" i="106"/>
  <c r="E17" i="106"/>
  <c r="E16" i="106"/>
  <c r="E15" i="106"/>
  <c r="E14" i="106"/>
  <c r="E13" i="106"/>
  <c r="E10" i="106"/>
  <c r="I72" i="105"/>
  <c r="I71" i="105"/>
  <c r="I67" i="105"/>
  <c r="H67" i="105"/>
  <c r="K53" i="105"/>
  <c r="K52" i="105"/>
  <c r="K51" i="105"/>
  <c r="J25" i="105"/>
  <c r="I25" i="105"/>
  <c r="H25" i="105"/>
  <c r="G25" i="105"/>
  <c r="F25" i="105"/>
  <c r="E25" i="105"/>
  <c r="J24" i="105"/>
  <c r="I24" i="105"/>
  <c r="H24" i="105"/>
  <c r="G24" i="105"/>
  <c r="F24" i="105"/>
  <c r="E24" i="105"/>
  <c r="E23" i="105"/>
  <c r="E21" i="105"/>
  <c r="E20" i="105"/>
  <c r="E18" i="105"/>
  <c r="E17" i="105"/>
  <c r="E16" i="105"/>
  <c r="E15" i="105"/>
  <c r="E14" i="105"/>
  <c r="E13" i="105"/>
  <c r="E10" i="105"/>
  <c r="I72" i="104"/>
  <c r="I71" i="104"/>
  <c r="I67" i="104"/>
  <c r="H67" i="104"/>
  <c r="K55" i="104"/>
  <c r="K54" i="104"/>
  <c r="K53" i="104"/>
  <c r="K52" i="104"/>
  <c r="K51" i="104"/>
  <c r="J31" i="104"/>
  <c r="I31" i="104"/>
  <c r="H31" i="104"/>
  <c r="G31" i="104"/>
  <c r="F31" i="104"/>
  <c r="E31" i="104"/>
  <c r="J30" i="104"/>
  <c r="I30" i="104"/>
  <c r="H30" i="104"/>
  <c r="G30" i="104"/>
  <c r="F30" i="104"/>
  <c r="E30" i="104"/>
  <c r="J29" i="104"/>
  <c r="I29" i="104"/>
  <c r="H29" i="104"/>
  <c r="G29" i="104"/>
  <c r="F29" i="104"/>
  <c r="E29" i="104"/>
  <c r="J28" i="104"/>
  <c r="I28" i="104"/>
  <c r="H28" i="104"/>
  <c r="G28" i="104"/>
  <c r="F28" i="104"/>
  <c r="E28" i="104"/>
  <c r="J27" i="104"/>
  <c r="I27" i="104"/>
  <c r="H27" i="104"/>
  <c r="G27" i="104"/>
  <c r="F27" i="104"/>
  <c r="E27" i="104"/>
  <c r="J26" i="104"/>
  <c r="I26" i="104"/>
  <c r="H26" i="104"/>
  <c r="G26" i="104"/>
  <c r="F26" i="104"/>
  <c r="E26" i="104"/>
  <c r="J25" i="104"/>
  <c r="I25" i="104"/>
  <c r="H25" i="104"/>
  <c r="G25" i="104"/>
  <c r="F25" i="104"/>
  <c r="E25" i="104"/>
  <c r="J24" i="104"/>
  <c r="I24" i="104"/>
  <c r="H24" i="104"/>
  <c r="G24" i="104"/>
  <c r="F24" i="104"/>
  <c r="E24" i="104"/>
  <c r="J23" i="104"/>
  <c r="I23" i="104"/>
  <c r="H23" i="104"/>
  <c r="G23" i="104"/>
  <c r="F23" i="104"/>
  <c r="E23" i="104"/>
  <c r="E21" i="104"/>
  <c r="J20" i="104"/>
  <c r="I20" i="104"/>
  <c r="H20" i="104"/>
  <c r="G20" i="104"/>
  <c r="F20" i="104"/>
  <c r="E20" i="104"/>
  <c r="K20" i="104" s="1"/>
  <c r="E17" i="104"/>
  <c r="E18" i="104"/>
  <c r="E16" i="104"/>
  <c r="E15" i="104"/>
  <c r="E14" i="104"/>
  <c r="E13" i="104"/>
  <c r="E10" i="104"/>
  <c r="I72" i="103"/>
  <c r="F72" i="103"/>
  <c r="I71" i="103"/>
  <c r="F71" i="103"/>
  <c r="I67" i="103"/>
  <c r="H67" i="103"/>
  <c r="K55" i="103"/>
  <c r="K54" i="103"/>
  <c r="K53" i="103"/>
  <c r="K52" i="103"/>
  <c r="K51" i="103"/>
  <c r="J31" i="103"/>
  <c r="I31" i="103"/>
  <c r="H31" i="103"/>
  <c r="G31" i="103"/>
  <c r="F31" i="103"/>
  <c r="E31" i="103"/>
  <c r="J30" i="103"/>
  <c r="I30" i="103"/>
  <c r="H30" i="103"/>
  <c r="G30" i="103"/>
  <c r="F30" i="103"/>
  <c r="E30" i="103"/>
  <c r="J29" i="103"/>
  <c r="I29" i="103"/>
  <c r="H29" i="103"/>
  <c r="G29" i="103"/>
  <c r="F29" i="103"/>
  <c r="E29" i="103"/>
  <c r="J28" i="103"/>
  <c r="I28" i="103"/>
  <c r="H28" i="103"/>
  <c r="G28" i="103"/>
  <c r="F28" i="103"/>
  <c r="E28" i="103"/>
  <c r="J27" i="103"/>
  <c r="I27" i="103"/>
  <c r="H27" i="103"/>
  <c r="G27" i="103"/>
  <c r="F27" i="103"/>
  <c r="E27" i="103"/>
  <c r="J26" i="103"/>
  <c r="I26" i="103"/>
  <c r="H26" i="103"/>
  <c r="G26" i="103"/>
  <c r="F26" i="103"/>
  <c r="E26" i="103"/>
  <c r="J25" i="103"/>
  <c r="I25" i="103"/>
  <c r="H25" i="103"/>
  <c r="G25" i="103"/>
  <c r="F25" i="103"/>
  <c r="E25" i="103"/>
  <c r="J24" i="103"/>
  <c r="I24" i="103"/>
  <c r="H24" i="103"/>
  <c r="G24" i="103"/>
  <c r="F24" i="103"/>
  <c r="E24" i="103"/>
  <c r="J23" i="103"/>
  <c r="I23" i="103"/>
  <c r="H23" i="103"/>
  <c r="G23" i="103"/>
  <c r="F23" i="103"/>
  <c r="E23" i="103"/>
  <c r="J22" i="103"/>
  <c r="I22" i="103"/>
  <c r="H22" i="103"/>
  <c r="G22" i="103"/>
  <c r="F22" i="103"/>
  <c r="E22" i="103"/>
  <c r="J21" i="103"/>
  <c r="I21" i="103"/>
  <c r="H21" i="103"/>
  <c r="G21" i="103"/>
  <c r="F21" i="103"/>
  <c r="E21" i="103"/>
  <c r="J20" i="103"/>
  <c r="I20" i="103"/>
  <c r="H20" i="103"/>
  <c r="G20" i="103"/>
  <c r="F20" i="103"/>
  <c r="E20" i="103"/>
  <c r="J19" i="103"/>
  <c r="I19" i="103"/>
  <c r="H19" i="103"/>
  <c r="G19" i="103"/>
  <c r="F19" i="103"/>
  <c r="J18" i="103"/>
  <c r="I18" i="103"/>
  <c r="H18" i="103"/>
  <c r="G18" i="103"/>
  <c r="F18" i="103"/>
  <c r="E18" i="103"/>
  <c r="J17" i="103"/>
  <c r="I17" i="103"/>
  <c r="H17" i="103"/>
  <c r="G17" i="103"/>
  <c r="F17" i="103"/>
  <c r="E17" i="103"/>
  <c r="E15" i="103"/>
  <c r="J14" i="103"/>
  <c r="I14" i="103"/>
  <c r="H14" i="103"/>
  <c r="G14" i="103"/>
  <c r="F14" i="103"/>
  <c r="E14" i="103"/>
  <c r="K14" i="103" s="1"/>
  <c r="E13" i="103"/>
  <c r="E10" i="103"/>
  <c r="I72" i="102"/>
  <c r="F72" i="102"/>
  <c r="I71" i="102"/>
  <c r="F71" i="102"/>
  <c r="I67" i="102"/>
  <c r="H67" i="102"/>
  <c r="K53" i="102"/>
  <c r="J31" i="102"/>
  <c r="I31" i="102"/>
  <c r="H31" i="102"/>
  <c r="G31" i="102"/>
  <c r="F31" i="102"/>
  <c r="E31" i="102"/>
  <c r="J30" i="102"/>
  <c r="I30" i="102"/>
  <c r="H30" i="102"/>
  <c r="G30" i="102"/>
  <c r="F30" i="102"/>
  <c r="E30" i="102"/>
  <c r="J29" i="102"/>
  <c r="I29" i="102"/>
  <c r="H29" i="102"/>
  <c r="G29" i="102"/>
  <c r="F29" i="102"/>
  <c r="E29" i="102"/>
  <c r="J28" i="102"/>
  <c r="I28" i="102"/>
  <c r="H28" i="102"/>
  <c r="G28" i="102"/>
  <c r="F28" i="102"/>
  <c r="E28" i="102"/>
  <c r="J27" i="102"/>
  <c r="I27" i="102"/>
  <c r="H27" i="102"/>
  <c r="G27" i="102"/>
  <c r="F27" i="102"/>
  <c r="E27" i="102"/>
  <c r="J26" i="102"/>
  <c r="I26" i="102"/>
  <c r="H26" i="102"/>
  <c r="G26" i="102"/>
  <c r="F26" i="102"/>
  <c r="E26" i="102"/>
  <c r="J25" i="102"/>
  <c r="I25" i="102"/>
  <c r="H25" i="102"/>
  <c r="G25" i="102"/>
  <c r="F25" i="102"/>
  <c r="E25" i="102"/>
  <c r="J24" i="102"/>
  <c r="I24" i="102"/>
  <c r="H24" i="102"/>
  <c r="G24" i="102"/>
  <c r="F24" i="102"/>
  <c r="E24" i="102"/>
  <c r="J23" i="102"/>
  <c r="I23" i="102"/>
  <c r="H23" i="102"/>
  <c r="G23" i="102"/>
  <c r="F23" i="102"/>
  <c r="E23" i="102"/>
  <c r="J22" i="102"/>
  <c r="I22" i="102"/>
  <c r="H22" i="102"/>
  <c r="G22" i="102"/>
  <c r="F22" i="102"/>
  <c r="E22" i="102"/>
  <c r="J21" i="102"/>
  <c r="I21" i="102"/>
  <c r="H21" i="102"/>
  <c r="G21" i="102"/>
  <c r="F21" i="102"/>
  <c r="E21" i="102"/>
  <c r="J20" i="102"/>
  <c r="I20" i="102"/>
  <c r="H20" i="102"/>
  <c r="G20" i="102"/>
  <c r="F20" i="102"/>
  <c r="E20" i="102"/>
  <c r="E18" i="102"/>
  <c r="J17" i="102"/>
  <c r="H17" i="102"/>
  <c r="F17" i="102"/>
  <c r="E17" i="102"/>
  <c r="E16" i="102"/>
  <c r="E15" i="102"/>
  <c r="E14" i="102"/>
  <c r="E13" i="102"/>
  <c r="E10" i="102"/>
  <c r="I72" i="101"/>
  <c r="F72" i="101"/>
  <c r="I71" i="101"/>
  <c r="F71" i="101"/>
  <c r="I67" i="101"/>
  <c r="H67" i="101"/>
  <c r="K55" i="101"/>
  <c r="K54" i="101"/>
  <c r="K53" i="101"/>
  <c r="K52" i="101"/>
  <c r="K49" i="101"/>
  <c r="J31" i="101"/>
  <c r="I31" i="101"/>
  <c r="H31" i="101"/>
  <c r="G31" i="101"/>
  <c r="F31" i="101"/>
  <c r="E31" i="101"/>
  <c r="J30" i="101"/>
  <c r="I30" i="101"/>
  <c r="H30" i="101"/>
  <c r="G30" i="101"/>
  <c r="F30" i="101"/>
  <c r="E30" i="101"/>
  <c r="J29" i="101"/>
  <c r="I29" i="101"/>
  <c r="H29" i="101"/>
  <c r="G29" i="101"/>
  <c r="F29" i="101"/>
  <c r="E29" i="101"/>
  <c r="J28" i="101"/>
  <c r="I28" i="101"/>
  <c r="H28" i="101"/>
  <c r="G28" i="101"/>
  <c r="F28" i="101"/>
  <c r="E28" i="101"/>
  <c r="J27" i="101"/>
  <c r="I27" i="101"/>
  <c r="H27" i="101"/>
  <c r="G27" i="101"/>
  <c r="F27" i="101"/>
  <c r="E27" i="101"/>
  <c r="J26" i="101"/>
  <c r="I26" i="101"/>
  <c r="H26" i="101"/>
  <c r="G26" i="101"/>
  <c r="F26" i="101"/>
  <c r="E26" i="101"/>
  <c r="J25" i="101"/>
  <c r="I25" i="101"/>
  <c r="H25" i="101"/>
  <c r="G25" i="101"/>
  <c r="F25" i="101"/>
  <c r="E25" i="101"/>
  <c r="J24" i="101"/>
  <c r="I24" i="101"/>
  <c r="H24" i="101"/>
  <c r="G24" i="101"/>
  <c r="F24" i="101"/>
  <c r="E24" i="101"/>
  <c r="J23" i="101"/>
  <c r="I23" i="101"/>
  <c r="H23" i="101"/>
  <c r="G23" i="101"/>
  <c r="F23" i="101"/>
  <c r="E23" i="101"/>
  <c r="J22" i="101"/>
  <c r="I22" i="101"/>
  <c r="H22" i="101"/>
  <c r="G22" i="101"/>
  <c r="F22" i="101"/>
  <c r="E22" i="101"/>
  <c r="J21" i="101"/>
  <c r="I21" i="101"/>
  <c r="H21" i="101"/>
  <c r="G21" i="101"/>
  <c r="F21" i="101"/>
  <c r="E21" i="101"/>
  <c r="J20" i="101"/>
  <c r="I20" i="101"/>
  <c r="H20" i="101"/>
  <c r="G20" i="101"/>
  <c r="F20" i="101"/>
  <c r="E20" i="101"/>
  <c r="J19" i="101"/>
  <c r="I19" i="101"/>
  <c r="H19" i="101"/>
  <c r="G19" i="101"/>
  <c r="F19" i="101"/>
  <c r="J18" i="101"/>
  <c r="I18" i="101"/>
  <c r="H18" i="101"/>
  <c r="G18" i="101"/>
  <c r="F18" i="101"/>
  <c r="E18" i="101"/>
  <c r="E16" i="101"/>
  <c r="E15" i="101"/>
  <c r="E14" i="101"/>
  <c r="E13" i="101"/>
  <c r="E10" i="101"/>
  <c r="E13" i="98"/>
  <c r="E14" i="98"/>
  <c r="I73" i="98"/>
  <c r="F73" i="98"/>
  <c r="I72" i="98"/>
  <c r="F72" i="98"/>
  <c r="K71" i="98"/>
  <c r="I68" i="98"/>
  <c r="H68" i="98"/>
  <c r="K55" i="98"/>
  <c r="K54" i="98"/>
  <c r="K53" i="98"/>
  <c r="J31" i="98"/>
  <c r="I31" i="98"/>
  <c r="H31" i="98"/>
  <c r="G31" i="98"/>
  <c r="F31" i="98"/>
  <c r="E31" i="98"/>
  <c r="J30" i="98"/>
  <c r="I30" i="98"/>
  <c r="H30" i="98"/>
  <c r="G30" i="98"/>
  <c r="F30" i="98"/>
  <c r="E30" i="98"/>
  <c r="J29" i="98"/>
  <c r="I29" i="98"/>
  <c r="H29" i="98"/>
  <c r="G29" i="98"/>
  <c r="F29" i="98"/>
  <c r="E29" i="98"/>
  <c r="J28" i="98"/>
  <c r="I28" i="98"/>
  <c r="H28" i="98"/>
  <c r="G28" i="98"/>
  <c r="F28" i="98"/>
  <c r="E28" i="98"/>
  <c r="J27" i="98"/>
  <c r="I27" i="98"/>
  <c r="H27" i="98"/>
  <c r="G27" i="98"/>
  <c r="F27" i="98"/>
  <c r="E27" i="98"/>
  <c r="J26" i="98"/>
  <c r="I26" i="98"/>
  <c r="H26" i="98"/>
  <c r="G26" i="98"/>
  <c r="F26" i="98"/>
  <c r="E26" i="98"/>
  <c r="J25" i="98"/>
  <c r="I25" i="98"/>
  <c r="H25" i="98"/>
  <c r="G25" i="98"/>
  <c r="F25" i="98"/>
  <c r="E25" i="98"/>
  <c r="J24" i="98"/>
  <c r="I24" i="98"/>
  <c r="H24" i="98"/>
  <c r="G24" i="98"/>
  <c r="F24" i="98"/>
  <c r="E24" i="98"/>
  <c r="J23" i="98"/>
  <c r="I23" i="98"/>
  <c r="H23" i="98"/>
  <c r="G23" i="98"/>
  <c r="F23" i="98"/>
  <c r="E23" i="98"/>
  <c r="J22" i="98"/>
  <c r="I22" i="98"/>
  <c r="H22" i="98"/>
  <c r="G22" i="98"/>
  <c r="F22" i="98"/>
  <c r="E22" i="98"/>
  <c r="J21" i="98"/>
  <c r="I21" i="98"/>
  <c r="H21" i="98"/>
  <c r="G21" i="98"/>
  <c r="F21" i="98"/>
  <c r="E21" i="98"/>
  <c r="J20" i="98"/>
  <c r="I20" i="98"/>
  <c r="H20" i="98"/>
  <c r="G20" i="98"/>
  <c r="F20" i="98"/>
  <c r="E20" i="98"/>
  <c r="J16" i="98"/>
  <c r="I16" i="98"/>
  <c r="H16" i="98"/>
  <c r="G16" i="98"/>
  <c r="F16" i="98"/>
  <c r="E16" i="98"/>
  <c r="K16" i="98" s="1"/>
  <c r="E15" i="98"/>
  <c r="E10" i="98"/>
  <c r="I74" i="97"/>
  <c r="F74" i="97"/>
  <c r="I73" i="97"/>
  <c r="F73" i="97"/>
  <c r="K72" i="97"/>
  <c r="I69" i="97"/>
  <c r="H69" i="97"/>
  <c r="K57" i="97"/>
  <c r="K56" i="97"/>
  <c r="K55" i="97"/>
  <c r="K54" i="97"/>
  <c r="K53" i="97"/>
  <c r="J31" i="97"/>
  <c r="I31" i="97"/>
  <c r="H31" i="97"/>
  <c r="G31" i="97"/>
  <c r="F31" i="97"/>
  <c r="E31" i="97"/>
  <c r="J30" i="97"/>
  <c r="I30" i="97"/>
  <c r="H30" i="97"/>
  <c r="G30" i="97"/>
  <c r="F30" i="97"/>
  <c r="E30" i="97"/>
  <c r="J29" i="97"/>
  <c r="I29" i="97"/>
  <c r="H29" i="97"/>
  <c r="G29" i="97"/>
  <c r="F29" i="97"/>
  <c r="E29" i="97"/>
  <c r="J28" i="97"/>
  <c r="I28" i="97"/>
  <c r="H28" i="97"/>
  <c r="G28" i="97"/>
  <c r="F28" i="97"/>
  <c r="E28" i="97"/>
  <c r="J27" i="97"/>
  <c r="I27" i="97"/>
  <c r="H27" i="97"/>
  <c r="G27" i="97"/>
  <c r="F27" i="97"/>
  <c r="E27" i="97"/>
  <c r="J26" i="97"/>
  <c r="I26" i="97"/>
  <c r="H26" i="97"/>
  <c r="G26" i="97"/>
  <c r="F26" i="97"/>
  <c r="E26" i="97"/>
  <c r="J25" i="97"/>
  <c r="I25" i="97"/>
  <c r="H25" i="97"/>
  <c r="G25" i="97"/>
  <c r="F25" i="97"/>
  <c r="E25" i="97"/>
  <c r="J24" i="97"/>
  <c r="I24" i="97"/>
  <c r="H24" i="97"/>
  <c r="G24" i="97"/>
  <c r="F24" i="97"/>
  <c r="E24" i="97"/>
  <c r="J23" i="97"/>
  <c r="I23" i="97"/>
  <c r="H23" i="97"/>
  <c r="G23" i="97"/>
  <c r="F23" i="97"/>
  <c r="E23" i="97"/>
  <c r="J22" i="97"/>
  <c r="I22" i="97"/>
  <c r="H22" i="97"/>
  <c r="G22" i="97"/>
  <c r="F22" i="97"/>
  <c r="E22" i="97"/>
  <c r="J21" i="97"/>
  <c r="I21" i="97"/>
  <c r="H21" i="97"/>
  <c r="G21" i="97"/>
  <c r="F21" i="97"/>
  <c r="E21" i="97"/>
  <c r="J20" i="97"/>
  <c r="I20" i="97"/>
  <c r="H20" i="97"/>
  <c r="G20" i="97"/>
  <c r="F20" i="97"/>
  <c r="E20" i="97"/>
  <c r="J16" i="97"/>
  <c r="I16" i="97"/>
  <c r="H16" i="97"/>
  <c r="G16" i="97"/>
  <c r="F16" i="97"/>
  <c r="E16" i="97"/>
  <c r="K16" i="97" s="1"/>
  <c r="E15" i="97"/>
  <c r="E14" i="97"/>
  <c r="E13" i="97"/>
  <c r="E10" i="97"/>
  <c r="I73" i="95"/>
  <c r="F73" i="95"/>
  <c r="I72" i="95"/>
  <c r="F72" i="95"/>
  <c r="K71" i="95"/>
  <c r="I68" i="95"/>
  <c r="H68" i="95"/>
  <c r="K56" i="95"/>
  <c r="K55" i="95"/>
  <c r="K54" i="95"/>
  <c r="J31" i="95"/>
  <c r="I31" i="95"/>
  <c r="H31" i="95"/>
  <c r="G31" i="95"/>
  <c r="F31" i="95"/>
  <c r="E31" i="95"/>
  <c r="J30" i="95"/>
  <c r="I30" i="95"/>
  <c r="H30" i="95"/>
  <c r="G30" i="95"/>
  <c r="F30" i="95"/>
  <c r="E30" i="95"/>
  <c r="J29" i="95"/>
  <c r="I29" i="95"/>
  <c r="H29" i="95"/>
  <c r="G29" i="95"/>
  <c r="F29" i="95"/>
  <c r="E29" i="95"/>
  <c r="J28" i="95"/>
  <c r="I28" i="95"/>
  <c r="H28" i="95"/>
  <c r="G28" i="95"/>
  <c r="F28" i="95"/>
  <c r="E28" i="95"/>
  <c r="J27" i="95"/>
  <c r="I27" i="95"/>
  <c r="H27" i="95"/>
  <c r="G27" i="95"/>
  <c r="F27" i="95"/>
  <c r="E27" i="95"/>
  <c r="J26" i="95"/>
  <c r="I26" i="95"/>
  <c r="H26" i="95"/>
  <c r="G26" i="95"/>
  <c r="F26" i="95"/>
  <c r="E26" i="95"/>
  <c r="J25" i="95"/>
  <c r="I25" i="95"/>
  <c r="H25" i="95"/>
  <c r="G25" i="95"/>
  <c r="F25" i="95"/>
  <c r="E25" i="95"/>
  <c r="J24" i="95"/>
  <c r="I24" i="95"/>
  <c r="H24" i="95"/>
  <c r="G24" i="95"/>
  <c r="F24" i="95"/>
  <c r="E24" i="95"/>
  <c r="J23" i="95"/>
  <c r="I23" i="95"/>
  <c r="H23" i="95"/>
  <c r="G23" i="95"/>
  <c r="F23" i="95"/>
  <c r="E23" i="95"/>
  <c r="J22" i="95"/>
  <c r="I22" i="95"/>
  <c r="H22" i="95"/>
  <c r="G22" i="95"/>
  <c r="F22" i="95"/>
  <c r="E22" i="95"/>
  <c r="J21" i="95"/>
  <c r="I21" i="95"/>
  <c r="H21" i="95"/>
  <c r="G21" i="95"/>
  <c r="F21" i="95"/>
  <c r="E21" i="95"/>
  <c r="J18" i="95"/>
  <c r="I18" i="95"/>
  <c r="H18" i="95"/>
  <c r="G18" i="95"/>
  <c r="F18" i="95"/>
  <c r="E18" i="95"/>
  <c r="K18" i="95" s="1"/>
  <c r="E17" i="95"/>
  <c r="E15" i="95"/>
  <c r="E14" i="95"/>
  <c r="E13" i="95"/>
  <c r="E10" i="95"/>
  <c r="I73" i="94"/>
  <c r="F73" i="94"/>
  <c r="I72" i="94"/>
  <c r="F72" i="94"/>
  <c r="K71" i="94"/>
  <c r="I68" i="94"/>
  <c r="H68" i="94"/>
  <c r="K55" i="94"/>
  <c r="K54" i="94"/>
  <c r="K53" i="94"/>
  <c r="K52" i="94"/>
  <c r="K51" i="94"/>
  <c r="K50" i="94"/>
  <c r="J31" i="94"/>
  <c r="I31" i="94"/>
  <c r="H31" i="94"/>
  <c r="G31" i="94"/>
  <c r="F31" i="94"/>
  <c r="E31" i="94"/>
  <c r="J30" i="94"/>
  <c r="I30" i="94"/>
  <c r="H30" i="94"/>
  <c r="G30" i="94"/>
  <c r="F30" i="94"/>
  <c r="E30" i="94"/>
  <c r="J29" i="94"/>
  <c r="I29" i="94"/>
  <c r="H29" i="94"/>
  <c r="G29" i="94"/>
  <c r="F29" i="94"/>
  <c r="E29" i="94"/>
  <c r="J28" i="94"/>
  <c r="I28" i="94"/>
  <c r="H28" i="94"/>
  <c r="G28" i="94"/>
  <c r="F28" i="94"/>
  <c r="E28" i="94"/>
  <c r="J27" i="94"/>
  <c r="I27" i="94"/>
  <c r="H27" i="94"/>
  <c r="G27" i="94"/>
  <c r="F27" i="94"/>
  <c r="E27" i="94"/>
  <c r="J26" i="94"/>
  <c r="I26" i="94"/>
  <c r="H26" i="94"/>
  <c r="G26" i="94"/>
  <c r="F26" i="94"/>
  <c r="E26" i="94"/>
  <c r="J25" i="94"/>
  <c r="I25" i="94"/>
  <c r="H25" i="94"/>
  <c r="G25" i="94"/>
  <c r="F25" i="94"/>
  <c r="E25" i="94"/>
  <c r="J24" i="94"/>
  <c r="I24" i="94"/>
  <c r="H24" i="94"/>
  <c r="G24" i="94"/>
  <c r="F24" i="94"/>
  <c r="E24" i="94"/>
  <c r="J23" i="94"/>
  <c r="I23" i="94"/>
  <c r="H23" i="94"/>
  <c r="G23" i="94"/>
  <c r="F23" i="94"/>
  <c r="E23" i="94"/>
  <c r="J22" i="94"/>
  <c r="I22" i="94"/>
  <c r="H22" i="94"/>
  <c r="G22" i="94"/>
  <c r="F22" i="94"/>
  <c r="E22" i="94"/>
  <c r="J21" i="94"/>
  <c r="I21" i="94"/>
  <c r="H21" i="94"/>
  <c r="G21" i="94"/>
  <c r="F21" i="94"/>
  <c r="E21" i="94"/>
  <c r="J18" i="94"/>
  <c r="I18" i="94"/>
  <c r="H18" i="94"/>
  <c r="G18" i="94"/>
  <c r="F18" i="94"/>
  <c r="E18" i="94"/>
  <c r="K18" i="94" s="1"/>
  <c r="E17" i="94"/>
  <c r="E15" i="94"/>
  <c r="E14" i="94"/>
  <c r="E13" i="94"/>
  <c r="E10" i="94"/>
  <c r="I76" i="93"/>
  <c r="F76" i="93"/>
  <c r="I75" i="93"/>
  <c r="I71" i="93"/>
  <c r="H71" i="93"/>
  <c r="K59" i="93"/>
  <c r="K58" i="93"/>
  <c r="K57" i="93"/>
  <c r="K56" i="93"/>
  <c r="K55" i="93"/>
  <c r="K54" i="93"/>
  <c r="K52" i="93"/>
  <c r="J32" i="93"/>
  <c r="I32" i="93"/>
  <c r="H32" i="93"/>
  <c r="G32" i="93"/>
  <c r="F32" i="93"/>
  <c r="E32" i="93"/>
  <c r="J31" i="93"/>
  <c r="I31" i="93"/>
  <c r="H31" i="93"/>
  <c r="G31" i="93"/>
  <c r="F31" i="93"/>
  <c r="E31" i="93"/>
  <c r="J30" i="93"/>
  <c r="I30" i="93"/>
  <c r="H30" i="93"/>
  <c r="G30" i="93"/>
  <c r="F30" i="93"/>
  <c r="E30" i="93"/>
  <c r="J29" i="93"/>
  <c r="I29" i="93"/>
  <c r="H29" i="93"/>
  <c r="G29" i="93"/>
  <c r="F29" i="93"/>
  <c r="E29" i="93"/>
  <c r="J28" i="93"/>
  <c r="I28" i="93"/>
  <c r="H28" i="93"/>
  <c r="G28" i="93"/>
  <c r="F28" i="93"/>
  <c r="E28" i="93"/>
  <c r="J27" i="93"/>
  <c r="I27" i="93"/>
  <c r="H27" i="93"/>
  <c r="G27" i="93"/>
  <c r="F27" i="93"/>
  <c r="E27" i="93"/>
  <c r="J26" i="93"/>
  <c r="I26" i="93"/>
  <c r="H26" i="93"/>
  <c r="G26" i="93"/>
  <c r="F26" i="93"/>
  <c r="E26" i="93"/>
  <c r="J25" i="93"/>
  <c r="I25" i="93"/>
  <c r="H25" i="93"/>
  <c r="G25" i="93"/>
  <c r="F25" i="93"/>
  <c r="E25" i="93"/>
  <c r="J24" i="93"/>
  <c r="I24" i="93"/>
  <c r="H24" i="93"/>
  <c r="G24" i="93"/>
  <c r="F24" i="93"/>
  <c r="E24" i="93"/>
  <c r="J23" i="93"/>
  <c r="I23" i="93"/>
  <c r="H23" i="93"/>
  <c r="G23" i="93"/>
  <c r="F23" i="93"/>
  <c r="E23" i="93"/>
  <c r="J22" i="93"/>
  <c r="I22" i="93"/>
  <c r="H22" i="93"/>
  <c r="G22" i="93"/>
  <c r="F22" i="93"/>
  <c r="E22" i="93"/>
  <c r="J21" i="93"/>
  <c r="I21" i="93"/>
  <c r="H21" i="93"/>
  <c r="G21" i="93"/>
  <c r="F21" i="93"/>
  <c r="E21" i="93"/>
  <c r="J20" i="93"/>
  <c r="I20" i="93"/>
  <c r="H20" i="93"/>
  <c r="G20" i="93"/>
  <c r="F20" i="93"/>
  <c r="J19" i="93"/>
  <c r="I19" i="93"/>
  <c r="H19" i="93"/>
  <c r="G19" i="93"/>
  <c r="F19" i="93"/>
  <c r="E19" i="93"/>
  <c r="J18" i="93"/>
  <c r="I18" i="93"/>
  <c r="H18" i="93"/>
  <c r="G18" i="93"/>
  <c r="F18" i="93"/>
  <c r="E18" i="93"/>
  <c r="K18" i="93" s="1"/>
  <c r="J15" i="93"/>
  <c r="I15" i="93"/>
  <c r="H15" i="93"/>
  <c r="G15" i="93"/>
  <c r="F15" i="93"/>
  <c r="E15" i="93"/>
  <c r="K15" i="93" s="1"/>
  <c r="E14" i="93"/>
  <c r="E13" i="93"/>
  <c r="E10" i="93"/>
  <c r="I75" i="92"/>
  <c r="F75" i="92"/>
  <c r="I74" i="92"/>
  <c r="F74" i="92"/>
  <c r="I70" i="92"/>
  <c r="H70" i="92"/>
  <c r="K58" i="92"/>
  <c r="K57" i="92"/>
  <c r="K56" i="92"/>
  <c r="J32" i="92"/>
  <c r="I32" i="92"/>
  <c r="H32" i="92"/>
  <c r="G32" i="92"/>
  <c r="F32" i="92"/>
  <c r="E32" i="92"/>
  <c r="J31" i="92"/>
  <c r="I31" i="92"/>
  <c r="H31" i="92"/>
  <c r="G31" i="92"/>
  <c r="F31" i="92"/>
  <c r="E31" i="92"/>
  <c r="J30" i="92"/>
  <c r="I30" i="92"/>
  <c r="H30" i="92"/>
  <c r="G30" i="92"/>
  <c r="F30" i="92"/>
  <c r="E30" i="92"/>
  <c r="J29" i="92"/>
  <c r="I29" i="92"/>
  <c r="H29" i="92"/>
  <c r="G29" i="92"/>
  <c r="F29" i="92"/>
  <c r="E29" i="92"/>
  <c r="J28" i="92"/>
  <c r="I28" i="92"/>
  <c r="H28" i="92"/>
  <c r="G28" i="92"/>
  <c r="F28" i="92"/>
  <c r="E28" i="92"/>
  <c r="J27" i="92"/>
  <c r="I27" i="92"/>
  <c r="H27" i="92"/>
  <c r="G27" i="92"/>
  <c r="F27" i="92"/>
  <c r="E27" i="92"/>
  <c r="J26" i="92"/>
  <c r="I26" i="92"/>
  <c r="H26" i="92"/>
  <c r="G26" i="92"/>
  <c r="F26" i="92"/>
  <c r="E26" i="92"/>
  <c r="J25" i="92"/>
  <c r="I25" i="92"/>
  <c r="H25" i="92"/>
  <c r="G25" i="92"/>
  <c r="F25" i="92"/>
  <c r="E25" i="92"/>
  <c r="J24" i="92"/>
  <c r="I24" i="92"/>
  <c r="H24" i="92"/>
  <c r="G24" i="92"/>
  <c r="F24" i="92"/>
  <c r="E24" i="92"/>
  <c r="J23" i="92"/>
  <c r="I23" i="92"/>
  <c r="H23" i="92"/>
  <c r="G23" i="92"/>
  <c r="F23" i="92"/>
  <c r="E23" i="92"/>
  <c r="J22" i="92"/>
  <c r="I22" i="92"/>
  <c r="H22" i="92"/>
  <c r="G22" i="92"/>
  <c r="F22" i="92"/>
  <c r="E22" i="92"/>
  <c r="J21" i="92"/>
  <c r="I21" i="92"/>
  <c r="H21" i="92"/>
  <c r="G21" i="92"/>
  <c r="F21" i="92"/>
  <c r="E21" i="92"/>
  <c r="J20" i="92"/>
  <c r="I20" i="92"/>
  <c r="H20" i="92"/>
  <c r="G20" i="92"/>
  <c r="F20" i="92"/>
  <c r="E16" i="92"/>
  <c r="E15" i="92"/>
  <c r="E14" i="92"/>
  <c r="E13" i="92"/>
  <c r="E10" i="92"/>
  <c r="I76" i="91"/>
  <c r="F76" i="91"/>
  <c r="I75" i="91"/>
  <c r="F75" i="91"/>
  <c r="I71" i="91"/>
  <c r="H71" i="91"/>
  <c r="K59" i="91"/>
  <c r="K58" i="91"/>
  <c r="K57" i="91"/>
  <c r="K56" i="91"/>
  <c r="K55" i="91"/>
  <c r="K54" i="91"/>
  <c r="K53" i="91"/>
  <c r="K52" i="91"/>
  <c r="K51" i="91"/>
  <c r="J32" i="91"/>
  <c r="I32" i="91"/>
  <c r="H32" i="91"/>
  <c r="G32" i="91"/>
  <c r="F32" i="91"/>
  <c r="E32" i="91"/>
  <c r="J31" i="91"/>
  <c r="I31" i="91"/>
  <c r="H31" i="91"/>
  <c r="G31" i="91"/>
  <c r="F31" i="91"/>
  <c r="E31" i="91"/>
  <c r="J30" i="91"/>
  <c r="I30" i="91"/>
  <c r="H30" i="91"/>
  <c r="G30" i="91"/>
  <c r="F30" i="91"/>
  <c r="E30" i="91"/>
  <c r="J29" i="91"/>
  <c r="I29" i="91"/>
  <c r="H29" i="91"/>
  <c r="G29" i="91"/>
  <c r="F29" i="91"/>
  <c r="E29" i="91"/>
  <c r="J28" i="91"/>
  <c r="I28" i="91"/>
  <c r="H28" i="91"/>
  <c r="G28" i="91"/>
  <c r="F28" i="91"/>
  <c r="E28" i="91"/>
  <c r="J27" i="91"/>
  <c r="I27" i="91"/>
  <c r="H27" i="91"/>
  <c r="G27" i="91"/>
  <c r="F27" i="91"/>
  <c r="E27" i="91"/>
  <c r="J26" i="91"/>
  <c r="I26" i="91"/>
  <c r="H26" i="91"/>
  <c r="G26" i="91"/>
  <c r="F26" i="91"/>
  <c r="E26" i="91"/>
  <c r="J25" i="91"/>
  <c r="I25" i="91"/>
  <c r="H25" i="91"/>
  <c r="G25" i="91"/>
  <c r="F25" i="91"/>
  <c r="E25" i="91"/>
  <c r="J24" i="91"/>
  <c r="I24" i="91"/>
  <c r="H24" i="91"/>
  <c r="G24" i="91"/>
  <c r="F24" i="91"/>
  <c r="E24" i="91"/>
  <c r="J23" i="91"/>
  <c r="I23" i="91"/>
  <c r="H23" i="91"/>
  <c r="G23" i="91"/>
  <c r="F23" i="91"/>
  <c r="E23" i="91"/>
  <c r="J22" i="91"/>
  <c r="I22" i="91"/>
  <c r="H22" i="91"/>
  <c r="G22" i="91"/>
  <c r="F22" i="91"/>
  <c r="E22" i="91"/>
  <c r="J21" i="91"/>
  <c r="I21" i="91"/>
  <c r="H21" i="91"/>
  <c r="G21" i="91"/>
  <c r="F21" i="91"/>
  <c r="E21" i="91"/>
  <c r="J20" i="91"/>
  <c r="I20" i="91"/>
  <c r="H20" i="91"/>
  <c r="G20" i="91"/>
  <c r="F20" i="91"/>
  <c r="K20" i="91"/>
  <c r="J17" i="91"/>
  <c r="I17" i="91"/>
  <c r="H17" i="91"/>
  <c r="G17" i="91"/>
  <c r="F17" i="91"/>
  <c r="E17" i="91"/>
  <c r="K17" i="91" s="1"/>
  <c r="E16" i="91"/>
  <c r="E15" i="91"/>
  <c r="E14" i="91"/>
  <c r="E13" i="91"/>
  <c r="E10" i="91"/>
  <c r="I71" i="90"/>
  <c r="F71" i="90"/>
  <c r="I70" i="90"/>
  <c r="F70" i="90"/>
  <c r="I66" i="90"/>
  <c r="H66" i="90"/>
  <c r="K55" i="90"/>
  <c r="K54" i="90"/>
  <c r="K53" i="90"/>
  <c r="K52" i="90"/>
  <c r="K51" i="90"/>
  <c r="K50" i="90"/>
  <c r="K49" i="90"/>
  <c r="K48" i="90"/>
  <c r="K47" i="90"/>
  <c r="K46" i="90"/>
  <c r="K45" i="90"/>
  <c r="K44" i="90"/>
  <c r="K43" i="90"/>
  <c r="K42" i="90"/>
  <c r="K41" i="90"/>
  <c r="K40" i="90"/>
  <c r="J31" i="90"/>
  <c r="I31" i="90"/>
  <c r="H31" i="90"/>
  <c r="G31" i="90"/>
  <c r="F31" i="90"/>
  <c r="E31" i="90"/>
  <c r="J30" i="90"/>
  <c r="I30" i="90"/>
  <c r="H30" i="90"/>
  <c r="G30" i="90"/>
  <c r="F30" i="90"/>
  <c r="E30" i="90"/>
  <c r="J29" i="90"/>
  <c r="I29" i="90"/>
  <c r="H29" i="90"/>
  <c r="G29" i="90"/>
  <c r="F29" i="90"/>
  <c r="E29" i="90"/>
  <c r="J28" i="90"/>
  <c r="I28" i="90"/>
  <c r="H28" i="90"/>
  <c r="G28" i="90"/>
  <c r="F28" i="90"/>
  <c r="E28" i="90"/>
  <c r="J27" i="90"/>
  <c r="I27" i="90"/>
  <c r="H27" i="90"/>
  <c r="G27" i="90"/>
  <c r="F27" i="90"/>
  <c r="E27" i="90"/>
  <c r="J26" i="90"/>
  <c r="I26" i="90"/>
  <c r="H26" i="90"/>
  <c r="G26" i="90"/>
  <c r="F26" i="90"/>
  <c r="E26" i="90"/>
  <c r="J25" i="90"/>
  <c r="I25" i="90"/>
  <c r="H25" i="90"/>
  <c r="G25" i="90"/>
  <c r="F25" i="90"/>
  <c r="E25" i="90"/>
  <c r="J24" i="90"/>
  <c r="I24" i="90"/>
  <c r="H24" i="90"/>
  <c r="G24" i="90"/>
  <c r="F24" i="90"/>
  <c r="E24" i="90"/>
  <c r="J23" i="90"/>
  <c r="I23" i="90"/>
  <c r="H23" i="90"/>
  <c r="G23" i="90"/>
  <c r="F23" i="90"/>
  <c r="E23" i="90"/>
  <c r="J22" i="90"/>
  <c r="I22" i="90"/>
  <c r="H22" i="90"/>
  <c r="G22" i="90"/>
  <c r="F22" i="90"/>
  <c r="E22" i="90"/>
  <c r="J21" i="90"/>
  <c r="I21" i="90"/>
  <c r="H21" i="90"/>
  <c r="G21" i="90"/>
  <c r="F21" i="90"/>
  <c r="E21" i="90"/>
  <c r="J20" i="90"/>
  <c r="I20" i="90"/>
  <c r="H20" i="90"/>
  <c r="G20" i="90"/>
  <c r="F20" i="90"/>
  <c r="E20" i="90"/>
  <c r="J19" i="90"/>
  <c r="I19" i="90"/>
  <c r="H19" i="90"/>
  <c r="G19" i="90"/>
  <c r="F19" i="90"/>
  <c r="E16" i="90"/>
  <c r="E15" i="90"/>
  <c r="E14" i="90"/>
  <c r="E13" i="90"/>
  <c r="E10" i="90"/>
  <c r="I73" i="89"/>
  <c r="F73" i="89"/>
  <c r="I72" i="89"/>
  <c r="F72" i="89"/>
  <c r="I68" i="89"/>
  <c r="H68" i="89"/>
  <c r="K56" i="89"/>
  <c r="K55" i="89"/>
  <c r="K54" i="89"/>
  <c r="K53" i="89"/>
  <c r="K52" i="89"/>
  <c r="K51" i="89"/>
  <c r="K50" i="89"/>
  <c r="K49" i="89"/>
  <c r="K48" i="89"/>
  <c r="K47" i="89"/>
  <c r="K46" i="89"/>
  <c r="J32" i="89"/>
  <c r="I32" i="89"/>
  <c r="H32" i="89"/>
  <c r="G32" i="89"/>
  <c r="F32" i="89"/>
  <c r="E32" i="89"/>
  <c r="J31" i="89"/>
  <c r="I31" i="89"/>
  <c r="H31" i="89"/>
  <c r="G31" i="89"/>
  <c r="F31" i="89"/>
  <c r="E31" i="89"/>
  <c r="J30" i="89"/>
  <c r="I30" i="89"/>
  <c r="H30" i="89"/>
  <c r="G30" i="89"/>
  <c r="F30" i="89"/>
  <c r="E30" i="89"/>
  <c r="J29" i="89"/>
  <c r="I29" i="89"/>
  <c r="H29" i="89"/>
  <c r="G29" i="89"/>
  <c r="F29" i="89"/>
  <c r="E29" i="89"/>
  <c r="J28" i="89"/>
  <c r="I28" i="89"/>
  <c r="H28" i="89"/>
  <c r="G28" i="89"/>
  <c r="F28" i="89"/>
  <c r="E28" i="89"/>
  <c r="J27" i="89"/>
  <c r="I27" i="89"/>
  <c r="H27" i="89"/>
  <c r="G27" i="89"/>
  <c r="F27" i="89"/>
  <c r="E27" i="89"/>
  <c r="J26" i="89"/>
  <c r="I26" i="89"/>
  <c r="H26" i="89"/>
  <c r="G26" i="89"/>
  <c r="F26" i="89"/>
  <c r="E26" i="89"/>
  <c r="J25" i="89"/>
  <c r="I25" i="89"/>
  <c r="H25" i="89"/>
  <c r="G25" i="89"/>
  <c r="F25" i="89"/>
  <c r="E25" i="89"/>
  <c r="J24" i="89"/>
  <c r="I24" i="89"/>
  <c r="H24" i="89"/>
  <c r="G24" i="89"/>
  <c r="F24" i="89"/>
  <c r="E24" i="89"/>
  <c r="J23" i="89"/>
  <c r="I23" i="89"/>
  <c r="H23" i="89"/>
  <c r="G23" i="89"/>
  <c r="F23" i="89"/>
  <c r="E23" i="89"/>
  <c r="J22" i="89"/>
  <c r="I22" i="89"/>
  <c r="H22" i="89"/>
  <c r="G22" i="89"/>
  <c r="F22" i="89"/>
  <c r="E22" i="89"/>
  <c r="J21" i="89"/>
  <c r="I21" i="89"/>
  <c r="H21" i="89"/>
  <c r="G21" i="89"/>
  <c r="F21" i="89"/>
  <c r="E21" i="89"/>
  <c r="K21" i="89" s="1"/>
  <c r="E19" i="89"/>
  <c r="E17" i="89"/>
  <c r="E16" i="89"/>
  <c r="E15" i="89"/>
  <c r="E14" i="89"/>
  <c r="E13" i="89"/>
  <c r="E10" i="89"/>
  <c r="I71" i="88"/>
  <c r="F71" i="88"/>
  <c r="I70" i="88"/>
  <c r="F70" i="88"/>
  <c r="I66" i="88"/>
  <c r="H66" i="88"/>
  <c r="K55" i="88"/>
  <c r="K54" i="88"/>
  <c r="K53" i="88"/>
  <c r="K52" i="88"/>
  <c r="K51" i="88"/>
  <c r="K50" i="88"/>
  <c r="K49" i="88"/>
  <c r="K48" i="88"/>
  <c r="K47" i="88"/>
  <c r="K46" i="88"/>
  <c r="K45" i="88"/>
  <c r="K44" i="88"/>
  <c r="K43" i="88"/>
  <c r="K42" i="88"/>
  <c r="K41" i="88"/>
  <c r="J31" i="88"/>
  <c r="I31" i="88"/>
  <c r="H31" i="88"/>
  <c r="G31" i="88"/>
  <c r="F31" i="88"/>
  <c r="E31" i="88"/>
  <c r="J30" i="88"/>
  <c r="I30" i="88"/>
  <c r="H30" i="88"/>
  <c r="G30" i="88"/>
  <c r="F30" i="88"/>
  <c r="E30" i="88"/>
  <c r="J29" i="88"/>
  <c r="I29" i="88"/>
  <c r="H29" i="88"/>
  <c r="G29" i="88"/>
  <c r="F29" i="88"/>
  <c r="E29" i="88"/>
  <c r="J28" i="88"/>
  <c r="I28" i="88"/>
  <c r="H28" i="88"/>
  <c r="G28" i="88"/>
  <c r="F28" i="88"/>
  <c r="E28" i="88"/>
  <c r="J27" i="88"/>
  <c r="I27" i="88"/>
  <c r="H27" i="88"/>
  <c r="G27" i="88"/>
  <c r="F27" i="88"/>
  <c r="E27" i="88"/>
  <c r="J26" i="88"/>
  <c r="I26" i="88"/>
  <c r="H26" i="88"/>
  <c r="G26" i="88"/>
  <c r="F26" i="88"/>
  <c r="E26" i="88"/>
  <c r="J25" i="88"/>
  <c r="I25" i="88"/>
  <c r="H25" i="88"/>
  <c r="G25" i="88"/>
  <c r="F25" i="88"/>
  <c r="E25" i="88"/>
  <c r="J24" i="88"/>
  <c r="I24" i="88"/>
  <c r="H24" i="88"/>
  <c r="G24" i="88"/>
  <c r="F24" i="88"/>
  <c r="E24" i="88"/>
  <c r="J23" i="88"/>
  <c r="I23" i="88"/>
  <c r="H23" i="88"/>
  <c r="G23" i="88"/>
  <c r="F23" i="88"/>
  <c r="E23" i="88"/>
  <c r="J22" i="88"/>
  <c r="I22" i="88"/>
  <c r="H22" i="88"/>
  <c r="G22" i="88"/>
  <c r="F22" i="88"/>
  <c r="E22" i="88"/>
  <c r="J21" i="88"/>
  <c r="I21" i="88"/>
  <c r="H21" i="88"/>
  <c r="G21" i="88"/>
  <c r="F21" i="88"/>
  <c r="E21" i="88"/>
  <c r="J20" i="88"/>
  <c r="I20" i="88"/>
  <c r="H20" i="88"/>
  <c r="G20" i="88"/>
  <c r="F20" i="88"/>
  <c r="E20" i="88"/>
  <c r="J19" i="88"/>
  <c r="I19" i="88"/>
  <c r="H19" i="88"/>
  <c r="G19" i="88"/>
  <c r="F19" i="88"/>
  <c r="J18" i="88"/>
  <c r="I18" i="88"/>
  <c r="H18" i="88"/>
  <c r="G18" i="88"/>
  <c r="F18" i="88"/>
  <c r="E18" i="88"/>
  <c r="J17" i="88"/>
  <c r="I17" i="88"/>
  <c r="H17" i="88"/>
  <c r="G17" i="88"/>
  <c r="F17" i="88"/>
  <c r="E17" i="88"/>
  <c r="J16" i="88"/>
  <c r="I16" i="88"/>
  <c r="H16" i="88"/>
  <c r="G16" i="88"/>
  <c r="F16" i="88"/>
  <c r="E16" i="88"/>
  <c r="J15" i="88"/>
  <c r="I15" i="88"/>
  <c r="H15" i="88"/>
  <c r="G15" i="88"/>
  <c r="F15" i="88"/>
  <c r="E15" i="88"/>
  <c r="J14" i="88"/>
  <c r="I14" i="88"/>
  <c r="H14" i="88"/>
  <c r="G14" i="88"/>
  <c r="F14" i="88"/>
  <c r="E14" i="88"/>
  <c r="J13" i="88"/>
  <c r="I13" i="88"/>
  <c r="H13" i="88"/>
  <c r="G13" i="88"/>
  <c r="F13" i="88"/>
  <c r="E13" i="88"/>
  <c r="E10" i="88"/>
  <c r="I72" i="87"/>
  <c r="F72" i="87"/>
  <c r="I71" i="87"/>
  <c r="F71" i="87"/>
  <c r="I67" i="87"/>
  <c r="H67" i="87"/>
  <c r="K55" i="87"/>
  <c r="K54" i="87"/>
  <c r="K53" i="87"/>
  <c r="K52" i="87"/>
  <c r="K51" i="87"/>
  <c r="K50" i="87"/>
  <c r="K49" i="87"/>
  <c r="K48" i="87"/>
  <c r="K47" i="87"/>
  <c r="K46" i="87"/>
  <c r="K45" i="87"/>
  <c r="J31" i="87"/>
  <c r="I31" i="87"/>
  <c r="H31" i="87"/>
  <c r="G31" i="87"/>
  <c r="F31" i="87"/>
  <c r="E31" i="87"/>
  <c r="J30" i="87"/>
  <c r="I30" i="87"/>
  <c r="H30" i="87"/>
  <c r="G30" i="87"/>
  <c r="F30" i="87"/>
  <c r="E30" i="87"/>
  <c r="J29" i="87"/>
  <c r="I29" i="87"/>
  <c r="H29" i="87"/>
  <c r="G29" i="87"/>
  <c r="F29" i="87"/>
  <c r="E29" i="87"/>
  <c r="J28" i="87"/>
  <c r="I28" i="87"/>
  <c r="H28" i="87"/>
  <c r="G28" i="87"/>
  <c r="F28" i="87"/>
  <c r="E28" i="87"/>
  <c r="J27" i="87"/>
  <c r="I27" i="87"/>
  <c r="H27" i="87"/>
  <c r="G27" i="87"/>
  <c r="F27" i="87"/>
  <c r="E27" i="87"/>
  <c r="J26" i="87"/>
  <c r="I26" i="87"/>
  <c r="H26" i="87"/>
  <c r="G26" i="87"/>
  <c r="F26" i="87"/>
  <c r="E26" i="87"/>
  <c r="J25" i="87"/>
  <c r="I25" i="87"/>
  <c r="H25" i="87"/>
  <c r="G25" i="87"/>
  <c r="F25" i="87"/>
  <c r="E25" i="87"/>
  <c r="J24" i="87"/>
  <c r="I24" i="87"/>
  <c r="H24" i="87"/>
  <c r="G24" i="87"/>
  <c r="F24" i="87"/>
  <c r="E24" i="87"/>
  <c r="J23" i="87"/>
  <c r="I23" i="87"/>
  <c r="H23" i="87"/>
  <c r="G23" i="87"/>
  <c r="F23" i="87"/>
  <c r="E23" i="87"/>
  <c r="J22" i="87"/>
  <c r="I22" i="87"/>
  <c r="H22" i="87"/>
  <c r="G22" i="87"/>
  <c r="F22" i="87"/>
  <c r="E22" i="87"/>
  <c r="J21" i="87"/>
  <c r="I21" i="87"/>
  <c r="H21" i="87"/>
  <c r="G21" i="87"/>
  <c r="F21" i="87"/>
  <c r="E21" i="87"/>
  <c r="J20" i="87"/>
  <c r="I20" i="87"/>
  <c r="H20" i="87"/>
  <c r="G20" i="87"/>
  <c r="F20" i="87"/>
  <c r="E20" i="87"/>
  <c r="J19" i="87"/>
  <c r="I19" i="87"/>
  <c r="H19" i="87"/>
  <c r="G19" i="87"/>
  <c r="F19" i="87"/>
  <c r="J16" i="87"/>
  <c r="I16" i="87"/>
  <c r="H16" i="87"/>
  <c r="G16" i="87"/>
  <c r="F16" i="87"/>
  <c r="E16" i="87"/>
  <c r="K16" i="87" s="1"/>
  <c r="E14" i="87"/>
  <c r="E13" i="87"/>
  <c r="E10" i="87"/>
  <c r="I71" i="86"/>
  <c r="F71" i="86"/>
  <c r="I70" i="86"/>
  <c r="F70" i="86"/>
  <c r="I66" i="86"/>
  <c r="H66" i="86"/>
  <c r="K55" i="86"/>
  <c r="K54" i="86"/>
  <c r="K53" i="86"/>
  <c r="K52" i="86"/>
  <c r="K51" i="86"/>
  <c r="K50" i="86"/>
  <c r="K49" i="86"/>
  <c r="K48" i="86"/>
  <c r="K47" i="86"/>
  <c r="K46" i="86"/>
  <c r="K45" i="86"/>
  <c r="K44" i="86"/>
  <c r="K43" i="86"/>
  <c r="K42" i="86"/>
  <c r="K41" i="86"/>
  <c r="K40" i="86"/>
  <c r="J31" i="86"/>
  <c r="I31" i="86"/>
  <c r="H31" i="86"/>
  <c r="G31" i="86"/>
  <c r="F31" i="86"/>
  <c r="E31" i="86"/>
  <c r="J30" i="86"/>
  <c r="I30" i="86"/>
  <c r="H30" i="86"/>
  <c r="G30" i="86"/>
  <c r="F30" i="86"/>
  <c r="E30" i="86"/>
  <c r="J29" i="86"/>
  <c r="I29" i="86"/>
  <c r="H29" i="86"/>
  <c r="G29" i="86"/>
  <c r="F29" i="86"/>
  <c r="E29" i="86"/>
  <c r="J28" i="86"/>
  <c r="I28" i="86"/>
  <c r="H28" i="86"/>
  <c r="G28" i="86"/>
  <c r="F28" i="86"/>
  <c r="E28" i="86"/>
  <c r="J27" i="86"/>
  <c r="I27" i="86"/>
  <c r="H27" i="86"/>
  <c r="G27" i="86"/>
  <c r="F27" i="86"/>
  <c r="E27" i="86"/>
  <c r="J26" i="86"/>
  <c r="I26" i="86"/>
  <c r="H26" i="86"/>
  <c r="G26" i="86"/>
  <c r="F26" i="86"/>
  <c r="E26" i="86"/>
  <c r="J25" i="86"/>
  <c r="I25" i="86"/>
  <c r="H25" i="86"/>
  <c r="G25" i="86"/>
  <c r="F25" i="86"/>
  <c r="E25" i="86"/>
  <c r="J24" i="86"/>
  <c r="I24" i="86"/>
  <c r="H24" i="86"/>
  <c r="G24" i="86"/>
  <c r="F24" i="86"/>
  <c r="E24" i="86"/>
  <c r="J23" i="86"/>
  <c r="I23" i="86"/>
  <c r="H23" i="86"/>
  <c r="G23" i="86"/>
  <c r="F23" i="86"/>
  <c r="E23" i="86"/>
  <c r="J22" i="86"/>
  <c r="I22" i="86"/>
  <c r="H22" i="86"/>
  <c r="G22" i="86"/>
  <c r="F22" i="86"/>
  <c r="E22" i="86"/>
  <c r="J21" i="86"/>
  <c r="I21" i="86"/>
  <c r="H21" i="86"/>
  <c r="G21" i="86"/>
  <c r="F21" i="86"/>
  <c r="E21" i="86"/>
  <c r="J20" i="86"/>
  <c r="I20" i="86"/>
  <c r="H20" i="86"/>
  <c r="G20" i="86"/>
  <c r="F20" i="86"/>
  <c r="E20" i="86"/>
  <c r="J19" i="86"/>
  <c r="I19" i="86"/>
  <c r="H19" i="86"/>
  <c r="G19" i="86"/>
  <c r="F19" i="86"/>
  <c r="J18" i="86"/>
  <c r="I18" i="86"/>
  <c r="H18" i="86"/>
  <c r="G18" i="86"/>
  <c r="F18" i="86"/>
  <c r="E18" i="86"/>
  <c r="J17" i="86"/>
  <c r="I17" i="86"/>
  <c r="H17" i="86"/>
  <c r="G17" i="86"/>
  <c r="F17" i="86"/>
  <c r="E17" i="86"/>
  <c r="J16" i="86"/>
  <c r="I16" i="86"/>
  <c r="H16" i="86"/>
  <c r="G16" i="86"/>
  <c r="F16" i="86"/>
  <c r="E16" i="86"/>
  <c r="E13" i="86"/>
  <c r="E10" i="86"/>
  <c r="I71" i="85"/>
  <c r="F71" i="85"/>
  <c r="I70" i="85"/>
  <c r="F70" i="85"/>
  <c r="I66" i="85"/>
  <c r="H66" i="85"/>
  <c r="K55" i="85"/>
  <c r="K54" i="85"/>
  <c r="K53" i="85"/>
  <c r="K52" i="85"/>
  <c r="K51" i="85"/>
  <c r="K50" i="85"/>
  <c r="K49" i="85"/>
  <c r="K48" i="85"/>
  <c r="K47" i="85"/>
  <c r="K46" i="85"/>
  <c r="K45" i="85"/>
  <c r="K44" i="85"/>
  <c r="K43" i="85"/>
  <c r="K42" i="85"/>
  <c r="K41" i="85"/>
  <c r="K40" i="85"/>
  <c r="J31" i="85"/>
  <c r="I31" i="85"/>
  <c r="H31" i="85"/>
  <c r="G31" i="85"/>
  <c r="F31" i="85"/>
  <c r="E31" i="85"/>
  <c r="J30" i="85"/>
  <c r="I30" i="85"/>
  <c r="H30" i="85"/>
  <c r="G30" i="85"/>
  <c r="F30" i="85"/>
  <c r="E30" i="85"/>
  <c r="J29" i="85"/>
  <c r="I29" i="85"/>
  <c r="H29" i="85"/>
  <c r="G29" i="85"/>
  <c r="F29" i="85"/>
  <c r="E29" i="85"/>
  <c r="J28" i="85"/>
  <c r="I28" i="85"/>
  <c r="H28" i="85"/>
  <c r="G28" i="85"/>
  <c r="F28" i="85"/>
  <c r="E28" i="85"/>
  <c r="J27" i="85"/>
  <c r="I27" i="85"/>
  <c r="H27" i="85"/>
  <c r="G27" i="85"/>
  <c r="F27" i="85"/>
  <c r="E27" i="85"/>
  <c r="J26" i="85"/>
  <c r="I26" i="85"/>
  <c r="H26" i="85"/>
  <c r="G26" i="85"/>
  <c r="F26" i="85"/>
  <c r="E26" i="85"/>
  <c r="J25" i="85"/>
  <c r="I25" i="85"/>
  <c r="H25" i="85"/>
  <c r="G25" i="85"/>
  <c r="F25" i="85"/>
  <c r="E25" i="85"/>
  <c r="J24" i="85"/>
  <c r="I24" i="85"/>
  <c r="H24" i="85"/>
  <c r="G24" i="85"/>
  <c r="F24" i="85"/>
  <c r="E24" i="85"/>
  <c r="J23" i="85"/>
  <c r="I23" i="85"/>
  <c r="H23" i="85"/>
  <c r="G23" i="85"/>
  <c r="F23" i="85"/>
  <c r="E23" i="85"/>
  <c r="J22" i="85"/>
  <c r="I22" i="85"/>
  <c r="H22" i="85"/>
  <c r="G22" i="85"/>
  <c r="F22" i="85"/>
  <c r="E22" i="85"/>
  <c r="J21" i="85"/>
  <c r="I21" i="85"/>
  <c r="H21" i="85"/>
  <c r="G21" i="85"/>
  <c r="F21" i="85"/>
  <c r="E21" i="85"/>
  <c r="J20" i="85"/>
  <c r="I20" i="85"/>
  <c r="H20" i="85"/>
  <c r="G20" i="85"/>
  <c r="F20" i="85"/>
  <c r="E20" i="85"/>
  <c r="J19" i="85"/>
  <c r="I19" i="85"/>
  <c r="H19" i="85"/>
  <c r="G19" i="85"/>
  <c r="F19" i="85"/>
  <c r="J18" i="85"/>
  <c r="I18" i="85"/>
  <c r="H18" i="85"/>
  <c r="G18" i="85"/>
  <c r="F18" i="85"/>
  <c r="E18" i="85"/>
  <c r="E15" i="85"/>
  <c r="E14" i="85"/>
  <c r="E13" i="85"/>
  <c r="E10" i="85"/>
  <c r="I71" i="84"/>
  <c r="I70" i="84"/>
  <c r="K69" i="84"/>
  <c r="I66" i="84"/>
  <c r="H66" i="84"/>
  <c r="K55" i="84"/>
  <c r="K54" i="84"/>
  <c r="K53" i="84"/>
  <c r="K52" i="84"/>
  <c r="J31" i="84"/>
  <c r="I31" i="84"/>
  <c r="H31" i="84"/>
  <c r="G31" i="84"/>
  <c r="F31" i="84"/>
  <c r="E31" i="84"/>
  <c r="J30" i="84"/>
  <c r="I30" i="84"/>
  <c r="H30" i="84"/>
  <c r="G30" i="84"/>
  <c r="F30" i="84"/>
  <c r="E30" i="84"/>
  <c r="J29" i="84"/>
  <c r="I29" i="84"/>
  <c r="H29" i="84"/>
  <c r="G29" i="84"/>
  <c r="F29" i="84"/>
  <c r="E29" i="84"/>
  <c r="J28" i="84"/>
  <c r="I28" i="84"/>
  <c r="H28" i="84"/>
  <c r="G28" i="84"/>
  <c r="F28" i="84"/>
  <c r="E28" i="84"/>
  <c r="J27" i="84"/>
  <c r="I27" i="84"/>
  <c r="H27" i="84"/>
  <c r="G27" i="84"/>
  <c r="F27" i="84"/>
  <c r="E27" i="84"/>
  <c r="J26" i="84"/>
  <c r="I26" i="84"/>
  <c r="H26" i="84"/>
  <c r="G26" i="84"/>
  <c r="F26" i="84"/>
  <c r="E26" i="84"/>
  <c r="J25" i="84"/>
  <c r="I25" i="84"/>
  <c r="H25" i="84"/>
  <c r="G25" i="84"/>
  <c r="F25" i="84"/>
  <c r="E25" i="84"/>
  <c r="J24" i="84"/>
  <c r="I24" i="84"/>
  <c r="H24" i="84"/>
  <c r="G24" i="84"/>
  <c r="F24" i="84"/>
  <c r="E24" i="84"/>
  <c r="J23" i="84"/>
  <c r="I23" i="84"/>
  <c r="H23" i="84"/>
  <c r="G23" i="84"/>
  <c r="F23" i="84"/>
  <c r="E23" i="84"/>
  <c r="J22" i="84"/>
  <c r="I22" i="84"/>
  <c r="H22" i="84"/>
  <c r="G22" i="84"/>
  <c r="F22" i="84"/>
  <c r="E22" i="84"/>
  <c r="J21" i="84"/>
  <c r="I21" i="84"/>
  <c r="H21" i="84"/>
  <c r="G21" i="84"/>
  <c r="F21" i="84"/>
  <c r="E21" i="84"/>
  <c r="E20" i="84"/>
  <c r="E16" i="84"/>
  <c r="E15" i="84"/>
  <c r="E14" i="84"/>
  <c r="E13" i="84"/>
  <c r="E10" i="84"/>
  <c r="I71" i="83"/>
  <c r="I70" i="83"/>
  <c r="I66" i="83"/>
  <c r="H66" i="83"/>
  <c r="K55" i="83"/>
  <c r="K54" i="83"/>
  <c r="K53" i="83"/>
  <c r="J31" i="83"/>
  <c r="I31" i="83"/>
  <c r="H31" i="83"/>
  <c r="G31" i="83"/>
  <c r="F31" i="83"/>
  <c r="E31" i="83"/>
  <c r="J30" i="83"/>
  <c r="I30" i="83"/>
  <c r="H30" i="83"/>
  <c r="G30" i="83"/>
  <c r="F30" i="83"/>
  <c r="E30" i="83"/>
  <c r="J29" i="83"/>
  <c r="I29" i="83"/>
  <c r="H29" i="83"/>
  <c r="G29" i="83"/>
  <c r="F29" i="83"/>
  <c r="E29" i="83"/>
  <c r="J28" i="83"/>
  <c r="I28" i="83"/>
  <c r="H28" i="83"/>
  <c r="G28" i="83"/>
  <c r="F28" i="83"/>
  <c r="E28" i="83"/>
  <c r="J27" i="83"/>
  <c r="I27" i="83"/>
  <c r="H27" i="83"/>
  <c r="G27" i="83"/>
  <c r="F27" i="83"/>
  <c r="E27" i="83"/>
  <c r="J26" i="83"/>
  <c r="I26" i="83"/>
  <c r="H26" i="83"/>
  <c r="G26" i="83"/>
  <c r="F26" i="83"/>
  <c r="E26" i="83"/>
  <c r="J25" i="83"/>
  <c r="I25" i="83"/>
  <c r="H25" i="83"/>
  <c r="G25" i="83"/>
  <c r="F25" i="83"/>
  <c r="E25" i="83"/>
  <c r="J24" i="83"/>
  <c r="I24" i="83"/>
  <c r="H24" i="83"/>
  <c r="G24" i="83"/>
  <c r="F24" i="83"/>
  <c r="E24" i="83"/>
  <c r="J23" i="83"/>
  <c r="I23" i="83"/>
  <c r="H23" i="83"/>
  <c r="G23" i="83"/>
  <c r="F23" i="83"/>
  <c r="E23" i="83"/>
  <c r="J22" i="83"/>
  <c r="I22" i="83"/>
  <c r="H22" i="83"/>
  <c r="G22" i="83"/>
  <c r="F22" i="83"/>
  <c r="E22" i="83"/>
  <c r="J21" i="83"/>
  <c r="I21" i="83"/>
  <c r="H21" i="83"/>
  <c r="G21" i="83"/>
  <c r="F21" i="83"/>
  <c r="E21" i="83"/>
  <c r="E17" i="83"/>
  <c r="E16" i="83"/>
  <c r="E15" i="83"/>
  <c r="E14" i="83"/>
  <c r="E13" i="83"/>
  <c r="E10" i="83"/>
  <c r="I71" i="82"/>
  <c r="I70" i="82"/>
  <c r="I66" i="82"/>
  <c r="H66" i="82"/>
  <c r="K55" i="82"/>
  <c r="K54" i="82"/>
  <c r="K53" i="82"/>
  <c r="K52" i="82"/>
  <c r="E16" i="82"/>
  <c r="E15" i="82"/>
  <c r="E14" i="82"/>
  <c r="E13" i="82"/>
  <c r="E10" i="82"/>
  <c r="I71" i="81"/>
  <c r="I70" i="81"/>
  <c r="I66" i="81"/>
  <c r="H66" i="81"/>
  <c r="K55" i="81"/>
  <c r="K54" i="81"/>
  <c r="K53" i="81"/>
  <c r="K52" i="81"/>
  <c r="K51" i="81"/>
  <c r="K50" i="81"/>
  <c r="K49" i="81"/>
  <c r="J31" i="81"/>
  <c r="I31" i="81"/>
  <c r="H31" i="81"/>
  <c r="G31" i="81"/>
  <c r="F31" i="81"/>
  <c r="E31" i="81"/>
  <c r="J30" i="81"/>
  <c r="I30" i="81"/>
  <c r="H30" i="81"/>
  <c r="G30" i="81"/>
  <c r="F30" i="81"/>
  <c r="E30" i="81"/>
  <c r="J29" i="81"/>
  <c r="I29" i="81"/>
  <c r="H29" i="81"/>
  <c r="G29" i="81"/>
  <c r="F29" i="81"/>
  <c r="E29" i="81"/>
  <c r="J28" i="81"/>
  <c r="I28" i="81"/>
  <c r="H28" i="81"/>
  <c r="G28" i="81"/>
  <c r="F28" i="81"/>
  <c r="E28" i="81"/>
  <c r="J27" i="81"/>
  <c r="I27" i="81"/>
  <c r="H27" i="81"/>
  <c r="G27" i="81"/>
  <c r="F27" i="81"/>
  <c r="E27" i="81"/>
  <c r="J26" i="81"/>
  <c r="I26" i="81"/>
  <c r="H26" i="81"/>
  <c r="G26" i="81"/>
  <c r="F26" i="81"/>
  <c r="E26" i="81"/>
  <c r="J25" i="81"/>
  <c r="I25" i="81"/>
  <c r="H25" i="81"/>
  <c r="G25" i="81"/>
  <c r="F25" i="81"/>
  <c r="E25" i="81"/>
  <c r="J24" i="81"/>
  <c r="I24" i="81"/>
  <c r="H24" i="81"/>
  <c r="G24" i="81"/>
  <c r="F24" i="81"/>
  <c r="E24" i="81"/>
  <c r="J23" i="81"/>
  <c r="I23" i="81"/>
  <c r="H23" i="81"/>
  <c r="G23" i="81"/>
  <c r="F23" i="81"/>
  <c r="E23" i="81"/>
  <c r="E22" i="81"/>
  <c r="E20" i="81"/>
  <c r="E18" i="81"/>
  <c r="E17" i="81"/>
  <c r="E16" i="81"/>
  <c r="E15" i="81"/>
  <c r="E14" i="81"/>
  <c r="E13" i="81"/>
  <c r="E10" i="81"/>
  <c r="I72" i="80"/>
  <c r="F72" i="80"/>
  <c r="I71" i="80"/>
  <c r="F71" i="80"/>
  <c r="K70" i="80"/>
  <c r="I67" i="80"/>
  <c r="H67" i="80"/>
  <c r="K56" i="80"/>
  <c r="J31" i="80"/>
  <c r="I31" i="80"/>
  <c r="H31" i="80"/>
  <c r="G31" i="80"/>
  <c r="F31" i="80"/>
  <c r="E31" i="80"/>
  <c r="J30" i="80"/>
  <c r="I30" i="80"/>
  <c r="H30" i="80"/>
  <c r="G30" i="80"/>
  <c r="F30" i="80"/>
  <c r="E30" i="80"/>
  <c r="J29" i="80"/>
  <c r="I29" i="80"/>
  <c r="H29" i="80"/>
  <c r="G29" i="80"/>
  <c r="F29" i="80"/>
  <c r="E29" i="80"/>
  <c r="J28" i="80"/>
  <c r="I28" i="80"/>
  <c r="H28" i="80"/>
  <c r="G28" i="80"/>
  <c r="F28" i="80"/>
  <c r="E28" i="80"/>
  <c r="E27" i="80"/>
  <c r="E26" i="80"/>
  <c r="E25" i="80"/>
  <c r="E24" i="80"/>
  <c r="E15" i="80"/>
  <c r="E14" i="80"/>
  <c r="E13" i="80"/>
  <c r="E10" i="80"/>
  <c r="I72" i="79"/>
  <c r="F72" i="79"/>
  <c r="I71" i="79"/>
  <c r="F71" i="79"/>
  <c r="K70" i="79"/>
  <c r="I67" i="79"/>
  <c r="H67" i="79"/>
  <c r="K56" i="79"/>
  <c r="K55" i="79"/>
  <c r="K54" i="79"/>
  <c r="J31" i="79"/>
  <c r="I31" i="79"/>
  <c r="H31" i="79"/>
  <c r="G31" i="79"/>
  <c r="F31" i="79"/>
  <c r="E31" i="79"/>
  <c r="J30" i="79"/>
  <c r="I30" i="79"/>
  <c r="H30" i="79"/>
  <c r="G30" i="79"/>
  <c r="F30" i="79"/>
  <c r="E30" i="79"/>
  <c r="J29" i="79"/>
  <c r="I29" i="79"/>
  <c r="H29" i="79"/>
  <c r="G29" i="79"/>
  <c r="F29" i="79"/>
  <c r="E29" i="79"/>
  <c r="J28" i="79"/>
  <c r="I28" i="79"/>
  <c r="H28" i="79"/>
  <c r="G28" i="79"/>
  <c r="F28" i="79"/>
  <c r="E28" i="79"/>
  <c r="J27" i="79"/>
  <c r="I27" i="79"/>
  <c r="H27" i="79"/>
  <c r="G27" i="79"/>
  <c r="F27" i="79"/>
  <c r="E27" i="79"/>
  <c r="J26" i="79"/>
  <c r="I26" i="79"/>
  <c r="H26" i="79"/>
  <c r="G26" i="79"/>
  <c r="F26" i="79"/>
  <c r="E26" i="79"/>
  <c r="J25" i="79"/>
  <c r="I25" i="79"/>
  <c r="H25" i="79"/>
  <c r="G25" i="79"/>
  <c r="F25" i="79"/>
  <c r="E25" i="79"/>
  <c r="J24" i="79"/>
  <c r="I24" i="79"/>
  <c r="H24" i="79"/>
  <c r="G24" i="79"/>
  <c r="F24" i="79"/>
  <c r="E24" i="79"/>
  <c r="J23" i="79"/>
  <c r="I23" i="79"/>
  <c r="H23" i="79"/>
  <c r="G23" i="79"/>
  <c r="F23" i="79"/>
  <c r="E23" i="79"/>
  <c r="J22" i="79"/>
  <c r="I22" i="79"/>
  <c r="H22" i="79"/>
  <c r="G22" i="79"/>
  <c r="F22" i="79"/>
  <c r="E22" i="79"/>
  <c r="J21" i="79"/>
  <c r="I21" i="79"/>
  <c r="H21" i="79"/>
  <c r="G21" i="79"/>
  <c r="F21" i="79"/>
  <c r="E21" i="79"/>
  <c r="J20" i="79"/>
  <c r="I20" i="79"/>
  <c r="H20" i="79"/>
  <c r="G20" i="79"/>
  <c r="F20" i="79"/>
  <c r="E20" i="79"/>
  <c r="J19" i="79"/>
  <c r="I19" i="79"/>
  <c r="H19" i="79"/>
  <c r="G19" i="79"/>
  <c r="F19" i="79"/>
  <c r="E18" i="79"/>
  <c r="E15" i="79"/>
  <c r="E14" i="79"/>
  <c r="J13" i="79"/>
  <c r="I13" i="79"/>
  <c r="H13" i="79"/>
  <c r="G13" i="79"/>
  <c r="F13" i="79"/>
  <c r="E13" i="79"/>
  <c r="K13" i="79" s="1"/>
  <c r="E10" i="79"/>
  <c r="I72" i="78"/>
  <c r="F72" i="78"/>
  <c r="I71" i="78"/>
  <c r="F71" i="78"/>
  <c r="K70" i="78"/>
  <c r="I67" i="78"/>
  <c r="H67" i="78"/>
  <c r="J31" i="78"/>
  <c r="I31" i="78"/>
  <c r="H31" i="78"/>
  <c r="G31" i="78"/>
  <c r="F31" i="78"/>
  <c r="E31" i="78"/>
  <c r="J30" i="78"/>
  <c r="I30" i="78"/>
  <c r="H30" i="78"/>
  <c r="G30" i="78"/>
  <c r="F30" i="78"/>
  <c r="E30" i="78"/>
  <c r="J29" i="78"/>
  <c r="I29" i="78"/>
  <c r="H29" i="78"/>
  <c r="G29" i="78"/>
  <c r="F29" i="78"/>
  <c r="E29" i="78"/>
  <c r="J28" i="78"/>
  <c r="I28" i="78"/>
  <c r="H28" i="78"/>
  <c r="G28" i="78"/>
  <c r="F28" i="78"/>
  <c r="E28" i="78"/>
  <c r="J27" i="78"/>
  <c r="I27" i="78"/>
  <c r="H27" i="78"/>
  <c r="G27" i="78"/>
  <c r="F27" i="78"/>
  <c r="E27" i="78"/>
  <c r="J26" i="78"/>
  <c r="I26" i="78"/>
  <c r="H26" i="78"/>
  <c r="G26" i="78"/>
  <c r="F26" i="78"/>
  <c r="E26" i="78"/>
  <c r="J25" i="78"/>
  <c r="I25" i="78"/>
  <c r="H25" i="78"/>
  <c r="G25" i="78"/>
  <c r="F25" i="78"/>
  <c r="E25" i="78"/>
  <c r="J24" i="78"/>
  <c r="I24" i="78"/>
  <c r="H24" i="78"/>
  <c r="G24" i="78"/>
  <c r="F24" i="78"/>
  <c r="E24" i="78"/>
  <c r="J23" i="78"/>
  <c r="I23" i="78"/>
  <c r="H23" i="78"/>
  <c r="G23" i="78"/>
  <c r="F23" i="78"/>
  <c r="E23" i="78"/>
  <c r="J22" i="78"/>
  <c r="I22" i="78"/>
  <c r="H22" i="78"/>
  <c r="G22" i="78"/>
  <c r="F22" i="78"/>
  <c r="E22" i="78"/>
  <c r="E15" i="78"/>
  <c r="E14" i="78"/>
  <c r="E13" i="78"/>
  <c r="E10" i="78"/>
  <c r="I74" i="77"/>
  <c r="F74" i="77"/>
  <c r="I73" i="77"/>
  <c r="F73" i="77"/>
  <c r="K72" i="77"/>
  <c r="I69" i="77"/>
  <c r="H69" i="77"/>
  <c r="K59" i="77"/>
  <c r="K58" i="77"/>
  <c r="J31" i="77"/>
  <c r="I31" i="77"/>
  <c r="H31" i="77"/>
  <c r="G31" i="77"/>
  <c r="F31" i="77"/>
  <c r="E31" i="77"/>
  <c r="J30" i="77"/>
  <c r="I30" i="77"/>
  <c r="H30" i="77"/>
  <c r="G30" i="77"/>
  <c r="F30" i="77"/>
  <c r="E30" i="77"/>
  <c r="J29" i="77"/>
  <c r="I29" i="77"/>
  <c r="H29" i="77"/>
  <c r="G29" i="77"/>
  <c r="F29" i="77"/>
  <c r="E29" i="77"/>
  <c r="J28" i="77"/>
  <c r="I28" i="77"/>
  <c r="H28" i="77"/>
  <c r="G28" i="77"/>
  <c r="F28" i="77"/>
  <c r="E28" i="77"/>
  <c r="J27" i="77"/>
  <c r="I27" i="77"/>
  <c r="H27" i="77"/>
  <c r="G27" i="77"/>
  <c r="F27" i="77"/>
  <c r="E27" i="77"/>
  <c r="E26" i="77"/>
  <c r="J19" i="77"/>
  <c r="I19" i="77"/>
  <c r="H19" i="77"/>
  <c r="G19" i="77"/>
  <c r="F19" i="77"/>
  <c r="K19" i="77"/>
  <c r="E18" i="77"/>
  <c r="E17" i="77"/>
  <c r="E16" i="77"/>
  <c r="E15" i="77"/>
  <c r="E14" i="77"/>
  <c r="E13" i="77"/>
  <c r="E10" i="77"/>
  <c r="I71" i="76"/>
  <c r="F71" i="76"/>
  <c r="I70" i="76"/>
  <c r="F70" i="76"/>
  <c r="K69" i="76"/>
  <c r="I66" i="76"/>
  <c r="H66" i="76"/>
  <c r="K55" i="76"/>
  <c r="K54" i="76"/>
  <c r="J31" i="76"/>
  <c r="I31" i="76"/>
  <c r="H31" i="76"/>
  <c r="G31" i="76"/>
  <c r="F31" i="76"/>
  <c r="E31" i="76"/>
  <c r="J30" i="76"/>
  <c r="I30" i="76"/>
  <c r="H30" i="76"/>
  <c r="G30" i="76"/>
  <c r="F30" i="76"/>
  <c r="E30" i="76"/>
  <c r="J29" i="76"/>
  <c r="I29" i="76"/>
  <c r="H29" i="76"/>
  <c r="G29" i="76"/>
  <c r="F29" i="76"/>
  <c r="E29" i="76"/>
  <c r="J28" i="76"/>
  <c r="I28" i="76"/>
  <c r="H28" i="76"/>
  <c r="G28" i="76"/>
  <c r="F28" i="76"/>
  <c r="E28" i="76"/>
  <c r="J27" i="76"/>
  <c r="I27" i="76"/>
  <c r="H27" i="76"/>
  <c r="G27" i="76"/>
  <c r="F27" i="76"/>
  <c r="E27" i="76"/>
  <c r="J19" i="76"/>
  <c r="I19" i="76"/>
  <c r="H19" i="76"/>
  <c r="G19" i="76"/>
  <c r="F19" i="76"/>
  <c r="K19" i="76"/>
  <c r="E18" i="76"/>
  <c r="E17" i="76"/>
  <c r="E16" i="76"/>
  <c r="E15" i="76"/>
  <c r="E14" i="76"/>
  <c r="E13" i="76"/>
  <c r="E10" i="76"/>
  <c r="K19" i="79" l="1"/>
  <c r="K22" i="78"/>
  <c r="K71" i="79"/>
  <c r="E33" i="102"/>
  <c r="E33" i="105"/>
  <c r="E34" i="89"/>
  <c r="E34" i="93"/>
  <c r="N45" i="148" s="1"/>
  <c r="K70" i="76"/>
  <c r="K71" i="76"/>
  <c r="E33" i="87"/>
  <c r="K19" i="88"/>
  <c r="E34" i="91"/>
  <c r="E33" i="101"/>
  <c r="E33" i="103"/>
  <c r="E33" i="104"/>
  <c r="E34" i="92"/>
  <c r="N44" i="148" s="1"/>
  <c r="E33" i="106"/>
  <c r="K27" i="76"/>
  <c r="K28" i="76"/>
  <c r="K29" i="76"/>
  <c r="K30" i="76"/>
  <c r="K31" i="76"/>
  <c r="K13" i="88"/>
  <c r="K14" i="88"/>
  <c r="K15" i="88"/>
  <c r="K16" i="88"/>
  <c r="K17" i="88"/>
  <c r="K18" i="88"/>
  <c r="K20" i="88"/>
  <c r="K21" i="88"/>
  <c r="K22" i="88"/>
  <c r="K73" i="97"/>
  <c r="K74" i="97"/>
  <c r="E20" i="61"/>
  <c r="E21" i="63"/>
  <c r="E18" i="65"/>
  <c r="E21" i="62"/>
  <c r="E33" i="83"/>
  <c r="E14" i="86"/>
  <c r="E33" i="86" s="1"/>
  <c r="E17" i="90"/>
  <c r="E33" i="90" s="1"/>
  <c r="E33" i="81"/>
  <c r="E33" i="82"/>
  <c r="N47" i="148" s="1"/>
  <c r="N48" i="148" s="1"/>
  <c r="K20" i="69"/>
  <c r="K28" i="80"/>
  <c r="K29" i="80"/>
  <c r="K30" i="80"/>
  <c r="K31" i="80"/>
  <c r="K71" i="80"/>
  <c r="K72" i="80"/>
  <c r="K72" i="89"/>
  <c r="K73" i="89"/>
  <c r="K70" i="90"/>
  <c r="K71" i="90"/>
  <c r="K71" i="102"/>
  <c r="K72" i="102"/>
  <c r="K19" i="107"/>
  <c r="K20" i="107"/>
  <c r="K21" i="107"/>
  <c r="K22" i="107"/>
  <c r="K23" i="107"/>
  <c r="K24" i="107"/>
  <c r="K25" i="107"/>
  <c r="K26" i="107"/>
  <c r="K27" i="107"/>
  <c r="K28" i="107"/>
  <c r="K26" i="108"/>
  <c r="K28" i="108"/>
  <c r="K29" i="108"/>
  <c r="K30" i="108"/>
  <c r="K70" i="108"/>
  <c r="K71" i="108"/>
  <c r="K73" i="77"/>
  <c r="K74" i="77"/>
  <c r="K70" i="82"/>
  <c r="K71" i="82"/>
  <c r="K70" i="83"/>
  <c r="K71" i="83"/>
  <c r="K70" i="84"/>
  <c r="K71" i="84"/>
  <c r="K70" i="85"/>
  <c r="K71" i="85"/>
  <c r="K70" i="86"/>
  <c r="K71" i="86"/>
  <c r="K70" i="88"/>
  <c r="K71" i="88"/>
  <c r="K72" i="98"/>
  <c r="K73" i="98"/>
  <c r="K71" i="78"/>
  <c r="K72" i="78"/>
  <c r="K72" i="79"/>
  <c r="K70" i="81"/>
  <c r="K71" i="81"/>
  <c r="K71" i="87"/>
  <c r="K72" i="87"/>
  <c r="K75" i="91"/>
  <c r="K76" i="91"/>
  <c r="K74" i="92"/>
  <c r="K75" i="92"/>
  <c r="K75" i="93"/>
  <c r="K76" i="93"/>
  <c r="K72" i="94"/>
  <c r="K73" i="94"/>
  <c r="K72" i="95"/>
  <c r="K73" i="95"/>
  <c r="K71" i="101"/>
  <c r="K72" i="101"/>
  <c r="K71" i="103"/>
  <c r="K72" i="103"/>
  <c r="K71" i="109"/>
  <c r="K72" i="109"/>
  <c r="K25" i="109"/>
  <c r="K26" i="109"/>
  <c r="K27" i="109"/>
  <c r="K28" i="109"/>
  <c r="K29" i="109"/>
  <c r="K30" i="109"/>
  <c r="K31" i="109"/>
  <c r="K29" i="107"/>
  <c r="K30" i="107"/>
  <c r="K31" i="107"/>
  <c r="K22" i="106"/>
  <c r="K23" i="106"/>
  <c r="K24" i="106"/>
  <c r="K25" i="106"/>
  <c r="K26" i="106"/>
  <c r="K27" i="106"/>
  <c r="K28" i="106"/>
  <c r="K29" i="106"/>
  <c r="K30" i="106"/>
  <c r="K31" i="106"/>
  <c r="K24" i="105"/>
  <c r="K25" i="105"/>
  <c r="K23" i="104"/>
  <c r="K24" i="104"/>
  <c r="K25" i="104"/>
  <c r="K26" i="104"/>
  <c r="K27" i="104"/>
  <c r="K28" i="104"/>
  <c r="K29" i="104"/>
  <c r="K30" i="104"/>
  <c r="K31" i="104"/>
  <c r="K17" i="103"/>
  <c r="K18" i="103"/>
  <c r="K19" i="103"/>
  <c r="K20" i="103"/>
  <c r="K21" i="103"/>
  <c r="K22" i="103"/>
  <c r="K23" i="103"/>
  <c r="K24" i="103"/>
  <c r="K25" i="103"/>
  <c r="K26" i="103"/>
  <c r="K27" i="103"/>
  <c r="K28" i="103"/>
  <c r="K29" i="103"/>
  <c r="K30" i="103"/>
  <c r="K31" i="103"/>
  <c r="K20" i="102"/>
  <c r="K21" i="102"/>
  <c r="K22" i="102"/>
  <c r="K23" i="102"/>
  <c r="K24" i="102"/>
  <c r="K25" i="102"/>
  <c r="K26" i="102"/>
  <c r="K27" i="102"/>
  <c r="K28" i="102"/>
  <c r="K29" i="102"/>
  <c r="K30" i="102"/>
  <c r="K31" i="102"/>
  <c r="K18" i="101"/>
  <c r="K19" i="101"/>
  <c r="K20" i="101"/>
  <c r="K21" i="101"/>
  <c r="K22" i="101"/>
  <c r="K23" i="101"/>
  <c r="K24" i="101"/>
  <c r="K25" i="101"/>
  <c r="K26" i="101"/>
  <c r="K27" i="101"/>
  <c r="K28" i="101"/>
  <c r="K29" i="101"/>
  <c r="K30" i="101"/>
  <c r="K31" i="101"/>
  <c r="K20" i="97"/>
  <c r="K21" i="97"/>
  <c r="K22" i="97"/>
  <c r="K23" i="97"/>
  <c r="K24" i="97"/>
  <c r="K25" i="97"/>
  <c r="K20" i="98"/>
  <c r="K21" i="98"/>
  <c r="K22" i="98"/>
  <c r="K23" i="98"/>
  <c r="K24" i="98"/>
  <c r="K25" i="98"/>
  <c r="K26" i="98"/>
  <c r="K27" i="98"/>
  <c r="K28" i="98"/>
  <c r="K29" i="98"/>
  <c r="K30" i="98"/>
  <c r="K31" i="98"/>
  <c r="K26" i="97"/>
  <c r="K27" i="97"/>
  <c r="K28" i="97"/>
  <c r="K29" i="97"/>
  <c r="K30" i="97"/>
  <c r="K31" i="97"/>
  <c r="K20" i="92"/>
  <c r="K21" i="92"/>
  <c r="K22" i="92"/>
  <c r="K23" i="92"/>
  <c r="K24" i="92"/>
  <c r="K25" i="92"/>
  <c r="K26" i="92"/>
  <c r="K27" i="92"/>
  <c r="K28" i="92"/>
  <c r="K29" i="92"/>
  <c r="K30" i="92"/>
  <c r="K31" i="92"/>
  <c r="K32" i="92"/>
  <c r="K19" i="93"/>
  <c r="K20" i="93"/>
  <c r="K21" i="93"/>
  <c r="K22" i="93"/>
  <c r="K23" i="93"/>
  <c r="K21" i="94"/>
  <c r="K22" i="94"/>
  <c r="K26" i="95"/>
  <c r="K27" i="95"/>
  <c r="K28" i="95"/>
  <c r="K29" i="95"/>
  <c r="K30" i="95"/>
  <c r="K31" i="95"/>
  <c r="K24" i="93"/>
  <c r="K25" i="93"/>
  <c r="K26" i="93"/>
  <c r="K27" i="93"/>
  <c r="K28" i="93"/>
  <c r="K29" i="93"/>
  <c r="K30" i="93"/>
  <c r="K31" i="93"/>
  <c r="K32" i="93"/>
  <c r="K23" i="94"/>
  <c r="K24" i="94"/>
  <c r="K25" i="94"/>
  <c r="K26" i="94"/>
  <c r="K27" i="94"/>
  <c r="K28" i="94"/>
  <c r="K29" i="94"/>
  <c r="K30" i="94"/>
  <c r="K31" i="94"/>
  <c r="K21" i="95"/>
  <c r="K22" i="95"/>
  <c r="K23" i="95"/>
  <c r="K24" i="95"/>
  <c r="K25" i="95"/>
  <c r="K21" i="83"/>
  <c r="K22" i="83"/>
  <c r="K23" i="83"/>
  <c r="K24" i="83"/>
  <c r="K25" i="83"/>
  <c r="K26" i="83"/>
  <c r="K27" i="83"/>
  <c r="K28" i="83"/>
  <c r="K21" i="84"/>
  <c r="K22" i="84"/>
  <c r="K23" i="84"/>
  <c r="K24" i="84"/>
  <c r="K25" i="84"/>
  <c r="K26" i="84"/>
  <c r="K27" i="84"/>
  <c r="K28" i="84"/>
  <c r="K29" i="84"/>
  <c r="K30" i="84"/>
  <c r="K31" i="84"/>
  <c r="K19" i="87"/>
  <c r="K20" i="87"/>
  <c r="K21" i="87"/>
  <c r="K22" i="87"/>
  <c r="K23" i="87"/>
  <c r="K24" i="87"/>
  <c r="K25" i="87"/>
  <c r="K26" i="87"/>
  <c r="K27" i="87"/>
  <c r="K28" i="87"/>
  <c r="K29" i="87"/>
  <c r="K30" i="87"/>
  <c r="K31" i="87"/>
  <c r="K22" i="89"/>
  <c r="K23" i="89"/>
  <c r="K24" i="89"/>
  <c r="K25" i="89"/>
  <c r="K26" i="89"/>
  <c r="K27" i="89"/>
  <c r="K28" i="89"/>
  <c r="K29" i="89"/>
  <c r="K30" i="89"/>
  <c r="K31" i="89"/>
  <c r="K32" i="89"/>
  <c r="K19" i="90"/>
  <c r="K20" i="90"/>
  <c r="K21" i="90"/>
  <c r="K22" i="90"/>
  <c r="K23" i="90"/>
  <c r="K24" i="90"/>
  <c r="K25" i="90"/>
  <c r="K26" i="90"/>
  <c r="K27" i="90"/>
  <c r="K28" i="90"/>
  <c r="K29" i="90"/>
  <c r="K30" i="90"/>
  <c r="K31" i="90"/>
  <c r="K21" i="91"/>
  <c r="K22" i="91"/>
  <c r="K23" i="91"/>
  <c r="K24" i="91"/>
  <c r="K25" i="91"/>
  <c r="K26" i="91"/>
  <c r="K27" i="91"/>
  <c r="K28" i="91"/>
  <c r="K29" i="91"/>
  <c r="K30" i="91"/>
  <c r="K31" i="91"/>
  <c r="K32" i="91"/>
  <c r="K20" i="79"/>
  <c r="K21" i="79"/>
  <c r="K22" i="79"/>
  <c r="K23" i="79"/>
  <c r="K24" i="79"/>
  <c r="K25" i="79"/>
  <c r="K26" i="79"/>
  <c r="K29" i="83"/>
  <c r="K18" i="85"/>
  <c r="K19" i="85"/>
  <c r="K20" i="85"/>
  <c r="K21" i="85"/>
  <c r="K22" i="85"/>
  <c r="K23" i="85"/>
  <c r="K24" i="85"/>
  <c r="K25" i="85"/>
  <c r="K26" i="85"/>
  <c r="K27" i="85"/>
  <c r="K28" i="85"/>
  <c r="K29" i="85"/>
  <c r="K30" i="85"/>
  <c r="K31" i="85"/>
  <c r="K27" i="79"/>
  <c r="K23" i="88"/>
  <c r="K24" i="88"/>
  <c r="K25" i="88"/>
  <c r="K26" i="88"/>
  <c r="K27" i="88"/>
  <c r="K28" i="88"/>
  <c r="K29" i="88"/>
  <c r="K30" i="88"/>
  <c r="K31" i="88"/>
  <c r="K18" i="86"/>
  <c r="K19" i="86"/>
  <c r="K20" i="86"/>
  <c r="K21" i="86"/>
  <c r="K22" i="86"/>
  <c r="K23" i="86"/>
  <c r="K24" i="86"/>
  <c r="K25" i="86"/>
  <c r="K26" i="86"/>
  <c r="K27" i="86"/>
  <c r="K28" i="86"/>
  <c r="K29" i="86"/>
  <c r="K30" i="86"/>
  <c r="K31" i="86"/>
  <c r="K30" i="83"/>
  <c r="K16" i="86"/>
  <c r="K17" i="86"/>
  <c r="K23" i="81"/>
  <c r="K24" i="81"/>
  <c r="K25" i="81"/>
  <c r="K26" i="81"/>
  <c r="K27" i="81"/>
  <c r="K28" i="81"/>
  <c r="K29" i="81"/>
  <c r="K30" i="81"/>
  <c r="K31" i="83"/>
  <c r="K31" i="81"/>
  <c r="K28" i="79"/>
  <c r="K29" i="79"/>
  <c r="K30" i="79"/>
  <c r="K31" i="79"/>
  <c r="K27" i="77"/>
  <c r="K28" i="77"/>
  <c r="K29" i="77"/>
  <c r="K30" i="77"/>
  <c r="K31" i="77"/>
  <c r="K23" i="78"/>
  <c r="K24" i="78"/>
  <c r="K25" i="78"/>
  <c r="K26" i="78"/>
  <c r="K27" i="78"/>
  <c r="K28" i="78"/>
  <c r="K29" i="78"/>
  <c r="K30" i="78"/>
  <c r="K31" i="78"/>
  <c r="I71" i="74"/>
  <c r="F71" i="74"/>
  <c r="I70" i="74"/>
  <c r="F70" i="74"/>
  <c r="K69" i="74"/>
  <c r="I66" i="74"/>
  <c r="H66" i="74"/>
  <c r="J31" i="74"/>
  <c r="I31" i="74"/>
  <c r="H31" i="74"/>
  <c r="G31" i="74"/>
  <c r="F31" i="74"/>
  <c r="E31" i="74"/>
  <c r="J30" i="74"/>
  <c r="I30" i="74"/>
  <c r="H30" i="74"/>
  <c r="G30" i="74"/>
  <c r="F30" i="74"/>
  <c r="E30" i="74"/>
  <c r="J29" i="74"/>
  <c r="I29" i="74"/>
  <c r="H29" i="74"/>
  <c r="G29" i="74"/>
  <c r="F29" i="74"/>
  <c r="E29" i="74"/>
  <c r="J28" i="74"/>
  <c r="I28" i="74"/>
  <c r="H28" i="74"/>
  <c r="G28" i="74"/>
  <c r="F28" i="74"/>
  <c r="E28" i="74"/>
  <c r="J27" i="74"/>
  <c r="I27" i="74"/>
  <c r="H27" i="74"/>
  <c r="G27" i="74"/>
  <c r="F27" i="74"/>
  <c r="E27" i="74"/>
  <c r="J26" i="74"/>
  <c r="I26" i="74"/>
  <c r="H26" i="74"/>
  <c r="G26" i="74"/>
  <c r="F26" i="74"/>
  <c r="E26" i="74"/>
  <c r="J25" i="74"/>
  <c r="I25" i="74"/>
  <c r="H25" i="74"/>
  <c r="G25" i="74"/>
  <c r="F25" i="74"/>
  <c r="E25" i="74"/>
  <c r="J24" i="74"/>
  <c r="I24" i="74"/>
  <c r="H24" i="74"/>
  <c r="G24" i="74"/>
  <c r="F24" i="74"/>
  <c r="E24" i="74"/>
  <c r="J23" i="74"/>
  <c r="I23" i="74"/>
  <c r="H23" i="74"/>
  <c r="G23" i="74"/>
  <c r="F23" i="74"/>
  <c r="E23" i="74"/>
  <c r="J22" i="74"/>
  <c r="I22" i="74"/>
  <c r="H22" i="74"/>
  <c r="G22" i="74"/>
  <c r="F22" i="74"/>
  <c r="E22" i="74"/>
  <c r="K22" i="74" s="1"/>
  <c r="E21" i="74"/>
  <c r="J17" i="74"/>
  <c r="I17" i="74"/>
  <c r="H17" i="74"/>
  <c r="G17" i="74"/>
  <c r="F17" i="74"/>
  <c r="E17" i="74"/>
  <c r="K17" i="74" s="1"/>
  <c r="E16" i="74"/>
  <c r="E14" i="74"/>
  <c r="E13" i="74"/>
  <c r="E10" i="74"/>
  <c r="I73" i="73"/>
  <c r="F73" i="73"/>
  <c r="I72" i="73"/>
  <c r="F72" i="73"/>
  <c r="K71" i="73"/>
  <c r="I68" i="73"/>
  <c r="H68" i="73"/>
  <c r="E18" i="73"/>
  <c r="E17" i="73"/>
  <c r="E16" i="73"/>
  <c r="E15" i="73"/>
  <c r="E14" i="73"/>
  <c r="E13" i="73"/>
  <c r="E10" i="73"/>
  <c r="F19" i="72"/>
  <c r="G19" i="72"/>
  <c r="H19" i="72"/>
  <c r="I19" i="72"/>
  <c r="J19" i="72"/>
  <c r="I71" i="72"/>
  <c r="F71" i="72"/>
  <c r="I70" i="72"/>
  <c r="F70" i="72"/>
  <c r="I66" i="72"/>
  <c r="H66" i="72"/>
  <c r="K55" i="72"/>
  <c r="K54" i="72"/>
  <c r="K53" i="72"/>
  <c r="K52" i="72"/>
  <c r="K51" i="72"/>
  <c r="K50" i="72"/>
  <c r="K49" i="72"/>
  <c r="K48" i="72"/>
  <c r="K47" i="72"/>
  <c r="K46" i="72"/>
  <c r="K45" i="72"/>
  <c r="K44" i="72"/>
  <c r="K43" i="72"/>
  <c r="K42" i="72"/>
  <c r="K41" i="72"/>
  <c r="K40" i="72"/>
  <c r="K39" i="72"/>
  <c r="K38" i="72"/>
  <c r="K37" i="72"/>
  <c r="J31" i="72"/>
  <c r="I31" i="72"/>
  <c r="H31" i="72"/>
  <c r="G31" i="72"/>
  <c r="F31" i="72"/>
  <c r="E31" i="72"/>
  <c r="J30" i="72"/>
  <c r="I30" i="72"/>
  <c r="H30" i="72"/>
  <c r="G30" i="72"/>
  <c r="F30" i="72"/>
  <c r="E30" i="72"/>
  <c r="J29" i="72"/>
  <c r="I29" i="72"/>
  <c r="H29" i="72"/>
  <c r="G29" i="72"/>
  <c r="F29" i="72"/>
  <c r="E29" i="72"/>
  <c r="J28" i="72"/>
  <c r="I28" i="72"/>
  <c r="H28" i="72"/>
  <c r="G28" i="72"/>
  <c r="F28" i="72"/>
  <c r="E28" i="72"/>
  <c r="J27" i="72"/>
  <c r="I27" i="72"/>
  <c r="H27" i="72"/>
  <c r="G27" i="72"/>
  <c r="F27" i="72"/>
  <c r="E27" i="72"/>
  <c r="J26" i="72"/>
  <c r="I26" i="72"/>
  <c r="H26" i="72"/>
  <c r="G26" i="72"/>
  <c r="F26" i="72"/>
  <c r="E26" i="72"/>
  <c r="J25" i="72"/>
  <c r="I25" i="72"/>
  <c r="H25" i="72"/>
  <c r="G25" i="72"/>
  <c r="F25" i="72"/>
  <c r="E25" i="72"/>
  <c r="F24" i="72"/>
  <c r="E24" i="72"/>
  <c r="J23" i="72"/>
  <c r="I23" i="72"/>
  <c r="H23" i="72"/>
  <c r="G23" i="72"/>
  <c r="F23" i="72"/>
  <c r="E23" i="72"/>
  <c r="J22" i="72"/>
  <c r="I22" i="72"/>
  <c r="H22" i="72"/>
  <c r="G22" i="72"/>
  <c r="F22" i="72"/>
  <c r="E22" i="72"/>
  <c r="F21" i="72"/>
  <c r="E21" i="72"/>
  <c r="F20" i="72"/>
  <c r="E20" i="72"/>
  <c r="J18" i="72"/>
  <c r="I18" i="72"/>
  <c r="H18" i="72"/>
  <c r="G18" i="72"/>
  <c r="F18" i="72"/>
  <c r="E18" i="72"/>
  <c r="F17" i="72"/>
  <c r="E17" i="72"/>
  <c r="F16" i="72"/>
  <c r="E16" i="72"/>
  <c r="F15" i="72"/>
  <c r="E15" i="72"/>
  <c r="F14" i="72"/>
  <c r="E14" i="72"/>
  <c r="F13" i="72"/>
  <c r="E13" i="72"/>
  <c r="F12" i="72"/>
  <c r="E10" i="72"/>
  <c r="I72" i="71"/>
  <c r="F72" i="71"/>
  <c r="I71" i="71"/>
  <c r="F71" i="71"/>
  <c r="I67" i="71"/>
  <c r="H67" i="71"/>
  <c r="J31" i="71"/>
  <c r="I31" i="71"/>
  <c r="H31" i="71"/>
  <c r="G31" i="71"/>
  <c r="F31" i="71"/>
  <c r="E31" i="71"/>
  <c r="J30" i="71"/>
  <c r="I30" i="71"/>
  <c r="H30" i="71"/>
  <c r="G30" i="71"/>
  <c r="F30" i="71"/>
  <c r="E30" i="71"/>
  <c r="J29" i="71"/>
  <c r="I29" i="71"/>
  <c r="H29" i="71"/>
  <c r="G29" i="71"/>
  <c r="F29" i="71"/>
  <c r="E29" i="71"/>
  <c r="J28" i="71"/>
  <c r="I28" i="71"/>
  <c r="H28" i="71"/>
  <c r="G28" i="71"/>
  <c r="F28" i="71"/>
  <c r="E28" i="71"/>
  <c r="J27" i="71"/>
  <c r="I27" i="71"/>
  <c r="H27" i="71"/>
  <c r="G27" i="71"/>
  <c r="F27" i="71"/>
  <c r="E27" i="71"/>
  <c r="J26" i="71"/>
  <c r="I26" i="71"/>
  <c r="H26" i="71"/>
  <c r="G26" i="71"/>
  <c r="F26" i="71"/>
  <c r="E26" i="71"/>
  <c r="J25" i="71"/>
  <c r="I25" i="71"/>
  <c r="H25" i="71"/>
  <c r="G25" i="71"/>
  <c r="F25" i="71"/>
  <c r="E25" i="71"/>
  <c r="J24" i="71"/>
  <c r="I24" i="71"/>
  <c r="H24" i="71"/>
  <c r="G24" i="71"/>
  <c r="F24" i="71"/>
  <c r="E24" i="71"/>
  <c r="J23" i="71"/>
  <c r="I23" i="71"/>
  <c r="H23" i="71"/>
  <c r="G23" i="71"/>
  <c r="F23" i="71"/>
  <c r="E23" i="71"/>
  <c r="J22" i="71"/>
  <c r="I22" i="71"/>
  <c r="H22" i="71"/>
  <c r="G22" i="71"/>
  <c r="F22" i="71"/>
  <c r="E22" i="71"/>
  <c r="J21" i="71"/>
  <c r="I21" i="71"/>
  <c r="H21" i="71"/>
  <c r="G21" i="71"/>
  <c r="F21" i="71"/>
  <c r="E21" i="71"/>
  <c r="K21" i="71" s="1"/>
  <c r="J20" i="71"/>
  <c r="I20" i="71"/>
  <c r="H20" i="71"/>
  <c r="G20" i="71"/>
  <c r="F20" i="71"/>
  <c r="E20" i="71"/>
  <c r="K20" i="71" s="1"/>
  <c r="J17" i="71"/>
  <c r="I17" i="71"/>
  <c r="H17" i="71"/>
  <c r="G17" i="71"/>
  <c r="F17" i="71"/>
  <c r="E17" i="71"/>
  <c r="K17" i="71" s="1"/>
  <c r="E16" i="71"/>
  <c r="E15" i="71"/>
  <c r="E14" i="71"/>
  <c r="E13" i="71"/>
  <c r="E10" i="71"/>
  <c r="I71" i="70"/>
  <c r="F71" i="70"/>
  <c r="I70" i="70"/>
  <c r="F70" i="70"/>
  <c r="I66" i="70"/>
  <c r="H66" i="70"/>
  <c r="J31" i="70"/>
  <c r="I31" i="70"/>
  <c r="H31" i="70"/>
  <c r="G31" i="70"/>
  <c r="F31" i="70"/>
  <c r="E31" i="70"/>
  <c r="J30" i="70"/>
  <c r="I30" i="70"/>
  <c r="H30" i="70"/>
  <c r="G30" i="70"/>
  <c r="F30" i="70"/>
  <c r="E30" i="70"/>
  <c r="J29" i="70"/>
  <c r="I29" i="70"/>
  <c r="H29" i="70"/>
  <c r="G29" i="70"/>
  <c r="F29" i="70"/>
  <c r="E29" i="70"/>
  <c r="J28" i="70"/>
  <c r="I28" i="70"/>
  <c r="H28" i="70"/>
  <c r="G28" i="70"/>
  <c r="F28" i="70"/>
  <c r="E28" i="70"/>
  <c r="J27" i="70"/>
  <c r="I27" i="70"/>
  <c r="H27" i="70"/>
  <c r="G27" i="70"/>
  <c r="F27" i="70"/>
  <c r="E27" i="70"/>
  <c r="J26" i="70"/>
  <c r="I26" i="70"/>
  <c r="H26" i="70"/>
  <c r="G26" i="70"/>
  <c r="F26" i="70"/>
  <c r="E26" i="70"/>
  <c r="J25" i="70"/>
  <c r="I25" i="70"/>
  <c r="H25" i="70"/>
  <c r="G25" i="70"/>
  <c r="F25" i="70"/>
  <c r="E25" i="70"/>
  <c r="J24" i="70"/>
  <c r="I24" i="70"/>
  <c r="H24" i="70"/>
  <c r="G24" i="70"/>
  <c r="F24" i="70"/>
  <c r="E24" i="70"/>
  <c r="J23" i="70"/>
  <c r="I23" i="70"/>
  <c r="H23" i="70"/>
  <c r="G23" i="70"/>
  <c r="F23" i="70"/>
  <c r="E23" i="70"/>
  <c r="J22" i="70"/>
  <c r="I22" i="70"/>
  <c r="H22" i="70"/>
  <c r="G22" i="70"/>
  <c r="F22" i="70"/>
  <c r="E22" i="70"/>
  <c r="J21" i="70"/>
  <c r="I21" i="70"/>
  <c r="H21" i="70"/>
  <c r="G21" i="70"/>
  <c r="F21" i="70"/>
  <c r="E21" i="70"/>
  <c r="J20" i="70"/>
  <c r="I20" i="70"/>
  <c r="H20" i="70"/>
  <c r="G20" i="70"/>
  <c r="F20" i="70"/>
  <c r="E20" i="70"/>
  <c r="K20" i="70" s="1"/>
  <c r="E17" i="70"/>
  <c r="F16" i="70"/>
  <c r="E16" i="70"/>
  <c r="E15" i="70"/>
  <c r="E14" i="70"/>
  <c r="E13" i="70"/>
  <c r="E10" i="70"/>
  <c r="I72" i="69"/>
  <c r="F72" i="69"/>
  <c r="I71" i="69"/>
  <c r="F71" i="69"/>
  <c r="I67" i="69"/>
  <c r="H67" i="69"/>
  <c r="K56" i="69"/>
  <c r="K55" i="69"/>
  <c r="K54" i="69"/>
  <c r="J31" i="69"/>
  <c r="I31" i="69"/>
  <c r="H31" i="69"/>
  <c r="G31" i="69"/>
  <c r="F31" i="69"/>
  <c r="E31" i="69"/>
  <c r="J30" i="69"/>
  <c r="I30" i="69"/>
  <c r="H30" i="69"/>
  <c r="G30" i="69"/>
  <c r="F30" i="69"/>
  <c r="E30" i="69"/>
  <c r="J29" i="69"/>
  <c r="I29" i="69"/>
  <c r="H29" i="69"/>
  <c r="G29" i="69"/>
  <c r="F29" i="69"/>
  <c r="E29" i="69"/>
  <c r="J28" i="69"/>
  <c r="I28" i="69"/>
  <c r="H28" i="69"/>
  <c r="G28" i="69"/>
  <c r="F28" i="69"/>
  <c r="E28" i="69"/>
  <c r="J27" i="69"/>
  <c r="I27" i="69"/>
  <c r="H27" i="69"/>
  <c r="G27" i="69"/>
  <c r="F27" i="69"/>
  <c r="E27" i="69"/>
  <c r="J26" i="69"/>
  <c r="I26" i="69"/>
  <c r="H26" i="69"/>
  <c r="G26" i="69"/>
  <c r="F26" i="69"/>
  <c r="E26" i="69"/>
  <c r="J25" i="69"/>
  <c r="I25" i="69"/>
  <c r="H25" i="69"/>
  <c r="G25" i="69"/>
  <c r="F25" i="69"/>
  <c r="E25" i="69"/>
  <c r="J24" i="69"/>
  <c r="I24" i="69"/>
  <c r="H24" i="69"/>
  <c r="G24" i="69"/>
  <c r="F24" i="69"/>
  <c r="E24" i="69"/>
  <c r="J23" i="69"/>
  <c r="I23" i="69"/>
  <c r="H23" i="69"/>
  <c r="G23" i="69"/>
  <c r="F23" i="69"/>
  <c r="E23" i="69"/>
  <c r="J22" i="69"/>
  <c r="I22" i="69"/>
  <c r="H22" i="69"/>
  <c r="G22" i="69"/>
  <c r="F22" i="69"/>
  <c r="E22" i="69"/>
  <c r="J21" i="69"/>
  <c r="I21" i="69"/>
  <c r="H21" i="69"/>
  <c r="G21" i="69"/>
  <c r="F21" i="69"/>
  <c r="E21" i="69"/>
  <c r="E16" i="69"/>
  <c r="F15" i="69"/>
  <c r="E15" i="69"/>
  <c r="E14" i="69"/>
  <c r="E13" i="69"/>
  <c r="E10" i="69"/>
  <c r="I71" i="68"/>
  <c r="F71" i="68"/>
  <c r="I70" i="68"/>
  <c r="F70" i="68"/>
  <c r="I66" i="68"/>
  <c r="H66" i="68"/>
  <c r="J31" i="68"/>
  <c r="I31" i="68"/>
  <c r="H31" i="68"/>
  <c r="G31" i="68"/>
  <c r="F31" i="68"/>
  <c r="E31" i="68"/>
  <c r="J30" i="68"/>
  <c r="I30" i="68"/>
  <c r="H30" i="68"/>
  <c r="G30" i="68"/>
  <c r="F30" i="68"/>
  <c r="E30" i="68"/>
  <c r="J29" i="68"/>
  <c r="I29" i="68"/>
  <c r="H29" i="68"/>
  <c r="G29" i="68"/>
  <c r="F29" i="68"/>
  <c r="E29" i="68"/>
  <c r="J28" i="68"/>
  <c r="I28" i="68"/>
  <c r="H28" i="68"/>
  <c r="G28" i="68"/>
  <c r="F28" i="68"/>
  <c r="E28" i="68"/>
  <c r="J27" i="68"/>
  <c r="I27" i="68"/>
  <c r="H27" i="68"/>
  <c r="G27" i="68"/>
  <c r="F27" i="68"/>
  <c r="E27" i="68"/>
  <c r="J26" i="68"/>
  <c r="I26" i="68"/>
  <c r="H26" i="68"/>
  <c r="G26" i="68"/>
  <c r="F26" i="68"/>
  <c r="E26" i="68"/>
  <c r="J25" i="68"/>
  <c r="I25" i="68"/>
  <c r="H25" i="68"/>
  <c r="G25" i="68"/>
  <c r="F25" i="68"/>
  <c r="E25" i="68"/>
  <c r="J24" i="68"/>
  <c r="I24" i="68"/>
  <c r="H24" i="68"/>
  <c r="G24" i="68"/>
  <c r="F24" i="68"/>
  <c r="E24" i="68"/>
  <c r="J23" i="68"/>
  <c r="I23" i="68"/>
  <c r="H23" i="68"/>
  <c r="G23" i="68"/>
  <c r="F23" i="68"/>
  <c r="E23" i="68"/>
  <c r="J22" i="68"/>
  <c r="I22" i="68"/>
  <c r="H22" i="68"/>
  <c r="G22" i="68"/>
  <c r="F22" i="68"/>
  <c r="E22" i="68"/>
  <c r="J21" i="68"/>
  <c r="I21" i="68"/>
  <c r="H21" i="68"/>
  <c r="G21" i="68"/>
  <c r="F21" i="68"/>
  <c r="E21" i="68"/>
  <c r="J20" i="68"/>
  <c r="I20" i="68"/>
  <c r="H20" i="68"/>
  <c r="G20" i="68"/>
  <c r="F20" i="68"/>
  <c r="E20" i="68"/>
  <c r="J19" i="68"/>
  <c r="I19" i="68"/>
  <c r="H19" i="68"/>
  <c r="G19" i="68"/>
  <c r="F19" i="68"/>
  <c r="K19" i="68"/>
  <c r="J18" i="68"/>
  <c r="H18" i="68"/>
  <c r="F18" i="68"/>
  <c r="E18" i="68"/>
  <c r="E16" i="68"/>
  <c r="F15" i="68"/>
  <c r="E15" i="68"/>
  <c r="E14" i="68"/>
  <c r="E13" i="68"/>
  <c r="E10" i="68"/>
  <c r="I72" i="67"/>
  <c r="F72" i="67"/>
  <c r="I71" i="67"/>
  <c r="F71" i="67"/>
  <c r="I67" i="67"/>
  <c r="H67" i="67"/>
  <c r="K56" i="67"/>
  <c r="J31" i="67"/>
  <c r="I31" i="67"/>
  <c r="H31" i="67"/>
  <c r="G31" i="67"/>
  <c r="F31" i="67"/>
  <c r="E31" i="67"/>
  <c r="J30" i="67"/>
  <c r="I30" i="67"/>
  <c r="H30" i="67"/>
  <c r="G30" i="67"/>
  <c r="F30" i="67"/>
  <c r="E30" i="67"/>
  <c r="J29" i="67"/>
  <c r="I29" i="67"/>
  <c r="H29" i="67"/>
  <c r="G29" i="67"/>
  <c r="F29" i="67"/>
  <c r="E29" i="67"/>
  <c r="J28" i="67"/>
  <c r="I28" i="67"/>
  <c r="H28" i="67"/>
  <c r="G28" i="67"/>
  <c r="F28" i="67"/>
  <c r="E28" i="67"/>
  <c r="J27" i="67"/>
  <c r="I27" i="67"/>
  <c r="H27" i="67"/>
  <c r="G27" i="67"/>
  <c r="F27" i="67"/>
  <c r="E27" i="67"/>
  <c r="J26" i="67"/>
  <c r="I26" i="67"/>
  <c r="H26" i="67"/>
  <c r="G26" i="67"/>
  <c r="F26" i="67"/>
  <c r="E26" i="67"/>
  <c r="E18" i="67"/>
  <c r="E17" i="67"/>
  <c r="E16" i="67"/>
  <c r="E15" i="67"/>
  <c r="E14" i="67"/>
  <c r="E13" i="67"/>
  <c r="E10" i="67"/>
  <c r="I72" i="66"/>
  <c r="F72" i="66"/>
  <c r="I71" i="66"/>
  <c r="F71" i="66"/>
  <c r="I67" i="66"/>
  <c r="H67" i="66"/>
  <c r="K62" i="66"/>
  <c r="K56" i="66"/>
  <c r="K55" i="66"/>
  <c r="K54" i="66"/>
  <c r="K53" i="66"/>
  <c r="K52" i="66"/>
  <c r="K51" i="66"/>
  <c r="K50" i="66"/>
  <c r="K49" i="66"/>
  <c r="K48" i="66"/>
  <c r="K47" i="66"/>
  <c r="K46" i="66"/>
  <c r="J31" i="66"/>
  <c r="I31" i="66"/>
  <c r="H31" i="66"/>
  <c r="G31" i="66"/>
  <c r="F31" i="66"/>
  <c r="E31" i="66"/>
  <c r="J30" i="66"/>
  <c r="I30" i="66"/>
  <c r="H30" i="66"/>
  <c r="G30" i="66"/>
  <c r="F30" i="66"/>
  <c r="E30" i="66"/>
  <c r="J29" i="66"/>
  <c r="I29" i="66"/>
  <c r="H29" i="66"/>
  <c r="G29" i="66"/>
  <c r="F29" i="66"/>
  <c r="E29" i="66"/>
  <c r="J28" i="66"/>
  <c r="I28" i="66"/>
  <c r="H28" i="66"/>
  <c r="G28" i="66"/>
  <c r="F28" i="66"/>
  <c r="E28" i="66"/>
  <c r="J27" i="66"/>
  <c r="I27" i="66"/>
  <c r="H27" i="66"/>
  <c r="G27" i="66"/>
  <c r="F27" i="66"/>
  <c r="E27" i="66"/>
  <c r="J26" i="66"/>
  <c r="I26" i="66"/>
  <c r="H26" i="66"/>
  <c r="G26" i="66"/>
  <c r="F26" i="66"/>
  <c r="E26" i="66"/>
  <c r="J25" i="66"/>
  <c r="I25" i="66"/>
  <c r="H25" i="66"/>
  <c r="G25" i="66"/>
  <c r="F25" i="66"/>
  <c r="E25" i="66"/>
  <c r="J24" i="66"/>
  <c r="I24" i="66"/>
  <c r="H24" i="66"/>
  <c r="G24" i="66"/>
  <c r="F24" i="66"/>
  <c r="E24" i="66"/>
  <c r="J23" i="66"/>
  <c r="I23" i="66"/>
  <c r="H23" i="66"/>
  <c r="G23" i="66"/>
  <c r="F23" i="66"/>
  <c r="E23" i="66"/>
  <c r="J22" i="66"/>
  <c r="I22" i="66"/>
  <c r="H22" i="66"/>
  <c r="G22" i="66"/>
  <c r="F22" i="66"/>
  <c r="E22" i="66"/>
  <c r="E21" i="66"/>
  <c r="E20" i="66"/>
  <c r="E18" i="66"/>
  <c r="E15" i="66"/>
  <c r="E14" i="66"/>
  <c r="E13" i="66"/>
  <c r="E10" i="66"/>
  <c r="I73" i="65"/>
  <c r="F73" i="65"/>
  <c r="I72" i="65"/>
  <c r="F72" i="65"/>
  <c r="I68" i="65"/>
  <c r="H68" i="65"/>
  <c r="J31" i="65"/>
  <c r="I31" i="65"/>
  <c r="H31" i="65"/>
  <c r="G31" i="65"/>
  <c r="F31" i="65"/>
  <c r="E31" i="65"/>
  <c r="J30" i="65"/>
  <c r="I30" i="65"/>
  <c r="H30" i="65"/>
  <c r="G30" i="65"/>
  <c r="F30" i="65"/>
  <c r="E30" i="65"/>
  <c r="J29" i="65"/>
  <c r="I29" i="65"/>
  <c r="H29" i="65"/>
  <c r="G29" i="65"/>
  <c r="F29" i="65"/>
  <c r="E29" i="65"/>
  <c r="J28" i="65"/>
  <c r="I28" i="65"/>
  <c r="H28" i="65"/>
  <c r="G28" i="65"/>
  <c r="F28" i="65"/>
  <c r="E28" i="65"/>
  <c r="J27" i="65"/>
  <c r="I27" i="65"/>
  <c r="H27" i="65"/>
  <c r="G27" i="65"/>
  <c r="F27" i="65"/>
  <c r="E27" i="65"/>
  <c r="J26" i="65"/>
  <c r="I26" i="65"/>
  <c r="H26" i="65"/>
  <c r="G26" i="65"/>
  <c r="F26" i="65"/>
  <c r="E26" i="65"/>
  <c r="J25" i="65"/>
  <c r="I25" i="65"/>
  <c r="H25" i="65"/>
  <c r="G25" i="65"/>
  <c r="F25" i="65"/>
  <c r="E25" i="65"/>
  <c r="J24" i="65"/>
  <c r="I24" i="65"/>
  <c r="H24" i="65"/>
  <c r="G24" i="65"/>
  <c r="F24" i="65"/>
  <c r="E24" i="65"/>
  <c r="J23" i="65"/>
  <c r="I23" i="65"/>
  <c r="H23" i="65"/>
  <c r="G23" i="65"/>
  <c r="F23" i="65"/>
  <c r="E23" i="65"/>
  <c r="E22" i="65"/>
  <c r="E21" i="65"/>
  <c r="E15" i="65"/>
  <c r="E14" i="65"/>
  <c r="E13" i="65"/>
  <c r="E10" i="65"/>
  <c r="I71" i="64"/>
  <c r="F71" i="64"/>
  <c r="I70" i="64"/>
  <c r="F70" i="64"/>
  <c r="I66" i="64"/>
  <c r="H66" i="64"/>
  <c r="K61" i="64"/>
  <c r="K55" i="64"/>
  <c r="K54" i="64"/>
  <c r="K53" i="64"/>
  <c r="K52" i="64"/>
  <c r="K51" i="64"/>
  <c r="K50" i="64"/>
  <c r="K49" i="64"/>
  <c r="K48" i="64"/>
  <c r="K47" i="64"/>
  <c r="K46" i="64"/>
  <c r="K45" i="64"/>
  <c r="K44" i="64"/>
  <c r="K43" i="64"/>
  <c r="K42" i="64"/>
  <c r="K41" i="64"/>
  <c r="K40" i="64"/>
  <c r="J31" i="64"/>
  <c r="I31" i="64"/>
  <c r="H31" i="64"/>
  <c r="G31" i="64"/>
  <c r="F31" i="64"/>
  <c r="E31" i="64"/>
  <c r="J30" i="64"/>
  <c r="I30" i="64"/>
  <c r="H30" i="64"/>
  <c r="G30" i="64"/>
  <c r="F30" i="64"/>
  <c r="E30" i="64"/>
  <c r="J29" i="64"/>
  <c r="I29" i="64"/>
  <c r="H29" i="64"/>
  <c r="G29" i="64"/>
  <c r="F29" i="64"/>
  <c r="E29" i="64"/>
  <c r="J28" i="64"/>
  <c r="I28" i="64"/>
  <c r="H28" i="64"/>
  <c r="G28" i="64"/>
  <c r="F28" i="64"/>
  <c r="E28" i="64"/>
  <c r="J27" i="64"/>
  <c r="I27" i="64"/>
  <c r="H27" i="64"/>
  <c r="G27" i="64"/>
  <c r="F27" i="64"/>
  <c r="E27" i="64"/>
  <c r="J26" i="64"/>
  <c r="I26" i="64"/>
  <c r="H26" i="64"/>
  <c r="G26" i="64"/>
  <c r="F26" i="64"/>
  <c r="E26" i="64"/>
  <c r="J25" i="64"/>
  <c r="I25" i="64"/>
  <c r="H25" i="64"/>
  <c r="G25" i="64"/>
  <c r="F25" i="64"/>
  <c r="E25" i="64"/>
  <c r="J24" i="64"/>
  <c r="I24" i="64"/>
  <c r="H24" i="64"/>
  <c r="G24" i="64"/>
  <c r="F24" i="64"/>
  <c r="E24" i="64"/>
  <c r="J23" i="64"/>
  <c r="I23" i="64"/>
  <c r="H23" i="64"/>
  <c r="G23" i="64"/>
  <c r="F23" i="64"/>
  <c r="E23" i="64"/>
  <c r="J22" i="64"/>
  <c r="I22" i="64"/>
  <c r="H22" i="64"/>
  <c r="G22" i="64"/>
  <c r="F22" i="64"/>
  <c r="E22" i="64"/>
  <c r="J21" i="64"/>
  <c r="I21" i="64"/>
  <c r="H21" i="64"/>
  <c r="G21" i="64"/>
  <c r="F21" i="64"/>
  <c r="E21" i="64"/>
  <c r="J20" i="64"/>
  <c r="I20" i="64"/>
  <c r="H20" i="64"/>
  <c r="G20" i="64"/>
  <c r="F20" i="64"/>
  <c r="E20" i="64"/>
  <c r="J19" i="64"/>
  <c r="I19" i="64"/>
  <c r="H19" i="64"/>
  <c r="G19" i="64"/>
  <c r="F19" i="64"/>
  <c r="E18" i="64"/>
  <c r="E17" i="64"/>
  <c r="E14" i="64"/>
  <c r="E13" i="64"/>
  <c r="E10" i="64"/>
  <c r="I72" i="63"/>
  <c r="F72" i="63"/>
  <c r="I71" i="63"/>
  <c r="F71" i="63"/>
  <c r="I67" i="63"/>
  <c r="H67" i="63"/>
  <c r="K62" i="63"/>
  <c r="K56" i="63"/>
  <c r="K55" i="63"/>
  <c r="K54" i="63"/>
  <c r="K53" i="63"/>
  <c r="K52" i="63"/>
  <c r="K51" i="63"/>
  <c r="K50" i="63"/>
  <c r="K49" i="63"/>
  <c r="K48" i="63"/>
  <c r="K47" i="63"/>
  <c r="J31" i="63"/>
  <c r="I31" i="63"/>
  <c r="H31" i="63"/>
  <c r="G31" i="63"/>
  <c r="F31" i="63"/>
  <c r="E31" i="63"/>
  <c r="J30" i="63"/>
  <c r="I30" i="63"/>
  <c r="H30" i="63"/>
  <c r="G30" i="63"/>
  <c r="F30" i="63"/>
  <c r="E30" i="63"/>
  <c r="J29" i="63"/>
  <c r="I29" i="63"/>
  <c r="H29" i="63"/>
  <c r="G29" i="63"/>
  <c r="F29" i="63"/>
  <c r="E29" i="63"/>
  <c r="J28" i="63"/>
  <c r="I28" i="63"/>
  <c r="H28" i="63"/>
  <c r="G28" i="63"/>
  <c r="F28" i="63"/>
  <c r="E28" i="63"/>
  <c r="J27" i="63"/>
  <c r="I27" i="63"/>
  <c r="H27" i="63"/>
  <c r="G27" i="63"/>
  <c r="F27" i="63"/>
  <c r="E27" i="63"/>
  <c r="J26" i="63"/>
  <c r="I26" i="63"/>
  <c r="H26" i="63"/>
  <c r="G26" i="63"/>
  <c r="F26" i="63"/>
  <c r="E26" i="63"/>
  <c r="J25" i="63"/>
  <c r="I25" i="63"/>
  <c r="H25" i="63"/>
  <c r="G25" i="63"/>
  <c r="F25" i="63"/>
  <c r="E25" i="63"/>
  <c r="J24" i="63"/>
  <c r="I24" i="63"/>
  <c r="H24" i="63"/>
  <c r="G24" i="63"/>
  <c r="F24" i="63"/>
  <c r="E24" i="63"/>
  <c r="E18" i="63"/>
  <c r="E17" i="63"/>
  <c r="E16" i="63"/>
  <c r="E15" i="63"/>
  <c r="E14" i="63"/>
  <c r="E13" i="63"/>
  <c r="E10" i="63"/>
  <c r="I71" i="62"/>
  <c r="F71" i="62"/>
  <c r="I70" i="62"/>
  <c r="F70" i="62"/>
  <c r="I66" i="62"/>
  <c r="H66" i="62"/>
  <c r="K61" i="62"/>
  <c r="K55" i="62"/>
  <c r="K54" i="62"/>
  <c r="K53" i="62"/>
  <c r="K52" i="62"/>
  <c r="K51" i="62"/>
  <c r="K50" i="62"/>
  <c r="K49" i="62"/>
  <c r="K48" i="62"/>
  <c r="K47" i="62"/>
  <c r="K46" i="62"/>
  <c r="K45" i="62"/>
  <c r="J31" i="62"/>
  <c r="I31" i="62"/>
  <c r="H31" i="62"/>
  <c r="G31" i="62"/>
  <c r="F31" i="62"/>
  <c r="E31" i="62"/>
  <c r="J30" i="62"/>
  <c r="I30" i="62"/>
  <c r="H30" i="62"/>
  <c r="G30" i="62"/>
  <c r="F30" i="62"/>
  <c r="E30" i="62"/>
  <c r="J29" i="62"/>
  <c r="I29" i="62"/>
  <c r="H29" i="62"/>
  <c r="G29" i="62"/>
  <c r="F29" i="62"/>
  <c r="E29" i="62"/>
  <c r="J28" i="62"/>
  <c r="I28" i="62"/>
  <c r="H28" i="62"/>
  <c r="G28" i="62"/>
  <c r="F28" i="62"/>
  <c r="E28" i="62"/>
  <c r="J27" i="62"/>
  <c r="I27" i="62"/>
  <c r="H27" i="62"/>
  <c r="G27" i="62"/>
  <c r="F27" i="62"/>
  <c r="E27" i="62"/>
  <c r="J26" i="62"/>
  <c r="I26" i="62"/>
  <c r="H26" i="62"/>
  <c r="G26" i="62"/>
  <c r="F26" i="62"/>
  <c r="E26" i="62"/>
  <c r="J25" i="62"/>
  <c r="I25" i="62"/>
  <c r="H25" i="62"/>
  <c r="G25" i="62"/>
  <c r="F25" i="62"/>
  <c r="E25" i="62"/>
  <c r="J24" i="62"/>
  <c r="I24" i="62"/>
  <c r="H24" i="62"/>
  <c r="G24" i="62"/>
  <c r="F24" i="62"/>
  <c r="E24" i="62"/>
  <c r="E23" i="62"/>
  <c r="E16" i="62"/>
  <c r="E15" i="62"/>
  <c r="E14" i="62"/>
  <c r="E13" i="62"/>
  <c r="E10" i="62"/>
  <c r="I71" i="61"/>
  <c r="F71" i="61"/>
  <c r="I70" i="61"/>
  <c r="F70" i="61"/>
  <c r="I66" i="61"/>
  <c r="H66" i="61"/>
  <c r="K61" i="61"/>
  <c r="K55" i="61"/>
  <c r="K54" i="61"/>
  <c r="K53" i="61"/>
  <c r="K52" i="61"/>
  <c r="K51" i="61"/>
  <c r="K50" i="61"/>
  <c r="K49" i="61"/>
  <c r="K48" i="61"/>
  <c r="K47" i="61"/>
  <c r="K46" i="61"/>
  <c r="K45" i="61"/>
  <c r="K44" i="61"/>
  <c r="J31" i="61"/>
  <c r="I31" i="61"/>
  <c r="H31" i="61"/>
  <c r="G31" i="61"/>
  <c r="F31" i="61"/>
  <c r="E31" i="61"/>
  <c r="J30" i="61"/>
  <c r="I30" i="61"/>
  <c r="H30" i="61"/>
  <c r="G30" i="61"/>
  <c r="F30" i="61"/>
  <c r="E30" i="61"/>
  <c r="J29" i="61"/>
  <c r="I29" i="61"/>
  <c r="H29" i="61"/>
  <c r="G29" i="61"/>
  <c r="F29" i="61"/>
  <c r="E29" i="61"/>
  <c r="J28" i="61"/>
  <c r="I28" i="61"/>
  <c r="H28" i="61"/>
  <c r="G28" i="61"/>
  <c r="F28" i="61"/>
  <c r="E28" i="61"/>
  <c r="J27" i="61"/>
  <c r="I27" i="61"/>
  <c r="H27" i="61"/>
  <c r="G27" i="61"/>
  <c r="F27" i="61"/>
  <c r="E27" i="61"/>
  <c r="J26" i="61"/>
  <c r="I26" i="61"/>
  <c r="H26" i="61"/>
  <c r="G26" i="61"/>
  <c r="F26" i="61"/>
  <c r="E26" i="61"/>
  <c r="J25" i="61"/>
  <c r="I25" i="61"/>
  <c r="H25" i="61"/>
  <c r="G25" i="61"/>
  <c r="F25" i="61"/>
  <c r="E25" i="61"/>
  <c r="J24" i="61"/>
  <c r="I24" i="61"/>
  <c r="H24" i="61"/>
  <c r="G24" i="61"/>
  <c r="F24" i="61"/>
  <c r="E24" i="61"/>
  <c r="J23" i="61"/>
  <c r="I23" i="61"/>
  <c r="H23" i="61"/>
  <c r="G23" i="61"/>
  <c r="F23" i="61"/>
  <c r="E23" i="61"/>
  <c r="J22" i="61"/>
  <c r="I22" i="61"/>
  <c r="H22" i="61"/>
  <c r="G22" i="61"/>
  <c r="F22" i="61"/>
  <c r="E22" i="61"/>
  <c r="E18" i="61"/>
  <c r="E17" i="61"/>
  <c r="E16" i="61"/>
  <c r="E15" i="61"/>
  <c r="E14" i="61"/>
  <c r="E13" i="61"/>
  <c r="E10" i="61"/>
  <c r="J32" i="3"/>
  <c r="I32" i="3"/>
  <c r="H32" i="3"/>
  <c r="G32" i="3"/>
  <c r="F32" i="3"/>
  <c r="E32" i="3"/>
  <c r="J31" i="3"/>
  <c r="I31" i="3"/>
  <c r="H31" i="3"/>
  <c r="G31" i="3"/>
  <c r="F31" i="3"/>
  <c r="E31" i="3"/>
  <c r="J30" i="3"/>
  <c r="I30" i="3"/>
  <c r="H30" i="3"/>
  <c r="G30" i="3"/>
  <c r="F30" i="3"/>
  <c r="E30" i="3"/>
  <c r="J29" i="3"/>
  <c r="I29" i="3"/>
  <c r="H29" i="3"/>
  <c r="G29" i="3"/>
  <c r="F29" i="3"/>
  <c r="E29" i="3"/>
  <c r="J28" i="3"/>
  <c r="I28" i="3"/>
  <c r="H28" i="3"/>
  <c r="G28" i="3"/>
  <c r="F28" i="3"/>
  <c r="E28" i="3"/>
  <c r="J27" i="3"/>
  <c r="I27" i="3"/>
  <c r="H27" i="3"/>
  <c r="G27" i="3"/>
  <c r="F27" i="3"/>
  <c r="E27" i="3"/>
  <c r="E26" i="3"/>
  <c r="E25" i="3"/>
  <c r="J24" i="3"/>
  <c r="I24" i="3"/>
  <c r="H24" i="3"/>
  <c r="G24" i="3"/>
  <c r="F24" i="3"/>
  <c r="E24" i="3"/>
  <c r="E23" i="3"/>
  <c r="E17" i="3"/>
  <c r="E16" i="3"/>
  <c r="E15" i="3"/>
  <c r="E14" i="3"/>
  <c r="E13" i="3"/>
  <c r="K44" i="60"/>
  <c r="K45" i="60"/>
  <c r="K46" i="60"/>
  <c r="K47" i="60"/>
  <c r="K48" i="60"/>
  <c r="K49" i="60"/>
  <c r="K50" i="60"/>
  <c r="K51" i="60"/>
  <c r="K52" i="60"/>
  <c r="K53" i="60"/>
  <c r="K54" i="60"/>
  <c r="K55" i="60"/>
  <c r="K56" i="60"/>
  <c r="K62" i="60"/>
  <c r="G21" i="60"/>
  <c r="H21" i="60"/>
  <c r="I21" i="60"/>
  <c r="J21" i="60"/>
  <c r="G22" i="60"/>
  <c r="H22" i="60"/>
  <c r="I22" i="60"/>
  <c r="J22" i="60"/>
  <c r="G23" i="60"/>
  <c r="H23" i="60"/>
  <c r="I23" i="60"/>
  <c r="J23" i="60"/>
  <c r="G24" i="60"/>
  <c r="H24" i="60"/>
  <c r="I24" i="60"/>
  <c r="J24" i="60"/>
  <c r="G25" i="60"/>
  <c r="H25" i="60"/>
  <c r="I25" i="60"/>
  <c r="J25" i="60"/>
  <c r="G26" i="60"/>
  <c r="H26" i="60"/>
  <c r="I26" i="60"/>
  <c r="J26" i="60"/>
  <c r="G27" i="60"/>
  <c r="H27" i="60"/>
  <c r="I27" i="60"/>
  <c r="J27" i="60"/>
  <c r="G28" i="60"/>
  <c r="H28" i="60"/>
  <c r="I28" i="60"/>
  <c r="J28" i="60"/>
  <c r="G29" i="60"/>
  <c r="H29" i="60"/>
  <c r="I29" i="60"/>
  <c r="J29" i="60"/>
  <c r="G30" i="60"/>
  <c r="H30" i="60"/>
  <c r="I30" i="60"/>
  <c r="J30" i="60"/>
  <c r="G31" i="60"/>
  <c r="H31" i="60"/>
  <c r="I31" i="60"/>
  <c r="J31" i="60"/>
  <c r="F72" i="60"/>
  <c r="F71" i="60"/>
  <c r="H157" i="2"/>
  <c r="H164" i="2"/>
  <c r="J38" i="90" s="1"/>
  <c r="H168" i="2"/>
  <c r="H153" i="2"/>
  <c r="J42" i="132" s="1"/>
  <c r="K42" i="132" s="1"/>
  <c r="H169" i="2"/>
  <c r="H154" i="2"/>
  <c r="H26" i="2"/>
  <c r="H97" i="2"/>
  <c r="H22" i="2"/>
  <c r="H145" i="2"/>
  <c r="H84" i="2"/>
  <c r="H45" i="2"/>
  <c r="H28" i="2"/>
  <c r="H139" i="2"/>
  <c r="H115" i="2"/>
  <c r="H95" i="2"/>
  <c r="J41" i="123" s="1"/>
  <c r="K41" i="123" s="1"/>
  <c r="H163" i="2"/>
  <c r="H56" i="2"/>
  <c r="J40" i="160" s="1"/>
  <c r="K40" i="160" s="1"/>
  <c r="F73" i="3"/>
  <c r="F72" i="3"/>
  <c r="I73" i="3"/>
  <c r="I68" i="3"/>
  <c r="E6" i="57"/>
  <c r="D4" i="57"/>
  <c r="D3" i="57"/>
  <c r="I72" i="3"/>
  <c r="H68" i="3"/>
  <c r="H82" i="2"/>
  <c r="J37" i="164" s="1"/>
  <c r="K37" i="164" s="1"/>
  <c r="H38" i="2"/>
  <c r="H121" i="2"/>
  <c r="H93" i="2"/>
  <c r="H49" i="2"/>
  <c r="H107" i="2"/>
  <c r="H120" i="2"/>
  <c r="H86" i="2"/>
  <c r="J37" i="102" s="1"/>
  <c r="H125" i="2"/>
  <c r="J38" i="65" s="1"/>
  <c r="K38" i="65" s="1"/>
  <c r="H17" i="2"/>
  <c r="H10" i="2"/>
  <c r="H128" i="2"/>
  <c r="L3" i="52"/>
  <c r="L4" i="52" s="1"/>
  <c r="U2" i="52"/>
  <c r="T2" i="52"/>
  <c r="S2" i="52"/>
  <c r="R2" i="52"/>
  <c r="Q2" i="52"/>
  <c r="P2" i="52"/>
  <c r="O2" i="52"/>
  <c r="N2" i="52"/>
  <c r="M2" i="52"/>
  <c r="E20" i="73"/>
  <c r="E34" i="125"/>
  <c r="J40" i="1"/>
  <c r="J38" i="1"/>
  <c r="H40" i="1"/>
  <c r="H27" i="125"/>
  <c r="E10" i="3"/>
  <c r="H12" i="144"/>
  <c r="I2" i="48"/>
  <c r="J2" i="48" s="1"/>
  <c r="I3" i="48"/>
  <c r="I5" i="48"/>
  <c r="L5" i="48" s="1"/>
  <c r="I6" i="48"/>
  <c r="L6" i="48" s="1"/>
  <c r="I7" i="48"/>
  <c r="J7" i="48" s="1"/>
  <c r="G20" i="152" s="1"/>
  <c r="L8" i="48"/>
  <c r="I9" i="48"/>
  <c r="E61" i="140"/>
  <c r="E60" i="140"/>
  <c r="J42" i="137" l="1"/>
  <c r="K42" i="137" s="1"/>
  <c r="J44" i="132"/>
  <c r="K44" i="132" s="1"/>
  <c r="J44" i="89"/>
  <c r="K44" i="89" s="1"/>
  <c r="J39" i="138"/>
  <c r="K39" i="138" s="1"/>
  <c r="J40" i="137"/>
  <c r="K40" i="137" s="1"/>
  <c r="L9" i="48"/>
  <c r="L3" i="48"/>
  <c r="J39" i="163"/>
  <c r="K39" i="163" s="1"/>
  <c r="J44" i="161"/>
  <c r="K44" i="161" s="1"/>
  <c r="J38" i="161"/>
  <c r="K38" i="161" s="1"/>
  <c r="J45" i="163"/>
  <c r="K45" i="163" s="1"/>
  <c r="K2" i="48"/>
  <c r="N2" i="48" s="1"/>
  <c r="O38" i="1"/>
  <c r="P38" i="1"/>
  <c r="S38" i="1" s="1"/>
  <c r="Q38" i="1"/>
  <c r="O40" i="1"/>
  <c r="P40" i="1"/>
  <c r="S40" i="1" s="1"/>
  <c r="Q40" i="1"/>
  <c r="E17" i="158"/>
  <c r="E33" i="158" s="1"/>
  <c r="J44" i="158"/>
  <c r="K44" i="158" s="1"/>
  <c r="J37" i="158"/>
  <c r="K37" i="158" s="1"/>
  <c r="J55" i="157"/>
  <c r="K55" i="157" s="1"/>
  <c r="J45" i="77"/>
  <c r="K45" i="77" s="1"/>
  <c r="J38" i="66"/>
  <c r="K38" i="66" s="1"/>
  <c r="J38" i="123"/>
  <c r="K38" i="123" s="1"/>
  <c r="J37" i="156"/>
  <c r="K37" i="156" s="1"/>
  <c r="J37" i="157"/>
  <c r="K37" i="157" s="1"/>
  <c r="E19" i="135"/>
  <c r="E18" i="135"/>
  <c r="E17" i="121"/>
  <c r="E16" i="79"/>
  <c r="E17" i="62"/>
  <c r="J55" i="78"/>
  <c r="K55" i="78" s="1"/>
  <c r="J49" i="153"/>
  <c r="K49" i="153" s="1"/>
  <c r="J44" i="142"/>
  <c r="K44" i="142" s="1"/>
  <c r="J49" i="71"/>
  <c r="J49" i="102"/>
  <c r="J42" i="134"/>
  <c r="K42" i="134" s="1"/>
  <c r="J44" i="98"/>
  <c r="K44" i="98" s="1"/>
  <c r="J39" i="152"/>
  <c r="K39" i="152" s="1"/>
  <c r="J55" i="152"/>
  <c r="K55" i="152" s="1"/>
  <c r="J46" i="151"/>
  <c r="K46" i="151" s="1"/>
  <c r="J38" i="135"/>
  <c r="K38" i="135" s="1"/>
  <c r="J38" i="109"/>
  <c r="J37" i="108"/>
  <c r="J38" i="80"/>
  <c r="J43" i="102"/>
  <c r="J39" i="101"/>
  <c r="J48" i="102"/>
  <c r="J39" i="134"/>
  <c r="K39" i="134" s="1"/>
  <c r="J44" i="101"/>
  <c r="J51" i="113"/>
  <c r="J41" i="105"/>
  <c r="J41" i="104"/>
  <c r="J41" i="107"/>
  <c r="J51" i="106"/>
  <c r="J42" i="131"/>
  <c r="K42" i="131" s="1"/>
  <c r="J40" i="103"/>
  <c r="J41" i="83"/>
  <c r="J53" i="135"/>
  <c r="K53" i="135" s="1"/>
  <c r="J37" i="118"/>
  <c r="K37" i="118" s="1"/>
  <c r="J44" i="127"/>
  <c r="K44" i="127" s="1"/>
  <c r="J47" i="130"/>
  <c r="K47" i="130" s="1"/>
  <c r="J44" i="129"/>
  <c r="K44" i="129" s="1"/>
  <c r="J44" i="128"/>
  <c r="K44" i="128" s="1"/>
  <c r="J38" i="88"/>
  <c r="J39" i="88"/>
  <c r="J42" i="68"/>
  <c r="J42" i="142"/>
  <c r="K42" i="142" s="1"/>
  <c r="J42" i="124"/>
  <c r="K42" i="124" s="1"/>
  <c r="J45" i="101"/>
  <c r="J52" i="129"/>
  <c r="K52" i="129" s="1"/>
  <c r="J53" i="127"/>
  <c r="J52" i="130"/>
  <c r="J53" i="128"/>
  <c r="J53" i="80"/>
  <c r="J53" i="109"/>
  <c r="K53" i="109" s="1"/>
  <c r="J51" i="108"/>
  <c r="K51" i="108" s="1"/>
  <c r="J54" i="135"/>
  <c r="K54" i="135" s="1"/>
  <c r="J52" i="73"/>
  <c r="J51" i="125"/>
  <c r="J50" i="126"/>
  <c r="J44" i="82"/>
  <c r="J45" i="83"/>
  <c r="J41" i="81"/>
  <c r="J44" i="84"/>
  <c r="J39" i="65"/>
  <c r="J39" i="123"/>
  <c r="K39" i="123" s="1"/>
  <c r="J39" i="122"/>
  <c r="K39" i="122" s="1"/>
  <c r="J39" i="66"/>
  <c r="J39" i="124"/>
  <c r="K39" i="124" s="1"/>
  <c r="J42" i="62"/>
  <c r="J43" i="121"/>
  <c r="J38" i="124"/>
  <c r="K38" i="124" s="1"/>
  <c r="J38" i="122"/>
  <c r="K38" i="122" s="1"/>
  <c r="J44" i="69"/>
  <c r="J38" i="73"/>
  <c r="J44" i="143"/>
  <c r="K44" i="143" s="1"/>
  <c r="J41" i="91"/>
  <c r="J38" i="74"/>
  <c r="J46" i="92"/>
  <c r="J44" i="126"/>
  <c r="K44" i="126" s="1"/>
  <c r="J42" i="92"/>
  <c r="J40" i="93"/>
  <c r="J37" i="69"/>
  <c r="J38" i="92"/>
  <c r="J43" i="97"/>
  <c r="J45" i="128"/>
  <c r="K45" i="128" s="1"/>
  <c r="J49" i="128"/>
  <c r="J42" i="129"/>
  <c r="K42" i="129" s="1"/>
  <c r="J42" i="101"/>
  <c r="J39" i="102"/>
  <c r="J42" i="113"/>
  <c r="K42" i="113" s="1"/>
  <c r="J46" i="113"/>
  <c r="K46" i="113" s="1"/>
  <c r="J37" i="143"/>
  <c r="K37" i="143" s="1"/>
  <c r="J38" i="89"/>
  <c r="J40" i="94"/>
  <c r="J37" i="70"/>
  <c r="J38" i="132"/>
  <c r="K38" i="132" s="1"/>
  <c r="J37" i="106"/>
  <c r="J42" i="128"/>
  <c r="K42" i="128" s="1"/>
  <c r="J48" i="129"/>
  <c r="K48" i="129" s="1"/>
  <c r="J39" i="113"/>
  <c r="K39" i="113" s="1"/>
  <c r="J46" i="106"/>
  <c r="J37" i="144"/>
  <c r="K37" i="144" s="1"/>
  <c r="J37" i="95"/>
  <c r="J37" i="101"/>
  <c r="J43" i="106"/>
  <c r="J37" i="83"/>
  <c r="J37" i="97"/>
  <c r="J42" i="127"/>
  <c r="K42" i="127" s="1"/>
  <c r="J37" i="82"/>
  <c r="J42" i="71"/>
  <c r="J48" i="130"/>
  <c r="K48" i="130" s="1"/>
  <c r="J37" i="84"/>
  <c r="J37" i="98"/>
  <c r="J43" i="98"/>
  <c r="J49" i="127"/>
  <c r="J43" i="95"/>
  <c r="J39" i="3"/>
  <c r="J45" i="129"/>
  <c r="K45" i="129" s="1"/>
  <c r="J37" i="131"/>
  <c r="K37" i="131" s="1"/>
  <c r="J39" i="133"/>
  <c r="K39" i="133" s="1"/>
  <c r="J44" i="113"/>
  <c r="K44" i="113" s="1"/>
  <c r="J40" i="106"/>
  <c r="J41" i="138"/>
  <c r="K41" i="138" s="1"/>
  <c r="J37" i="78"/>
  <c r="J37" i="134"/>
  <c r="K37" i="134" s="1"/>
  <c r="J45" i="127"/>
  <c r="J44" i="130"/>
  <c r="K44" i="130" s="1"/>
  <c r="J37" i="68"/>
  <c r="J45" i="73"/>
  <c r="J41" i="102"/>
  <c r="J46" i="102"/>
  <c r="J37" i="142"/>
  <c r="K37" i="142" s="1"/>
  <c r="J37" i="113"/>
  <c r="K37" i="113" s="1"/>
  <c r="J37" i="71"/>
  <c r="J44" i="63"/>
  <c r="K44" i="63" s="1"/>
  <c r="J42" i="135"/>
  <c r="K42" i="135" s="1"/>
  <c r="J45" i="80"/>
  <c r="J42" i="109"/>
  <c r="J42" i="108"/>
  <c r="J40" i="121"/>
  <c r="J39" i="119"/>
  <c r="J41" i="120"/>
  <c r="K41" i="120" s="1"/>
  <c r="J43" i="122"/>
  <c r="K43" i="122" s="1"/>
  <c r="J43" i="123"/>
  <c r="K43" i="123" s="1"/>
  <c r="J41" i="118"/>
  <c r="J41" i="95"/>
  <c r="J38" i="94"/>
  <c r="J39" i="91"/>
  <c r="J44" i="92"/>
  <c r="J41" i="98"/>
  <c r="J42" i="93"/>
  <c r="J42" i="89"/>
  <c r="J39" i="67"/>
  <c r="J43" i="79"/>
  <c r="J44" i="68"/>
  <c r="J39" i="141"/>
  <c r="K39" i="141" s="1"/>
  <c r="J38" i="118"/>
  <c r="J38" i="86"/>
  <c r="J37" i="119"/>
  <c r="K37" i="119" s="1"/>
  <c r="J37" i="122"/>
  <c r="K37" i="122" s="1"/>
  <c r="J37" i="61"/>
  <c r="J37" i="124"/>
  <c r="K37" i="124" s="1"/>
  <c r="J38" i="85"/>
  <c r="J37" i="120"/>
  <c r="K37" i="120" s="1"/>
  <c r="J37" i="66"/>
  <c r="J40" i="131"/>
  <c r="K40" i="131" s="1"/>
  <c r="J37" i="62"/>
  <c r="J37" i="123"/>
  <c r="K37" i="123" s="1"/>
  <c r="J37" i="63"/>
  <c r="J37" i="64"/>
  <c r="J37" i="65"/>
  <c r="J37" i="121"/>
  <c r="K37" i="121" s="1"/>
  <c r="J37" i="60"/>
  <c r="J40" i="69"/>
  <c r="J40" i="143"/>
  <c r="K40" i="143" s="1"/>
  <c r="J44" i="71"/>
  <c r="J43" i="125"/>
  <c r="K43" i="125" s="1"/>
  <c r="J40" i="82"/>
  <c r="J40" i="142"/>
  <c r="K40" i="142" s="1"/>
  <c r="J42" i="83"/>
  <c r="J40" i="144"/>
  <c r="K40" i="144" s="1"/>
  <c r="J40" i="70"/>
  <c r="J37" i="105"/>
  <c r="J40" i="68"/>
  <c r="J38" i="125"/>
  <c r="K38" i="125" s="1"/>
  <c r="J39" i="118"/>
  <c r="J39" i="121"/>
  <c r="K39" i="121" s="1"/>
  <c r="J39" i="120"/>
  <c r="K39" i="120" s="1"/>
  <c r="J38" i="119"/>
  <c r="J39" i="63"/>
  <c r="J38" i="87"/>
  <c r="F19" i="70"/>
  <c r="F12" i="144"/>
  <c r="F12" i="143"/>
  <c r="F12" i="142"/>
  <c r="F25" i="141"/>
  <c r="F16" i="141"/>
  <c r="F12" i="141"/>
  <c r="F15" i="141"/>
  <c r="F14" i="144"/>
  <c r="F13" i="141"/>
  <c r="F14" i="142"/>
  <c r="F16" i="144"/>
  <c r="F14" i="143"/>
  <c r="F13" i="142"/>
  <c r="F21" i="141"/>
  <c r="F18" i="141"/>
  <c r="F15" i="143"/>
  <c r="F15" i="144"/>
  <c r="F13" i="143"/>
  <c r="F14" i="141"/>
  <c r="F15" i="142"/>
  <c r="F17" i="141"/>
  <c r="F13" i="144"/>
  <c r="F18" i="142"/>
  <c r="F18" i="143"/>
  <c r="F19" i="144"/>
  <c r="F22" i="141"/>
  <c r="F13" i="138"/>
  <c r="F12" i="137"/>
  <c r="F13" i="137"/>
  <c r="F12" i="138"/>
  <c r="F14" i="137"/>
  <c r="F20" i="78"/>
  <c r="F15" i="92"/>
  <c r="F18" i="69"/>
  <c r="H12" i="142"/>
  <c r="H12" i="143"/>
  <c r="F19" i="83"/>
  <c r="F22" i="135"/>
  <c r="F15" i="135"/>
  <c r="F18" i="135"/>
  <c r="F16" i="135"/>
  <c r="F14" i="135"/>
  <c r="F12" i="135"/>
  <c r="F17" i="135"/>
  <c r="F13" i="135"/>
  <c r="E15" i="74"/>
  <c r="E20" i="130"/>
  <c r="E34" i="130" s="1"/>
  <c r="E18" i="129"/>
  <c r="E33" i="129" s="1"/>
  <c r="F20" i="76"/>
  <c r="F13" i="134"/>
  <c r="F13" i="132"/>
  <c r="F13" i="131"/>
  <c r="F17" i="134"/>
  <c r="F17" i="132"/>
  <c r="F12" i="132"/>
  <c r="F12" i="131"/>
  <c r="F13" i="133"/>
  <c r="F14" i="134"/>
  <c r="F12" i="134"/>
  <c r="F15" i="132"/>
  <c r="F12" i="133"/>
  <c r="F14" i="132"/>
  <c r="F14" i="131"/>
  <c r="F19" i="130"/>
  <c r="F17" i="130"/>
  <c r="F12" i="130"/>
  <c r="F18" i="128"/>
  <c r="F12" i="128"/>
  <c r="F12" i="129"/>
  <c r="F23" i="127"/>
  <c r="F15" i="129"/>
  <c r="F13" i="129"/>
  <c r="F17" i="127"/>
  <c r="F16" i="127"/>
  <c r="F16" i="129"/>
  <c r="F23" i="130"/>
  <c r="F15" i="130"/>
  <c r="F24" i="128"/>
  <c r="F17" i="128"/>
  <c r="F21" i="129"/>
  <c r="F12" i="127"/>
  <c r="F14" i="130"/>
  <c r="F16" i="128"/>
  <c r="F15" i="127"/>
  <c r="F13" i="127"/>
  <c r="F13" i="130"/>
  <c r="F19" i="128"/>
  <c r="F15" i="128"/>
  <c r="F13" i="128"/>
  <c r="F18" i="127"/>
  <c r="F18" i="129"/>
  <c r="F13" i="126"/>
  <c r="F13" i="124"/>
  <c r="F17" i="125"/>
  <c r="F15" i="125"/>
  <c r="F20" i="130"/>
  <c r="F18" i="125"/>
  <c r="F14" i="125"/>
  <c r="F20" i="80"/>
  <c r="F17" i="80"/>
  <c r="F13" i="125"/>
  <c r="F23" i="80"/>
  <c r="F24" i="126"/>
  <c r="F22" i="126"/>
  <c r="F16" i="126"/>
  <c r="F12" i="126"/>
  <c r="F26" i="125"/>
  <c r="F20" i="124"/>
  <c r="F12" i="124"/>
  <c r="F14" i="126"/>
  <c r="F15" i="126"/>
  <c r="F19" i="124"/>
  <c r="F16" i="125"/>
  <c r="F12" i="125"/>
  <c r="F17" i="124"/>
  <c r="F16" i="124"/>
  <c r="F14" i="124"/>
  <c r="F22" i="125"/>
  <c r="F19" i="108"/>
  <c r="F14" i="109"/>
  <c r="F27" i="108"/>
  <c r="F19" i="81"/>
  <c r="F14" i="80"/>
  <c r="F18" i="104"/>
  <c r="F20" i="108"/>
  <c r="F15" i="82"/>
  <c r="F22" i="81"/>
  <c r="F16" i="108"/>
  <c r="H25" i="125"/>
  <c r="H20" i="127"/>
  <c r="H21" i="128"/>
  <c r="H16" i="134"/>
  <c r="E16" i="80"/>
  <c r="E18" i="124"/>
  <c r="E19" i="123"/>
  <c r="K19" i="123" s="1"/>
  <c r="E21" i="108"/>
  <c r="E18" i="121"/>
  <c r="E17" i="78"/>
  <c r="F21" i="122"/>
  <c r="F17" i="120"/>
  <c r="F13" i="120"/>
  <c r="F12" i="118"/>
  <c r="F16" i="121"/>
  <c r="F17" i="119"/>
  <c r="F15" i="121"/>
  <c r="F20" i="119"/>
  <c r="F21" i="123"/>
  <c r="F19" i="121"/>
  <c r="F17" i="121"/>
  <c r="F18" i="123"/>
  <c r="F15" i="123"/>
  <c r="F13" i="122"/>
  <c r="F12" i="121"/>
  <c r="F13" i="119"/>
  <c r="F12" i="122"/>
  <c r="F12" i="119"/>
  <c r="F15" i="120"/>
  <c r="F14" i="122"/>
  <c r="F20" i="121"/>
  <c r="F16" i="120"/>
  <c r="F12" i="120"/>
  <c r="F15" i="118"/>
  <c r="F14" i="123"/>
  <c r="F16" i="119"/>
  <c r="F19" i="120"/>
  <c r="F14" i="118"/>
  <c r="F13" i="121"/>
  <c r="F14" i="119"/>
  <c r="F13" i="123"/>
  <c r="F15" i="122"/>
  <c r="F14" i="121"/>
  <c r="F19" i="119"/>
  <c r="F15" i="119"/>
  <c r="F20" i="123"/>
  <c r="F22" i="122"/>
  <c r="F23" i="121"/>
  <c r="F18" i="121"/>
  <c r="F18" i="120"/>
  <c r="F14" i="120"/>
  <c r="F13" i="118"/>
  <c r="F12" i="123"/>
  <c r="F18" i="119"/>
  <c r="F21" i="120"/>
  <c r="F20" i="120"/>
  <c r="F22" i="121"/>
  <c r="F19" i="122"/>
  <c r="F21" i="121"/>
  <c r="F16" i="122"/>
  <c r="F18" i="122"/>
  <c r="F23" i="63"/>
  <c r="F20" i="73"/>
  <c r="F25" i="73"/>
  <c r="F18" i="78"/>
  <c r="F25" i="76"/>
  <c r="F17" i="78"/>
  <c r="K58" i="73"/>
  <c r="E20" i="122"/>
  <c r="E18" i="84"/>
  <c r="E33" i="72"/>
  <c r="G20" i="73"/>
  <c r="K61" i="71"/>
  <c r="K52" i="97"/>
  <c r="K73" i="3"/>
  <c r="F26" i="3"/>
  <c r="F26" i="73"/>
  <c r="F22" i="73"/>
  <c r="F23" i="73"/>
  <c r="F20" i="84"/>
  <c r="F16" i="84"/>
  <c r="F16" i="83"/>
  <c r="F18" i="79"/>
  <c r="F18" i="73"/>
  <c r="K48" i="81"/>
  <c r="K51" i="84"/>
  <c r="K52" i="83"/>
  <c r="K51" i="82"/>
  <c r="K55" i="67"/>
  <c r="K61" i="3"/>
  <c r="K53" i="79"/>
  <c r="F23" i="3"/>
  <c r="E33" i="76"/>
  <c r="E18" i="62"/>
  <c r="F22" i="76"/>
  <c r="F26" i="76"/>
  <c r="F23" i="76"/>
  <c r="F14" i="113"/>
  <c r="F19" i="113"/>
  <c r="F18" i="113"/>
  <c r="F13" i="113"/>
  <c r="F15" i="113"/>
  <c r="F17" i="113"/>
  <c r="F16" i="113"/>
  <c r="F12" i="113"/>
  <c r="F21" i="78"/>
  <c r="F26" i="77"/>
  <c r="F19" i="97"/>
  <c r="F19" i="98"/>
  <c r="F23" i="105"/>
  <c r="F21" i="74"/>
  <c r="K50" i="105"/>
  <c r="K50" i="104"/>
  <c r="K50" i="103"/>
  <c r="K57" i="77"/>
  <c r="K53" i="76"/>
  <c r="J9" i="48"/>
  <c r="F26" i="80"/>
  <c r="K9" i="48"/>
  <c r="K29" i="3"/>
  <c r="F20" i="61"/>
  <c r="F15" i="108"/>
  <c r="F18" i="105"/>
  <c r="F24" i="80"/>
  <c r="F24" i="109"/>
  <c r="F23" i="108"/>
  <c r="F27" i="80"/>
  <c r="F18" i="64"/>
  <c r="F33" i="72"/>
  <c r="E19" i="109"/>
  <c r="E33" i="109" s="1"/>
  <c r="E20" i="65"/>
  <c r="E33" i="65" s="1"/>
  <c r="E22" i="63"/>
  <c r="E33" i="63" s="1"/>
  <c r="E19" i="66"/>
  <c r="K19" i="66" s="1"/>
  <c r="E19" i="108"/>
  <c r="E12" i="88"/>
  <c r="E33" i="88" s="1"/>
  <c r="E17" i="97"/>
  <c r="E16" i="85"/>
  <c r="E33" i="85" s="1"/>
  <c r="E17" i="84"/>
  <c r="E17" i="79"/>
  <c r="E18" i="74"/>
  <c r="E13" i="107"/>
  <c r="E33" i="107" s="1"/>
  <c r="E17" i="98"/>
  <c r="E16" i="94"/>
  <c r="E33" i="94" s="1"/>
  <c r="E19" i="73"/>
  <c r="E33" i="73" s="1"/>
  <c r="E20" i="3"/>
  <c r="E16" i="95"/>
  <c r="E33" i="95" s="1"/>
  <c r="K70" i="64"/>
  <c r="K71" i="64"/>
  <c r="E33" i="70"/>
  <c r="N42" i="148" s="1"/>
  <c r="E33" i="60"/>
  <c r="K22" i="61"/>
  <c r="K23" i="61"/>
  <c r="K24" i="61"/>
  <c r="K25" i="61"/>
  <c r="K26" i="61"/>
  <c r="K27" i="61"/>
  <c r="K28" i="61"/>
  <c r="K29" i="61"/>
  <c r="E33" i="64"/>
  <c r="K30" i="61"/>
  <c r="E33" i="61"/>
  <c r="K70" i="61"/>
  <c r="K71" i="61"/>
  <c r="K70" i="62"/>
  <c r="K71" i="62"/>
  <c r="K31" i="61"/>
  <c r="K70" i="72"/>
  <c r="K71" i="72"/>
  <c r="K71" i="63"/>
  <c r="K72" i="63"/>
  <c r="F12" i="61"/>
  <c r="F13" i="61"/>
  <c r="F14" i="61"/>
  <c r="F15" i="61"/>
  <c r="F16" i="61"/>
  <c r="F17" i="61"/>
  <c r="F18" i="61"/>
  <c r="F19" i="63"/>
  <c r="F12" i="64"/>
  <c r="F13" i="64"/>
  <c r="F14" i="64"/>
  <c r="F17" i="64"/>
  <c r="F12" i="65"/>
  <c r="F13" i="65"/>
  <c r="F14" i="65"/>
  <c r="F15" i="65"/>
  <c r="F21" i="65"/>
  <c r="F22" i="65"/>
  <c r="F12" i="66"/>
  <c r="F13" i="66"/>
  <c r="F14" i="66"/>
  <c r="F15" i="66"/>
  <c r="F18" i="66"/>
  <c r="F20" i="66"/>
  <c r="F21" i="66"/>
  <c r="F12" i="67"/>
  <c r="F13" i="67"/>
  <c r="F14" i="67"/>
  <c r="F15" i="67"/>
  <c r="F16" i="67"/>
  <c r="F17" i="67"/>
  <c r="F18" i="67"/>
  <c r="F12" i="70"/>
  <c r="F13" i="70"/>
  <c r="F14" i="70"/>
  <c r="F15" i="70"/>
  <c r="F17" i="70"/>
  <c r="F12" i="71"/>
  <c r="F13" i="71"/>
  <c r="F14" i="71"/>
  <c r="F15" i="71"/>
  <c r="F16" i="71"/>
  <c r="F12" i="73"/>
  <c r="F13" i="73"/>
  <c r="F14" i="73"/>
  <c r="F15" i="73"/>
  <c r="F16" i="73"/>
  <c r="F17" i="73"/>
  <c r="F22" i="3"/>
  <c r="F19" i="65"/>
  <c r="F21" i="61"/>
  <c r="F18" i="90"/>
  <c r="F20" i="74"/>
  <c r="F19" i="71"/>
  <c r="F18" i="65"/>
  <c r="F14" i="86"/>
  <c r="F16" i="64"/>
  <c r="F17" i="87"/>
  <c r="F18" i="87"/>
  <c r="F17" i="79"/>
  <c r="F19" i="73"/>
  <c r="F25" i="67"/>
  <c r="F16" i="65"/>
  <c r="F17" i="65"/>
  <c r="F20" i="63"/>
  <c r="F17" i="108"/>
  <c r="F14" i="108"/>
  <c r="F13" i="108"/>
  <c r="F12" i="108"/>
  <c r="F14" i="107"/>
  <c r="F12" i="107"/>
  <c r="F21" i="105"/>
  <c r="F20" i="105"/>
  <c r="F19" i="105"/>
  <c r="F21" i="104"/>
  <c r="F19" i="104"/>
  <c r="F18" i="102"/>
  <c r="F16" i="102"/>
  <c r="F15" i="102"/>
  <c r="F14" i="102"/>
  <c r="F13" i="102"/>
  <c r="F12" i="102"/>
  <c r="F16" i="101"/>
  <c r="F15" i="101"/>
  <c r="F14" i="101"/>
  <c r="F13" i="101"/>
  <c r="F12" i="101"/>
  <c r="F12" i="98"/>
  <c r="F13" i="98"/>
  <c r="F14" i="98"/>
  <c r="F15" i="97"/>
  <c r="F14" i="97"/>
  <c r="F13" i="97"/>
  <c r="F12" i="97"/>
  <c r="F17" i="95"/>
  <c r="F15" i="95"/>
  <c r="F14" i="95"/>
  <c r="F13" i="95"/>
  <c r="F12" i="95"/>
  <c r="F17" i="94"/>
  <c r="F15" i="94"/>
  <c r="F14" i="94"/>
  <c r="F13" i="94"/>
  <c r="F12" i="94"/>
  <c r="F14" i="93"/>
  <c r="F13" i="93"/>
  <c r="F12" i="93"/>
  <c r="F16" i="92"/>
  <c r="F14" i="92"/>
  <c r="F13" i="92"/>
  <c r="F12" i="92"/>
  <c r="F19" i="89"/>
  <c r="F17" i="89"/>
  <c r="F16" i="89"/>
  <c r="F15" i="89"/>
  <c r="F14" i="89"/>
  <c r="F13" i="89"/>
  <c r="F12" i="89"/>
  <c r="F12" i="88"/>
  <c r="F33" i="88" s="1"/>
  <c r="F15" i="85"/>
  <c r="F14" i="85"/>
  <c r="F13" i="85"/>
  <c r="F12" i="85"/>
  <c r="F15" i="84"/>
  <c r="F14" i="84"/>
  <c r="F13" i="84"/>
  <c r="F12" i="84"/>
  <c r="F17" i="83"/>
  <c r="F15" i="83"/>
  <c r="F14" i="83"/>
  <c r="F13" i="83"/>
  <c r="F12" i="83"/>
  <c r="F18" i="77"/>
  <c r="F17" i="77"/>
  <c r="F16" i="77"/>
  <c r="F15" i="77"/>
  <c r="F14" i="77"/>
  <c r="F13" i="77"/>
  <c r="F12" i="77"/>
  <c r="F14" i="79"/>
  <c r="F16" i="78"/>
  <c r="F13" i="78"/>
  <c r="F18" i="76"/>
  <c r="F16" i="76"/>
  <c r="F14" i="76"/>
  <c r="F13" i="107"/>
  <c r="F17" i="98"/>
  <c r="F17" i="97"/>
  <c r="F16" i="95"/>
  <c r="F16" i="94"/>
  <c r="F16" i="85"/>
  <c r="F17" i="85"/>
  <c r="F17" i="84"/>
  <c r="F18" i="84"/>
  <c r="F18" i="74"/>
  <c r="F20" i="3"/>
  <c r="F15" i="64"/>
  <c r="F19" i="62"/>
  <c r="F20" i="62"/>
  <c r="F18" i="62"/>
  <c r="F22" i="109"/>
  <c r="F21" i="109"/>
  <c r="F20" i="109"/>
  <c r="F18" i="109"/>
  <c r="F17" i="109"/>
  <c r="F16" i="109"/>
  <c r="F15" i="109"/>
  <c r="F13" i="109"/>
  <c r="F12" i="109"/>
  <c r="F24" i="108"/>
  <c r="F22" i="108"/>
  <c r="F21" i="108"/>
  <c r="F18" i="108"/>
  <c r="F20" i="106"/>
  <c r="F18" i="106"/>
  <c r="F17" i="106"/>
  <c r="F16" i="106"/>
  <c r="F15" i="106"/>
  <c r="F14" i="106"/>
  <c r="F13" i="106"/>
  <c r="F12" i="106"/>
  <c r="F17" i="105"/>
  <c r="F16" i="105"/>
  <c r="F15" i="105"/>
  <c r="F14" i="105"/>
  <c r="F13" i="105"/>
  <c r="F12" i="105"/>
  <c r="F17" i="104"/>
  <c r="F16" i="104"/>
  <c r="F15" i="104"/>
  <c r="F14" i="104"/>
  <c r="F13" i="104"/>
  <c r="F12" i="104"/>
  <c r="F15" i="103"/>
  <c r="F13" i="103"/>
  <c r="F12" i="103"/>
  <c r="F15" i="98"/>
  <c r="F19" i="95"/>
  <c r="F19" i="94"/>
  <c r="F16" i="91"/>
  <c r="F15" i="91"/>
  <c r="F14" i="91"/>
  <c r="F13" i="91"/>
  <c r="F12" i="91"/>
  <c r="F16" i="90"/>
  <c r="F15" i="90"/>
  <c r="F14" i="90"/>
  <c r="F13" i="90"/>
  <c r="F12" i="90"/>
  <c r="F14" i="87"/>
  <c r="F13" i="87"/>
  <c r="F12" i="87"/>
  <c r="F13" i="86"/>
  <c r="F12" i="86"/>
  <c r="F16" i="82"/>
  <c r="F14" i="82"/>
  <c r="F13" i="82"/>
  <c r="F12" i="82"/>
  <c r="F20" i="81"/>
  <c r="F18" i="81"/>
  <c r="F17" i="81"/>
  <c r="F16" i="81"/>
  <c r="F15" i="81"/>
  <c r="F14" i="81"/>
  <c r="F13" i="81"/>
  <c r="F12" i="81"/>
  <c r="F25" i="80"/>
  <c r="F15" i="80"/>
  <c r="F13" i="80"/>
  <c r="F12" i="80"/>
  <c r="F16" i="79"/>
  <c r="F15" i="79"/>
  <c r="F12" i="79"/>
  <c r="F15" i="78"/>
  <c r="F14" i="78"/>
  <c r="F12" i="78"/>
  <c r="F17" i="76"/>
  <c r="F15" i="76"/>
  <c r="F13" i="76"/>
  <c r="F12" i="76"/>
  <c r="E3" i="57"/>
  <c r="E4" i="57"/>
  <c r="E7" i="57"/>
  <c r="F12" i="3"/>
  <c r="F13" i="3"/>
  <c r="F14" i="3"/>
  <c r="F15" i="3"/>
  <c r="F16" i="3"/>
  <c r="F17" i="3"/>
  <c r="F25" i="3"/>
  <c r="F19" i="61"/>
  <c r="F12" i="62"/>
  <c r="F13" i="62"/>
  <c r="F14" i="62"/>
  <c r="F15" i="62"/>
  <c r="F16" i="62"/>
  <c r="F17" i="62"/>
  <c r="F23" i="62"/>
  <c r="F12" i="63"/>
  <c r="F13" i="63"/>
  <c r="F14" i="63"/>
  <c r="F15" i="63"/>
  <c r="F16" i="63"/>
  <c r="F17" i="63"/>
  <c r="F18" i="63"/>
  <c r="F19" i="67"/>
  <c r="F12" i="68"/>
  <c r="F13" i="68"/>
  <c r="F14" i="68"/>
  <c r="F16" i="68"/>
  <c r="F12" i="69"/>
  <c r="F13" i="69"/>
  <c r="F14" i="69"/>
  <c r="F16" i="69"/>
  <c r="F12" i="74"/>
  <c r="F13" i="74"/>
  <c r="F14" i="74"/>
  <c r="F15" i="74"/>
  <c r="F16" i="74"/>
  <c r="F22" i="67"/>
  <c r="F22" i="62"/>
  <c r="F15" i="86"/>
  <c r="F17" i="90"/>
  <c r="F21" i="63"/>
  <c r="F21" i="62"/>
  <c r="K53" i="69"/>
  <c r="K50" i="107"/>
  <c r="H18" i="90"/>
  <c r="H15" i="86"/>
  <c r="H21" i="63"/>
  <c r="H17" i="65"/>
  <c r="H22" i="63"/>
  <c r="H17" i="84"/>
  <c r="H18" i="74"/>
  <c r="K63" i="72"/>
  <c r="K72" i="65"/>
  <c r="K73" i="65"/>
  <c r="K70" i="68"/>
  <c r="K71" i="68"/>
  <c r="K71" i="71"/>
  <c r="K72" i="71"/>
  <c r="K72" i="73"/>
  <c r="K73" i="73"/>
  <c r="K70" i="74"/>
  <c r="K71" i="74"/>
  <c r="K71" i="60"/>
  <c r="K72" i="60"/>
  <c r="K71" i="66"/>
  <c r="K72" i="66"/>
  <c r="K71" i="67"/>
  <c r="K72" i="67"/>
  <c r="K71" i="69"/>
  <c r="K72" i="69"/>
  <c r="K70" i="70"/>
  <c r="K71" i="70"/>
  <c r="K22" i="66"/>
  <c r="K23" i="66"/>
  <c r="K24" i="66"/>
  <c r="K25" i="66"/>
  <c r="K26" i="66"/>
  <c r="K27" i="66"/>
  <c r="K28" i="66"/>
  <c r="K29" i="66"/>
  <c r="K30" i="66"/>
  <c r="K31" i="66"/>
  <c r="E33" i="69"/>
  <c r="E33" i="67"/>
  <c r="E33" i="68"/>
  <c r="N41" i="148" s="1"/>
  <c r="E33" i="71"/>
  <c r="K26" i="69"/>
  <c r="K27" i="69"/>
  <c r="K28" i="69"/>
  <c r="K29" i="69"/>
  <c r="K30" i="69"/>
  <c r="K31" i="69"/>
  <c r="K23" i="65"/>
  <c r="K24" i="65"/>
  <c r="K25" i="65"/>
  <c r="K26" i="65"/>
  <c r="K27" i="65"/>
  <c r="K28" i="65"/>
  <c r="K29" i="65"/>
  <c r="K30" i="65"/>
  <c r="K31" i="65"/>
  <c r="K26" i="67"/>
  <c r="K27" i="67"/>
  <c r="K28" i="67"/>
  <c r="K29" i="67"/>
  <c r="K30" i="67"/>
  <c r="K31" i="67"/>
  <c r="K23" i="74"/>
  <c r="K24" i="74"/>
  <c r="K25" i="74"/>
  <c r="K26" i="74"/>
  <c r="K27" i="74"/>
  <c r="K28" i="74"/>
  <c r="K29" i="74"/>
  <c r="K30" i="74"/>
  <c r="K31" i="74"/>
  <c r="K18" i="72"/>
  <c r="K22" i="72"/>
  <c r="K23" i="72"/>
  <c r="K20" i="68"/>
  <c r="K22" i="71"/>
  <c r="K19" i="72"/>
  <c r="K21" i="68"/>
  <c r="K21" i="70"/>
  <c r="K22" i="70"/>
  <c r="K23" i="70"/>
  <c r="K24" i="70"/>
  <c r="K25" i="70"/>
  <c r="K26" i="70"/>
  <c r="K27" i="70"/>
  <c r="K28" i="70"/>
  <c r="K29" i="70"/>
  <c r="K30" i="70"/>
  <c r="K31" i="70"/>
  <c r="K23" i="71"/>
  <c r="K24" i="71"/>
  <c r="K25" i="71"/>
  <c r="K26" i="71"/>
  <c r="K27" i="71"/>
  <c r="K28" i="71"/>
  <c r="K29" i="71"/>
  <c r="K30" i="71"/>
  <c r="K31" i="71"/>
  <c r="K25" i="72"/>
  <c r="K26" i="72"/>
  <c r="K27" i="72"/>
  <c r="K28" i="72"/>
  <c r="K29" i="72"/>
  <c r="K30" i="72"/>
  <c r="K31" i="72"/>
  <c r="K24" i="60"/>
  <c r="K21" i="69"/>
  <c r="K22" i="69"/>
  <c r="K23" i="69"/>
  <c r="K24" i="69"/>
  <c r="K25" i="69"/>
  <c r="K22" i="68"/>
  <c r="K23" i="68"/>
  <c r="K24" i="68"/>
  <c r="K25" i="68"/>
  <c r="K26" i="68"/>
  <c r="K27" i="68"/>
  <c r="K28" i="68"/>
  <c r="K29" i="68"/>
  <c r="K28" i="60"/>
  <c r="K30" i="68"/>
  <c r="K31" i="68"/>
  <c r="K31" i="60"/>
  <c r="K26" i="60"/>
  <c r="K22" i="60"/>
  <c r="K29" i="60"/>
  <c r="K27" i="60"/>
  <c r="K25" i="60"/>
  <c r="K23" i="60"/>
  <c r="K21" i="60"/>
  <c r="K27" i="3"/>
  <c r="K31" i="3"/>
  <c r="K19" i="64"/>
  <c r="K20" i="64"/>
  <c r="K21" i="64"/>
  <c r="K22" i="64"/>
  <c r="K23" i="64"/>
  <c r="K24" i="64"/>
  <c r="K25" i="64"/>
  <c r="K24" i="63"/>
  <c r="K25" i="63"/>
  <c r="K26" i="63"/>
  <c r="K26" i="64"/>
  <c r="K27" i="64"/>
  <c r="K28" i="64"/>
  <c r="K29" i="64"/>
  <c r="K30" i="64"/>
  <c r="K31" i="64"/>
  <c r="K24" i="62"/>
  <c r="K25" i="62"/>
  <c r="K26" i="62"/>
  <c r="K27" i="62"/>
  <c r="K28" i="62"/>
  <c r="K29" i="62"/>
  <c r="K30" i="62"/>
  <c r="K31" i="62"/>
  <c r="K27" i="63"/>
  <c r="K28" i="63"/>
  <c r="K29" i="63"/>
  <c r="K30" i="63"/>
  <c r="K31" i="63"/>
  <c r="K30" i="60"/>
  <c r="K24" i="3"/>
  <c r="K28" i="3"/>
  <c r="K30" i="3"/>
  <c r="K32" i="3"/>
  <c r="K72" i="3"/>
  <c r="D5" i="57"/>
  <c r="J5" i="57" s="1"/>
  <c r="D6" i="57"/>
  <c r="D7" i="57"/>
  <c r="H20" i="109"/>
  <c r="H19" i="135"/>
  <c r="L7" i="48"/>
  <c r="L5" i="52"/>
  <c r="T4" i="52"/>
  <c r="R4" i="52"/>
  <c r="P4" i="52"/>
  <c r="N4" i="52"/>
  <c r="U4" i="52"/>
  <c r="S4" i="52"/>
  <c r="Q4" i="52"/>
  <c r="O4" i="52"/>
  <c r="M4" i="52"/>
  <c r="K7" i="48"/>
  <c r="O7" i="48" s="1"/>
  <c r="M3" i="52"/>
  <c r="O3" i="52"/>
  <c r="Q3" i="52"/>
  <c r="S3" i="52"/>
  <c r="U3" i="52"/>
  <c r="N3" i="52"/>
  <c r="P3" i="52"/>
  <c r="R3" i="52"/>
  <c r="T3" i="52"/>
  <c r="J8" i="48"/>
  <c r="K8" i="48"/>
  <c r="H12" i="124"/>
  <c r="H13" i="144"/>
  <c r="H15" i="92"/>
  <c r="H16" i="119"/>
  <c r="H14" i="144"/>
  <c r="H16" i="127"/>
  <c r="H15" i="123"/>
  <c r="H12" i="141"/>
  <c r="H17" i="134"/>
  <c r="H13" i="141"/>
  <c r="H14" i="123"/>
  <c r="H16" i="124"/>
  <c r="H15" i="85"/>
  <c r="H18" i="123"/>
  <c r="H25" i="141"/>
  <c r="J6" i="48"/>
  <c r="G15" i="164" s="1"/>
  <c r="K15" i="164" s="1"/>
  <c r="J3" i="48"/>
  <c r="J5" i="48"/>
  <c r="G12" i="163"/>
  <c r="K6" i="48"/>
  <c r="M6" i="48" s="1"/>
  <c r="K5" i="48"/>
  <c r="M5" i="48" s="1"/>
  <c r="K3" i="48"/>
  <c r="L2" i="48"/>
  <c r="H14" i="124"/>
  <c r="H16" i="64"/>
  <c r="H29" i="2"/>
  <c r="J46" i="131" s="1"/>
  <c r="H113" i="2"/>
  <c r="H20" i="2"/>
  <c r="J56" i="164" s="1"/>
  <c r="K56" i="164" s="1"/>
  <c r="H23" i="2"/>
  <c r="H46" i="2"/>
  <c r="H104" i="2"/>
  <c r="J46" i="125" s="1"/>
  <c r="K46" i="125" s="1"/>
  <c r="H60" i="2"/>
  <c r="J48" i="164" s="1"/>
  <c r="K48" i="164" s="1"/>
  <c r="H30" i="2"/>
  <c r="J45" i="164" s="1"/>
  <c r="K45" i="164" s="1"/>
  <c r="AO2" i="1"/>
  <c r="AO3" i="1"/>
  <c r="AO4" i="1"/>
  <c r="AO5" i="1"/>
  <c r="AO6" i="1"/>
  <c r="AO7" i="1"/>
  <c r="AO8" i="1"/>
  <c r="AO10" i="1"/>
  <c r="AO11" i="1"/>
  <c r="AO9" i="1"/>
  <c r="G16" i="164" l="1"/>
  <c r="G12" i="164"/>
  <c r="G14" i="164"/>
  <c r="G13" i="164"/>
  <c r="J54" i="164"/>
  <c r="K54" i="164" s="1"/>
  <c r="J51" i="164"/>
  <c r="K51" i="164" s="1"/>
  <c r="G20" i="164"/>
  <c r="G16" i="132"/>
  <c r="G18" i="89"/>
  <c r="M2" i="48"/>
  <c r="G19" i="125"/>
  <c r="G21" i="151"/>
  <c r="K43" i="121"/>
  <c r="J41" i="137"/>
  <c r="K41" i="137" s="1"/>
  <c r="J39" i="137"/>
  <c r="K39" i="137" s="1"/>
  <c r="M9" i="48"/>
  <c r="M8" i="48"/>
  <c r="M4" i="48"/>
  <c r="M3" i="48"/>
  <c r="J44" i="160"/>
  <c r="K44" i="160" s="1"/>
  <c r="J48" i="91"/>
  <c r="K48" i="91" s="1"/>
  <c r="O2" i="48"/>
  <c r="R38" i="1"/>
  <c r="J53" i="161"/>
  <c r="K53" i="161" s="1"/>
  <c r="J54" i="163"/>
  <c r="K54" i="163" s="1"/>
  <c r="J43" i="161"/>
  <c r="K43" i="161" s="1"/>
  <c r="J44" i="163"/>
  <c r="K44" i="163" s="1"/>
  <c r="J44" i="134"/>
  <c r="K44" i="134" s="1"/>
  <c r="J51" i="163"/>
  <c r="K51" i="163" s="1"/>
  <c r="J50" i="161"/>
  <c r="K50" i="161" s="1"/>
  <c r="J47" i="161"/>
  <c r="K47" i="161" s="1"/>
  <c r="J48" i="163"/>
  <c r="K48" i="163" s="1"/>
  <c r="G14" i="163"/>
  <c r="G14" i="161"/>
  <c r="G15" i="163"/>
  <c r="G12" i="161"/>
  <c r="G16" i="163"/>
  <c r="G13" i="161"/>
  <c r="G15" i="161"/>
  <c r="G20" i="161"/>
  <c r="G13" i="163"/>
  <c r="G21" i="163"/>
  <c r="G19" i="163"/>
  <c r="G18" i="161"/>
  <c r="G21" i="77"/>
  <c r="J42" i="67"/>
  <c r="K42" i="67" s="1"/>
  <c r="J47" i="160"/>
  <c r="K47" i="160" s="1"/>
  <c r="G18" i="82"/>
  <c r="G12" i="160"/>
  <c r="G13" i="160"/>
  <c r="T40" i="1"/>
  <c r="R40" i="1"/>
  <c r="T38" i="1"/>
  <c r="U38" i="1" s="1"/>
  <c r="H17" i="158"/>
  <c r="H33" i="158" s="1"/>
  <c r="G24" i="127"/>
  <c r="G22" i="129"/>
  <c r="G25" i="128"/>
  <c r="G24" i="130"/>
  <c r="G25" i="130"/>
  <c r="G25" i="129"/>
  <c r="G28" i="128"/>
  <c r="G25" i="127"/>
  <c r="G23" i="129"/>
  <c r="G26" i="128"/>
  <c r="G27" i="130"/>
  <c r="G27" i="127"/>
  <c r="G17" i="158"/>
  <c r="J56" i="157"/>
  <c r="K56" i="157" s="1"/>
  <c r="J51" i="98"/>
  <c r="K51" i="98" s="1"/>
  <c r="J48" i="94"/>
  <c r="K48" i="94" s="1"/>
  <c r="J50" i="93"/>
  <c r="K50" i="93" s="1"/>
  <c r="J54" i="92"/>
  <c r="K54" i="92" s="1"/>
  <c r="J49" i="91"/>
  <c r="K49" i="91" s="1"/>
  <c r="J51" i="158"/>
  <c r="K51" i="158" s="1"/>
  <c r="J52" i="95"/>
  <c r="K52" i="95" s="1"/>
  <c r="J51" i="77"/>
  <c r="K51" i="77" s="1"/>
  <c r="J44" i="77"/>
  <c r="K44" i="77" s="1"/>
  <c r="J41" i="77"/>
  <c r="K41" i="77" s="1"/>
  <c r="G12" i="158"/>
  <c r="G13" i="158"/>
  <c r="G14" i="158"/>
  <c r="G23" i="77"/>
  <c r="G12" i="153"/>
  <c r="J54" i="157"/>
  <c r="K54" i="157" s="1"/>
  <c r="J51" i="157"/>
  <c r="K51" i="157" s="1"/>
  <c r="J53" i="156"/>
  <c r="K53" i="156" s="1"/>
  <c r="J45" i="157"/>
  <c r="K45" i="157" s="1"/>
  <c r="J45" i="156"/>
  <c r="K45" i="156" s="1"/>
  <c r="J42" i="153"/>
  <c r="K42" i="153" s="1"/>
  <c r="J48" i="78"/>
  <c r="K48" i="78" s="1"/>
  <c r="J54" i="156"/>
  <c r="K54" i="156" s="1"/>
  <c r="G12" i="157"/>
  <c r="G13" i="157"/>
  <c r="G16" i="157"/>
  <c r="G14" i="157"/>
  <c r="G20" i="157"/>
  <c r="G15" i="156"/>
  <c r="G15" i="157"/>
  <c r="G12" i="156"/>
  <c r="G13" i="156"/>
  <c r="G14" i="156"/>
  <c r="G16" i="156"/>
  <c r="G20" i="156"/>
  <c r="E33" i="121"/>
  <c r="E33" i="62"/>
  <c r="G16" i="123"/>
  <c r="G16" i="66"/>
  <c r="E33" i="79"/>
  <c r="J47" i="103"/>
  <c r="K47" i="103" s="1"/>
  <c r="J54" i="131"/>
  <c r="K54" i="131" s="1"/>
  <c r="G17" i="60"/>
  <c r="G18" i="60"/>
  <c r="G19" i="60"/>
  <c r="G16" i="60"/>
  <c r="G19" i="153"/>
  <c r="G27" i="125"/>
  <c r="G19" i="151"/>
  <c r="E33" i="135"/>
  <c r="J56" i="78"/>
  <c r="K56" i="78" s="1"/>
  <c r="J51" i="153"/>
  <c r="K51" i="153" s="1"/>
  <c r="J45" i="78"/>
  <c r="K45" i="78" s="1"/>
  <c r="J41" i="153"/>
  <c r="K41" i="153" s="1"/>
  <c r="J47" i="78"/>
  <c r="K47" i="78" s="1"/>
  <c r="J54" i="78"/>
  <c r="K54" i="78" s="1"/>
  <c r="J51" i="78"/>
  <c r="K51" i="78" s="1"/>
  <c r="J42" i="76"/>
  <c r="J52" i="71"/>
  <c r="J50" i="144"/>
  <c r="J50" i="70"/>
  <c r="J47" i="142"/>
  <c r="K47" i="142" s="1"/>
  <c r="J53" i="70"/>
  <c r="J50" i="142"/>
  <c r="K50" i="142" s="1"/>
  <c r="J53" i="144"/>
  <c r="J55" i="71"/>
  <c r="J46" i="142"/>
  <c r="K46" i="142" s="1"/>
  <c r="J48" i="152"/>
  <c r="K48" i="152" s="1"/>
  <c r="J47" i="70"/>
  <c r="J47" i="144"/>
  <c r="J55" i="106"/>
  <c r="J44" i="104"/>
  <c r="J44" i="105"/>
  <c r="K44" i="105" s="1"/>
  <c r="J54" i="152"/>
  <c r="K54" i="152" s="1"/>
  <c r="J51" i="152"/>
  <c r="K51" i="152" s="1"/>
  <c r="J46" i="152"/>
  <c r="K46" i="152" s="1"/>
  <c r="J42" i="151"/>
  <c r="K42" i="151" s="1"/>
  <c r="J41" i="149"/>
  <c r="K41" i="149" s="1"/>
  <c r="J45" i="149"/>
  <c r="K45" i="149" s="1"/>
  <c r="J45" i="151"/>
  <c r="K45" i="151" s="1"/>
  <c r="J44" i="150"/>
  <c r="K44" i="150" s="1"/>
  <c r="J56" i="152"/>
  <c r="K56" i="152" s="1"/>
  <c r="J47" i="150"/>
  <c r="K47" i="150" s="1"/>
  <c r="J47" i="151"/>
  <c r="K47" i="151" s="1"/>
  <c r="J48" i="149"/>
  <c r="K48" i="149" s="1"/>
  <c r="J44" i="107"/>
  <c r="J55" i="113"/>
  <c r="K55" i="113" s="1"/>
  <c r="J44" i="103"/>
  <c r="J41" i="151"/>
  <c r="K41" i="151" s="1"/>
  <c r="J43" i="74"/>
  <c r="G21" i="153"/>
  <c r="G15" i="153"/>
  <c r="G22" i="153"/>
  <c r="G16" i="153"/>
  <c r="G13" i="153"/>
  <c r="G14" i="153"/>
  <c r="G13" i="152"/>
  <c r="G12" i="152"/>
  <c r="G14" i="152"/>
  <c r="G25" i="152"/>
  <c r="G15" i="152"/>
  <c r="G22" i="152"/>
  <c r="G16" i="152"/>
  <c r="G12" i="150"/>
  <c r="G12" i="151"/>
  <c r="G19" i="150"/>
  <c r="G25" i="151"/>
  <c r="G15" i="151"/>
  <c r="G16" i="151"/>
  <c r="G17" i="151"/>
  <c r="G13" i="151"/>
  <c r="G14" i="151"/>
  <c r="G16" i="150"/>
  <c r="G23" i="150"/>
  <c r="G17" i="150"/>
  <c r="G13" i="150"/>
  <c r="G14" i="150"/>
  <c r="G20" i="150"/>
  <c r="G15" i="150"/>
  <c r="G12" i="141"/>
  <c r="G12" i="149"/>
  <c r="G21" i="149"/>
  <c r="G18" i="149"/>
  <c r="G14" i="149"/>
  <c r="G22" i="149"/>
  <c r="G17" i="149"/>
  <c r="G13" i="149"/>
  <c r="G19" i="149"/>
  <c r="G15" i="149"/>
  <c r="G25" i="149"/>
  <c r="G16" i="149"/>
  <c r="G21" i="135"/>
  <c r="G17" i="102"/>
  <c r="J49" i="80"/>
  <c r="J49" i="135"/>
  <c r="K49" i="135" s="1"/>
  <c r="J47" i="108"/>
  <c r="J49" i="109"/>
  <c r="J42" i="126"/>
  <c r="K42" i="126" s="1"/>
  <c r="J49" i="77"/>
  <c r="J46" i="74"/>
  <c r="J44" i="131"/>
  <c r="K44" i="131" s="1"/>
  <c r="J47" i="73"/>
  <c r="J45" i="79"/>
  <c r="J46" i="69"/>
  <c r="J45" i="141"/>
  <c r="J47" i="125"/>
  <c r="K47" i="125" s="1"/>
  <c r="J43" i="126"/>
  <c r="K43" i="126" s="1"/>
  <c r="J47" i="69"/>
  <c r="J51" i="73"/>
  <c r="J47" i="67"/>
  <c r="J43" i="67"/>
  <c r="J47" i="143"/>
  <c r="K47" i="143" s="1"/>
  <c r="J48" i="73"/>
  <c r="J54" i="74"/>
  <c r="J44" i="79"/>
  <c r="J47" i="77"/>
  <c r="J39" i="128"/>
  <c r="K39" i="128" s="1"/>
  <c r="J56" i="3"/>
  <c r="K56" i="3" s="1"/>
  <c r="J47" i="76"/>
  <c r="J39" i="127"/>
  <c r="K39" i="127" s="1"/>
  <c r="J43" i="130"/>
  <c r="K43" i="130" s="1"/>
  <c r="J48" i="3"/>
  <c r="J39" i="129"/>
  <c r="K39" i="129" s="1"/>
  <c r="J50" i="125"/>
  <c r="K50" i="125" s="1"/>
  <c r="J50" i="143"/>
  <c r="K50" i="143" s="1"/>
  <c r="J52" i="125"/>
  <c r="J48" i="141"/>
  <c r="J53" i="73"/>
  <c r="J43" i="87"/>
  <c r="J49" i="82"/>
  <c r="K49" i="82" s="1"/>
  <c r="J50" i="83"/>
  <c r="K50" i="83" s="1"/>
  <c r="J41" i="133"/>
  <c r="K41" i="133" s="1"/>
  <c r="J50" i="67"/>
  <c r="J46" i="81"/>
  <c r="J49" i="84"/>
  <c r="K49" i="84" s="1"/>
  <c r="J50" i="97"/>
  <c r="J50" i="69"/>
  <c r="J48" i="107"/>
  <c r="G23" i="141"/>
  <c r="G20" i="141"/>
  <c r="G18" i="68"/>
  <c r="G12" i="142"/>
  <c r="G12" i="143"/>
  <c r="G12" i="144"/>
  <c r="G20" i="78"/>
  <c r="G15" i="92"/>
  <c r="F33" i="144"/>
  <c r="F33" i="142"/>
  <c r="F33" i="143"/>
  <c r="F34" i="138"/>
  <c r="F33" i="141"/>
  <c r="F33" i="137"/>
  <c r="G15" i="144"/>
  <c r="G16" i="144"/>
  <c r="G13" i="144"/>
  <c r="G14" i="144"/>
  <c r="G19" i="144"/>
  <c r="G16" i="70"/>
  <c r="G19" i="70"/>
  <c r="H15" i="143"/>
  <c r="H16" i="144"/>
  <c r="H15" i="144"/>
  <c r="H16" i="70"/>
  <c r="H14" i="142"/>
  <c r="H14" i="143"/>
  <c r="H13" i="142"/>
  <c r="H13" i="143"/>
  <c r="G14" i="143"/>
  <c r="G15" i="143"/>
  <c r="G18" i="143"/>
  <c r="G13" i="143"/>
  <c r="H15" i="142"/>
  <c r="H15" i="68"/>
  <c r="H15" i="69"/>
  <c r="G21" i="141"/>
  <c r="G15" i="142"/>
  <c r="G13" i="142"/>
  <c r="G18" i="142"/>
  <c r="G14" i="142"/>
  <c r="G18" i="69"/>
  <c r="G15" i="69"/>
  <c r="G15" i="68"/>
  <c r="H21" i="141"/>
  <c r="H17" i="141"/>
  <c r="H18" i="141"/>
  <c r="H13" i="138"/>
  <c r="H16" i="141"/>
  <c r="G25" i="141"/>
  <c r="G16" i="141"/>
  <c r="G17" i="141"/>
  <c r="G22" i="141"/>
  <c r="G15" i="141"/>
  <c r="G13" i="141"/>
  <c r="G14" i="141"/>
  <c r="G18" i="141"/>
  <c r="H16" i="135"/>
  <c r="H15" i="141"/>
  <c r="H15" i="135"/>
  <c r="H14" i="141"/>
  <c r="H23" i="80"/>
  <c r="H13" i="137"/>
  <c r="H12" i="133"/>
  <c r="H12" i="138"/>
  <c r="G12" i="138"/>
  <c r="G13" i="138"/>
  <c r="G13" i="137"/>
  <c r="H12" i="135"/>
  <c r="H14" i="137"/>
  <c r="H12" i="137"/>
  <c r="G14" i="137"/>
  <c r="G12" i="137"/>
  <c r="G19" i="83"/>
  <c r="F33" i="135"/>
  <c r="H13" i="84"/>
  <c r="H27" i="108"/>
  <c r="H13" i="135"/>
  <c r="G13" i="135"/>
  <c r="G12" i="135"/>
  <c r="G15" i="135"/>
  <c r="G17" i="134"/>
  <c r="H20" i="80"/>
  <c r="H22" i="135"/>
  <c r="H14" i="135"/>
  <c r="H17" i="135"/>
  <c r="G22" i="135"/>
  <c r="G16" i="135"/>
  <c r="G18" i="135"/>
  <c r="G14" i="135"/>
  <c r="G17" i="135"/>
  <c r="G19" i="135"/>
  <c r="G16" i="134"/>
  <c r="H19" i="81"/>
  <c r="H15" i="82"/>
  <c r="H18" i="105"/>
  <c r="H23" i="126"/>
  <c r="H24" i="126"/>
  <c r="H26" i="125"/>
  <c r="F33" i="133"/>
  <c r="G13" i="133"/>
  <c r="G14" i="134"/>
  <c r="G12" i="134"/>
  <c r="G22" i="126"/>
  <c r="G15" i="82"/>
  <c r="G22" i="81"/>
  <c r="G19" i="81"/>
  <c r="G12" i="133"/>
  <c r="G13" i="134"/>
  <c r="G24" i="126"/>
  <c r="G26" i="125"/>
  <c r="F34" i="130"/>
  <c r="F33" i="126"/>
  <c r="F33" i="134"/>
  <c r="F33" i="129"/>
  <c r="F33" i="128"/>
  <c r="F33" i="131"/>
  <c r="F34" i="125"/>
  <c r="F33" i="124"/>
  <c r="F34" i="132"/>
  <c r="F33" i="127"/>
  <c r="H13" i="133"/>
  <c r="H12" i="134"/>
  <c r="H13" i="132"/>
  <c r="H13" i="134"/>
  <c r="H16" i="102"/>
  <c r="H14" i="134"/>
  <c r="H13" i="131"/>
  <c r="H14" i="132"/>
  <c r="H19" i="89"/>
  <c r="H17" i="132"/>
  <c r="G13" i="124"/>
  <c r="G17" i="132"/>
  <c r="H15" i="132"/>
  <c r="H12" i="132"/>
  <c r="G13" i="131"/>
  <c r="G14" i="132"/>
  <c r="G13" i="132"/>
  <c r="G15" i="132"/>
  <c r="G12" i="132"/>
  <c r="G19" i="126"/>
  <c r="G15" i="131"/>
  <c r="G20" i="126"/>
  <c r="G14" i="131"/>
  <c r="G12" i="131"/>
  <c r="H14" i="131"/>
  <c r="H12" i="131"/>
  <c r="H18" i="87"/>
  <c r="H15" i="131"/>
  <c r="H20" i="130"/>
  <c r="H18" i="129"/>
  <c r="H17" i="128"/>
  <c r="H17" i="130"/>
  <c r="H15" i="129"/>
  <c r="H15" i="127"/>
  <c r="H18" i="127"/>
  <c r="H19" i="128"/>
  <c r="H12" i="126"/>
  <c r="H12" i="127"/>
  <c r="H12" i="128"/>
  <c r="H12" i="130"/>
  <c r="H12" i="129"/>
  <c r="J16" i="134"/>
  <c r="H21" i="129"/>
  <c r="H23" i="130"/>
  <c r="H23" i="127"/>
  <c r="H24" i="128"/>
  <c r="H19" i="130"/>
  <c r="H18" i="128"/>
  <c r="G20" i="127"/>
  <c r="G21" i="128"/>
  <c r="H16" i="126"/>
  <c r="H17" i="127"/>
  <c r="H16" i="129"/>
  <c r="G19" i="130"/>
  <c r="G15" i="129"/>
  <c r="G13" i="127"/>
  <c r="G24" i="128"/>
  <c r="G14" i="130"/>
  <c r="G13" i="128"/>
  <c r="G16" i="127"/>
  <c r="G12" i="127"/>
  <c r="G21" i="129"/>
  <c r="G23" i="130"/>
  <c r="G12" i="130"/>
  <c r="G12" i="129"/>
  <c r="G18" i="128"/>
  <c r="G15" i="128"/>
  <c r="G23" i="127"/>
  <c r="G13" i="130"/>
  <c r="G13" i="129"/>
  <c r="G12" i="128"/>
  <c r="G15" i="127"/>
  <c r="G17" i="127"/>
  <c r="G17" i="130"/>
  <c r="G16" i="128"/>
  <c r="G17" i="128"/>
  <c r="G15" i="130"/>
  <c r="G16" i="129"/>
  <c r="G18" i="127"/>
  <c r="G19" i="128"/>
  <c r="G20" i="76"/>
  <c r="G18" i="129"/>
  <c r="G20" i="130"/>
  <c r="H16" i="128"/>
  <c r="H15" i="130"/>
  <c r="H13" i="128"/>
  <c r="H13" i="127"/>
  <c r="H13" i="129"/>
  <c r="H13" i="130"/>
  <c r="H14" i="130"/>
  <c r="H15" i="128"/>
  <c r="K50" i="126"/>
  <c r="H19" i="126"/>
  <c r="G15" i="126"/>
  <c r="G16" i="126"/>
  <c r="G14" i="126"/>
  <c r="G23" i="126"/>
  <c r="G13" i="126"/>
  <c r="G12" i="126"/>
  <c r="E32" i="108"/>
  <c r="H15" i="125"/>
  <c r="H15" i="126"/>
  <c r="H13" i="125"/>
  <c r="H13" i="126"/>
  <c r="H21" i="125"/>
  <c r="H14" i="126"/>
  <c r="H17" i="126"/>
  <c r="H20" i="108"/>
  <c r="H18" i="125"/>
  <c r="G13" i="125"/>
  <c r="G24" i="125"/>
  <c r="G12" i="125"/>
  <c r="H14" i="125"/>
  <c r="H20" i="125"/>
  <c r="H16" i="125"/>
  <c r="G22" i="63"/>
  <c r="G25" i="125"/>
  <c r="E33" i="123"/>
  <c r="H13" i="121"/>
  <c r="H12" i="125"/>
  <c r="H19" i="108"/>
  <c r="H17" i="125"/>
  <c r="G21" i="125"/>
  <c r="G19" i="108"/>
  <c r="G22" i="125"/>
  <c r="G17" i="125"/>
  <c r="G14" i="125"/>
  <c r="G18" i="125"/>
  <c r="G20" i="125"/>
  <c r="G15" i="125"/>
  <c r="G16" i="125"/>
  <c r="H25" i="76"/>
  <c r="H24" i="125"/>
  <c r="G16" i="80"/>
  <c r="G18" i="124"/>
  <c r="H13" i="123"/>
  <c r="H13" i="124"/>
  <c r="G27" i="108"/>
  <c r="G14" i="124"/>
  <c r="H17" i="80"/>
  <c r="H20" i="124"/>
  <c r="H19" i="124"/>
  <c r="H19" i="65"/>
  <c r="H17" i="124"/>
  <c r="E33" i="124"/>
  <c r="G19" i="124"/>
  <c r="G20" i="124"/>
  <c r="G17" i="124"/>
  <c r="G12" i="124"/>
  <c r="G16" i="124"/>
  <c r="G20" i="80"/>
  <c r="G17" i="80"/>
  <c r="G23" i="80"/>
  <c r="G20" i="108"/>
  <c r="H24" i="109"/>
  <c r="E33" i="84"/>
  <c r="N34" i="148" s="1"/>
  <c r="N35" i="148" s="1"/>
  <c r="H17" i="78"/>
  <c r="G16" i="122"/>
  <c r="G25" i="76"/>
  <c r="G18" i="121"/>
  <c r="G17" i="78"/>
  <c r="H17" i="98"/>
  <c r="F33" i="120"/>
  <c r="F33" i="121"/>
  <c r="F33" i="118"/>
  <c r="F33" i="123"/>
  <c r="F33" i="119"/>
  <c r="F33" i="122"/>
  <c r="E33" i="80"/>
  <c r="G21" i="123"/>
  <c r="G18" i="123"/>
  <c r="G12" i="123"/>
  <c r="G14" i="123"/>
  <c r="G15" i="123"/>
  <c r="G20" i="123"/>
  <c r="H12" i="122"/>
  <c r="H12" i="123"/>
  <c r="H20" i="123"/>
  <c r="H21" i="123"/>
  <c r="G13" i="122"/>
  <c r="G13" i="123"/>
  <c r="H21" i="120"/>
  <c r="H19" i="122"/>
  <c r="H19" i="121"/>
  <c r="H13" i="122"/>
  <c r="H20" i="120"/>
  <c r="H18" i="122"/>
  <c r="H15" i="66"/>
  <c r="H15" i="122"/>
  <c r="H21" i="122"/>
  <c r="H22" i="122"/>
  <c r="H20" i="121"/>
  <c r="H14" i="122"/>
  <c r="H21" i="121"/>
  <c r="H16" i="122"/>
  <c r="E33" i="122"/>
  <c r="G12" i="122"/>
  <c r="G14" i="122"/>
  <c r="G15" i="122"/>
  <c r="G21" i="122"/>
  <c r="G22" i="122"/>
  <c r="G18" i="122"/>
  <c r="G19" i="122"/>
  <c r="G20" i="122"/>
  <c r="G18" i="120"/>
  <c r="G19" i="121"/>
  <c r="H17" i="79"/>
  <c r="H18" i="121"/>
  <c r="E33" i="78"/>
  <c r="N29" i="148" s="1"/>
  <c r="H22" i="62"/>
  <c r="H22" i="121"/>
  <c r="G13" i="121"/>
  <c r="G22" i="121"/>
  <c r="G14" i="121"/>
  <c r="G15" i="121"/>
  <c r="G21" i="121"/>
  <c r="H15" i="120"/>
  <c r="H15" i="121"/>
  <c r="H23" i="121"/>
  <c r="H16" i="121"/>
  <c r="G23" i="121"/>
  <c r="G17" i="121"/>
  <c r="G20" i="121"/>
  <c r="G16" i="121"/>
  <c r="G12" i="121"/>
  <c r="H14" i="120"/>
  <c r="H14" i="121"/>
  <c r="H12" i="120"/>
  <c r="H12" i="121"/>
  <c r="H13" i="107"/>
  <c r="G13" i="120"/>
  <c r="G14" i="120"/>
  <c r="G15" i="120"/>
  <c r="H20" i="62"/>
  <c r="H19" i="120"/>
  <c r="H17" i="97"/>
  <c r="G19" i="120"/>
  <c r="G16" i="120"/>
  <c r="G17" i="120"/>
  <c r="G12" i="120"/>
  <c r="G20" i="119"/>
  <c r="G21" i="120"/>
  <c r="G20" i="120"/>
  <c r="H19" i="62"/>
  <c r="H18" i="120"/>
  <c r="H13" i="119"/>
  <c r="H13" i="120"/>
  <c r="H18" i="84"/>
  <c r="H20" i="119"/>
  <c r="H16" i="120"/>
  <c r="H17" i="120"/>
  <c r="H21" i="61"/>
  <c r="G13" i="118"/>
  <c r="G13" i="119"/>
  <c r="H12" i="118"/>
  <c r="H12" i="119"/>
  <c r="G12" i="119"/>
  <c r="G17" i="119"/>
  <c r="G14" i="119"/>
  <c r="G18" i="119"/>
  <c r="G15" i="119"/>
  <c r="G16" i="119"/>
  <c r="G19" i="119"/>
  <c r="H17" i="118"/>
  <c r="H17" i="119"/>
  <c r="H14" i="119"/>
  <c r="H15" i="119"/>
  <c r="H19" i="119"/>
  <c r="H18" i="119"/>
  <c r="H14" i="85"/>
  <c r="H16" i="118"/>
  <c r="H18" i="78"/>
  <c r="H12" i="109"/>
  <c r="H13" i="118"/>
  <c r="H18" i="118"/>
  <c r="H19" i="118"/>
  <c r="G12" i="118"/>
  <c r="G18" i="118"/>
  <c r="G19" i="118"/>
  <c r="G16" i="118"/>
  <c r="G14" i="118"/>
  <c r="G15" i="118"/>
  <c r="G17" i="118"/>
  <c r="H16" i="113"/>
  <c r="H14" i="118"/>
  <c r="H15" i="118"/>
  <c r="G18" i="79"/>
  <c r="G18" i="78"/>
  <c r="E33" i="97"/>
  <c r="N32" i="148" s="1"/>
  <c r="G23" i="63"/>
  <c r="H23" i="63"/>
  <c r="H26" i="73"/>
  <c r="H25" i="73"/>
  <c r="G26" i="73"/>
  <c r="G25" i="73"/>
  <c r="G22" i="73"/>
  <c r="H20" i="73"/>
  <c r="G20" i="65"/>
  <c r="F6" i="57"/>
  <c r="G19" i="109"/>
  <c r="N31" i="148"/>
  <c r="H19" i="113"/>
  <c r="H16" i="84"/>
  <c r="H16" i="83"/>
  <c r="H18" i="73"/>
  <c r="H18" i="62"/>
  <c r="H18" i="79"/>
  <c r="E33" i="98"/>
  <c r="G23" i="73"/>
  <c r="G16" i="84"/>
  <c r="G20" i="84"/>
  <c r="G16" i="83"/>
  <c r="G18" i="73"/>
  <c r="E33" i="77"/>
  <c r="E33" i="66"/>
  <c r="E33" i="74"/>
  <c r="N28" i="148" s="1"/>
  <c r="G7" i="57"/>
  <c r="H16" i="85"/>
  <c r="F33" i="113"/>
  <c r="H33" i="88"/>
  <c r="H16" i="94"/>
  <c r="H19" i="98"/>
  <c r="H19" i="97"/>
  <c r="G19" i="97"/>
  <c r="G19" i="98"/>
  <c r="G16" i="113"/>
  <c r="G26" i="76"/>
  <c r="G26" i="77"/>
  <c r="G26" i="3"/>
  <c r="G19" i="113"/>
  <c r="G23" i="76"/>
  <c r="G21" i="78"/>
  <c r="G21" i="74"/>
  <c r="G23" i="3"/>
  <c r="H21" i="113"/>
  <c r="H23" i="105"/>
  <c r="H25" i="67"/>
  <c r="H26" i="76"/>
  <c r="H26" i="77"/>
  <c r="H26" i="3"/>
  <c r="G22" i="76"/>
  <c r="G23" i="105"/>
  <c r="G21" i="113"/>
  <c r="H17" i="113"/>
  <c r="G26" i="80"/>
  <c r="G17" i="113"/>
  <c r="G15" i="113"/>
  <c r="G13" i="113"/>
  <c r="G18" i="113"/>
  <c r="G14" i="113"/>
  <c r="G12" i="113"/>
  <c r="H18" i="64"/>
  <c r="H18" i="113"/>
  <c r="H14" i="113"/>
  <c r="H12" i="113"/>
  <c r="H15" i="113"/>
  <c r="H13" i="113"/>
  <c r="G24" i="109"/>
  <c r="G20" i="113"/>
  <c r="H20" i="113"/>
  <c r="O9" i="48"/>
  <c r="N9" i="48"/>
  <c r="H27" i="80"/>
  <c r="H26" i="80"/>
  <c r="H24" i="80"/>
  <c r="F33" i="71"/>
  <c r="F33" i="66"/>
  <c r="F33" i="61"/>
  <c r="N7" i="48"/>
  <c r="F33" i="60"/>
  <c r="G15" i="108"/>
  <c r="G18" i="64"/>
  <c r="H14" i="109"/>
  <c r="H16" i="108"/>
  <c r="G16" i="108"/>
  <c r="G14" i="109"/>
  <c r="H15" i="108"/>
  <c r="H13" i="109"/>
  <c r="H21" i="109"/>
  <c r="G27" i="80"/>
  <c r="G24" i="80"/>
  <c r="I27" i="80"/>
  <c r="H22" i="109"/>
  <c r="H23" i="108"/>
  <c r="G23" i="108"/>
  <c r="J21" i="109"/>
  <c r="F33" i="69"/>
  <c r="F33" i="63"/>
  <c r="F33" i="76"/>
  <c r="F33" i="78"/>
  <c r="F29" i="148" s="1"/>
  <c r="F33" i="82"/>
  <c r="F47" i="148" s="1"/>
  <c r="F48" i="148" s="1"/>
  <c r="F34" i="91"/>
  <c r="F33" i="103"/>
  <c r="F33" i="104"/>
  <c r="F33" i="106"/>
  <c r="F33" i="109"/>
  <c r="F34" i="92"/>
  <c r="F44" i="148" s="1"/>
  <c r="F33" i="68"/>
  <c r="F41" i="148" s="1"/>
  <c r="F33" i="87"/>
  <c r="F33" i="62"/>
  <c r="F33" i="90"/>
  <c r="F33" i="77"/>
  <c r="F33" i="84"/>
  <c r="F34" i="148" s="1"/>
  <c r="F35" i="148" s="1"/>
  <c r="F33" i="85"/>
  <c r="F33" i="94"/>
  <c r="F33" i="95"/>
  <c r="F31" i="148"/>
  <c r="F33" i="98"/>
  <c r="F33" i="73"/>
  <c r="F33" i="74"/>
  <c r="F28" i="148" s="1"/>
  <c r="F33" i="79"/>
  <c r="F33" i="80"/>
  <c r="F33" i="86"/>
  <c r="F33" i="105"/>
  <c r="F33" i="83"/>
  <c r="F34" i="89"/>
  <c r="F34" i="93"/>
  <c r="F45" i="148" s="1"/>
  <c r="F33" i="97"/>
  <c r="F32" i="148" s="1"/>
  <c r="F33" i="101"/>
  <c r="F33" i="102"/>
  <c r="F33" i="107"/>
  <c r="F32" i="108"/>
  <c r="F33" i="81"/>
  <c r="F33" i="70"/>
  <c r="F42" i="148" s="1"/>
  <c r="F33" i="67"/>
  <c r="F33" i="65"/>
  <c r="F33" i="64"/>
  <c r="H17" i="87"/>
  <c r="H17" i="90"/>
  <c r="H14" i="86"/>
  <c r="H15" i="64"/>
  <c r="H20" i="63"/>
  <c r="H16" i="65"/>
  <c r="H21" i="62"/>
  <c r="G17" i="90"/>
  <c r="G14" i="86"/>
  <c r="G17" i="85"/>
  <c r="G22" i="3"/>
  <c r="G19" i="71"/>
  <c r="G22" i="67"/>
  <c r="G18" i="65"/>
  <c r="G15" i="64"/>
  <c r="G20" i="63"/>
  <c r="G21" i="63"/>
  <c r="G20" i="61"/>
  <c r="G21" i="61"/>
  <c r="G20" i="109"/>
  <c r="G17" i="109"/>
  <c r="G16" i="109"/>
  <c r="G17" i="87"/>
  <c r="G18" i="90"/>
  <c r="G15" i="86"/>
  <c r="G20" i="74"/>
  <c r="G19" i="65"/>
  <c r="G16" i="64"/>
  <c r="G20" i="62"/>
  <c r="G18" i="87"/>
  <c r="G25" i="67"/>
  <c r="G17" i="65"/>
  <c r="G21" i="109"/>
  <c r="G18" i="109"/>
  <c r="G15" i="109"/>
  <c r="G13" i="109"/>
  <c r="G12" i="109"/>
  <c r="G16" i="65"/>
  <c r="G21" i="62"/>
  <c r="G22" i="62"/>
  <c r="H17" i="108"/>
  <c r="H18" i="109"/>
  <c r="H13" i="108"/>
  <c r="H15" i="109"/>
  <c r="H14" i="108"/>
  <c r="H16" i="109"/>
  <c r="H19" i="73"/>
  <c r="H20" i="3"/>
  <c r="H16" i="95"/>
  <c r="I20" i="109"/>
  <c r="I17" i="87"/>
  <c r="G16" i="90"/>
  <c r="G19" i="62"/>
  <c r="G17" i="97"/>
  <c r="G18" i="74"/>
  <c r="G13" i="107"/>
  <c r="G17" i="98"/>
  <c r="G16" i="94"/>
  <c r="G16" i="85"/>
  <c r="G17" i="84"/>
  <c r="G17" i="79"/>
  <c r="G18" i="62"/>
  <c r="H18" i="65"/>
  <c r="H20" i="61"/>
  <c r="H14" i="107"/>
  <c r="H17" i="109"/>
  <c r="H17" i="106"/>
  <c r="H17" i="85"/>
  <c r="G22" i="108"/>
  <c r="G18" i="84"/>
  <c r="G22" i="109"/>
  <c r="G16" i="95"/>
  <c r="G19" i="73"/>
  <c r="G20" i="3"/>
  <c r="H12" i="108"/>
  <c r="H21" i="108"/>
  <c r="H22" i="108"/>
  <c r="G14" i="107"/>
  <c r="G21" i="108"/>
  <c r="G18" i="108"/>
  <c r="G14" i="108"/>
  <c r="G24" i="108"/>
  <c r="G17" i="108"/>
  <c r="G13" i="108"/>
  <c r="G12" i="108"/>
  <c r="H12" i="67"/>
  <c r="H24" i="108"/>
  <c r="H18" i="66"/>
  <c r="H18" i="108"/>
  <c r="H12" i="105"/>
  <c r="G20" i="106"/>
  <c r="G16" i="106"/>
  <c r="G12" i="107"/>
  <c r="H16" i="106"/>
  <c r="H12" i="107"/>
  <c r="H20" i="105"/>
  <c r="H18" i="106"/>
  <c r="H15" i="106"/>
  <c r="H14" i="106"/>
  <c r="H13" i="106"/>
  <c r="H12" i="106"/>
  <c r="G18" i="106"/>
  <c r="G17" i="106"/>
  <c r="G15" i="106"/>
  <c r="G14" i="106"/>
  <c r="G13" i="106"/>
  <c r="G12" i="106"/>
  <c r="H21" i="105"/>
  <c r="H20" i="106"/>
  <c r="H17" i="104"/>
  <c r="H19" i="105"/>
  <c r="H17" i="105"/>
  <c r="H16" i="105"/>
  <c r="G21" i="104"/>
  <c r="G21" i="105"/>
  <c r="G20" i="105"/>
  <c r="G19" i="105"/>
  <c r="G18" i="105"/>
  <c r="G17" i="105"/>
  <c r="G16" i="105"/>
  <c r="G15" i="105"/>
  <c r="G14" i="105"/>
  <c r="G13" i="105"/>
  <c r="G12" i="105"/>
  <c r="H13" i="94"/>
  <c r="H15" i="105"/>
  <c r="H14" i="105"/>
  <c r="H13" i="105"/>
  <c r="H14" i="89"/>
  <c r="H16" i="104"/>
  <c r="H15" i="104"/>
  <c r="H13" i="103"/>
  <c r="H19" i="104"/>
  <c r="G13" i="103"/>
  <c r="G19" i="104"/>
  <c r="G17" i="104"/>
  <c r="G12" i="103"/>
  <c r="G18" i="104"/>
  <c r="G16" i="104"/>
  <c r="G15" i="104"/>
  <c r="G14" i="104"/>
  <c r="G13" i="104"/>
  <c r="G12" i="104"/>
  <c r="H15" i="103"/>
  <c r="H21" i="104"/>
  <c r="H13" i="89"/>
  <c r="H14" i="104"/>
  <c r="H13" i="104"/>
  <c r="H12" i="104"/>
  <c r="H14" i="80"/>
  <c r="H18" i="104"/>
  <c r="G18" i="102"/>
  <c r="G15" i="103"/>
  <c r="H13" i="98"/>
  <c r="H12" i="103"/>
  <c r="G16" i="102"/>
  <c r="G15" i="102"/>
  <c r="G14" i="102"/>
  <c r="G13" i="102"/>
  <c r="G12" i="102"/>
  <c r="H16" i="101"/>
  <c r="H18" i="102"/>
  <c r="H15" i="102"/>
  <c r="H14" i="102"/>
  <c r="H13" i="102"/>
  <c r="H12" i="102"/>
  <c r="H13" i="93"/>
  <c r="H14" i="101"/>
  <c r="H15" i="101"/>
  <c r="H13" i="101"/>
  <c r="H12" i="101"/>
  <c r="G16" i="101"/>
  <c r="G15" i="101"/>
  <c r="G14" i="101"/>
  <c r="G13" i="101"/>
  <c r="G12" i="101"/>
  <c r="H14" i="98"/>
  <c r="H15" i="98"/>
  <c r="H12" i="98"/>
  <c r="G12" i="98"/>
  <c r="G14" i="98"/>
  <c r="G15" i="98"/>
  <c r="G13" i="95"/>
  <c r="G13" i="98"/>
  <c r="H13" i="97"/>
  <c r="H15" i="97"/>
  <c r="H14" i="97"/>
  <c r="H12" i="97"/>
  <c r="G15" i="97"/>
  <c r="G14" i="97"/>
  <c r="G13" i="97"/>
  <c r="G12" i="97"/>
  <c r="G17" i="95"/>
  <c r="G15" i="95"/>
  <c r="G14" i="95"/>
  <c r="G12" i="95"/>
  <c r="H15" i="95"/>
  <c r="H14" i="95"/>
  <c r="H14" i="73"/>
  <c r="H13" i="95"/>
  <c r="H17" i="95"/>
  <c r="H12" i="95"/>
  <c r="G19" i="94"/>
  <c r="G19" i="95"/>
  <c r="H19" i="94"/>
  <c r="H19" i="95"/>
  <c r="H17" i="94"/>
  <c r="H14" i="94"/>
  <c r="G17" i="94"/>
  <c r="G15" i="94"/>
  <c r="G14" i="94"/>
  <c r="G13" i="94"/>
  <c r="G12" i="94"/>
  <c r="H12" i="91"/>
  <c r="H12" i="94"/>
  <c r="H15" i="91"/>
  <c r="H15" i="94"/>
  <c r="G14" i="93"/>
  <c r="G13" i="93"/>
  <c r="G12" i="93"/>
  <c r="H14" i="93"/>
  <c r="H12" i="93"/>
  <c r="G16" i="92"/>
  <c r="H14" i="82"/>
  <c r="H13" i="92"/>
  <c r="H14" i="92"/>
  <c r="H12" i="92"/>
  <c r="G14" i="92"/>
  <c r="G13" i="92"/>
  <c r="G12" i="92"/>
  <c r="H16" i="92"/>
  <c r="H16" i="91"/>
  <c r="H14" i="91"/>
  <c r="G16" i="91"/>
  <c r="G15" i="91"/>
  <c r="G14" i="91"/>
  <c r="G13" i="91"/>
  <c r="G12" i="91"/>
  <c r="H14" i="90"/>
  <c r="H13" i="91"/>
  <c r="G15" i="90"/>
  <c r="H16" i="89"/>
  <c r="H15" i="90"/>
  <c r="G14" i="90"/>
  <c r="G13" i="90"/>
  <c r="G12" i="90"/>
  <c r="H13" i="86"/>
  <c r="H16" i="90"/>
  <c r="H12" i="85"/>
  <c r="H12" i="90"/>
  <c r="H15" i="89"/>
  <c r="H13" i="90"/>
  <c r="G17" i="89"/>
  <c r="G16" i="89"/>
  <c r="G12" i="89"/>
  <c r="G13" i="86"/>
  <c r="G19" i="89"/>
  <c r="H14" i="87"/>
  <c r="H17" i="89"/>
  <c r="H12" i="89"/>
  <c r="G15" i="89"/>
  <c r="G14" i="89"/>
  <c r="G13" i="89"/>
  <c r="G12" i="88"/>
  <c r="G14" i="87"/>
  <c r="G13" i="87"/>
  <c r="G12" i="87"/>
  <c r="H15" i="83"/>
  <c r="H13" i="87"/>
  <c r="H13" i="82"/>
  <c r="H12" i="87"/>
  <c r="G12" i="86"/>
  <c r="H12" i="86"/>
  <c r="G15" i="85"/>
  <c r="G14" i="85"/>
  <c r="G13" i="84"/>
  <c r="G13" i="85"/>
  <c r="G12" i="85"/>
  <c r="H14" i="81"/>
  <c r="H13" i="85"/>
  <c r="G15" i="84"/>
  <c r="G14" i="84"/>
  <c r="G12" i="84"/>
  <c r="H17" i="83"/>
  <c r="H15" i="81"/>
  <c r="H15" i="84"/>
  <c r="H14" i="84"/>
  <c r="H12" i="84"/>
  <c r="H12" i="82"/>
  <c r="H14" i="83"/>
  <c r="H13" i="83"/>
  <c r="H12" i="83"/>
  <c r="G16" i="82"/>
  <c r="G17" i="83"/>
  <c r="G14" i="83"/>
  <c r="G13" i="83"/>
  <c r="G12" i="83"/>
  <c r="G13" i="82"/>
  <c r="G15" i="83"/>
  <c r="H20" i="81"/>
  <c r="H16" i="82"/>
  <c r="G14" i="82"/>
  <c r="G12" i="82"/>
  <c r="H14" i="79"/>
  <c r="H13" i="81"/>
  <c r="H12" i="79"/>
  <c r="H18" i="81"/>
  <c r="G20" i="81"/>
  <c r="G18" i="81"/>
  <c r="G15" i="81"/>
  <c r="G17" i="81"/>
  <c r="G16" i="81"/>
  <c r="G14" i="81"/>
  <c r="G13" i="81"/>
  <c r="G12" i="81"/>
  <c r="H17" i="81"/>
  <c r="H16" i="81"/>
  <c r="H13" i="80"/>
  <c r="H12" i="81"/>
  <c r="G25" i="80"/>
  <c r="G15" i="80"/>
  <c r="G14" i="80"/>
  <c r="G13" i="80"/>
  <c r="G12" i="80"/>
  <c r="H14" i="77"/>
  <c r="H12" i="80"/>
  <c r="H16" i="77"/>
  <c r="H25" i="80"/>
  <c r="H15" i="80"/>
  <c r="G15" i="79"/>
  <c r="G12" i="79"/>
  <c r="G16" i="79"/>
  <c r="G14" i="79"/>
  <c r="H14" i="78"/>
  <c r="H15" i="79"/>
  <c r="H13" i="77"/>
  <c r="H12" i="78"/>
  <c r="H16" i="78"/>
  <c r="H13" i="78"/>
  <c r="G16" i="78"/>
  <c r="G14" i="78"/>
  <c r="G13" i="78"/>
  <c r="G15" i="78"/>
  <c r="G12" i="78"/>
  <c r="H15" i="73"/>
  <c r="G16" i="77"/>
  <c r="G15" i="77"/>
  <c r="G18" i="77"/>
  <c r="G17" i="77"/>
  <c r="G14" i="77"/>
  <c r="G13" i="77"/>
  <c r="G12" i="77"/>
  <c r="H18" i="77"/>
  <c r="H17" i="77"/>
  <c r="H12" i="76"/>
  <c r="H12" i="77"/>
  <c r="H15" i="76"/>
  <c r="H15" i="77"/>
  <c r="G16" i="76"/>
  <c r="G15" i="76"/>
  <c r="G18" i="76"/>
  <c r="G17" i="76"/>
  <c r="G14" i="76"/>
  <c r="G13" i="76"/>
  <c r="G12" i="76"/>
  <c r="H18" i="76"/>
  <c r="H17" i="76"/>
  <c r="H14" i="67"/>
  <c r="H14" i="76"/>
  <c r="H16" i="76"/>
  <c r="H13" i="76"/>
  <c r="G13" i="74"/>
  <c r="G16" i="74"/>
  <c r="G15" i="74"/>
  <c r="G14" i="74"/>
  <c r="G12" i="74"/>
  <c r="H15" i="67"/>
  <c r="H13" i="73"/>
  <c r="H13" i="74"/>
  <c r="H12" i="73"/>
  <c r="H16" i="74"/>
  <c r="H14" i="74"/>
  <c r="H12" i="74"/>
  <c r="G17" i="73"/>
  <c r="G16" i="73"/>
  <c r="G12" i="73"/>
  <c r="G15" i="73"/>
  <c r="G14" i="73"/>
  <c r="G13" i="73"/>
  <c r="H17" i="73"/>
  <c r="H16" i="73"/>
  <c r="H24" i="72"/>
  <c r="H25" i="3"/>
  <c r="H13" i="67"/>
  <c r="H13" i="72"/>
  <c r="H13" i="3"/>
  <c r="H20" i="72"/>
  <c r="H13" i="70"/>
  <c r="H15" i="71"/>
  <c r="H12" i="72"/>
  <c r="H16" i="71"/>
  <c r="H14" i="71"/>
  <c r="H13" i="71"/>
  <c r="H12" i="71"/>
  <c r="H12" i="3"/>
  <c r="G20" i="72"/>
  <c r="I21" i="72"/>
  <c r="I17" i="72"/>
  <c r="I16" i="72"/>
  <c r="I12" i="72"/>
  <c r="G21" i="72"/>
  <c r="G17" i="72"/>
  <c r="G16" i="71"/>
  <c r="G15" i="71"/>
  <c r="G14" i="71"/>
  <c r="G13" i="71"/>
  <c r="G12" i="71"/>
  <c r="G17" i="3"/>
  <c r="G16" i="3"/>
  <c r="G12" i="3"/>
  <c r="G16" i="72"/>
  <c r="G12" i="72"/>
  <c r="G15" i="72"/>
  <c r="G13" i="72"/>
  <c r="G25" i="3"/>
  <c r="G15" i="3"/>
  <c r="G14" i="3"/>
  <c r="G13" i="3"/>
  <c r="G24" i="72"/>
  <c r="G14" i="72"/>
  <c r="H16" i="72"/>
  <c r="H17" i="72"/>
  <c r="H17" i="3"/>
  <c r="H16" i="3"/>
  <c r="H15" i="72"/>
  <c r="H15" i="3"/>
  <c r="H14" i="72"/>
  <c r="H14" i="3"/>
  <c r="H15" i="70"/>
  <c r="H14" i="70"/>
  <c r="H12" i="70"/>
  <c r="G16" i="69"/>
  <c r="G17" i="70"/>
  <c r="G15" i="70"/>
  <c r="G14" i="70"/>
  <c r="G13" i="70"/>
  <c r="G12" i="70"/>
  <c r="H16" i="69"/>
  <c r="H17" i="70"/>
  <c r="G14" i="69"/>
  <c r="G13" i="69"/>
  <c r="G12" i="68"/>
  <c r="G12" i="69"/>
  <c r="H12" i="68"/>
  <c r="H12" i="69"/>
  <c r="H13" i="68"/>
  <c r="H13" i="69"/>
  <c r="H14" i="68"/>
  <c r="H14" i="69"/>
  <c r="G14" i="68"/>
  <c r="G13" i="68"/>
  <c r="H16" i="68"/>
  <c r="G16" i="68"/>
  <c r="G19" i="67"/>
  <c r="G16" i="67"/>
  <c r="G15" i="67"/>
  <c r="G18" i="67"/>
  <c r="G17" i="67"/>
  <c r="G14" i="67"/>
  <c r="G13" i="67"/>
  <c r="G12" i="67"/>
  <c r="H18" i="67"/>
  <c r="H17" i="67"/>
  <c r="H19" i="67"/>
  <c r="H16" i="67"/>
  <c r="H21" i="66"/>
  <c r="H20" i="66"/>
  <c r="H12" i="65"/>
  <c r="H12" i="66"/>
  <c r="G13" i="65"/>
  <c r="G13" i="66"/>
  <c r="G21" i="66"/>
  <c r="G20" i="66"/>
  <c r="G18" i="66"/>
  <c r="G15" i="66"/>
  <c r="G14" i="66"/>
  <c r="G12" i="66"/>
  <c r="H13" i="65"/>
  <c r="H13" i="66"/>
  <c r="H14" i="65"/>
  <c r="H14" i="66"/>
  <c r="H14" i="64"/>
  <c r="H15" i="65"/>
  <c r="H22" i="65"/>
  <c r="H21" i="65"/>
  <c r="G22" i="65"/>
  <c r="G21" i="65"/>
  <c r="G15" i="65"/>
  <c r="G14" i="65"/>
  <c r="G12" i="65"/>
  <c r="G12" i="63"/>
  <c r="G18" i="63"/>
  <c r="G12" i="64"/>
  <c r="H16" i="63"/>
  <c r="H17" i="64"/>
  <c r="G17" i="64"/>
  <c r="G14" i="64"/>
  <c r="G13" i="64"/>
  <c r="H18" i="63"/>
  <c r="H12" i="64"/>
  <c r="H19" i="63"/>
  <c r="H13" i="64"/>
  <c r="G19" i="63"/>
  <c r="G17" i="63"/>
  <c r="G16" i="63"/>
  <c r="G15" i="63"/>
  <c r="G14" i="63"/>
  <c r="G13" i="63"/>
  <c r="H17" i="63"/>
  <c r="H13" i="62"/>
  <c r="H12" i="63"/>
  <c r="H15" i="63"/>
  <c r="H14" i="63"/>
  <c r="H12" i="62"/>
  <c r="H13" i="63"/>
  <c r="H23" i="62"/>
  <c r="H16" i="62"/>
  <c r="G18" i="61"/>
  <c r="G23" i="62"/>
  <c r="G17" i="62"/>
  <c r="G16" i="62"/>
  <c r="G12" i="62"/>
  <c r="G15" i="62"/>
  <c r="G14" i="62"/>
  <c r="G13" i="62"/>
  <c r="H18" i="61"/>
  <c r="H19" i="61"/>
  <c r="H14" i="61"/>
  <c r="H14" i="62"/>
  <c r="H15" i="61"/>
  <c r="H15" i="62"/>
  <c r="G19" i="61"/>
  <c r="G17" i="61"/>
  <c r="G16" i="61"/>
  <c r="G12" i="61"/>
  <c r="G13" i="60"/>
  <c r="G15" i="61"/>
  <c r="G14" i="61"/>
  <c r="G13" i="61"/>
  <c r="H13" i="60"/>
  <c r="H13" i="61"/>
  <c r="H17" i="61"/>
  <c r="H16" i="61"/>
  <c r="H12" i="60"/>
  <c r="H12" i="61"/>
  <c r="G12" i="60"/>
  <c r="G14" i="60"/>
  <c r="G15" i="60"/>
  <c r="H14" i="60"/>
  <c r="H15" i="60"/>
  <c r="G6" i="57"/>
  <c r="F4" i="57"/>
  <c r="F3" i="57"/>
  <c r="F7" i="57"/>
  <c r="M7" i="48"/>
  <c r="L6" i="52"/>
  <c r="T5" i="52"/>
  <c r="R5" i="52"/>
  <c r="P5" i="52"/>
  <c r="N5" i="52"/>
  <c r="U5" i="52"/>
  <c r="S5" i="52"/>
  <c r="Q5" i="52"/>
  <c r="O5" i="52"/>
  <c r="M5" i="52"/>
  <c r="N8" i="48"/>
  <c r="O8" i="48"/>
  <c r="N3" i="48"/>
  <c r="O3" i="48"/>
  <c r="N4" i="48"/>
  <c r="O4" i="48"/>
  <c r="N5" i="48"/>
  <c r="O5" i="48"/>
  <c r="N6" i="48"/>
  <c r="O6" i="48"/>
  <c r="J27" i="125"/>
  <c r="F34" i="3"/>
  <c r="E34" i="3"/>
  <c r="H170" i="2"/>
  <c r="J38" i="160" s="1"/>
  <c r="K38" i="160" s="1"/>
  <c r="H51" i="2"/>
  <c r="H32" i="2"/>
  <c r="H33" i="2"/>
  <c r="J39" i="79" s="1"/>
  <c r="H65" i="2"/>
  <c r="H67" i="2"/>
  <c r="J38" i="153" s="1"/>
  <c r="K38" i="153" s="1"/>
  <c r="H36" i="2"/>
  <c r="H59" i="2"/>
  <c r="H52" i="2"/>
  <c r="H5" i="2"/>
  <c r="H71" i="2"/>
  <c r="H24" i="2"/>
  <c r="J44" i="164" s="1"/>
  <c r="K44" i="164" s="1"/>
  <c r="H72" i="2"/>
  <c r="J43" i="153" s="1"/>
  <c r="K43" i="153" s="1"/>
  <c r="H12" i="2"/>
  <c r="J51" i="79" s="1"/>
  <c r="H89" i="2"/>
  <c r="H122" i="2"/>
  <c r="H13" i="2"/>
  <c r="J57" i="164" s="1"/>
  <c r="K57" i="164" s="1"/>
  <c r="H2" i="2"/>
  <c r="H55" i="2"/>
  <c r="J40" i="87" s="1"/>
  <c r="H133" i="2"/>
  <c r="H7" i="2"/>
  <c r="H91" i="2"/>
  <c r="H15" i="2"/>
  <c r="J40" i="79" s="1"/>
  <c r="H92" i="2"/>
  <c r="H131" i="2"/>
  <c r="H132" i="2"/>
  <c r="H94" i="2"/>
  <c r="H138" i="2"/>
  <c r="J56" i="129" s="1"/>
  <c r="K56" i="129" s="1"/>
  <c r="H100" i="2"/>
  <c r="H103" i="2"/>
  <c r="H151" i="2"/>
  <c r="H16" i="2"/>
  <c r="H18" i="2"/>
  <c r="H25" i="2"/>
  <c r="J43" i="142" s="1"/>
  <c r="K43" i="142" s="1"/>
  <c r="H19" i="2"/>
  <c r="H61" i="2"/>
  <c r="K37" i="102"/>
  <c r="H129" i="2"/>
  <c r="H130" i="2"/>
  <c r="H74" i="2"/>
  <c r="H140" i="2"/>
  <c r="H134" i="2"/>
  <c r="H114" i="2"/>
  <c r="J52" i="164" s="1"/>
  <c r="K52" i="164" s="1"/>
  <c r="H8" i="2"/>
  <c r="H116" i="2"/>
  <c r="J53" i="164" s="1"/>
  <c r="K53" i="164" s="1"/>
  <c r="H117" i="2"/>
  <c r="H118" i="2"/>
  <c r="H135" i="2"/>
  <c r="J58" i="164" s="1"/>
  <c r="K58" i="164" s="1"/>
  <c r="H148" i="2"/>
  <c r="H152" i="2"/>
  <c r="J37" i="85" s="1"/>
  <c r="H119" i="2"/>
  <c r="J46" i="164" s="1"/>
  <c r="K46" i="164" s="1"/>
  <c r="H87" i="2"/>
  <c r="J46" i="68" s="1"/>
  <c r="H98" i="2"/>
  <c r="H123" i="2"/>
  <c r="J40" i="88" s="1"/>
  <c r="H124" i="2"/>
  <c r="H27" i="2"/>
  <c r="J39" i="160" s="1"/>
  <c r="K39" i="160" s="1"/>
  <c r="H85" i="2"/>
  <c r="H106" i="2"/>
  <c r="H64" i="2"/>
  <c r="H141" i="2"/>
  <c r="H142" i="2"/>
  <c r="J43" i="164" s="1"/>
  <c r="K43" i="164" s="1"/>
  <c r="H144" i="2"/>
  <c r="H53" i="2"/>
  <c r="H136" i="2"/>
  <c r="H147" i="2"/>
  <c r="H42" i="2"/>
  <c r="J47" i="94" s="1"/>
  <c r="K47" i="94" s="1"/>
  <c r="H31" i="2"/>
  <c r="P2" i="48" l="1"/>
  <c r="I12" i="163" s="1"/>
  <c r="K12" i="163" s="1"/>
  <c r="J39" i="132"/>
  <c r="K39" i="132" s="1"/>
  <c r="J38" i="164"/>
  <c r="K38" i="164" s="1"/>
  <c r="J50" i="157"/>
  <c r="K50" i="157" s="1"/>
  <c r="J50" i="164"/>
  <c r="K50" i="164" s="1"/>
  <c r="J49" i="164"/>
  <c r="K49" i="164" s="1"/>
  <c r="J41" i="164"/>
  <c r="K41" i="164" s="1"/>
  <c r="J39" i="164"/>
  <c r="K39" i="164" s="1"/>
  <c r="J42" i="164"/>
  <c r="K42" i="164" s="1"/>
  <c r="G33" i="164"/>
  <c r="J45" i="130"/>
  <c r="K45" i="130" s="1"/>
  <c r="J43" i="108"/>
  <c r="K43" i="108" s="1"/>
  <c r="J53" i="157"/>
  <c r="K53" i="157" s="1"/>
  <c r="J50" i="73"/>
  <c r="K50" i="73" s="1"/>
  <c r="J43" i="77"/>
  <c r="K43" i="77" s="1"/>
  <c r="J47" i="153"/>
  <c r="K47" i="153" s="1"/>
  <c r="J53" i="3"/>
  <c r="K53" i="3" s="1"/>
  <c r="J48" i="126"/>
  <c r="K48" i="126" s="1"/>
  <c r="J50" i="163"/>
  <c r="K50" i="163" s="1"/>
  <c r="J49" i="143"/>
  <c r="K49" i="143" s="1"/>
  <c r="J49" i="161"/>
  <c r="K49" i="161" s="1"/>
  <c r="J49" i="125"/>
  <c r="K49" i="125" s="1"/>
  <c r="J49" i="69"/>
  <c r="K49" i="69" s="1"/>
  <c r="J46" i="128"/>
  <c r="K46" i="128" s="1"/>
  <c r="J46" i="129"/>
  <c r="K46" i="129" s="1"/>
  <c r="J49" i="130"/>
  <c r="K49" i="130" s="1"/>
  <c r="J46" i="127"/>
  <c r="K46" i="127" s="1"/>
  <c r="J45" i="125"/>
  <c r="K45" i="125" s="1"/>
  <c r="J43" i="138"/>
  <c r="K43" i="138" s="1"/>
  <c r="J44" i="137"/>
  <c r="K44" i="137" s="1"/>
  <c r="K66" i="137" s="1"/>
  <c r="J48" i="77"/>
  <c r="K48" i="77" s="1"/>
  <c r="J44" i="153"/>
  <c r="K44" i="153" s="1"/>
  <c r="J44" i="135"/>
  <c r="K44" i="135" s="1"/>
  <c r="J44" i="109"/>
  <c r="K44" i="109" s="1"/>
  <c r="J44" i="80"/>
  <c r="K44" i="80" s="1"/>
  <c r="J47" i="131"/>
  <c r="K47" i="131" s="1"/>
  <c r="J52" i="161"/>
  <c r="K52" i="161" s="1"/>
  <c r="J44" i="74"/>
  <c r="K44" i="74" s="1"/>
  <c r="J46" i="156"/>
  <c r="K46" i="156" s="1"/>
  <c r="J50" i="77"/>
  <c r="K50" i="77" s="1"/>
  <c r="J46" i="157"/>
  <c r="K46" i="157" s="1"/>
  <c r="J46" i="78"/>
  <c r="K46" i="78" s="1"/>
  <c r="J53" i="163"/>
  <c r="K53" i="163" s="1"/>
  <c r="J48" i="161"/>
  <c r="K48" i="161" s="1"/>
  <c r="J49" i="163"/>
  <c r="K49" i="163" s="1"/>
  <c r="J37" i="160"/>
  <c r="K37" i="160" s="1"/>
  <c r="J43" i="163"/>
  <c r="K43" i="163" s="1"/>
  <c r="J42" i="161"/>
  <c r="K42" i="161" s="1"/>
  <c r="J42" i="163"/>
  <c r="K42" i="163" s="1"/>
  <c r="J41" i="161"/>
  <c r="K41" i="161" s="1"/>
  <c r="J46" i="163"/>
  <c r="K46" i="163" s="1"/>
  <c r="J45" i="161"/>
  <c r="K45" i="161" s="1"/>
  <c r="J39" i="161"/>
  <c r="K39" i="161" s="1"/>
  <c r="J40" i="163"/>
  <c r="K40" i="163" s="1"/>
  <c r="J53" i="77"/>
  <c r="K53" i="77" s="1"/>
  <c r="J56" i="163"/>
  <c r="K56" i="163" s="1"/>
  <c r="J55" i="161"/>
  <c r="K55" i="161" s="1"/>
  <c r="J54" i="161"/>
  <c r="K54" i="161" s="1"/>
  <c r="J55" i="163"/>
  <c r="K55" i="163" s="1"/>
  <c r="J41" i="160"/>
  <c r="K41" i="160" s="1"/>
  <c r="J38" i="163"/>
  <c r="K38" i="163" s="1"/>
  <c r="J37" i="161"/>
  <c r="K37" i="161" s="1"/>
  <c r="G34" i="163"/>
  <c r="G33" i="161"/>
  <c r="J42" i="160"/>
  <c r="K42" i="160" s="1"/>
  <c r="J41" i="87"/>
  <c r="K41" i="87" s="1"/>
  <c r="J48" i="103"/>
  <c r="K48" i="103" s="1"/>
  <c r="J48" i="160"/>
  <c r="K48" i="160" s="1"/>
  <c r="J46" i="160"/>
  <c r="K46" i="160" s="1"/>
  <c r="U40" i="1"/>
  <c r="J39" i="60"/>
  <c r="K39" i="60" s="1"/>
  <c r="J40" i="118"/>
  <c r="K40" i="118" s="1"/>
  <c r="G33" i="160"/>
  <c r="J17" i="158"/>
  <c r="J33" i="158" s="1"/>
  <c r="J56" i="127"/>
  <c r="K56" i="127" s="1"/>
  <c r="J55" i="130"/>
  <c r="K55" i="130" s="1"/>
  <c r="J55" i="129"/>
  <c r="K55" i="129" s="1"/>
  <c r="J56" i="128"/>
  <c r="K56" i="128" s="1"/>
  <c r="J45" i="158"/>
  <c r="K45" i="158" s="1"/>
  <c r="J57" i="127"/>
  <c r="K57" i="127" s="1"/>
  <c r="J57" i="128"/>
  <c r="K57" i="128" s="1"/>
  <c r="J56" i="130"/>
  <c r="K56" i="130" s="1"/>
  <c r="I25" i="127"/>
  <c r="K25" i="127" s="1"/>
  <c r="I27" i="130"/>
  <c r="K27" i="130" s="1"/>
  <c r="I23" i="129"/>
  <c r="K23" i="129" s="1"/>
  <c r="I26" i="128"/>
  <c r="K26" i="128" s="1"/>
  <c r="I25" i="130"/>
  <c r="K25" i="130" s="1"/>
  <c r="I25" i="129"/>
  <c r="K25" i="129" s="1"/>
  <c r="I28" i="128"/>
  <c r="K28" i="128" s="1"/>
  <c r="I27" i="127"/>
  <c r="K27" i="127" s="1"/>
  <c r="J49" i="95"/>
  <c r="K49" i="95" s="1"/>
  <c r="J47" i="93"/>
  <c r="K47" i="93" s="1"/>
  <c r="J51" i="92"/>
  <c r="K51" i="92" s="1"/>
  <c r="J46" i="91"/>
  <c r="K46" i="91" s="1"/>
  <c r="J48" i="98"/>
  <c r="K48" i="98" s="1"/>
  <c r="J48" i="158"/>
  <c r="K48" i="158" s="1"/>
  <c r="J45" i="94"/>
  <c r="K45" i="94" s="1"/>
  <c r="J57" i="157"/>
  <c r="K57" i="157" s="1"/>
  <c r="J52" i="77"/>
  <c r="K52" i="77" s="1"/>
  <c r="J53" i="95"/>
  <c r="K53" i="95" s="1"/>
  <c r="J52" i="158"/>
  <c r="K52" i="158" s="1"/>
  <c r="J52" i="98"/>
  <c r="K52" i="98" s="1"/>
  <c r="J49" i="94"/>
  <c r="K49" i="94" s="1"/>
  <c r="J55" i="92"/>
  <c r="K55" i="92" s="1"/>
  <c r="J51" i="93"/>
  <c r="K51" i="93" s="1"/>
  <c r="J50" i="91"/>
  <c r="K50" i="91" s="1"/>
  <c r="J43" i="94"/>
  <c r="K43" i="94" s="1"/>
  <c r="J39" i="158"/>
  <c r="K39" i="158" s="1"/>
  <c r="J45" i="93"/>
  <c r="K45" i="93" s="1"/>
  <c r="J49" i="92"/>
  <c r="K49" i="92" s="1"/>
  <c r="J44" i="91"/>
  <c r="K44" i="91" s="1"/>
  <c r="J49" i="157"/>
  <c r="K49" i="157" s="1"/>
  <c r="J47" i="95"/>
  <c r="K47" i="95" s="1"/>
  <c r="J52" i="157"/>
  <c r="K52" i="157" s="1"/>
  <c r="J42" i="77"/>
  <c r="K42" i="77" s="1"/>
  <c r="G33" i="158"/>
  <c r="J52" i="156"/>
  <c r="K52" i="156" s="1"/>
  <c r="J49" i="156"/>
  <c r="K49" i="156" s="1"/>
  <c r="J58" i="157"/>
  <c r="K58" i="157" s="1"/>
  <c r="J57" i="156"/>
  <c r="K57" i="156" s="1"/>
  <c r="J43" i="157"/>
  <c r="K43" i="157" s="1"/>
  <c r="J43" i="156"/>
  <c r="K43" i="156" s="1"/>
  <c r="J51" i="156"/>
  <c r="K51" i="156" s="1"/>
  <c r="J56" i="156"/>
  <c r="K56" i="156" s="1"/>
  <c r="J46" i="126"/>
  <c r="K46" i="126" s="1"/>
  <c r="J42" i="157"/>
  <c r="K42" i="157" s="1"/>
  <c r="J42" i="156"/>
  <c r="K42" i="156" s="1"/>
  <c r="J39" i="157"/>
  <c r="K39" i="157" s="1"/>
  <c r="J39" i="156"/>
  <c r="K39" i="156" s="1"/>
  <c r="J59" i="106"/>
  <c r="K59" i="106" s="1"/>
  <c r="J50" i="78"/>
  <c r="K50" i="78" s="1"/>
  <c r="J48" i="156"/>
  <c r="K48" i="156" s="1"/>
  <c r="J55" i="156"/>
  <c r="K55" i="156" s="1"/>
  <c r="J49" i="78"/>
  <c r="K49" i="78" s="1"/>
  <c r="J41" i="156"/>
  <c r="K41" i="156" s="1"/>
  <c r="J41" i="157"/>
  <c r="K41" i="157" s="1"/>
  <c r="J46" i="153"/>
  <c r="K46" i="153" s="1"/>
  <c r="J50" i="156"/>
  <c r="K50" i="156" s="1"/>
  <c r="J44" i="157"/>
  <c r="K44" i="157" s="1"/>
  <c r="J44" i="156"/>
  <c r="K44" i="156" s="1"/>
  <c r="J38" i="152"/>
  <c r="K38" i="152" s="1"/>
  <c r="J38" i="157"/>
  <c r="K38" i="157" s="1"/>
  <c r="J38" i="156"/>
  <c r="K38" i="156" s="1"/>
  <c r="J59" i="113"/>
  <c r="K59" i="113" s="1"/>
  <c r="J48" i="105"/>
  <c r="K48" i="105" s="1"/>
  <c r="G33" i="157"/>
  <c r="G33" i="156"/>
  <c r="J46" i="103"/>
  <c r="K46" i="103" s="1"/>
  <c r="J46" i="105"/>
  <c r="K46" i="105" s="1"/>
  <c r="J57" i="113"/>
  <c r="K57" i="113" s="1"/>
  <c r="J57" i="106"/>
  <c r="K57" i="106" s="1"/>
  <c r="J46" i="104"/>
  <c r="K46" i="104" s="1"/>
  <c r="J52" i="131"/>
  <c r="K52" i="131" s="1"/>
  <c r="J49" i="83"/>
  <c r="K49" i="83" s="1"/>
  <c r="J46" i="107"/>
  <c r="K46" i="107" s="1"/>
  <c r="J45" i="81"/>
  <c r="K45" i="81" s="1"/>
  <c r="J48" i="84"/>
  <c r="K48" i="84" s="1"/>
  <c r="J51" i="131"/>
  <c r="K51" i="131" s="1"/>
  <c r="J48" i="82"/>
  <c r="K48" i="82" s="1"/>
  <c r="J48" i="104"/>
  <c r="K48" i="104" s="1"/>
  <c r="J52" i="126"/>
  <c r="K52" i="126" s="1"/>
  <c r="J50" i="153"/>
  <c r="K50" i="153" s="1"/>
  <c r="J44" i="78"/>
  <c r="K44" i="78" s="1"/>
  <c r="J39" i="153"/>
  <c r="K39" i="153" s="1"/>
  <c r="J55" i="126"/>
  <c r="K55" i="126" s="1"/>
  <c r="J53" i="153"/>
  <c r="K53" i="153" s="1"/>
  <c r="J37" i="153"/>
  <c r="K37" i="153" s="1"/>
  <c r="J37" i="126"/>
  <c r="K37" i="126" s="1"/>
  <c r="J57" i="78"/>
  <c r="K57" i="78" s="1"/>
  <c r="J52" i="153"/>
  <c r="K52" i="153" s="1"/>
  <c r="J43" i="118"/>
  <c r="K43" i="118" s="1"/>
  <c r="J43" i="60"/>
  <c r="K43" i="60" s="1"/>
  <c r="J42" i="119"/>
  <c r="K42" i="119" s="1"/>
  <c r="J43" i="62"/>
  <c r="K43" i="62" s="1"/>
  <c r="J40" i="61"/>
  <c r="K40" i="61" s="1"/>
  <c r="J44" i="121"/>
  <c r="K44" i="121" s="1"/>
  <c r="J40" i="63"/>
  <c r="K40" i="63" s="1"/>
  <c r="J40" i="120"/>
  <c r="K40" i="120" s="1"/>
  <c r="J41" i="80"/>
  <c r="K41" i="80" s="1"/>
  <c r="J40" i="108"/>
  <c r="K40" i="108" s="1"/>
  <c r="J41" i="135"/>
  <c r="K41" i="135" s="1"/>
  <c r="J41" i="109"/>
  <c r="K41" i="109" s="1"/>
  <c r="J46" i="143"/>
  <c r="K46" i="143" s="1"/>
  <c r="J51" i="71"/>
  <c r="K51" i="71" s="1"/>
  <c r="J52" i="78"/>
  <c r="K52" i="78" s="1"/>
  <c r="J49" i="126"/>
  <c r="K49" i="126" s="1"/>
  <c r="J49" i="68"/>
  <c r="K49" i="68" s="1"/>
  <c r="J53" i="78"/>
  <c r="K53" i="78" s="1"/>
  <c r="J49" i="76"/>
  <c r="K49" i="76" s="1"/>
  <c r="J58" i="78"/>
  <c r="K58" i="78" s="1"/>
  <c r="J49" i="70"/>
  <c r="K49" i="70" s="1"/>
  <c r="J49" i="144"/>
  <c r="K49" i="144" s="1"/>
  <c r="J57" i="71"/>
  <c r="K57" i="71" s="1"/>
  <c r="J55" i="70"/>
  <c r="K55" i="70" s="1"/>
  <c r="J52" i="142"/>
  <c r="K52" i="142" s="1"/>
  <c r="J55" i="144"/>
  <c r="K55" i="144" s="1"/>
  <c r="J56" i="71"/>
  <c r="K56" i="71" s="1"/>
  <c r="J54" i="70"/>
  <c r="K54" i="70" s="1"/>
  <c r="J51" i="142"/>
  <c r="K51" i="142" s="1"/>
  <c r="J54" i="144"/>
  <c r="K54" i="144" s="1"/>
  <c r="J49" i="152"/>
  <c r="K49" i="152" s="1"/>
  <c r="J48" i="70"/>
  <c r="K48" i="70" s="1"/>
  <c r="J44" i="70"/>
  <c r="K44" i="70" s="1"/>
  <c r="J48" i="144"/>
  <c r="K48" i="144" s="1"/>
  <c r="J44" i="144"/>
  <c r="K44" i="144" s="1"/>
  <c r="J43" i="76"/>
  <c r="K43" i="76" s="1"/>
  <c r="J51" i="70"/>
  <c r="K51" i="70" s="1"/>
  <c r="J48" i="142"/>
  <c r="K48" i="142" s="1"/>
  <c r="J53" i="71"/>
  <c r="K53" i="71" s="1"/>
  <c r="J51" i="144"/>
  <c r="K51" i="144" s="1"/>
  <c r="J42" i="144"/>
  <c r="K42" i="144" s="1"/>
  <c r="J42" i="70"/>
  <c r="K42" i="70" s="1"/>
  <c r="J48" i="68"/>
  <c r="K48" i="68" s="1"/>
  <c r="J42" i="152"/>
  <c r="K42" i="152" s="1"/>
  <c r="J39" i="151"/>
  <c r="K39" i="151" s="1"/>
  <c r="J52" i="70"/>
  <c r="K52" i="70" s="1"/>
  <c r="J49" i="142"/>
  <c r="K49" i="142" s="1"/>
  <c r="J54" i="71"/>
  <c r="K54" i="71" s="1"/>
  <c r="J52" i="144"/>
  <c r="K52" i="144" s="1"/>
  <c r="J47" i="152"/>
  <c r="K47" i="152" s="1"/>
  <c r="J46" i="144"/>
  <c r="K46" i="144" s="1"/>
  <c r="J46" i="70"/>
  <c r="K46" i="70" s="1"/>
  <c r="J45" i="142"/>
  <c r="K45" i="142" s="1"/>
  <c r="J50" i="71"/>
  <c r="K50" i="71" s="1"/>
  <c r="J45" i="70"/>
  <c r="K45" i="70" s="1"/>
  <c r="J45" i="144"/>
  <c r="K45" i="144" s="1"/>
  <c r="J52" i="68"/>
  <c r="K52" i="68" s="1"/>
  <c r="J40" i="150"/>
  <c r="K40" i="150" s="1"/>
  <c r="J40" i="149"/>
  <c r="K40" i="149" s="1"/>
  <c r="J50" i="134"/>
  <c r="K50" i="134" s="1"/>
  <c r="J41" i="150"/>
  <c r="K41" i="150" s="1"/>
  <c r="J42" i="149"/>
  <c r="K42" i="149" s="1"/>
  <c r="J45" i="98"/>
  <c r="K45" i="98" s="1"/>
  <c r="J49" i="150"/>
  <c r="K49" i="150" s="1"/>
  <c r="J50" i="149"/>
  <c r="K50" i="149" s="1"/>
  <c r="J57" i="152"/>
  <c r="K57" i="152" s="1"/>
  <c r="J48" i="150"/>
  <c r="K48" i="150" s="1"/>
  <c r="J49" i="149"/>
  <c r="K49" i="149" s="1"/>
  <c r="J48" i="151"/>
  <c r="K48" i="151" s="1"/>
  <c r="J57" i="3"/>
  <c r="K57" i="3" s="1"/>
  <c r="J55" i="74"/>
  <c r="K55" i="74" s="1"/>
  <c r="J48" i="76"/>
  <c r="K48" i="76" s="1"/>
  <c r="J51" i="74"/>
  <c r="J51" i="134"/>
  <c r="K51" i="134" s="1"/>
  <c r="J55" i="102"/>
  <c r="K55" i="102" s="1"/>
  <c r="J41" i="61"/>
  <c r="K41" i="61" s="1"/>
  <c r="J40" i="62"/>
  <c r="K40" i="62" s="1"/>
  <c r="J58" i="152"/>
  <c r="K58" i="152" s="1"/>
  <c r="J54" i="153"/>
  <c r="K54" i="153" s="1"/>
  <c r="J49" i="151"/>
  <c r="K49" i="151" s="1"/>
  <c r="J58" i="3"/>
  <c r="K58" i="3" s="1"/>
  <c r="J56" i="74"/>
  <c r="J38" i="150"/>
  <c r="K38" i="150" s="1"/>
  <c r="J38" i="149"/>
  <c r="K38" i="149" s="1"/>
  <c r="J54" i="102"/>
  <c r="K54" i="102" s="1"/>
  <c r="J49" i="134"/>
  <c r="K49" i="134" s="1"/>
  <c r="J53" i="152"/>
  <c r="K53" i="152" s="1"/>
  <c r="J46" i="150"/>
  <c r="K46" i="150" s="1"/>
  <c r="J47" i="149"/>
  <c r="K47" i="149" s="1"/>
  <c r="J44" i="151"/>
  <c r="K44" i="151" s="1"/>
  <c r="J44" i="76"/>
  <c r="K44" i="76" s="1"/>
  <c r="J52" i="152"/>
  <c r="K52" i="152" s="1"/>
  <c r="J43" i="151"/>
  <c r="K43" i="151" s="1"/>
  <c r="J45" i="150"/>
  <c r="K45" i="150" s="1"/>
  <c r="J46" i="149"/>
  <c r="K46" i="149" s="1"/>
  <c r="J44" i="152"/>
  <c r="K44" i="152" s="1"/>
  <c r="J38" i="151"/>
  <c r="K38" i="151" s="1"/>
  <c r="J44" i="3"/>
  <c r="K44" i="3" s="1"/>
  <c r="J37" i="151"/>
  <c r="K37" i="151" s="1"/>
  <c r="J41" i="152"/>
  <c r="K41" i="152" s="1"/>
  <c r="J37" i="150"/>
  <c r="K37" i="150" s="1"/>
  <c r="J37" i="149"/>
  <c r="K37" i="149" s="1"/>
  <c r="J43" i="152"/>
  <c r="K43" i="152" s="1"/>
  <c r="J39" i="150"/>
  <c r="K39" i="150" s="1"/>
  <c r="J40" i="151"/>
  <c r="K40" i="151" s="1"/>
  <c r="J39" i="149"/>
  <c r="K39" i="149" s="1"/>
  <c r="J50" i="152"/>
  <c r="K50" i="152" s="1"/>
  <c r="J43" i="150"/>
  <c r="K43" i="150" s="1"/>
  <c r="J44" i="149"/>
  <c r="K44" i="149" s="1"/>
  <c r="J50" i="3"/>
  <c r="K50" i="3" s="1"/>
  <c r="J48" i="74"/>
  <c r="K48" i="74" s="1"/>
  <c r="J43" i="149"/>
  <c r="K43" i="149" s="1"/>
  <c r="J42" i="150"/>
  <c r="K42" i="150" s="1"/>
  <c r="J40" i="152"/>
  <c r="K40" i="152" s="1"/>
  <c r="G33" i="153"/>
  <c r="G34" i="152"/>
  <c r="G33" i="151"/>
  <c r="G33" i="150"/>
  <c r="G33" i="149"/>
  <c r="I12" i="141"/>
  <c r="J49" i="103"/>
  <c r="K49" i="103" s="1"/>
  <c r="J49" i="105"/>
  <c r="K49" i="105" s="1"/>
  <c r="J49" i="104"/>
  <c r="K49" i="104" s="1"/>
  <c r="J60" i="106"/>
  <c r="K60" i="106" s="1"/>
  <c r="J60" i="113"/>
  <c r="K60" i="113" s="1"/>
  <c r="J51" i="97"/>
  <c r="K51" i="97" s="1"/>
  <c r="J45" i="89"/>
  <c r="K45" i="89" s="1"/>
  <c r="J45" i="132"/>
  <c r="K45" i="132" s="1"/>
  <c r="J41" i="63"/>
  <c r="K41" i="63" s="1"/>
  <c r="J38" i="64"/>
  <c r="K38" i="64" s="1"/>
  <c r="J39" i="90"/>
  <c r="K39" i="90" s="1"/>
  <c r="J39" i="86"/>
  <c r="K39" i="86" s="1"/>
  <c r="J54" i="127"/>
  <c r="K54" i="127" s="1"/>
  <c r="J45" i="65"/>
  <c r="K45" i="65" s="1"/>
  <c r="J43" i="66"/>
  <c r="K43" i="66" s="1"/>
  <c r="J51" i="3"/>
  <c r="K51" i="3" s="1"/>
  <c r="J45" i="63"/>
  <c r="K45" i="63" s="1"/>
  <c r="J41" i="78"/>
  <c r="K41" i="78" s="1"/>
  <c r="J49" i="74"/>
  <c r="K49" i="74" s="1"/>
  <c r="J41" i="60"/>
  <c r="K41" i="60" s="1"/>
  <c r="J46" i="95"/>
  <c r="K46" i="95" s="1"/>
  <c r="J42" i="3"/>
  <c r="K42" i="3" s="1"/>
  <c r="J41" i="74"/>
  <c r="K41" i="74" s="1"/>
  <c r="J39" i="76"/>
  <c r="K39" i="76" s="1"/>
  <c r="J38" i="68"/>
  <c r="K38" i="68" s="1"/>
  <c r="J38" i="70"/>
  <c r="K38" i="70" s="1"/>
  <c r="J38" i="142"/>
  <c r="K38" i="142" s="1"/>
  <c r="J38" i="144"/>
  <c r="K38" i="144" s="1"/>
  <c r="J38" i="84"/>
  <c r="K38" i="84" s="1"/>
  <c r="J38" i="78"/>
  <c r="K38" i="78" s="1"/>
  <c r="J38" i="83"/>
  <c r="K38" i="83" s="1"/>
  <c r="J39" i="89"/>
  <c r="K39" i="89" s="1"/>
  <c r="J39" i="93"/>
  <c r="K39" i="93" s="1"/>
  <c r="J38" i="143"/>
  <c r="K38" i="143" s="1"/>
  <c r="J38" i="82"/>
  <c r="K38" i="82" s="1"/>
  <c r="J42" i="87"/>
  <c r="K42" i="87" s="1"/>
  <c r="J39" i="92"/>
  <c r="K39" i="92" s="1"/>
  <c r="J37" i="74"/>
  <c r="K37" i="74" s="1"/>
  <c r="J41" i="103"/>
  <c r="K41" i="103" s="1"/>
  <c r="J40" i="105"/>
  <c r="K40" i="105" s="1"/>
  <c r="J45" i="106"/>
  <c r="K45" i="106" s="1"/>
  <c r="J53" i="106"/>
  <c r="K53" i="106" s="1"/>
  <c r="J38" i="97"/>
  <c r="K38" i="97" s="1"/>
  <c r="J40" i="104"/>
  <c r="K40" i="104" s="1"/>
  <c r="J42" i="106"/>
  <c r="K42" i="106" s="1"/>
  <c r="J40" i="138"/>
  <c r="K40" i="138" s="1"/>
  <c r="J52" i="113"/>
  <c r="K52" i="113" s="1"/>
  <c r="J38" i="3"/>
  <c r="K38" i="3" s="1"/>
  <c r="J38" i="95"/>
  <c r="K38" i="95" s="1"/>
  <c r="J37" i="73"/>
  <c r="K37" i="73" s="1"/>
  <c r="J40" i="107"/>
  <c r="K40" i="107" s="1"/>
  <c r="J39" i="106"/>
  <c r="K39" i="106" s="1"/>
  <c r="J41" i="131"/>
  <c r="K41" i="131" s="1"/>
  <c r="J38" i="69"/>
  <c r="K38" i="69" s="1"/>
  <c r="J38" i="98"/>
  <c r="K38" i="98" s="1"/>
  <c r="J37" i="79"/>
  <c r="K37" i="79" s="1"/>
  <c r="J41" i="143"/>
  <c r="K41" i="143" s="1"/>
  <c r="J41" i="68"/>
  <c r="K41" i="68" s="1"/>
  <c r="J41" i="142"/>
  <c r="K41" i="142" s="1"/>
  <c r="J41" i="69"/>
  <c r="K41" i="69" s="1"/>
  <c r="J52" i="80"/>
  <c r="K52" i="80" s="1"/>
  <c r="J52" i="135"/>
  <c r="K52" i="135" s="1"/>
  <c r="J50" i="108"/>
  <c r="K50" i="108" s="1"/>
  <c r="J52" i="109"/>
  <c r="K52" i="109" s="1"/>
  <c r="J49" i="97"/>
  <c r="K49" i="97" s="1"/>
  <c r="J50" i="68"/>
  <c r="K50" i="68" s="1"/>
  <c r="J48" i="69"/>
  <c r="K48" i="69" s="1"/>
  <c r="J52" i="74"/>
  <c r="K52" i="74" s="1"/>
  <c r="J48" i="67"/>
  <c r="K48" i="67" s="1"/>
  <c r="J48" i="143"/>
  <c r="K48" i="143" s="1"/>
  <c r="J54" i="3"/>
  <c r="K54" i="3" s="1"/>
  <c r="J45" i="76"/>
  <c r="K45" i="76" s="1"/>
  <c r="J48" i="125"/>
  <c r="K48" i="125" s="1"/>
  <c r="J49" i="73"/>
  <c r="K49" i="73" s="1"/>
  <c r="J49" i="79"/>
  <c r="K49" i="79" s="1"/>
  <c r="J47" i="126"/>
  <c r="K47" i="126" s="1"/>
  <c r="J46" i="141"/>
  <c r="K46" i="141" s="1"/>
  <c r="J55" i="127"/>
  <c r="K55" i="127" s="1"/>
  <c r="J40" i="67"/>
  <c r="K40" i="67" s="1"/>
  <c r="K43" i="144"/>
  <c r="J42" i="73"/>
  <c r="K42" i="73" s="1"/>
  <c r="J40" i="141"/>
  <c r="K40" i="141" s="1"/>
  <c r="J43" i="69"/>
  <c r="K43" i="69" s="1"/>
  <c r="J46" i="3"/>
  <c r="K46" i="3" s="1"/>
  <c r="J41" i="76"/>
  <c r="K41" i="76" s="1"/>
  <c r="J40" i="77"/>
  <c r="K40" i="77" s="1"/>
  <c r="J39" i="87"/>
  <c r="K39" i="87" s="1"/>
  <c r="J43" i="84"/>
  <c r="K43" i="84" s="1"/>
  <c r="K43" i="70"/>
  <c r="J43" i="143"/>
  <c r="K43" i="143" s="1"/>
  <c r="J45" i="74"/>
  <c r="K45" i="74" s="1"/>
  <c r="J37" i="128"/>
  <c r="K37" i="128" s="1"/>
  <c r="J37" i="104"/>
  <c r="K37" i="104" s="1"/>
  <c r="J44" i="83"/>
  <c r="K44" i="83" s="1"/>
  <c r="J37" i="129"/>
  <c r="K37" i="129" s="1"/>
  <c r="J38" i="130"/>
  <c r="K38" i="130" s="1"/>
  <c r="J37" i="107"/>
  <c r="K37" i="107" s="1"/>
  <c r="J43" i="134"/>
  <c r="K43" i="134" s="1"/>
  <c r="J38" i="105"/>
  <c r="K38" i="105" s="1"/>
  <c r="J48" i="106"/>
  <c r="K48" i="106" s="1"/>
  <c r="J41" i="125"/>
  <c r="K41" i="125" s="1"/>
  <c r="J40" i="126"/>
  <c r="K40" i="126" s="1"/>
  <c r="J43" i="82"/>
  <c r="K43" i="82" s="1"/>
  <c r="J48" i="113"/>
  <c r="K48" i="113" s="1"/>
  <c r="J37" i="127"/>
  <c r="K37" i="127" s="1"/>
  <c r="J37" i="103"/>
  <c r="K37" i="103" s="1"/>
  <c r="J38" i="81"/>
  <c r="K38" i="81" s="1"/>
  <c r="J47" i="71"/>
  <c r="K47" i="71" s="1"/>
  <c r="K49" i="71"/>
  <c r="J43" i="68"/>
  <c r="K43" i="68" s="1"/>
  <c r="J45" i="82"/>
  <c r="K45" i="82" s="1"/>
  <c r="J46" i="83"/>
  <c r="K46" i="83" s="1"/>
  <c r="J42" i="81"/>
  <c r="K42" i="81" s="1"/>
  <c r="J45" i="84"/>
  <c r="K45" i="84" s="1"/>
  <c r="J41" i="73"/>
  <c r="K41" i="73" s="1"/>
  <c r="J42" i="143"/>
  <c r="K42" i="143" s="1"/>
  <c r="J42" i="69"/>
  <c r="K42" i="69" s="1"/>
  <c r="J42" i="125"/>
  <c r="K42" i="125" s="1"/>
  <c r="J39" i="77"/>
  <c r="K39" i="77" s="1"/>
  <c r="J41" i="126"/>
  <c r="K41" i="126" s="1"/>
  <c r="J47" i="81"/>
  <c r="K47" i="81" s="1"/>
  <c r="J50" i="84"/>
  <c r="K50" i="84" s="1"/>
  <c r="J50" i="82"/>
  <c r="K50" i="82" s="1"/>
  <c r="J51" i="83"/>
  <c r="K51" i="83" s="1"/>
  <c r="J45" i="68"/>
  <c r="K45" i="68" s="1"/>
  <c r="J39" i="108"/>
  <c r="K39" i="108" s="1"/>
  <c r="J40" i="80"/>
  <c r="K40" i="80" s="1"/>
  <c r="J40" i="135"/>
  <c r="K40" i="135" s="1"/>
  <c r="J40" i="109"/>
  <c r="K40" i="109" s="1"/>
  <c r="J44" i="65"/>
  <c r="K44" i="65" s="1"/>
  <c r="J42" i="66"/>
  <c r="K42" i="66" s="1"/>
  <c r="J40" i="60"/>
  <c r="K40" i="60" s="1"/>
  <c r="J42" i="61"/>
  <c r="K42" i="61" s="1"/>
  <c r="J41" i="62"/>
  <c r="K41" i="62" s="1"/>
  <c r="J45" i="126"/>
  <c r="K45" i="126" s="1"/>
  <c r="J41" i="71"/>
  <c r="K41" i="71" s="1"/>
  <c r="J45" i="71"/>
  <c r="K45" i="71" s="1"/>
  <c r="J42" i="84"/>
  <c r="K42" i="84" s="1"/>
  <c r="J40" i="81"/>
  <c r="K40" i="81" s="1"/>
  <c r="J42" i="82"/>
  <c r="K42" i="82" s="1"/>
  <c r="J41" i="113"/>
  <c r="K41" i="113" s="1"/>
  <c r="J40" i="83"/>
  <c r="K40" i="83" s="1"/>
  <c r="J54" i="68"/>
  <c r="K54" i="68" s="1"/>
  <c r="J52" i="67"/>
  <c r="K52" i="67" s="1"/>
  <c r="J52" i="69"/>
  <c r="K52" i="69" s="1"/>
  <c r="J52" i="143"/>
  <c r="K52" i="143" s="1"/>
  <c r="K56" i="144"/>
  <c r="J50" i="141"/>
  <c r="K50" i="141" s="1"/>
  <c r="K58" i="71"/>
  <c r="K56" i="70"/>
  <c r="J54" i="109"/>
  <c r="K54" i="109" s="1"/>
  <c r="J55" i="135"/>
  <c r="K55" i="135" s="1"/>
  <c r="J53" i="108"/>
  <c r="K53" i="108" s="1"/>
  <c r="J55" i="80"/>
  <c r="K55" i="80" s="1"/>
  <c r="J43" i="89"/>
  <c r="K43" i="89" s="1"/>
  <c r="J41" i="70"/>
  <c r="K41" i="70" s="1"/>
  <c r="J43" i="78"/>
  <c r="K43" i="78" s="1"/>
  <c r="J41" i="144"/>
  <c r="K41" i="144" s="1"/>
  <c r="J45" i="122"/>
  <c r="K45" i="122" s="1"/>
  <c r="J45" i="123"/>
  <c r="K45" i="123" s="1"/>
  <c r="J49" i="67"/>
  <c r="K49" i="67" s="1"/>
  <c r="J46" i="76"/>
  <c r="K46" i="76" s="1"/>
  <c r="K53" i="70"/>
  <c r="J45" i="66"/>
  <c r="K45" i="66" s="1"/>
  <c r="J53" i="74"/>
  <c r="K53" i="74" s="1"/>
  <c r="J39" i="64"/>
  <c r="K39" i="64" s="1"/>
  <c r="J43" i="124"/>
  <c r="K43" i="124" s="1"/>
  <c r="K55" i="71"/>
  <c r="J50" i="79"/>
  <c r="K50" i="79" s="1"/>
  <c r="J47" i="65"/>
  <c r="K47" i="65" s="1"/>
  <c r="K53" i="144"/>
  <c r="J51" i="68"/>
  <c r="K51" i="68" s="1"/>
  <c r="J47" i="141"/>
  <c r="K47" i="141" s="1"/>
  <c r="J39" i="80"/>
  <c r="K39" i="80" s="1"/>
  <c r="J39" i="135"/>
  <c r="K39" i="135" s="1"/>
  <c r="J39" i="109"/>
  <c r="K39" i="109" s="1"/>
  <c r="J38" i="108"/>
  <c r="K38" i="108" s="1"/>
  <c r="J41" i="141"/>
  <c r="K41" i="141" s="1"/>
  <c r="J40" i="74"/>
  <c r="K40" i="74" s="1"/>
  <c r="J41" i="67"/>
  <c r="K41" i="67" s="1"/>
  <c r="J39" i="81"/>
  <c r="K39" i="81" s="1"/>
  <c r="J41" i="82"/>
  <c r="K41" i="82" s="1"/>
  <c r="J43" i="83"/>
  <c r="K43" i="83" s="1"/>
  <c r="J41" i="84"/>
  <c r="K41" i="84" s="1"/>
  <c r="J49" i="106"/>
  <c r="K49" i="106" s="1"/>
  <c r="J38" i="107"/>
  <c r="K38" i="107" s="1"/>
  <c r="J39" i="131"/>
  <c r="K39" i="131" s="1"/>
  <c r="J38" i="103"/>
  <c r="K38" i="103" s="1"/>
  <c r="J38" i="104"/>
  <c r="K38" i="104" s="1"/>
  <c r="J39" i="105"/>
  <c r="K39" i="105" s="1"/>
  <c r="J49" i="113"/>
  <c r="K49" i="113" s="1"/>
  <c r="J37" i="86"/>
  <c r="K37" i="86" s="1"/>
  <c r="J50" i="113"/>
  <c r="K50" i="113" s="1"/>
  <c r="J50" i="106"/>
  <c r="K50" i="106" s="1"/>
  <c r="J39" i="125"/>
  <c r="K39" i="125" s="1"/>
  <c r="J38" i="126"/>
  <c r="K38" i="126" s="1"/>
  <c r="J37" i="76"/>
  <c r="K37" i="76" s="1"/>
  <c r="J46" i="71"/>
  <c r="K46" i="71" s="1"/>
  <c r="J37" i="77"/>
  <c r="K37" i="77" s="1"/>
  <c r="J41" i="124"/>
  <c r="K41" i="124" s="1"/>
  <c r="J51" i="126"/>
  <c r="K51" i="126" s="1"/>
  <c r="J47" i="135"/>
  <c r="K47" i="135" s="1"/>
  <c r="J47" i="109"/>
  <c r="K47" i="109" s="1"/>
  <c r="J41" i="65"/>
  <c r="K41" i="65" s="1"/>
  <c r="J45" i="131"/>
  <c r="K45" i="131" s="1"/>
  <c r="J42" i="80"/>
  <c r="K42" i="80" s="1"/>
  <c r="J41" i="122"/>
  <c r="K41" i="122" s="1"/>
  <c r="J47" i="134"/>
  <c r="K47" i="134" s="1"/>
  <c r="J46" i="63"/>
  <c r="K46" i="63" s="1"/>
  <c r="K50" i="70"/>
  <c r="J42" i="60"/>
  <c r="K42" i="60" s="1"/>
  <c r="J44" i="141"/>
  <c r="K44" i="141" s="1"/>
  <c r="K50" i="144"/>
  <c r="J47" i="79"/>
  <c r="K47" i="79" s="1"/>
  <c r="J46" i="109"/>
  <c r="K46" i="109" s="1"/>
  <c r="J45" i="108"/>
  <c r="K45" i="108" s="1"/>
  <c r="J52" i="3"/>
  <c r="K52" i="3" s="1"/>
  <c r="J50" i="74"/>
  <c r="K50" i="74" s="1"/>
  <c r="J46" i="65"/>
  <c r="K46" i="65" s="1"/>
  <c r="J47" i="80"/>
  <c r="K47" i="80" s="1"/>
  <c r="J44" i="66"/>
  <c r="K44" i="66" s="1"/>
  <c r="J46" i="67"/>
  <c r="K46" i="67" s="1"/>
  <c r="J48" i="101"/>
  <c r="K48" i="101" s="1"/>
  <c r="J46" i="135"/>
  <c r="K46" i="135" s="1"/>
  <c r="J42" i="91"/>
  <c r="K42" i="91" s="1"/>
  <c r="J47" i="92"/>
  <c r="K47" i="92" s="1"/>
  <c r="J41" i="94"/>
  <c r="K41" i="94" s="1"/>
  <c r="J45" i="95"/>
  <c r="K45" i="95" s="1"/>
  <c r="J45" i="67"/>
  <c r="K45" i="67" s="1"/>
  <c r="J44" i="108"/>
  <c r="K44" i="108" s="1"/>
  <c r="J43" i="141"/>
  <c r="K43" i="141" s="1"/>
  <c r="J46" i="80"/>
  <c r="K46" i="80" s="1"/>
  <c r="J45" i="135"/>
  <c r="K45" i="135" s="1"/>
  <c r="J42" i="107"/>
  <c r="K42" i="107" s="1"/>
  <c r="J43" i="131"/>
  <c r="K43" i="131" s="1"/>
  <c r="J47" i="101"/>
  <c r="K47" i="101" s="1"/>
  <c r="J42" i="103"/>
  <c r="K42" i="103" s="1"/>
  <c r="J45" i="109"/>
  <c r="K45" i="109" s="1"/>
  <c r="J53" i="113"/>
  <c r="K53" i="113" s="1"/>
  <c r="J46" i="79"/>
  <c r="K46" i="79" s="1"/>
  <c r="J42" i="104"/>
  <c r="K42" i="104" s="1"/>
  <c r="J42" i="105"/>
  <c r="K42" i="105" s="1"/>
  <c r="J52" i="106"/>
  <c r="K52" i="106" s="1"/>
  <c r="J47" i="3"/>
  <c r="K47" i="3" s="1"/>
  <c r="J40" i="125"/>
  <c r="K40" i="125" s="1"/>
  <c r="J38" i="76"/>
  <c r="K38" i="76" s="1"/>
  <c r="J39" i="126"/>
  <c r="K39" i="126" s="1"/>
  <c r="J44" i="73"/>
  <c r="K44" i="73" s="1"/>
  <c r="J38" i="77"/>
  <c r="K38" i="77" s="1"/>
  <c r="J41" i="79"/>
  <c r="K41" i="79" s="1"/>
  <c r="J41" i="92"/>
  <c r="K41" i="92" s="1"/>
  <c r="J40" i="98"/>
  <c r="K40" i="98" s="1"/>
  <c r="J40" i="95"/>
  <c r="K40" i="95" s="1"/>
  <c r="J38" i="93"/>
  <c r="K38" i="93" s="1"/>
  <c r="J37" i="94"/>
  <c r="K37" i="94" s="1"/>
  <c r="J40" i="97"/>
  <c r="K40" i="97" s="1"/>
  <c r="J38" i="131"/>
  <c r="K38" i="131" s="1"/>
  <c r="J38" i="91"/>
  <c r="K38" i="91" s="1"/>
  <c r="J51" i="101"/>
  <c r="K51" i="101" s="1"/>
  <c r="J52" i="102"/>
  <c r="K52" i="102" s="1"/>
  <c r="J48" i="134"/>
  <c r="K48" i="134" s="1"/>
  <c r="J43" i="80"/>
  <c r="K43" i="80" s="1"/>
  <c r="J43" i="135"/>
  <c r="K43" i="135" s="1"/>
  <c r="J41" i="108"/>
  <c r="K41" i="108" s="1"/>
  <c r="J43" i="109"/>
  <c r="K43" i="109" s="1"/>
  <c r="J41" i="132"/>
  <c r="K41" i="132" s="1"/>
  <c r="J38" i="127"/>
  <c r="K38" i="127" s="1"/>
  <c r="J39" i="104"/>
  <c r="K39" i="104" s="1"/>
  <c r="J39" i="130"/>
  <c r="K39" i="130" s="1"/>
  <c r="J44" i="102"/>
  <c r="K44" i="102" s="1"/>
  <c r="J41" i="134"/>
  <c r="K41" i="134" s="1"/>
  <c r="J39" i="107"/>
  <c r="K39" i="107" s="1"/>
  <c r="J37" i="87"/>
  <c r="K37" i="87" s="1"/>
  <c r="J41" i="89"/>
  <c r="K41" i="89" s="1"/>
  <c r="J38" i="129"/>
  <c r="K38" i="129" s="1"/>
  <c r="J37" i="88"/>
  <c r="K37" i="88" s="1"/>
  <c r="J38" i="128"/>
  <c r="K38" i="128" s="1"/>
  <c r="J39" i="103"/>
  <c r="K39" i="103" s="1"/>
  <c r="J37" i="90"/>
  <c r="K37" i="90" s="1"/>
  <c r="J40" i="101"/>
  <c r="K40" i="101" s="1"/>
  <c r="J55" i="73"/>
  <c r="K55" i="73" s="1"/>
  <c r="J55" i="125"/>
  <c r="K55" i="125" s="1"/>
  <c r="J58" i="74"/>
  <c r="K58" i="74" s="1"/>
  <c r="J52" i="79"/>
  <c r="K52" i="79" s="1"/>
  <c r="J54" i="126"/>
  <c r="K54" i="126" s="1"/>
  <c r="J60" i="3"/>
  <c r="K60" i="3" s="1"/>
  <c r="J51" i="76"/>
  <c r="K51" i="76" s="1"/>
  <c r="J38" i="60"/>
  <c r="K38" i="60" s="1"/>
  <c r="J39" i="62"/>
  <c r="K39" i="62" s="1"/>
  <c r="J38" i="63"/>
  <c r="K38" i="63" s="1"/>
  <c r="J39" i="61"/>
  <c r="K39" i="61" s="1"/>
  <c r="J41" i="119"/>
  <c r="K41" i="119" s="1"/>
  <c r="J43" i="120"/>
  <c r="K43" i="120" s="1"/>
  <c r="J39" i="142"/>
  <c r="K39" i="142" s="1"/>
  <c r="J45" i="143"/>
  <c r="K45" i="143" s="1"/>
  <c r="J39" i="144"/>
  <c r="K39" i="144" s="1"/>
  <c r="J44" i="122"/>
  <c r="K44" i="122" s="1"/>
  <c r="J44" i="123"/>
  <c r="K44" i="123" s="1"/>
  <c r="J39" i="69"/>
  <c r="K39" i="69" s="1"/>
  <c r="J46" i="73"/>
  <c r="K46" i="73" s="1"/>
  <c r="J39" i="74"/>
  <c r="K39" i="74" s="1"/>
  <c r="J42" i="118"/>
  <c r="K42" i="118" s="1"/>
  <c r="J47" i="68"/>
  <c r="K47" i="68" s="1"/>
  <c r="J43" i="81"/>
  <c r="K43" i="81" s="1"/>
  <c r="J46" i="84"/>
  <c r="K46" i="84" s="1"/>
  <c r="J40" i="132"/>
  <c r="K40" i="132" s="1"/>
  <c r="J40" i="133"/>
  <c r="K40" i="133" s="1"/>
  <c r="K62" i="133" s="1"/>
  <c r="J42" i="78"/>
  <c r="K42" i="78" s="1"/>
  <c r="J39" i="84"/>
  <c r="K39" i="84" s="1"/>
  <c r="J43" i="71"/>
  <c r="K43" i="71" s="1"/>
  <c r="J40" i="3"/>
  <c r="K40" i="3" s="1"/>
  <c r="J39" i="68"/>
  <c r="K39" i="68" s="1"/>
  <c r="J39" i="78"/>
  <c r="K39" i="78" s="1"/>
  <c r="J46" i="82"/>
  <c r="K46" i="82" s="1"/>
  <c r="J39" i="83"/>
  <c r="K39" i="83" s="1"/>
  <c r="J47" i="83"/>
  <c r="K47" i="83" s="1"/>
  <c r="J40" i="89"/>
  <c r="K40" i="89" s="1"/>
  <c r="J43" i="91"/>
  <c r="K43" i="91" s="1"/>
  <c r="J44" i="93"/>
  <c r="K44" i="93" s="1"/>
  <c r="J39" i="97"/>
  <c r="K39" i="97" s="1"/>
  <c r="J45" i="97"/>
  <c r="K45" i="97" s="1"/>
  <c r="J43" i="92"/>
  <c r="K43" i="92" s="1"/>
  <c r="J42" i="121"/>
  <c r="K42" i="121" s="1"/>
  <c r="J47" i="129"/>
  <c r="K47" i="129" s="1"/>
  <c r="J46" i="130"/>
  <c r="K46" i="130" s="1"/>
  <c r="J38" i="101"/>
  <c r="K38" i="101" s="1"/>
  <c r="J47" i="102"/>
  <c r="K47" i="102" s="1"/>
  <c r="J38" i="113"/>
  <c r="K38" i="113" s="1"/>
  <c r="J41" i="106"/>
  <c r="K41" i="106" s="1"/>
  <c r="J39" i="71"/>
  <c r="K39" i="71" s="1"/>
  <c r="J41" i="93"/>
  <c r="K41" i="93" s="1"/>
  <c r="J40" i="92"/>
  <c r="K40" i="92" s="1"/>
  <c r="J47" i="128"/>
  <c r="K47" i="128" s="1"/>
  <c r="J51" i="128"/>
  <c r="K51" i="128" s="1"/>
  <c r="J43" i="129"/>
  <c r="K43" i="129" s="1"/>
  <c r="J43" i="101"/>
  <c r="K43" i="101" s="1"/>
  <c r="J40" i="102"/>
  <c r="K40" i="102" s="1"/>
  <c r="J43" i="113"/>
  <c r="K43" i="113" s="1"/>
  <c r="J47" i="113"/>
  <c r="K47" i="113" s="1"/>
  <c r="J38" i="106"/>
  <c r="K38" i="106" s="1"/>
  <c r="J39" i="143"/>
  <c r="K39" i="143" s="1"/>
  <c r="J39" i="73"/>
  <c r="K39" i="73" s="1"/>
  <c r="J48" i="92"/>
  <c r="K48" i="92" s="1"/>
  <c r="J43" i="128"/>
  <c r="K43" i="128" s="1"/>
  <c r="J42" i="102"/>
  <c r="K42" i="102" s="1"/>
  <c r="J38" i="134"/>
  <c r="K38" i="134" s="1"/>
  <c r="J39" i="95"/>
  <c r="K39" i="95" s="1"/>
  <c r="J39" i="70"/>
  <c r="K39" i="70" s="1"/>
  <c r="J44" i="95"/>
  <c r="K44" i="95" s="1"/>
  <c r="J43" i="127"/>
  <c r="K43" i="127" s="1"/>
  <c r="J50" i="130"/>
  <c r="K50" i="130" s="1"/>
  <c r="J38" i="102"/>
  <c r="K38" i="102" s="1"/>
  <c r="J44" i="106"/>
  <c r="K44" i="106" s="1"/>
  <c r="J45" i="69"/>
  <c r="K45" i="69" s="1"/>
  <c r="J42" i="94"/>
  <c r="K42" i="94" s="1"/>
  <c r="J39" i="82"/>
  <c r="K39" i="82" s="1"/>
  <c r="J51" i="127"/>
  <c r="K51" i="127" s="1"/>
  <c r="J50" i="129"/>
  <c r="K50" i="129" s="1"/>
  <c r="J40" i="113"/>
  <c r="K40" i="113" s="1"/>
  <c r="J45" i="113"/>
  <c r="K45" i="113" s="1"/>
  <c r="J47" i="106"/>
  <c r="K47" i="106" s="1"/>
  <c r="J39" i="98"/>
  <c r="K39" i="98" s="1"/>
  <c r="J47" i="127"/>
  <c r="K47" i="127" s="1"/>
  <c r="J41" i="3"/>
  <c r="K41" i="3" s="1"/>
  <c r="J40" i="73"/>
  <c r="K40" i="73" s="1"/>
  <c r="J40" i="84"/>
  <c r="K40" i="84" s="1"/>
  <c r="J37" i="81"/>
  <c r="K37" i="81" s="1"/>
  <c r="J37" i="67"/>
  <c r="K37" i="67" s="1"/>
  <c r="J37" i="141"/>
  <c r="K37" i="141" s="1"/>
  <c r="J50" i="101"/>
  <c r="K50" i="101" s="1"/>
  <c r="J51" i="102"/>
  <c r="K51" i="102" s="1"/>
  <c r="J58" i="113"/>
  <c r="K58" i="113" s="1"/>
  <c r="J47" i="104"/>
  <c r="K47" i="104" s="1"/>
  <c r="J46" i="134"/>
  <c r="K46" i="134" s="1"/>
  <c r="J58" i="106"/>
  <c r="K58" i="106" s="1"/>
  <c r="J47" i="107"/>
  <c r="K47" i="107" s="1"/>
  <c r="J50" i="131"/>
  <c r="K50" i="131" s="1"/>
  <c r="J47" i="97"/>
  <c r="K47" i="97" s="1"/>
  <c r="J47" i="105"/>
  <c r="K47" i="105" s="1"/>
  <c r="J44" i="67"/>
  <c r="K44" i="67" s="1"/>
  <c r="J42" i="141"/>
  <c r="K42" i="141" s="1"/>
  <c r="J49" i="141"/>
  <c r="K49" i="141" s="1"/>
  <c r="J59" i="3"/>
  <c r="K59" i="3" s="1"/>
  <c r="J50" i="76"/>
  <c r="K50" i="76" s="1"/>
  <c r="J53" i="68"/>
  <c r="K53" i="68" s="1"/>
  <c r="J54" i="73"/>
  <c r="K54" i="73" s="1"/>
  <c r="J53" i="126"/>
  <c r="K53" i="126" s="1"/>
  <c r="J51" i="143"/>
  <c r="K51" i="143" s="1"/>
  <c r="J53" i="125"/>
  <c r="K53" i="125" s="1"/>
  <c r="J51" i="69"/>
  <c r="K51" i="69" s="1"/>
  <c r="J57" i="74"/>
  <c r="J51" i="67"/>
  <c r="K51" i="67" s="1"/>
  <c r="J40" i="122"/>
  <c r="K40" i="122" s="1"/>
  <c r="J40" i="124"/>
  <c r="K40" i="124" s="1"/>
  <c r="J43" i="61"/>
  <c r="K43" i="61" s="1"/>
  <c r="J40" i="65"/>
  <c r="K40" i="65" s="1"/>
  <c r="J44" i="120"/>
  <c r="K44" i="120" s="1"/>
  <c r="J52" i="108"/>
  <c r="K52" i="108" s="1"/>
  <c r="J40" i="66"/>
  <c r="K40" i="66" s="1"/>
  <c r="J54" i="125"/>
  <c r="K54" i="125" s="1"/>
  <c r="J40" i="123"/>
  <c r="K40" i="123" s="1"/>
  <c r="J48" i="127"/>
  <c r="K48" i="127" s="1"/>
  <c r="J42" i="63"/>
  <c r="K42" i="63" s="1"/>
  <c r="J48" i="128"/>
  <c r="K48" i="128" s="1"/>
  <c r="K38" i="90"/>
  <c r="J40" i="71"/>
  <c r="K40" i="71" s="1"/>
  <c r="J38" i="120"/>
  <c r="K38" i="120" s="1"/>
  <c r="J38" i="62"/>
  <c r="K38" i="62" s="1"/>
  <c r="J38" i="61"/>
  <c r="K38" i="61" s="1"/>
  <c r="J38" i="121"/>
  <c r="K38" i="121" s="1"/>
  <c r="J42" i="74"/>
  <c r="K42" i="74" s="1"/>
  <c r="J38" i="141"/>
  <c r="K38" i="141" s="1"/>
  <c r="J38" i="67"/>
  <c r="K38" i="67" s="1"/>
  <c r="J43" i="3"/>
  <c r="K43" i="3" s="1"/>
  <c r="J40" i="76"/>
  <c r="K40" i="76" s="1"/>
  <c r="J42" i="79"/>
  <c r="K42" i="79" s="1"/>
  <c r="K47" i="144"/>
  <c r="J47" i="74"/>
  <c r="K47" i="74" s="1"/>
  <c r="J49" i="3"/>
  <c r="K49" i="3" s="1"/>
  <c r="K47" i="70"/>
  <c r="J40" i="134"/>
  <c r="K40" i="134" s="1"/>
  <c r="J41" i="101"/>
  <c r="K41" i="101" s="1"/>
  <c r="J45" i="102"/>
  <c r="K45" i="102" s="1"/>
  <c r="J36" i="108"/>
  <c r="K36" i="108" s="1"/>
  <c r="J37" i="109"/>
  <c r="K37" i="109" s="1"/>
  <c r="J37" i="135"/>
  <c r="K37" i="135" s="1"/>
  <c r="J37" i="80"/>
  <c r="K37" i="80" s="1"/>
  <c r="J51" i="135"/>
  <c r="K51" i="135" s="1"/>
  <c r="J49" i="108"/>
  <c r="K49" i="108" s="1"/>
  <c r="J51" i="109"/>
  <c r="K51" i="109" s="1"/>
  <c r="J51" i="80"/>
  <c r="K51" i="80" s="1"/>
  <c r="J12" i="144"/>
  <c r="J12" i="142"/>
  <c r="J12" i="143"/>
  <c r="G33" i="142"/>
  <c r="G33" i="143"/>
  <c r="G33" i="144"/>
  <c r="K48" i="141"/>
  <c r="K45" i="141"/>
  <c r="K51" i="141"/>
  <c r="G33" i="141"/>
  <c r="H34" i="138"/>
  <c r="H33" i="137"/>
  <c r="G34" i="138"/>
  <c r="I12" i="137"/>
  <c r="G33" i="137"/>
  <c r="H33" i="135"/>
  <c r="G33" i="135"/>
  <c r="J20" i="109"/>
  <c r="K48" i="135"/>
  <c r="K50" i="135"/>
  <c r="K51" i="113"/>
  <c r="K38" i="85"/>
  <c r="I12" i="135"/>
  <c r="H33" i="133"/>
  <c r="K45" i="134"/>
  <c r="K46" i="131"/>
  <c r="K52" i="128"/>
  <c r="K51" i="130"/>
  <c r="K49" i="131"/>
  <c r="K48" i="131"/>
  <c r="G33" i="134"/>
  <c r="G33" i="133"/>
  <c r="H33" i="134"/>
  <c r="H33" i="131"/>
  <c r="G34" i="132"/>
  <c r="H34" i="132"/>
  <c r="G33" i="131"/>
  <c r="J18" i="87"/>
  <c r="J15" i="131"/>
  <c r="K45" i="127"/>
  <c r="K52" i="130"/>
  <c r="K49" i="128"/>
  <c r="K43" i="105"/>
  <c r="K49" i="127"/>
  <c r="K51" i="129"/>
  <c r="K52" i="127"/>
  <c r="K53" i="128"/>
  <c r="K51" i="125"/>
  <c r="K53" i="127"/>
  <c r="G33" i="128"/>
  <c r="J25" i="125"/>
  <c r="J20" i="127"/>
  <c r="J21" i="128"/>
  <c r="H33" i="129"/>
  <c r="H33" i="127"/>
  <c r="G33" i="127"/>
  <c r="G34" i="130"/>
  <c r="I12" i="130"/>
  <c r="I12" i="129"/>
  <c r="I12" i="127"/>
  <c r="I12" i="128"/>
  <c r="G33" i="129"/>
  <c r="H33" i="128"/>
  <c r="H34" i="130"/>
  <c r="K52" i="125"/>
  <c r="K54" i="80"/>
  <c r="K44" i="107"/>
  <c r="G33" i="126"/>
  <c r="I23" i="126"/>
  <c r="I12" i="126"/>
  <c r="G34" i="125"/>
  <c r="I12" i="125"/>
  <c r="H33" i="124"/>
  <c r="G33" i="124"/>
  <c r="J18" i="90"/>
  <c r="J22" i="121"/>
  <c r="H33" i="123"/>
  <c r="K45" i="121"/>
  <c r="K40" i="121"/>
  <c r="G33" i="123"/>
  <c r="H33" i="122"/>
  <c r="G33" i="122"/>
  <c r="G33" i="121"/>
  <c r="I13" i="121"/>
  <c r="H33" i="121"/>
  <c r="H33" i="120"/>
  <c r="G33" i="120"/>
  <c r="I13" i="120"/>
  <c r="H33" i="118"/>
  <c r="K38" i="118"/>
  <c r="K38" i="119"/>
  <c r="K41" i="118"/>
  <c r="K39" i="119"/>
  <c r="K39" i="118"/>
  <c r="G33" i="119"/>
  <c r="H33" i="119"/>
  <c r="I13" i="119"/>
  <c r="G33" i="118"/>
  <c r="P7" i="48"/>
  <c r="K40" i="79"/>
  <c r="K46" i="92"/>
  <c r="I26" i="73"/>
  <c r="H20" i="78"/>
  <c r="H23" i="73"/>
  <c r="I26" i="3"/>
  <c r="K47" i="82"/>
  <c r="K47" i="84"/>
  <c r="K60" i="71"/>
  <c r="K54" i="67"/>
  <c r="K57" i="73"/>
  <c r="K59" i="71"/>
  <c r="K56" i="73"/>
  <c r="K51" i="79"/>
  <c r="H33" i="109"/>
  <c r="K55" i="77"/>
  <c r="K53" i="73"/>
  <c r="K50" i="97"/>
  <c r="K52" i="76"/>
  <c r="K56" i="77"/>
  <c r="K54" i="74"/>
  <c r="K54" i="113"/>
  <c r="K56" i="113"/>
  <c r="I26" i="77"/>
  <c r="I26" i="76"/>
  <c r="K41" i="81"/>
  <c r="K39" i="79"/>
  <c r="K42" i="89"/>
  <c r="H21" i="78"/>
  <c r="H23" i="3"/>
  <c r="H33" i="86"/>
  <c r="H33" i="107"/>
  <c r="P9" i="48"/>
  <c r="G33" i="113"/>
  <c r="H33" i="113"/>
  <c r="K40" i="87"/>
  <c r="K45" i="105"/>
  <c r="H33" i="79"/>
  <c r="K53" i="80"/>
  <c r="K44" i="92"/>
  <c r="K44" i="148" s="1"/>
  <c r="K48" i="109"/>
  <c r="K47" i="108"/>
  <c r="K40" i="88"/>
  <c r="K37" i="85"/>
  <c r="K42" i="83"/>
  <c r="K49" i="77"/>
  <c r="K52" i="73"/>
  <c r="K54" i="77"/>
  <c r="K48" i="83"/>
  <c r="K46" i="81"/>
  <c r="K42" i="109"/>
  <c r="K53" i="67"/>
  <c r="G34" i="3"/>
  <c r="K50" i="109"/>
  <c r="K49" i="80"/>
  <c r="K38" i="80"/>
  <c r="K38" i="109"/>
  <c r="K37" i="108"/>
  <c r="K49" i="109"/>
  <c r="K50" i="80"/>
  <c r="K48" i="80"/>
  <c r="K39" i="66"/>
  <c r="K43" i="74"/>
  <c r="K41" i="91"/>
  <c r="K40" i="94"/>
  <c r="K38" i="92"/>
  <c r="K48" i="102"/>
  <c r="K39" i="101"/>
  <c r="K41" i="98"/>
  <c r="K41" i="97"/>
  <c r="K32" i="148" s="1"/>
  <c r="K38" i="94"/>
  <c r="K43" i="102"/>
  <c r="K44" i="101"/>
  <c r="K31" i="148"/>
  <c r="K39" i="91"/>
  <c r="K38" i="87"/>
  <c r="K39" i="63"/>
  <c r="K47" i="76"/>
  <c r="K48" i="73"/>
  <c r="K50" i="67"/>
  <c r="K47" i="67"/>
  <c r="K46" i="69"/>
  <c r="K46" i="68"/>
  <c r="K46" i="102"/>
  <c r="K37" i="101"/>
  <c r="K37" i="98"/>
  <c r="K37" i="97"/>
  <c r="K41" i="95"/>
  <c r="K38" i="89"/>
  <c r="K37" i="82"/>
  <c r="K46" i="106"/>
  <c r="K43" i="106"/>
  <c r="K40" i="106"/>
  <c r="K37" i="106"/>
  <c r="K41" i="102"/>
  <c r="K39" i="102"/>
  <c r="K42" i="101"/>
  <c r="K43" i="98"/>
  <c r="K43" i="97"/>
  <c r="K40" i="93"/>
  <c r="K37" i="84"/>
  <c r="K37" i="83"/>
  <c r="K37" i="71"/>
  <c r="K42" i="62"/>
  <c r="K43" i="79"/>
  <c r="K41" i="107"/>
  <c r="K51" i="106"/>
  <c r="K41" i="104"/>
  <c r="K40" i="103"/>
  <c r="K41" i="105"/>
  <c r="K42" i="71"/>
  <c r="K41" i="83"/>
  <c r="K37" i="69"/>
  <c r="K37" i="68"/>
  <c r="K37" i="70"/>
  <c r="K37" i="95"/>
  <c r="K39" i="85"/>
  <c r="K38" i="86"/>
  <c r="K37" i="65"/>
  <c r="K37" i="63"/>
  <c r="K37" i="61"/>
  <c r="K37" i="60"/>
  <c r="K37" i="66"/>
  <c r="K37" i="62"/>
  <c r="K48" i="79"/>
  <c r="K52" i="71"/>
  <c r="K47" i="69"/>
  <c r="K47" i="73"/>
  <c r="K40" i="82"/>
  <c r="K44" i="71"/>
  <c r="K40" i="70"/>
  <c r="K42" i="68"/>
  <c r="K45" i="104"/>
  <c r="K42" i="92"/>
  <c r="K56" i="106"/>
  <c r="K45" i="103"/>
  <c r="K39" i="65"/>
  <c r="K44" i="87"/>
  <c r="K37" i="64"/>
  <c r="K45" i="101"/>
  <c r="K49" i="102"/>
  <c r="K42" i="108"/>
  <c r="K43" i="67"/>
  <c r="K46" i="74"/>
  <c r="K45" i="73"/>
  <c r="K45" i="79"/>
  <c r="K42" i="76"/>
  <c r="K39" i="67"/>
  <c r="K40" i="78"/>
  <c r="K55" i="106"/>
  <c r="K44" i="103"/>
  <c r="K44" i="84"/>
  <c r="K34" i="148" s="1"/>
  <c r="K35" i="148" s="1"/>
  <c r="K44" i="81"/>
  <c r="K44" i="104"/>
  <c r="K44" i="62"/>
  <c r="K38" i="88"/>
  <c r="K39" i="88"/>
  <c r="K47" i="77"/>
  <c r="K44" i="79"/>
  <c r="K40" i="69"/>
  <c r="K40" i="68"/>
  <c r="K45" i="107"/>
  <c r="K43" i="107"/>
  <c r="K43" i="104"/>
  <c r="K50" i="102"/>
  <c r="K45" i="80"/>
  <c r="K46" i="108"/>
  <c r="K54" i="106"/>
  <c r="K43" i="103"/>
  <c r="K46" i="101"/>
  <c r="K46" i="97"/>
  <c r="K42" i="93"/>
  <c r="K45" i="148" s="1"/>
  <c r="K45" i="83"/>
  <c r="K37" i="78"/>
  <c r="K37" i="105"/>
  <c r="K38" i="74"/>
  <c r="K38" i="73"/>
  <c r="K43" i="95"/>
  <c r="K48" i="71"/>
  <c r="K44" i="69"/>
  <c r="K44" i="68"/>
  <c r="K39" i="3"/>
  <c r="K48" i="3"/>
  <c r="K48" i="107"/>
  <c r="K48" i="97"/>
  <c r="K44" i="82"/>
  <c r="K47" i="148" s="1"/>
  <c r="K48" i="148" s="1"/>
  <c r="K43" i="87"/>
  <c r="K50" i="69"/>
  <c r="K48" i="108"/>
  <c r="K51" i="73"/>
  <c r="K20" i="109"/>
  <c r="J17" i="65"/>
  <c r="J22" i="63"/>
  <c r="G33" i="109"/>
  <c r="H33" i="103"/>
  <c r="G33" i="103"/>
  <c r="G32" i="108"/>
  <c r="H33" i="105"/>
  <c r="H32" i="108"/>
  <c r="G33" i="107"/>
  <c r="G33" i="106"/>
  <c r="H33" i="106"/>
  <c r="G33" i="105"/>
  <c r="H33" i="102"/>
  <c r="G33" i="104"/>
  <c r="H33" i="101"/>
  <c r="H33" i="104"/>
  <c r="G33" i="102"/>
  <c r="G33" i="101"/>
  <c r="G33" i="98"/>
  <c r="H33" i="98"/>
  <c r="G33" i="97"/>
  <c r="H33" i="97"/>
  <c r="G33" i="95"/>
  <c r="H34" i="91"/>
  <c r="H33" i="95"/>
  <c r="G33" i="94"/>
  <c r="H33" i="94"/>
  <c r="G34" i="93"/>
  <c r="H34" i="93"/>
  <c r="H34" i="92"/>
  <c r="G34" i="92"/>
  <c r="G34" i="91"/>
  <c r="G33" i="90"/>
  <c r="H33" i="90"/>
  <c r="H33" i="85"/>
  <c r="H33" i="87"/>
  <c r="G34" i="89"/>
  <c r="H34" i="89"/>
  <c r="G33" i="88"/>
  <c r="G33" i="87"/>
  <c r="G33" i="86"/>
  <c r="G33" i="85"/>
  <c r="G33" i="84"/>
  <c r="G33" i="83"/>
  <c r="G33" i="82"/>
  <c r="G33" i="81"/>
  <c r="G33" i="80"/>
  <c r="H33" i="80"/>
  <c r="G33" i="79"/>
  <c r="G33" i="78"/>
  <c r="G33" i="77"/>
  <c r="G33" i="76"/>
  <c r="G33" i="74"/>
  <c r="G33" i="73"/>
  <c r="H21" i="72"/>
  <c r="H33" i="72" s="1"/>
  <c r="G33" i="72"/>
  <c r="G33" i="71"/>
  <c r="G33" i="70"/>
  <c r="G33" i="69"/>
  <c r="G33" i="63"/>
  <c r="G33" i="68"/>
  <c r="J16" i="127"/>
  <c r="G33" i="67"/>
  <c r="G33" i="66"/>
  <c r="H33" i="65"/>
  <c r="H33" i="66"/>
  <c r="G33" i="65"/>
  <c r="H33" i="61"/>
  <c r="G33" i="64"/>
  <c r="H33" i="64"/>
  <c r="H33" i="63"/>
  <c r="H33" i="62"/>
  <c r="G33" i="62"/>
  <c r="G33" i="61"/>
  <c r="H33" i="60"/>
  <c r="G33" i="60"/>
  <c r="P3" i="48"/>
  <c r="P6" i="48"/>
  <c r="P5" i="48"/>
  <c r="L7" i="52"/>
  <c r="T6" i="52"/>
  <c r="R6" i="52"/>
  <c r="P6" i="52"/>
  <c r="N6" i="52"/>
  <c r="U6" i="52"/>
  <c r="S6" i="52"/>
  <c r="Q6" i="52"/>
  <c r="O6" i="52"/>
  <c r="M6" i="52"/>
  <c r="P8" i="48"/>
  <c r="P4" i="48"/>
  <c r="J16" i="119"/>
  <c r="J12" i="141"/>
  <c r="J13" i="141"/>
  <c r="J12" i="124"/>
  <c r="J15" i="92"/>
  <c r="J14" i="144"/>
  <c r="J16" i="124"/>
  <c r="J18" i="123"/>
  <c r="J15" i="123"/>
  <c r="J17" i="134"/>
  <c r="J13" i="144"/>
  <c r="J14" i="123"/>
  <c r="J15" i="85"/>
  <c r="J13" i="137"/>
  <c r="J25" i="141"/>
  <c r="I19" i="164" l="1"/>
  <c r="I14" i="133"/>
  <c r="K14" i="133" s="1"/>
  <c r="I21" i="67"/>
  <c r="I21" i="3"/>
  <c r="I19" i="141"/>
  <c r="I20" i="149"/>
  <c r="I22" i="105"/>
  <c r="K22" i="105" s="1"/>
  <c r="I22" i="104"/>
  <c r="K22" i="104" s="1"/>
  <c r="I22" i="113"/>
  <c r="K22" i="113" s="1"/>
  <c r="K17" i="101"/>
  <c r="K17" i="93"/>
  <c r="I16" i="103"/>
  <c r="K16" i="103" s="1"/>
  <c r="K19" i="102"/>
  <c r="K19" i="91"/>
  <c r="I21" i="106"/>
  <c r="K21" i="106" s="1"/>
  <c r="I18" i="132"/>
  <c r="K18" i="132" s="1"/>
  <c r="I16" i="160"/>
  <c r="K16" i="160" s="1"/>
  <c r="K18" i="92"/>
  <c r="I20" i="89"/>
  <c r="K20" i="89" s="1"/>
  <c r="I16" i="164"/>
  <c r="K16" i="164" s="1"/>
  <c r="I14" i="164"/>
  <c r="K14" i="164" s="1"/>
  <c r="I12" i="164"/>
  <c r="K12" i="164" s="1"/>
  <c r="I13" i="164"/>
  <c r="K13" i="164" s="1"/>
  <c r="K19" i="164"/>
  <c r="K64" i="164"/>
  <c r="E67" i="164" s="1"/>
  <c r="K67" i="164" s="1"/>
  <c r="K75" i="164" s="1"/>
  <c r="I20" i="164"/>
  <c r="K20" i="164" s="1"/>
  <c r="I16" i="132"/>
  <c r="K16" i="132" s="1"/>
  <c r="I18" i="89"/>
  <c r="K18" i="89" s="1"/>
  <c r="I21" i="76"/>
  <c r="K21" i="76" s="1"/>
  <c r="K19" i="141"/>
  <c r="I20" i="153"/>
  <c r="K20" i="153" s="1"/>
  <c r="I17" i="142"/>
  <c r="K17" i="142" s="1"/>
  <c r="I21" i="80"/>
  <c r="K21" i="80" s="1"/>
  <c r="K20" i="149"/>
  <c r="I17" i="143"/>
  <c r="K17" i="143" s="1"/>
  <c r="I17" i="69"/>
  <c r="K17" i="69" s="1"/>
  <c r="I22" i="77"/>
  <c r="K22" i="77" s="1"/>
  <c r="I19" i="161"/>
  <c r="K19" i="161" s="1"/>
  <c r="I20" i="151"/>
  <c r="K20" i="151" s="1"/>
  <c r="I23" i="109"/>
  <c r="K23" i="109" s="1"/>
  <c r="I25" i="108"/>
  <c r="K25" i="108" s="1"/>
  <c r="I18" i="71"/>
  <c r="K18" i="71" s="1"/>
  <c r="I18" i="150"/>
  <c r="K18" i="150" s="1"/>
  <c r="I17" i="82"/>
  <c r="K17" i="82" s="1"/>
  <c r="I21" i="73"/>
  <c r="K21" i="73" s="1"/>
  <c r="K21" i="67"/>
  <c r="I17" i="68"/>
  <c r="K17" i="68" s="1"/>
  <c r="I18" i="144"/>
  <c r="K18" i="144" s="1"/>
  <c r="I18" i="70"/>
  <c r="K18" i="70" s="1"/>
  <c r="I23" i="125"/>
  <c r="K23" i="125" s="1"/>
  <c r="I20" i="163"/>
  <c r="K20" i="163" s="1"/>
  <c r="I18" i="83"/>
  <c r="K18" i="83" s="1"/>
  <c r="I19" i="74"/>
  <c r="K19" i="74" s="1"/>
  <c r="I21" i="81"/>
  <c r="K21" i="81" s="1"/>
  <c r="I21" i="126"/>
  <c r="K21" i="126" s="1"/>
  <c r="I21" i="152"/>
  <c r="K21" i="152" s="1"/>
  <c r="K18" i="98"/>
  <c r="I19" i="156"/>
  <c r="K19" i="156" s="1"/>
  <c r="I19" i="84"/>
  <c r="K19" i="84" s="1"/>
  <c r="I19" i="78"/>
  <c r="K19" i="78" s="1"/>
  <c r="K21" i="3"/>
  <c r="K18" i="158"/>
  <c r="I19" i="157"/>
  <c r="K19" i="157" s="1"/>
  <c r="K18" i="131"/>
  <c r="I18" i="134"/>
  <c r="K18" i="134" s="1"/>
  <c r="K18" i="97"/>
  <c r="K15" i="87"/>
  <c r="I20" i="95"/>
  <c r="K20" i="95" s="1"/>
  <c r="I17" i="107"/>
  <c r="K17" i="107" s="1"/>
  <c r="I20" i="94"/>
  <c r="K20" i="94" s="1"/>
  <c r="I19" i="125"/>
  <c r="K19" i="125" s="1"/>
  <c r="I21" i="151"/>
  <c r="K21" i="151" s="1"/>
  <c r="K67" i="138"/>
  <c r="E70" i="138" s="1"/>
  <c r="K70" i="138" s="1"/>
  <c r="K66" i="163"/>
  <c r="E69" i="163" s="1"/>
  <c r="K65" i="161"/>
  <c r="E68" i="161" s="1"/>
  <c r="K68" i="161" s="1"/>
  <c r="K76" i="161" s="1"/>
  <c r="K18" i="161"/>
  <c r="K19" i="163"/>
  <c r="I16" i="163"/>
  <c r="K16" i="163" s="1"/>
  <c r="I13" i="161"/>
  <c r="K13" i="161" s="1"/>
  <c r="I15" i="161"/>
  <c r="K15" i="161" s="1"/>
  <c r="I20" i="161"/>
  <c r="K20" i="161" s="1"/>
  <c r="I13" i="163"/>
  <c r="I14" i="163"/>
  <c r="K14" i="163" s="1"/>
  <c r="I14" i="161"/>
  <c r="K14" i="161" s="1"/>
  <c r="I12" i="161"/>
  <c r="K12" i="161" s="1"/>
  <c r="I15" i="163"/>
  <c r="K15" i="163" s="1"/>
  <c r="I21" i="163"/>
  <c r="K21" i="163" s="1"/>
  <c r="I21" i="77"/>
  <c r="K21" i="77" s="1"/>
  <c r="K63" i="160"/>
  <c r="E67" i="160" s="1"/>
  <c r="K67" i="160" s="1"/>
  <c r="K75" i="160" s="1"/>
  <c r="I18" i="82"/>
  <c r="K18" i="82" s="1"/>
  <c r="I13" i="160"/>
  <c r="K13" i="160" s="1"/>
  <c r="I12" i="160"/>
  <c r="I24" i="130"/>
  <c r="K24" i="130" s="1"/>
  <c r="I22" i="129"/>
  <c r="K22" i="129" s="1"/>
  <c r="I25" i="128"/>
  <c r="K25" i="128" s="1"/>
  <c r="I24" i="127"/>
  <c r="K24" i="127" s="1"/>
  <c r="I15" i="127"/>
  <c r="I15" i="129"/>
  <c r="I17" i="158"/>
  <c r="K17" i="158" s="1"/>
  <c r="K64" i="158"/>
  <c r="E68" i="158" s="1"/>
  <c r="I13" i="158"/>
  <c r="K13" i="158" s="1"/>
  <c r="I12" i="158"/>
  <c r="I14" i="158"/>
  <c r="K14" i="158" s="1"/>
  <c r="I23" i="77"/>
  <c r="K23" i="77" s="1"/>
  <c r="K64" i="156"/>
  <c r="E67" i="156" s="1"/>
  <c r="K63" i="157"/>
  <c r="E66" i="157" s="1"/>
  <c r="K15" i="156"/>
  <c r="K15" i="157"/>
  <c r="I14" i="157"/>
  <c r="K14" i="157" s="1"/>
  <c r="I16" i="157"/>
  <c r="K16" i="157" s="1"/>
  <c r="I12" i="157"/>
  <c r="I13" i="157"/>
  <c r="K13" i="157" s="1"/>
  <c r="I20" i="157"/>
  <c r="K20" i="157" s="1"/>
  <c r="I14" i="156"/>
  <c r="K14" i="156" s="1"/>
  <c r="I16" i="156"/>
  <c r="K16" i="156" s="1"/>
  <c r="I13" i="156"/>
  <c r="K13" i="156" s="1"/>
  <c r="I12" i="156"/>
  <c r="I20" i="156"/>
  <c r="K20" i="156" s="1"/>
  <c r="I14" i="137"/>
  <c r="I16" i="123"/>
  <c r="K16" i="123" s="1"/>
  <c r="I16" i="66"/>
  <c r="K16" i="66" s="1"/>
  <c r="I12" i="153"/>
  <c r="K12" i="153" s="1"/>
  <c r="I19" i="60"/>
  <c r="K19" i="60" s="1"/>
  <c r="I16" i="60"/>
  <c r="K16" i="60" s="1"/>
  <c r="I17" i="60"/>
  <c r="K17" i="60" s="1"/>
  <c r="I18" i="60"/>
  <c r="K18" i="60" s="1"/>
  <c r="I19" i="151"/>
  <c r="K19" i="151" s="1"/>
  <c r="I19" i="153"/>
  <c r="K19" i="153" s="1"/>
  <c r="I12" i="149"/>
  <c r="K12" i="149" s="1"/>
  <c r="I12" i="151"/>
  <c r="K12" i="151" s="1"/>
  <c r="I12" i="150"/>
  <c r="K12" i="150" s="1"/>
  <c r="K64" i="153"/>
  <c r="E67" i="153" s="1"/>
  <c r="K63" i="151"/>
  <c r="E66" i="151" s="1"/>
  <c r="K65" i="152"/>
  <c r="E68" i="152" s="1"/>
  <c r="K63" i="149"/>
  <c r="E66" i="149" s="1"/>
  <c r="K63" i="150"/>
  <c r="E66" i="150" s="1"/>
  <c r="I21" i="153"/>
  <c r="K21" i="153" s="1"/>
  <c r="I27" i="125"/>
  <c r="K27" i="125" s="1"/>
  <c r="I13" i="153"/>
  <c r="I14" i="153"/>
  <c r="K14" i="153" s="1"/>
  <c r="I15" i="153"/>
  <c r="K15" i="153" s="1"/>
  <c r="I22" i="153"/>
  <c r="K22" i="153" s="1"/>
  <c r="I16" i="153"/>
  <c r="K16" i="153" s="1"/>
  <c r="I24" i="125"/>
  <c r="I20" i="73"/>
  <c r="I20" i="152"/>
  <c r="K20" i="152" s="1"/>
  <c r="I25" i="152"/>
  <c r="K25" i="152" s="1"/>
  <c r="I15" i="152"/>
  <c r="K15" i="152" s="1"/>
  <c r="I13" i="152"/>
  <c r="K13" i="152" s="1"/>
  <c r="I14" i="152"/>
  <c r="K14" i="152" s="1"/>
  <c r="I16" i="152"/>
  <c r="K16" i="152" s="1"/>
  <c r="I12" i="152"/>
  <c r="I22" i="152"/>
  <c r="K22" i="152" s="1"/>
  <c r="I19" i="150"/>
  <c r="K19" i="150" s="1"/>
  <c r="I17" i="151"/>
  <c r="K17" i="151" s="1"/>
  <c r="I13" i="151"/>
  <c r="K13" i="151" s="1"/>
  <c r="I14" i="151"/>
  <c r="K14" i="151" s="1"/>
  <c r="I25" i="151"/>
  <c r="K25" i="151" s="1"/>
  <c r="I15" i="151"/>
  <c r="K15" i="151" s="1"/>
  <c r="I16" i="151"/>
  <c r="K16" i="151" s="1"/>
  <c r="E44" i="148"/>
  <c r="I23" i="150"/>
  <c r="K23" i="150" s="1"/>
  <c r="I14" i="150"/>
  <c r="K14" i="150" s="1"/>
  <c r="I16" i="150"/>
  <c r="K16" i="150" s="1"/>
  <c r="I17" i="150"/>
  <c r="K17" i="150" s="1"/>
  <c r="I15" i="150"/>
  <c r="K15" i="150" s="1"/>
  <c r="I13" i="150"/>
  <c r="I20" i="150"/>
  <c r="K20" i="150" s="1"/>
  <c r="I25" i="149"/>
  <c r="K25" i="149" s="1"/>
  <c r="I16" i="149"/>
  <c r="K16" i="149" s="1"/>
  <c r="I19" i="149"/>
  <c r="K19" i="149" s="1"/>
  <c r="I15" i="149"/>
  <c r="K15" i="149" s="1"/>
  <c r="I17" i="149"/>
  <c r="K17" i="149" s="1"/>
  <c r="I13" i="149"/>
  <c r="K13" i="149" s="1"/>
  <c r="I18" i="149"/>
  <c r="K18" i="149" s="1"/>
  <c r="I14" i="149"/>
  <c r="K14" i="149" s="1"/>
  <c r="I22" i="149"/>
  <c r="K22" i="149" s="1"/>
  <c r="I21" i="135"/>
  <c r="K21" i="135" s="1"/>
  <c r="I17" i="102"/>
  <c r="K17" i="102" s="1"/>
  <c r="I21" i="149"/>
  <c r="K21" i="149" s="1"/>
  <c r="M44" i="148"/>
  <c r="M41" i="148"/>
  <c r="M31" i="148"/>
  <c r="M45" i="148"/>
  <c r="M42" i="148"/>
  <c r="K28" i="148"/>
  <c r="E45" i="148"/>
  <c r="E32" i="148"/>
  <c r="L44" i="148"/>
  <c r="L32" i="148"/>
  <c r="K57" i="74"/>
  <c r="P28" i="148"/>
  <c r="M47" i="148"/>
  <c r="M48" i="148" s="1"/>
  <c r="M34" i="148"/>
  <c r="M35" i="148" s="1"/>
  <c r="L45" i="148"/>
  <c r="K51" i="74"/>
  <c r="M28" i="148"/>
  <c r="L31" i="148"/>
  <c r="L47" i="148"/>
  <c r="L48" i="148" s="1"/>
  <c r="K56" i="74"/>
  <c r="O28" i="148"/>
  <c r="L28" i="148"/>
  <c r="L29" i="148"/>
  <c r="L34" i="148"/>
  <c r="L35" i="148" s="1"/>
  <c r="L41" i="148"/>
  <c r="K29" i="148"/>
  <c r="K64" i="78"/>
  <c r="M29" i="148"/>
  <c r="M32" i="148"/>
  <c r="L42" i="148"/>
  <c r="K42" i="148"/>
  <c r="K41" i="148"/>
  <c r="E31" i="148"/>
  <c r="I20" i="141"/>
  <c r="K20" i="141" s="1"/>
  <c r="I23" i="141"/>
  <c r="K23" i="141" s="1"/>
  <c r="I18" i="68"/>
  <c r="K18" i="68" s="1"/>
  <c r="E66" i="72"/>
  <c r="E66" i="133"/>
  <c r="E69" i="137"/>
  <c r="K64" i="71"/>
  <c r="I12" i="144"/>
  <c r="K12" i="144" s="1"/>
  <c r="I12" i="142"/>
  <c r="K12" i="142" s="1"/>
  <c r="I12" i="143"/>
  <c r="K12" i="143" s="1"/>
  <c r="I20" i="78"/>
  <c r="I15" i="92"/>
  <c r="K15" i="92" s="1"/>
  <c r="K63" i="141"/>
  <c r="K64" i="143"/>
  <c r="K63" i="142"/>
  <c r="K63" i="144"/>
  <c r="J15" i="143"/>
  <c r="J15" i="144"/>
  <c r="J16" i="144"/>
  <c r="J16" i="70"/>
  <c r="I14" i="144"/>
  <c r="K14" i="144" s="1"/>
  <c r="I13" i="144"/>
  <c r="I16" i="144"/>
  <c r="I15" i="144"/>
  <c r="I19" i="144"/>
  <c r="I16" i="70"/>
  <c r="I19" i="70"/>
  <c r="H18" i="143"/>
  <c r="H33" i="143" s="1"/>
  <c r="H19" i="144"/>
  <c r="H19" i="70"/>
  <c r="J14" i="142"/>
  <c r="J14" i="143"/>
  <c r="J13" i="142"/>
  <c r="J13" i="143"/>
  <c r="I18" i="143"/>
  <c r="I13" i="143"/>
  <c r="I14" i="143"/>
  <c r="I15" i="143"/>
  <c r="J15" i="142"/>
  <c r="J15" i="68"/>
  <c r="J15" i="69"/>
  <c r="I13" i="142"/>
  <c r="I14" i="142"/>
  <c r="I15" i="142"/>
  <c r="I18" i="142"/>
  <c r="I18" i="69"/>
  <c r="I15" i="68"/>
  <c r="I15" i="69"/>
  <c r="I21" i="141"/>
  <c r="H18" i="142"/>
  <c r="H33" i="142" s="1"/>
  <c r="H18" i="69"/>
  <c r="J21" i="141"/>
  <c r="K12" i="141"/>
  <c r="J16" i="135"/>
  <c r="J15" i="141"/>
  <c r="J13" i="138"/>
  <c r="J16" i="141"/>
  <c r="J15" i="135"/>
  <c r="J14" i="141"/>
  <c r="I18" i="141"/>
  <c r="I22" i="141"/>
  <c r="I13" i="141"/>
  <c r="I25" i="141"/>
  <c r="K25" i="141" s="1"/>
  <c r="I17" i="141"/>
  <c r="I14" i="141"/>
  <c r="I15" i="141"/>
  <c r="I16" i="141"/>
  <c r="J18" i="135"/>
  <c r="J17" i="141"/>
  <c r="J18" i="141"/>
  <c r="H19" i="83"/>
  <c r="H33" i="83" s="1"/>
  <c r="H22" i="141"/>
  <c r="I13" i="138"/>
  <c r="I12" i="138"/>
  <c r="I13" i="137"/>
  <c r="K13" i="137" s="1"/>
  <c r="J12" i="135"/>
  <c r="K12" i="135" s="1"/>
  <c r="J12" i="137"/>
  <c r="J14" i="137"/>
  <c r="J12" i="133"/>
  <c r="J12" i="138"/>
  <c r="I13" i="126"/>
  <c r="I19" i="83"/>
  <c r="I12" i="133"/>
  <c r="K64" i="135"/>
  <c r="E67" i="135" s="1"/>
  <c r="H33" i="78"/>
  <c r="E29" i="148" s="1"/>
  <c r="I13" i="134"/>
  <c r="I15" i="121"/>
  <c r="I13" i="131"/>
  <c r="I21" i="129"/>
  <c r="I13" i="132"/>
  <c r="I15" i="128"/>
  <c r="I14" i="120"/>
  <c r="I14" i="130"/>
  <c r="I15" i="120"/>
  <c r="I15" i="135"/>
  <c r="J13" i="84"/>
  <c r="I21" i="121"/>
  <c r="I13" i="127"/>
  <c r="I23" i="130"/>
  <c r="I14" i="132"/>
  <c r="I24" i="126"/>
  <c r="I14" i="124"/>
  <c r="I16" i="127"/>
  <c r="K16" i="127" s="1"/>
  <c r="I19" i="130"/>
  <c r="I27" i="108"/>
  <c r="I23" i="127"/>
  <c r="I13" i="125"/>
  <c r="I24" i="128"/>
  <c r="I13" i="128"/>
  <c r="I13" i="135"/>
  <c r="I25" i="73"/>
  <c r="I25" i="76"/>
  <c r="I13" i="129"/>
  <c r="I18" i="128"/>
  <c r="I14" i="121"/>
  <c r="I16" i="122"/>
  <c r="I13" i="130"/>
  <c r="I26" i="125"/>
  <c r="J19" i="126"/>
  <c r="J19" i="135"/>
  <c r="I19" i="135"/>
  <c r="I16" i="134"/>
  <c r="K16" i="134" s="1"/>
  <c r="I22" i="121"/>
  <c r="K22" i="121" s="1"/>
  <c r="I14" i="135"/>
  <c r="I16" i="135"/>
  <c r="I18" i="135"/>
  <c r="I22" i="135"/>
  <c r="I17" i="135"/>
  <c r="J20" i="80"/>
  <c r="J22" i="135"/>
  <c r="I17" i="134"/>
  <c r="K17" i="134" s="1"/>
  <c r="J17" i="135"/>
  <c r="J14" i="135"/>
  <c r="J27" i="108"/>
  <c r="J13" i="135"/>
  <c r="J23" i="126"/>
  <c r="J26" i="125"/>
  <c r="J24" i="126"/>
  <c r="H22" i="126"/>
  <c r="H22" i="81"/>
  <c r="J15" i="82"/>
  <c r="J19" i="81"/>
  <c r="J23" i="80"/>
  <c r="J18" i="105"/>
  <c r="K64" i="134"/>
  <c r="E68" i="134" s="1"/>
  <c r="K63" i="124"/>
  <c r="E66" i="124" s="1"/>
  <c r="K63" i="132"/>
  <c r="E67" i="132" s="1"/>
  <c r="K65" i="123"/>
  <c r="E68" i="123" s="1"/>
  <c r="I13" i="133"/>
  <c r="I14" i="134"/>
  <c r="I12" i="134"/>
  <c r="I22" i="126"/>
  <c r="I15" i="82"/>
  <c r="I19" i="81"/>
  <c r="I22" i="81"/>
  <c r="J13" i="132"/>
  <c r="J13" i="134"/>
  <c r="J16" i="102"/>
  <c r="J14" i="134"/>
  <c r="J13" i="133"/>
  <c r="J12" i="134"/>
  <c r="K63" i="131"/>
  <c r="E67" i="131" s="1"/>
  <c r="J13" i="131"/>
  <c r="J14" i="132"/>
  <c r="I13" i="124"/>
  <c r="I17" i="132"/>
  <c r="J19" i="89"/>
  <c r="J17" i="132"/>
  <c r="J12" i="132"/>
  <c r="J15" i="132"/>
  <c r="I15" i="132"/>
  <c r="I12" i="132"/>
  <c r="I19" i="126"/>
  <c r="K19" i="126" s="1"/>
  <c r="I15" i="131"/>
  <c r="K15" i="131" s="1"/>
  <c r="I14" i="131"/>
  <c r="I12" i="131"/>
  <c r="J14" i="131"/>
  <c r="J12" i="131"/>
  <c r="I20" i="126"/>
  <c r="K69" i="130"/>
  <c r="E72" i="130" s="1"/>
  <c r="K66" i="128"/>
  <c r="E69" i="128" s="1"/>
  <c r="K67" i="129"/>
  <c r="E70" i="129" s="1"/>
  <c r="K65" i="127"/>
  <c r="E68" i="127" s="1"/>
  <c r="J13" i="127"/>
  <c r="J13" i="130"/>
  <c r="J13" i="129"/>
  <c r="J13" i="128"/>
  <c r="J16" i="126"/>
  <c r="J17" i="127"/>
  <c r="J16" i="129"/>
  <c r="J15" i="130"/>
  <c r="J16" i="128"/>
  <c r="J23" i="130"/>
  <c r="J23" i="127"/>
  <c r="J24" i="128"/>
  <c r="J21" i="129"/>
  <c r="I20" i="76"/>
  <c r="I20" i="130"/>
  <c r="I18" i="129"/>
  <c r="J12" i="126"/>
  <c r="K12" i="126" s="1"/>
  <c r="J12" i="130"/>
  <c r="K12" i="130" s="1"/>
  <c r="J12" i="129"/>
  <c r="J12" i="127"/>
  <c r="K12" i="127" s="1"/>
  <c r="J12" i="128"/>
  <c r="K12" i="128" s="1"/>
  <c r="J17" i="128"/>
  <c r="J17" i="130"/>
  <c r="J19" i="130"/>
  <c r="J18" i="128"/>
  <c r="I17" i="128"/>
  <c r="I17" i="127"/>
  <c r="I15" i="130"/>
  <c r="I16" i="129"/>
  <c r="I18" i="127"/>
  <c r="I17" i="130"/>
  <c r="I19" i="128"/>
  <c r="I16" i="128"/>
  <c r="J20" i="76"/>
  <c r="J18" i="129"/>
  <c r="J20" i="130"/>
  <c r="J18" i="127"/>
  <c r="J19" i="128"/>
  <c r="I21" i="128"/>
  <c r="I20" i="127"/>
  <c r="J15" i="129"/>
  <c r="J15" i="127"/>
  <c r="K68" i="125"/>
  <c r="J14" i="130"/>
  <c r="J15" i="128"/>
  <c r="K64" i="126"/>
  <c r="K23" i="126"/>
  <c r="I15" i="126"/>
  <c r="I16" i="126"/>
  <c r="I14" i="126"/>
  <c r="J15" i="125"/>
  <c r="J15" i="126"/>
  <c r="J17" i="126"/>
  <c r="K17" i="126" s="1"/>
  <c r="J14" i="126"/>
  <c r="J13" i="125"/>
  <c r="J13" i="126"/>
  <c r="J21" i="125"/>
  <c r="J20" i="126"/>
  <c r="J13" i="121"/>
  <c r="K13" i="121" s="1"/>
  <c r="J12" i="125"/>
  <c r="J25" i="76"/>
  <c r="J24" i="125"/>
  <c r="J19" i="108"/>
  <c r="J17" i="125"/>
  <c r="J14" i="125"/>
  <c r="J20" i="125"/>
  <c r="J16" i="125"/>
  <c r="I21" i="108"/>
  <c r="I25" i="125"/>
  <c r="K25" i="125" s="1"/>
  <c r="J20" i="108"/>
  <c r="J18" i="125"/>
  <c r="I18" i="125"/>
  <c r="I14" i="125"/>
  <c r="I20" i="125"/>
  <c r="I15" i="125"/>
  <c r="I17" i="125"/>
  <c r="I16" i="125"/>
  <c r="I22" i="125"/>
  <c r="I21" i="125"/>
  <c r="H22" i="125"/>
  <c r="I16" i="80"/>
  <c r="I18" i="124"/>
  <c r="I20" i="124"/>
  <c r="I17" i="124"/>
  <c r="I12" i="124"/>
  <c r="I19" i="124"/>
  <c r="I16" i="124"/>
  <c r="K16" i="124" s="1"/>
  <c r="J17" i="80"/>
  <c r="J19" i="124"/>
  <c r="J20" i="124"/>
  <c r="J21" i="63"/>
  <c r="J16" i="80"/>
  <c r="J18" i="124"/>
  <c r="J15" i="86"/>
  <c r="J19" i="65"/>
  <c r="J17" i="124"/>
  <c r="J13" i="123"/>
  <c r="J13" i="124"/>
  <c r="I20" i="80"/>
  <c r="I23" i="80"/>
  <c r="I17" i="80"/>
  <c r="I20" i="108"/>
  <c r="J22" i="62"/>
  <c r="J24" i="109"/>
  <c r="H22" i="73"/>
  <c r="H33" i="73" s="1"/>
  <c r="H22" i="76"/>
  <c r="H20" i="74"/>
  <c r="I18" i="121"/>
  <c r="I17" i="78"/>
  <c r="J18" i="121"/>
  <c r="J17" i="78"/>
  <c r="K64" i="121"/>
  <c r="E67" i="121" s="1"/>
  <c r="K64" i="122"/>
  <c r="E67" i="122" s="1"/>
  <c r="K64" i="120"/>
  <c r="E67" i="120" s="1"/>
  <c r="I13" i="122"/>
  <c r="I13" i="123"/>
  <c r="J21" i="61"/>
  <c r="J12" i="122"/>
  <c r="J12" i="123"/>
  <c r="J20" i="123"/>
  <c r="J21" i="123"/>
  <c r="I12" i="123"/>
  <c r="I14" i="123"/>
  <c r="K14" i="123" s="1"/>
  <c r="I15" i="123"/>
  <c r="K15" i="123" s="1"/>
  <c r="I21" i="123"/>
  <c r="I18" i="123"/>
  <c r="K18" i="123" s="1"/>
  <c r="I20" i="123"/>
  <c r="J15" i="66"/>
  <c r="J15" i="122"/>
  <c r="J20" i="122"/>
  <c r="J20" i="120"/>
  <c r="J18" i="122"/>
  <c r="J19" i="121"/>
  <c r="J13" i="122"/>
  <c r="J21" i="120"/>
  <c r="J19" i="122"/>
  <c r="J20" i="121"/>
  <c r="J14" i="122"/>
  <c r="H6" i="57"/>
  <c r="I20" i="122"/>
  <c r="J21" i="122"/>
  <c r="J22" i="122"/>
  <c r="I14" i="122"/>
  <c r="I15" i="122"/>
  <c r="I21" i="122"/>
  <c r="I22" i="122"/>
  <c r="I12" i="122"/>
  <c r="I18" i="122"/>
  <c r="I19" i="122"/>
  <c r="J16" i="121"/>
  <c r="J23" i="121"/>
  <c r="J17" i="121"/>
  <c r="J14" i="120"/>
  <c r="J14" i="121"/>
  <c r="J15" i="120"/>
  <c r="J15" i="121"/>
  <c r="I13" i="118"/>
  <c r="I12" i="121"/>
  <c r="I16" i="121"/>
  <c r="I20" i="121"/>
  <c r="I17" i="121"/>
  <c r="I23" i="121"/>
  <c r="J12" i="120"/>
  <c r="J12" i="121"/>
  <c r="I18" i="120"/>
  <c r="I19" i="121"/>
  <c r="H33" i="82"/>
  <c r="E47" i="148" s="1"/>
  <c r="E48" i="148" s="1"/>
  <c r="J19" i="62"/>
  <c r="J18" i="120"/>
  <c r="J20" i="62"/>
  <c r="J19" i="120"/>
  <c r="J13" i="119"/>
  <c r="K13" i="119" s="1"/>
  <c r="J13" i="120"/>
  <c r="K13" i="120" s="1"/>
  <c r="H33" i="68"/>
  <c r="E41" i="148" s="1"/>
  <c r="I20" i="119"/>
  <c r="I20" i="120"/>
  <c r="I16" i="120"/>
  <c r="I21" i="120"/>
  <c r="I17" i="120"/>
  <c r="I19" i="120"/>
  <c r="I12" i="120"/>
  <c r="J16" i="120"/>
  <c r="J17" i="120"/>
  <c r="J20" i="119"/>
  <c r="K63" i="85"/>
  <c r="E66" i="85" s="1"/>
  <c r="K64" i="119"/>
  <c r="E67" i="119" s="1"/>
  <c r="K67" i="119" s="1"/>
  <c r="K64" i="118"/>
  <c r="E67" i="118" s="1"/>
  <c r="K67" i="118" s="1"/>
  <c r="I22" i="73"/>
  <c r="J18" i="84"/>
  <c r="J14" i="124"/>
  <c r="J19" i="119"/>
  <c r="J18" i="119"/>
  <c r="I14" i="119"/>
  <c r="I18" i="119"/>
  <c r="I15" i="119"/>
  <c r="I19" i="119"/>
  <c r="I16" i="119"/>
  <c r="K16" i="119" s="1"/>
  <c r="I12" i="119"/>
  <c r="I17" i="119"/>
  <c r="J17" i="118"/>
  <c r="J17" i="119"/>
  <c r="J12" i="118"/>
  <c r="J12" i="119"/>
  <c r="J15" i="119"/>
  <c r="J14" i="119"/>
  <c r="I14" i="118"/>
  <c r="I12" i="118"/>
  <c r="I15" i="118"/>
  <c r="I16" i="118"/>
  <c r="I19" i="118"/>
  <c r="I17" i="118"/>
  <c r="I18" i="118"/>
  <c r="H21" i="74"/>
  <c r="H22" i="67"/>
  <c r="H33" i="67" s="1"/>
  <c r="H23" i="76"/>
  <c r="J15" i="118"/>
  <c r="J14" i="118"/>
  <c r="J12" i="109"/>
  <c r="J13" i="118"/>
  <c r="J18" i="79"/>
  <c r="J18" i="78"/>
  <c r="J19" i="118"/>
  <c r="J18" i="118"/>
  <c r="G3" i="57"/>
  <c r="H19" i="71"/>
  <c r="H33" i="71" s="1"/>
  <c r="H20" i="84"/>
  <c r="H33" i="84" s="1"/>
  <c r="E34" i="148" s="1"/>
  <c r="E35" i="148" s="1"/>
  <c r="J14" i="85"/>
  <c r="J16" i="118"/>
  <c r="G4" i="57"/>
  <c r="H22" i="3"/>
  <c r="H34" i="3" s="1"/>
  <c r="I18" i="78"/>
  <c r="J23" i="63"/>
  <c r="I23" i="63"/>
  <c r="J26" i="73"/>
  <c r="K26" i="73" s="1"/>
  <c r="J25" i="73"/>
  <c r="J20" i="73"/>
  <c r="I13" i="64"/>
  <c r="I19" i="108"/>
  <c r="I22" i="63"/>
  <c r="K22" i="63" s="1"/>
  <c r="I18" i="79"/>
  <c r="I19" i="109"/>
  <c r="I20" i="65"/>
  <c r="J19" i="113"/>
  <c r="J16" i="83"/>
  <c r="J16" i="84"/>
  <c r="J18" i="73"/>
  <c r="K18" i="79"/>
  <c r="H4" i="57"/>
  <c r="I23" i="73"/>
  <c r="I20" i="84"/>
  <c r="I16" i="84"/>
  <c r="I16" i="83"/>
  <c r="I18" i="73"/>
  <c r="K63" i="113"/>
  <c r="E67" i="113" s="1"/>
  <c r="J16" i="113"/>
  <c r="H3" i="57"/>
  <c r="J19" i="98"/>
  <c r="J19" i="97"/>
  <c r="I19" i="97"/>
  <c r="I19" i="98"/>
  <c r="K19" i="98" s="1"/>
  <c r="I22" i="76"/>
  <c r="I23" i="105"/>
  <c r="J21" i="113"/>
  <c r="J23" i="105"/>
  <c r="J25" i="67"/>
  <c r="J26" i="76"/>
  <c r="K26" i="76" s="1"/>
  <c r="J26" i="77"/>
  <c r="K26" i="77" s="1"/>
  <c r="J26" i="3"/>
  <c r="K26" i="3" s="1"/>
  <c r="I23" i="76"/>
  <c r="I21" i="78"/>
  <c r="I21" i="74"/>
  <c r="I23" i="3"/>
  <c r="I20" i="113"/>
  <c r="I21" i="113"/>
  <c r="K21" i="113" s="1"/>
  <c r="I19" i="113"/>
  <c r="I16" i="113"/>
  <c r="J17" i="113"/>
  <c r="J20" i="113"/>
  <c r="K20" i="113" s="1"/>
  <c r="J18" i="64"/>
  <c r="J18" i="113"/>
  <c r="J14" i="113"/>
  <c r="J12" i="113"/>
  <c r="J15" i="113"/>
  <c r="J13" i="113"/>
  <c r="I17" i="113"/>
  <c r="I15" i="113"/>
  <c r="I13" i="113"/>
  <c r="I18" i="113"/>
  <c r="I14" i="113"/>
  <c r="I12" i="113"/>
  <c r="I24" i="109"/>
  <c r="I24" i="80"/>
  <c r="I26" i="80"/>
  <c r="I18" i="64"/>
  <c r="I17" i="90"/>
  <c r="I17" i="85"/>
  <c r="I22" i="3"/>
  <c r="I18" i="65"/>
  <c r="I20" i="63"/>
  <c r="I20" i="61"/>
  <c r="I16" i="109"/>
  <c r="I18" i="90"/>
  <c r="K18" i="90" s="1"/>
  <c r="I20" i="74"/>
  <c r="I16" i="64"/>
  <c r="I14" i="107"/>
  <c r="I18" i="108"/>
  <c r="I17" i="106"/>
  <c r="I14" i="106"/>
  <c r="I12" i="106"/>
  <c r="I19" i="105"/>
  <c r="I13" i="103"/>
  <c r="I17" i="104"/>
  <c r="I16" i="102"/>
  <c r="I14" i="102"/>
  <c r="I12" i="102"/>
  <c r="I15" i="101"/>
  <c r="I13" i="101"/>
  <c r="I14" i="98"/>
  <c r="I15" i="97"/>
  <c r="I13" i="97"/>
  <c r="I17" i="95"/>
  <c r="I14" i="95"/>
  <c r="I15" i="94"/>
  <c r="I14" i="93"/>
  <c r="I12" i="93"/>
  <c r="I13" i="92"/>
  <c r="I15" i="91"/>
  <c r="I15" i="90"/>
  <c r="I16" i="89"/>
  <c r="I14" i="87"/>
  <c r="I15" i="85"/>
  <c r="K15" i="85" s="1"/>
  <c r="I15" i="84"/>
  <c r="I12" i="84"/>
  <c r="I13" i="83"/>
  <c r="I12" i="82"/>
  <c r="I15" i="81"/>
  <c r="I15" i="79"/>
  <c r="I14" i="78"/>
  <c r="I15" i="77"/>
  <c r="I15" i="76"/>
  <c r="I12" i="74"/>
  <c r="I17" i="73"/>
  <c r="I12" i="73"/>
  <c r="I15" i="71"/>
  <c r="I13" i="71"/>
  <c r="I17" i="3"/>
  <c r="I12" i="3"/>
  <c r="I14" i="70"/>
  <c r="I12" i="70"/>
  <c r="I14" i="69"/>
  <c r="I13" i="68"/>
  <c r="I16" i="67"/>
  <c r="I21" i="66"/>
  <c r="I18" i="66"/>
  <c r="I14" i="66"/>
  <c r="I22" i="65"/>
  <c r="I15" i="65"/>
  <c r="I12" i="65"/>
  <c r="I14" i="64"/>
  <c r="I17" i="63"/>
  <c r="I15" i="63"/>
  <c r="I13" i="63"/>
  <c r="I17" i="62"/>
  <c r="I12" i="62"/>
  <c r="I19" i="61"/>
  <c r="I16" i="61"/>
  <c r="I14" i="60"/>
  <c r="I15" i="108"/>
  <c r="I14" i="86"/>
  <c r="I19" i="71"/>
  <c r="I22" i="67"/>
  <c r="I15" i="64"/>
  <c r="I21" i="63"/>
  <c r="I21" i="61"/>
  <c r="I17" i="109"/>
  <c r="I15" i="86"/>
  <c r="I19" i="65"/>
  <c r="I20" i="62"/>
  <c r="I14" i="108"/>
  <c r="I18" i="106"/>
  <c r="I15" i="106"/>
  <c r="I13" i="106"/>
  <c r="I20" i="105"/>
  <c r="I19" i="104"/>
  <c r="I15" i="102"/>
  <c r="I13" i="102"/>
  <c r="I14" i="101"/>
  <c r="I12" i="101"/>
  <c r="I12" i="98"/>
  <c r="I15" i="98"/>
  <c r="I14" i="97"/>
  <c r="I12" i="97"/>
  <c r="I15" i="95"/>
  <c r="I12" i="95"/>
  <c r="I17" i="94"/>
  <c r="I14" i="94"/>
  <c r="I13" i="93"/>
  <c r="I14" i="92"/>
  <c r="I12" i="92"/>
  <c r="I16" i="91"/>
  <c r="I14" i="91"/>
  <c r="I17" i="89"/>
  <c r="I12" i="89"/>
  <c r="I12" i="86"/>
  <c r="I14" i="85"/>
  <c r="I14" i="84"/>
  <c r="I14" i="83"/>
  <c r="I12" i="83"/>
  <c r="I14" i="82"/>
  <c r="I18" i="81"/>
  <c r="I15" i="80"/>
  <c r="I12" i="79"/>
  <c r="I16" i="78"/>
  <c r="I13" i="78"/>
  <c r="I16" i="77"/>
  <c r="I16" i="76"/>
  <c r="I16" i="74"/>
  <c r="I14" i="74"/>
  <c r="I16" i="73"/>
  <c r="I16" i="71"/>
  <c r="I14" i="71"/>
  <c r="I12" i="71"/>
  <c r="I16" i="3"/>
  <c r="I15" i="70"/>
  <c r="I13" i="70"/>
  <c r="I13" i="69"/>
  <c r="I14" i="68"/>
  <c r="I19" i="67"/>
  <c r="I15" i="67"/>
  <c r="I20" i="66"/>
  <c r="I15" i="66"/>
  <c r="I12" i="66"/>
  <c r="I21" i="65"/>
  <c r="I14" i="65"/>
  <c r="I17" i="64"/>
  <c r="I19" i="63"/>
  <c r="I16" i="63"/>
  <c r="I14" i="63"/>
  <c r="I23" i="62"/>
  <c r="I16" i="62"/>
  <c r="I17" i="61"/>
  <c r="I12" i="61"/>
  <c r="I12" i="60"/>
  <c r="I15" i="60"/>
  <c r="J16" i="64"/>
  <c r="K64" i="66"/>
  <c r="E67" i="66" s="1"/>
  <c r="K63" i="81"/>
  <c r="K63" i="87"/>
  <c r="E67" i="87" s="1"/>
  <c r="K64" i="95"/>
  <c r="E68" i="95" s="1"/>
  <c r="K63" i="103"/>
  <c r="E67" i="103" s="1"/>
  <c r="K67" i="91"/>
  <c r="E71" i="91" s="1"/>
  <c r="K63" i="64"/>
  <c r="E66" i="64" s="1"/>
  <c r="J27" i="80"/>
  <c r="K27" i="80" s="1"/>
  <c r="J26" i="80"/>
  <c r="J24" i="80"/>
  <c r="K24" i="109"/>
  <c r="J14" i="109"/>
  <c r="J16" i="108"/>
  <c r="J15" i="108"/>
  <c r="I16" i="108"/>
  <c r="I14" i="109"/>
  <c r="I23" i="108"/>
  <c r="I25" i="80"/>
  <c r="J22" i="109"/>
  <c r="J23" i="108"/>
  <c r="J13" i="109"/>
  <c r="K64" i="80"/>
  <c r="E67" i="80" s="1"/>
  <c r="K64" i="69"/>
  <c r="K63" i="108"/>
  <c r="E66" i="108" s="1"/>
  <c r="K63" i="105"/>
  <c r="E67" i="105" s="1"/>
  <c r="K63" i="82"/>
  <c r="K63" i="107"/>
  <c r="E67" i="107" s="1"/>
  <c r="K64" i="94"/>
  <c r="E68" i="94" s="1"/>
  <c r="K63" i="102"/>
  <c r="E67" i="102" s="1"/>
  <c r="K63" i="70"/>
  <c r="K64" i="109"/>
  <c r="E67" i="109" s="1"/>
  <c r="K63" i="83"/>
  <c r="K66" i="92"/>
  <c r="E70" i="92" s="1"/>
  <c r="K64" i="98"/>
  <c r="E68" i="98" s="1"/>
  <c r="K63" i="104"/>
  <c r="E67" i="104" s="1"/>
  <c r="K63" i="84"/>
  <c r="K63" i="86"/>
  <c r="E66" i="86" s="1"/>
  <c r="K65" i="73"/>
  <c r="K67" i="93"/>
  <c r="E71" i="93" s="1"/>
  <c r="K63" i="106"/>
  <c r="E67" i="106" s="1"/>
  <c r="K65" i="3"/>
  <c r="K63" i="68"/>
  <c r="K63" i="76"/>
  <c r="K64" i="79"/>
  <c r="E67" i="79" s="1"/>
  <c r="K66" i="77"/>
  <c r="K65" i="97"/>
  <c r="E69" i="97" s="1"/>
  <c r="K63" i="61"/>
  <c r="E66" i="61" s="1"/>
  <c r="K65" i="65"/>
  <c r="E68" i="65" s="1"/>
  <c r="K63" i="90"/>
  <c r="E66" i="90" s="1"/>
  <c r="K64" i="89"/>
  <c r="E68" i="89" s="1"/>
  <c r="K63" i="101"/>
  <c r="E67" i="101" s="1"/>
  <c r="K64" i="67"/>
  <c r="K63" i="62"/>
  <c r="E66" i="62" s="1"/>
  <c r="K64" i="60"/>
  <c r="E67" i="60" s="1"/>
  <c r="K67" i="60" s="1"/>
  <c r="K64" i="63"/>
  <c r="E67" i="63" s="1"/>
  <c r="K63" i="88"/>
  <c r="E66" i="88" s="1"/>
  <c r="J17" i="108"/>
  <c r="J18" i="109"/>
  <c r="J17" i="87"/>
  <c r="K17" i="87" s="1"/>
  <c r="J15" i="64"/>
  <c r="J19" i="109"/>
  <c r="J20" i="65"/>
  <c r="J14" i="108"/>
  <c r="J16" i="109"/>
  <c r="J18" i="65"/>
  <c r="J20" i="61"/>
  <c r="J14" i="107"/>
  <c r="J17" i="109"/>
  <c r="J13" i="108"/>
  <c r="J15" i="109"/>
  <c r="I22" i="108"/>
  <c r="I18" i="84"/>
  <c r="I22" i="109"/>
  <c r="I16" i="95"/>
  <c r="I19" i="73"/>
  <c r="I20" i="3"/>
  <c r="I17" i="97"/>
  <c r="I18" i="74"/>
  <c r="I13" i="107"/>
  <c r="I17" i="98"/>
  <c r="I16" i="94"/>
  <c r="I16" i="85"/>
  <c r="I17" i="84"/>
  <c r="I17" i="79"/>
  <c r="I18" i="62"/>
  <c r="I18" i="87"/>
  <c r="K18" i="87" s="1"/>
  <c r="I25" i="67"/>
  <c r="I17" i="65"/>
  <c r="K17" i="65" s="1"/>
  <c r="I21" i="109"/>
  <c r="K21" i="109" s="1"/>
  <c r="I18" i="109"/>
  <c r="I15" i="109"/>
  <c r="I13" i="109"/>
  <c r="I12" i="109"/>
  <c r="I16" i="65"/>
  <c r="I21" i="62"/>
  <c r="I22" i="62"/>
  <c r="J17" i="106"/>
  <c r="J17" i="85"/>
  <c r="J19" i="73"/>
  <c r="J20" i="3"/>
  <c r="J16" i="95"/>
  <c r="J13" i="107"/>
  <c r="J17" i="98"/>
  <c r="J16" i="94"/>
  <c r="J16" i="85"/>
  <c r="J17" i="84"/>
  <c r="J17" i="79"/>
  <c r="J18" i="62"/>
  <c r="J17" i="97"/>
  <c r="J18" i="74"/>
  <c r="I16" i="90"/>
  <c r="I19" i="62"/>
  <c r="J12" i="67"/>
  <c r="J24" i="108"/>
  <c r="J18" i="66"/>
  <c r="J18" i="108"/>
  <c r="J12" i="105"/>
  <c r="J22" i="108"/>
  <c r="J12" i="108"/>
  <c r="J21" i="108"/>
  <c r="I24" i="108"/>
  <c r="I17" i="108"/>
  <c r="I13" i="108"/>
  <c r="I12" i="108"/>
  <c r="I16" i="106"/>
  <c r="I12" i="107"/>
  <c r="J16" i="106"/>
  <c r="J12" i="107"/>
  <c r="I20" i="106"/>
  <c r="J21" i="105"/>
  <c r="J20" i="106"/>
  <c r="K20" i="106" s="1"/>
  <c r="J20" i="105"/>
  <c r="J18" i="106"/>
  <c r="J15" i="106"/>
  <c r="J14" i="106"/>
  <c r="J13" i="106"/>
  <c r="J12" i="106"/>
  <c r="J17" i="104"/>
  <c r="J19" i="105"/>
  <c r="J17" i="105"/>
  <c r="J16" i="105"/>
  <c r="I21" i="104"/>
  <c r="I21" i="105"/>
  <c r="J13" i="94"/>
  <c r="J15" i="105"/>
  <c r="J14" i="105"/>
  <c r="J13" i="105"/>
  <c r="I18" i="105"/>
  <c r="I17" i="105"/>
  <c r="I16" i="105"/>
  <c r="I15" i="105"/>
  <c r="I14" i="105"/>
  <c r="I13" i="105"/>
  <c r="I12" i="105"/>
  <c r="J14" i="89"/>
  <c r="J16" i="104"/>
  <c r="J15" i="104"/>
  <c r="J14" i="80"/>
  <c r="J18" i="104"/>
  <c r="J15" i="103"/>
  <c r="J21" i="104"/>
  <c r="J13" i="89"/>
  <c r="J14" i="104"/>
  <c r="J13" i="104"/>
  <c r="J12" i="104"/>
  <c r="J13" i="103"/>
  <c r="J19" i="104"/>
  <c r="I12" i="103"/>
  <c r="I18" i="104"/>
  <c r="I16" i="104"/>
  <c r="I15" i="104"/>
  <c r="I14" i="104"/>
  <c r="I13" i="104"/>
  <c r="I12" i="104"/>
  <c r="J13" i="98"/>
  <c r="J12" i="103"/>
  <c r="I18" i="102"/>
  <c r="I15" i="103"/>
  <c r="J16" i="101"/>
  <c r="J18" i="102"/>
  <c r="J15" i="102"/>
  <c r="J14" i="102"/>
  <c r="J13" i="102"/>
  <c r="J12" i="102"/>
  <c r="J13" i="93"/>
  <c r="J14" i="101"/>
  <c r="I16" i="101"/>
  <c r="J15" i="101"/>
  <c r="J13" i="101"/>
  <c r="J12" i="101"/>
  <c r="I13" i="95"/>
  <c r="I13" i="98"/>
  <c r="J14" i="98"/>
  <c r="J15" i="98"/>
  <c r="K15" i="98" s="1"/>
  <c r="J12" i="98"/>
  <c r="J15" i="97"/>
  <c r="K15" i="97" s="1"/>
  <c r="J14" i="97"/>
  <c r="J12" i="97"/>
  <c r="J13" i="97"/>
  <c r="J14" i="73"/>
  <c r="J13" i="95"/>
  <c r="J15" i="95"/>
  <c r="J14" i="95"/>
  <c r="J19" i="94"/>
  <c r="J19" i="95"/>
  <c r="J17" i="95"/>
  <c r="J12" i="95"/>
  <c r="I19" i="94"/>
  <c r="K19" i="94" s="1"/>
  <c r="I19" i="95"/>
  <c r="K19" i="95" s="1"/>
  <c r="I13" i="94"/>
  <c r="I12" i="94"/>
  <c r="J12" i="91"/>
  <c r="J12" i="94"/>
  <c r="J15" i="91"/>
  <c r="J15" i="94"/>
  <c r="J17" i="94"/>
  <c r="J14" i="94"/>
  <c r="J14" i="93"/>
  <c r="J12" i="93"/>
  <c r="I16" i="92"/>
  <c r="J14" i="92"/>
  <c r="J12" i="92"/>
  <c r="J16" i="92"/>
  <c r="J14" i="82"/>
  <c r="J13" i="92"/>
  <c r="J16" i="91"/>
  <c r="J14" i="91"/>
  <c r="J14" i="90"/>
  <c r="J13" i="91"/>
  <c r="I13" i="91"/>
  <c r="I12" i="91"/>
  <c r="J15" i="89"/>
  <c r="J13" i="90"/>
  <c r="J12" i="85"/>
  <c r="J12" i="90"/>
  <c r="I14" i="90"/>
  <c r="I13" i="90"/>
  <c r="I12" i="90"/>
  <c r="J16" i="89"/>
  <c r="J15" i="90"/>
  <c r="J13" i="86"/>
  <c r="J16" i="90"/>
  <c r="I13" i="86"/>
  <c r="I19" i="89"/>
  <c r="J14" i="87"/>
  <c r="J17" i="89"/>
  <c r="J12" i="89"/>
  <c r="I15" i="89"/>
  <c r="I14" i="89"/>
  <c r="I13" i="89"/>
  <c r="J12" i="88"/>
  <c r="J33" i="88" s="1"/>
  <c r="I12" i="88"/>
  <c r="J15" i="83"/>
  <c r="J13" i="87"/>
  <c r="J13" i="82"/>
  <c r="J12" i="87"/>
  <c r="I13" i="87"/>
  <c r="I12" i="87"/>
  <c r="J12" i="86"/>
  <c r="I13" i="84"/>
  <c r="I13" i="85"/>
  <c r="I12" i="85"/>
  <c r="J14" i="81"/>
  <c r="J13" i="85"/>
  <c r="J15" i="81"/>
  <c r="J15" i="84"/>
  <c r="J17" i="83"/>
  <c r="J14" i="84"/>
  <c r="J12" i="84"/>
  <c r="I13" i="82"/>
  <c r="I15" i="83"/>
  <c r="J12" i="82"/>
  <c r="J14" i="83"/>
  <c r="J13" i="83"/>
  <c r="J12" i="83"/>
  <c r="I16" i="82"/>
  <c r="I17" i="83"/>
  <c r="J20" i="81"/>
  <c r="J16" i="82"/>
  <c r="J14" i="79"/>
  <c r="J13" i="81"/>
  <c r="J13" i="80"/>
  <c r="J12" i="81"/>
  <c r="I17" i="81"/>
  <c r="I16" i="81"/>
  <c r="I14" i="81"/>
  <c r="I13" i="81"/>
  <c r="I12" i="81"/>
  <c r="J17" i="81"/>
  <c r="J16" i="81"/>
  <c r="J12" i="79"/>
  <c r="J18" i="81"/>
  <c r="I20" i="81"/>
  <c r="J16" i="77"/>
  <c r="J25" i="80"/>
  <c r="J15" i="80"/>
  <c r="J16" i="79"/>
  <c r="J14" i="77"/>
  <c r="J12" i="80"/>
  <c r="I14" i="80"/>
  <c r="I13" i="80"/>
  <c r="I12" i="80"/>
  <c r="I16" i="79"/>
  <c r="I14" i="79"/>
  <c r="J14" i="78"/>
  <c r="J15" i="79"/>
  <c r="J16" i="78"/>
  <c r="J13" i="78"/>
  <c r="J13" i="77"/>
  <c r="J12" i="78"/>
  <c r="J15" i="73"/>
  <c r="J15" i="78"/>
  <c r="I12" i="78"/>
  <c r="J12" i="76"/>
  <c r="J12" i="77"/>
  <c r="J18" i="77"/>
  <c r="J17" i="77"/>
  <c r="J15" i="76"/>
  <c r="J15" i="77"/>
  <c r="I18" i="77"/>
  <c r="I17" i="77"/>
  <c r="I14" i="77"/>
  <c r="I13" i="77"/>
  <c r="I12" i="77"/>
  <c r="J16" i="76"/>
  <c r="J13" i="76"/>
  <c r="J18" i="76"/>
  <c r="J17" i="76"/>
  <c r="J14" i="67"/>
  <c r="J14" i="76"/>
  <c r="I18" i="76"/>
  <c r="I17" i="76"/>
  <c r="I14" i="76"/>
  <c r="I13" i="76"/>
  <c r="I12" i="76"/>
  <c r="I13" i="74"/>
  <c r="J12" i="73"/>
  <c r="J16" i="74"/>
  <c r="J14" i="74"/>
  <c r="J12" i="74"/>
  <c r="J15" i="67"/>
  <c r="J15" i="74"/>
  <c r="J13" i="73"/>
  <c r="J13" i="74"/>
  <c r="J17" i="73"/>
  <c r="J16" i="73"/>
  <c r="I15" i="73"/>
  <c r="I14" i="73"/>
  <c r="I13" i="73"/>
  <c r="J24" i="72"/>
  <c r="J25" i="3"/>
  <c r="J14" i="72"/>
  <c r="J14" i="3"/>
  <c r="J12" i="72"/>
  <c r="J16" i="71"/>
  <c r="J14" i="71"/>
  <c r="J13" i="71"/>
  <c r="J12" i="71"/>
  <c r="J12" i="3"/>
  <c r="J20" i="72"/>
  <c r="J16" i="72"/>
  <c r="K16" i="72" s="1"/>
  <c r="J17" i="72"/>
  <c r="K17" i="72" s="1"/>
  <c r="J17" i="3"/>
  <c r="J16" i="3"/>
  <c r="I15" i="72"/>
  <c r="I13" i="72"/>
  <c r="I25" i="3"/>
  <c r="I15" i="3"/>
  <c r="I14" i="3"/>
  <c r="I13" i="3"/>
  <c r="I24" i="72"/>
  <c r="I14" i="72"/>
  <c r="J13" i="70"/>
  <c r="J15" i="71"/>
  <c r="J13" i="67"/>
  <c r="J13" i="72"/>
  <c r="J13" i="3"/>
  <c r="J15" i="72"/>
  <c r="J15" i="3"/>
  <c r="I20" i="72"/>
  <c r="J16" i="69"/>
  <c r="J17" i="70"/>
  <c r="J15" i="70"/>
  <c r="J14" i="70"/>
  <c r="J12" i="70"/>
  <c r="I16" i="69"/>
  <c r="I17" i="70"/>
  <c r="J13" i="68"/>
  <c r="J13" i="69"/>
  <c r="J12" i="68"/>
  <c r="J12" i="69"/>
  <c r="J14" i="68"/>
  <c r="J14" i="69"/>
  <c r="I12" i="68"/>
  <c r="I12" i="69"/>
  <c r="I16" i="68"/>
  <c r="J16" i="68"/>
  <c r="I18" i="67"/>
  <c r="I17" i="67"/>
  <c r="I14" i="67"/>
  <c r="I13" i="67"/>
  <c r="I12" i="67"/>
  <c r="J18" i="67"/>
  <c r="J17" i="67"/>
  <c r="J19" i="67"/>
  <c r="J16" i="67"/>
  <c r="J12" i="65"/>
  <c r="J12" i="66"/>
  <c r="J13" i="65"/>
  <c r="J13" i="66"/>
  <c r="J14" i="65"/>
  <c r="J14" i="66"/>
  <c r="J21" i="66"/>
  <c r="J20" i="66"/>
  <c r="I13" i="65"/>
  <c r="I13" i="66"/>
  <c r="I12" i="63"/>
  <c r="J14" i="64"/>
  <c r="J15" i="65"/>
  <c r="J22" i="65"/>
  <c r="J21" i="65"/>
  <c r="J19" i="63"/>
  <c r="J13" i="64"/>
  <c r="J16" i="63"/>
  <c r="J17" i="64"/>
  <c r="J18" i="63"/>
  <c r="J12" i="64"/>
  <c r="I18" i="63"/>
  <c r="I12" i="64"/>
  <c r="J15" i="63"/>
  <c r="J17" i="63"/>
  <c r="J12" i="62"/>
  <c r="J13" i="63"/>
  <c r="J13" i="62"/>
  <c r="J12" i="63"/>
  <c r="J14" i="63"/>
  <c r="J15" i="61"/>
  <c r="J15" i="62"/>
  <c r="J18" i="61"/>
  <c r="I15" i="62"/>
  <c r="I14" i="62"/>
  <c r="I13" i="62"/>
  <c r="J23" i="62"/>
  <c r="J17" i="62"/>
  <c r="J16" i="62"/>
  <c r="J14" i="61"/>
  <c r="J14" i="62"/>
  <c r="I18" i="61"/>
  <c r="J12" i="60"/>
  <c r="J12" i="61"/>
  <c r="I13" i="60"/>
  <c r="I15" i="61"/>
  <c r="I14" i="61"/>
  <c r="I13" i="61"/>
  <c r="J13" i="60"/>
  <c r="J13" i="61"/>
  <c r="J17" i="61"/>
  <c r="J16" i="61"/>
  <c r="J14" i="60"/>
  <c r="J15" i="60"/>
  <c r="I6" i="57"/>
  <c r="I7" i="57"/>
  <c r="H7" i="57"/>
  <c r="L8" i="52"/>
  <c r="T7" i="52"/>
  <c r="R7" i="52"/>
  <c r="P7" i="52"/>
  <c r="N7" i="52"/>
  <c r="U7" i="52"/>
  <c r="S7" i="52"/>
  <c r="Q7" i="52"/>
  <c r="O7" i="52"/>
  <c r="M7" i="52"/>
  <c r="E75" i="140"/>
  <c r="E43" i="140"/>
  <c r="K15" i="129" l="1"/>
  <c r="I33" i="164"/>
  <c r="K33" i="164"/>
  <c r="K66" i="164" s="1"/>
  <c r="K68" i="164" s="1"/>
  <c r="K73" i="164" s="1"/>
  <c r="K76" i="164" s="1"/>
  <c r="K17" i="130"/>
  <c r="K69" i="163"/>
  <c r="K77" i="163" s="1"/>
  <c r="I34" i="163"/>
  <c r="K13" i="163"/>
  <c r="I33" i="161"/>
  <c r="K33" i="161"/>
  <c r="K67" i="161" s="1"/>
  <c r="K69" i="161" s="1"/>
  <c r="K74" i="161" s="1"/>
  <c r="K77" i="161" s="1"/>
  <c r="I33" i="160"/>
  <c r="K12" i="160"/>
  <c r="K33" i="160" s="1"/>
  <c r="K66" i="160" s="1"/>
  <c r="K68" i="160" s="1"/>
  <c r="K73" i="160" s="1"/>
  <c r="K76" i="160" s="1"/>
  <c r="K15" i="127"/>
  <c r="K66" i="85"/>
  <c r="K67" i="156"/>
  <c r="K75" i="156" s="1"/>
  <c r="K69" i="137"/>
  <c r="K66" i="157"/>
  <c r="K74" i="157" s="1"/>
  <c r="K68" i="158"/>
  <c r="K76" i="158" s="1"/>
  <c r="I33" i="158"/>
  <c r="K12" i="158"/>
  <c r="K33" i="158" s="1"/>
  <c r="K67" i="158" s="1"/>
  <c r="I33" i="157"/>
  <c r="K12" i="157"/>
  <c r="K33" i="157" s="1"/>
  <c r="K65" i="157" s="1"/>
  <c r="I33" i="156"/>
  <c r="K12" i="156"/>
  <c r="K33" i="156" s="1"/>
  <c r="K66" i="156" s="1"/>
  <c r="K14" i="137"/>
  <c r="K66" i="72"/>
  <c r="K67" i="101"/>
  <c r="K75" i="101" s="1"/>
  <c r="K68" i="152"/>
  <c r="K76" i="152" s="1"/>
  <c r="K68" i="89"/>
  <c r="K76" i="89" s="1"/>
  <c r="K69" i="97"/>
  <c r="K77" i="97" s="1"/>
  <c r="K67" i="104"/>
  <c r="K75" i="104" s="1"/>
  <c r="K67" i="109"/>
  <c r="K75" i="109" s="1"/>
  <c r="K68" i="94"/>
  <c r="K76" i="94" s="1"/>
  <c r="K66" i="108"/>
  <c r="K74" i="108" s="1"/>
  <c r="K68" i="95"/>
  <c r="K76" i="95" s="1"/>
  <c r="K68" i="127"/>
  <c r="K76" i="127" s="1"/>
  <c r="K67" i="131"/>
  <c r="K75" i="131" s="1"/>
  <c r="K68" i="134"/>
  <c r="K76" i="134" s="1"/>
  <c r="K66" i="133"/>
  <c r="K74" i="133" s="1"/>
  <c r="K66" i="151"/>
  <c r="K74" i="151" s="1"/>
  <c r="K67" i="63"/>
  <c r="K75" i="63" s="1"/>
  <c r="K67" i="102"/>
  <c r="K75" i="102" s="1"/>
  <c r="K67" i="103"/>
  <c r="K75" i="103" s="1"/>
  <c r="K66" i="124"/>
  <c r="K74" i="124" s="1"/>
  <c r="K66" i="62"/>
  <c r="K74" i="62" s="1"/>
  <c r="K68" i="98"/>
  <c r="K76" i="98" s="1"/>
  <c r="K67" i="87"/>
  <c r="K75" i="87" s="1"/>
  <c r="K67" i="120"/>
  <c r="K75" i="120" s="1"/>
  <c r="K70" i="129"/>
  <c r="K78" i="129" s="1"/>
  <c r="K68" i="123"/>
  <c r="K76" i="123" s="1"/>
  <c r="K67" i="135"/>
  <c r="K75" i="135" s="1"/>
  <c r="K66" i="150"/>
  <c r="K74" i="150" s="1"/>
  <c r="K67" i="153"/>
  <c r="K75" i="153" s="1"/>
  <c r="K66" i="61"/>
  <c r="K74" i="61" s="1"/>
  <c r="K71" i="93"/>
  <c r="K79" i="93" s="1"/>
  <c r="K67" i="105"/>
  <c r="K75" i="105" s="1"/>
  <c r="K67" i="66"/>
  <c r="K75" i="66" s="1"/>
  <c r="K67" i="121"/>
  <c r="K75" i="121" s="1"/>
  <c r="K72" i="130"/>
  <c r="K80" i="130" s="1"/>
  <c r="K66" i="90"/>
  <c r="K74" i="90" s="1"/>
  <c r="K66" i="86"/>
  <c r="K74" i="86" s="1"/>
  <c r="K67" i="107"/>
  <c r="K75" i="107" s="1"/>
  <c r="K66" i="64"/>
  <c r="K74" i="64" s="1"/>
  <c r="K66" i="88"/>
  <c r="K74" i="88" s="1"/>
  <c r="K68" i="65"/>
  <c r="K76" i="65" s="1"/>
  <c r="K67" i="79"/>
  <c r="K75" i="79" s="1"/>
  <c r="K67" i="106"/>
  <c r="K75" i="106" s="1"/>
  <c r="K70" i="92"/>
  <c r="K78" i="92" s="1"/>
  <c r="K67" i="80"/>
  <c r="K75" i="80" s="1"/>
  <c r="K71" i="91"/>
  <c r="K79" i="91" s="1"/>
  <c r="K67" i="113"/>
  <c r="K75" i="113" s="1"/>
  <c r="K67" i="122"/>
  <c r="K75" i="122" s="1"/>
  <c r="K69" i="128"/>
  <c r="K77" i="128" s="1"/>
  <c r="K67" i="132"/>
  <c r="K75" i="132" s="1"/>
  <c r="K66" i="149"/>
  <c r="K74" i="149" s="1"/>
  <c r="K20" i="73"/>
  <c r="K24" i="125"/>
  <c r="I33" i="153"/>
  <c r="K13" i="153"/>
  <c r="K33" i="153" s="1"/>
  <c r="K66" i="153" s="1"/>
  <c r="I34" i="152"/>
  <c r="K12" i="152"/>
  <c r="K34" i="152" s="1"/>
  <c r="K67" i="152" s="1"/>
  <c r="K33" i="151"/>
  <c r="K65" i="151" s="1"/>
  <c r="I33" i="151"/>
  <c r="I33" i="150"/>
  <c r="K13" i="150"/>
  <c r="K33" i="150" s="1"/>
  <c r="K65" i="150" s="1"/>
  <c r="K33" i="149"/>
  <c r="K65" i="149" s="1"/>
  <c r="I33" i="149"/>
  <c r="K63" i="74"/>
  <c r="E67" i="78"/>
  <c r="E66" i="84"/>
  <c r="E66" i="68"/>
  <c r="E66" i="82"/>
  <c r="E66" i="142"/>
  <c r="E66" i="83"/>
  <c r="E67" i="143"/>
  <c r="E68" i="73"/>
  <c r="E67" i="71"/>
  <c r="E67" i="67"/>
  <c r="E68" i="3"/>
  <c r="K16" i="135"/>
  <c r="K25" i="80"/>
  <c r="K16" i="70"/>
  <c r="H33" i="70"/>
  <c r="H33" i="69"/>
  <c r="E67" i="69" s="1"/>
  <c r="K16" i="144"/>
  <c r="I33" i="143"/>
  <c r="K13" i="144"/>
  <c r="I33" i="144"/>
  <c r="K14" i="142"/>
  <c r="K13" i="142"/>
  <c r="I33" i="142"/>
  <c r="K14" i="141"/>
  <c r="K16" i="78"/>
  <c r="K18" i="135"/>
  <c r="K15" i="143"/>
  <c r="K15" i="144"/>
  <c r="K14" i="143"/>
  <c r="H33" i="144"/>
  <c r="E66" i="144" s="1"/>
  <c r="J34" i="138"/>
  <c r="K13" i="138"/>
  <c r="K21" i="141"/>
  <c r="K13" i="143"/>
  <c r="K15" i="68"/>
  <c r="K15" i="69"/>
  <c r="K15" i="142"/>
  <c r="K17" i="141"/>
  <c r="K18" i="141"/>
  <c r="K15" i="135"/>
  <c r="H33" i="141"/>
  <c r="E66" i="141" s="1"/>
  <c r="K13" i="141"/>
  <c r="I33" i="141"/>
  <c r="K16" i="141"/>
  <c r="I33" i="137"/>
  <c r="K15" i="141"/>
  <c r="K12" i="133"/>
  <c r="K13" i="126"/>
  <c r="J33" i="137"/>
  <c r="K12" i="137"/>
  <c r="I34" i="138"/>
  <c r="K12" i="138"/>
  <c r="J33" i="135"/>
  <c r="I33" i="135"/>
  <c r="K16" i="64"/>
  <c r="K15" i="121"/>
  <c r="K15" i="120"/>
  <c r="K13" i="134"/>
  <c r="K21" i="129"/>
  <c r="K13" i="84"/>
  <c r="K13" i="131"/>
  <c r="K13" i="132"/>
  <c r="K14" i="120"/>
  <c r="K26" i="125"/>
  <c r="K13" i="130"/>
  <c r="K23" i="130"/>
  <c r="K13" i="128"/>
  <c r="K13" i="127"/>
  <c r="K23" i="127"/>
  <c r="K13" i="129"/>
  <c r="K25" i="73"/>
  <c r="K19" i="130"/>
  <c r="K27" i="108"/>
  <c r="K25" i="76"/>
  <c r="K24" i="128"/>
  <c r="K18" i="128"/>
  <c r="K14" i="132"/>
  <c r="K13" i="125"/>
  <c r="K20" i="80"/>
  <c r="K13" i="135"/>
  <c r="K14" i="121"/>
  <c r="K24" i="126"/>
  <c r="K14" i="124"/>
  <c r="K14" i="135"/>
  <c r="K22" i="135"/>
  <c r="K19" i="135"/>
  <c r="H33" i="81"/>
  <c r="E66" i="81" s="1"/>
  <c r="K17" i="135"/>
  <c r="K15" i="82"/>
  <c r="H33" i="126"/>
  <c r="E67" i="126" s="1"/>
  <c r="K23" i="80"/>
  <c r="K19" i="81"/>
  <c r="K18" i="105"/>
  <c r="I33" i="134"/>
  <c r="K16" i="102"/>
  <c r="K14" i="134"/>
  <c r="K13" i="133"/>
  <c r="I33" i="129"/>
  <c r="K17" i="128"/>
  <c r="K17" i="132"/>
  <c r="K12" i="134"/>
  <c r="J33" i="134"/>
  <c r="J33" i="133"/>
  <c r="I33" i="133"/>
  <c r="K13" i="124"/>
  <c r="K20" i="76"/>
  <c r="K16" i="128"/>
  <c r="J33" i="131"/>
  <c r="K15" i="132"/>
  <c r="K19" i="89"/>
  <c r="K16" i="126"/>
  <c r="I34" i="132"/>
  <c r="K12" i="132"/>
  <c r="J34" i="132"/>
  <c r="K14" i="131"/>
  <c r="K13" i="118"/>
  <c r="K20" i="126"/>
  <c r="I33" i="131"/>
  <c r="K12" i="131"/>
  <c r="K17" i="127"/>
  <c r="K15" i="86"/>
  <c r="K19" i="128"/>
  <c r="K18" i="129"/>
  <c r="J33" i="129"/>
  <c r="K12" i="129"/>
  <c r="I34" i="130"/>
  <c r="K20" i="130"/>
  <c r="K18" i="127"/>
  <c r="I33" i="127"/>
  <c r="K20" i="127"/>
  <c r="K16" i="129"/>
  <c r="I33" i="128"/>
  <c r="K21" i="128"/>
  <c r="K15" i="130"/>
  <c r="J33" i="127"/>
  <c r="K19" i="65"/>
  <c r="J33" i="128"/>
  <c r="K15" i="128"/>
  <c r="J34" i="130"/>
  <c r="K14" i="130"/>
  <c r="I33" i="126"/>
  <c r="K15" i="125"/>
  <c r="K14" i="126"/>
  <c r="K15" i="126"/>
  <c r="K20" i="125"/>
  <c r="K21" i="125"/>
  <c r="K21" i="108"/>
  <c r="H33" i="77"/>
  <c r="E69" i="77" s="1"/>
  <c r="K16" i="125"/>
  <c r="K17" i="125"/>
  <c r="K18" i="125"/>
  <c r="K19" i="108"/>
  <c r="K20" i="108"/>
  <c r="H34" i="125"/>
  <c r="E71" i="125" s="1"/>
  <c r="J33" i="124"/>
  <c r="K14" i="125"/>
  <c r="K13" i="123"/>
  <c r="K16" i="80"/>
  <c r="K17" i="124"/>
  <c r="K20" i="124"/>
  <c r="I34" i="125"/>
  <c r="K12" i="125"/>
  <c r="K18" i="124"/>
  <c r="I33" i="124"/>
  <c r="K12" i="124"/>
  <c r="K21" i="63"/>
  <c r="K17" i="80"/>
  <c r="K19" i="124"/>
  <c r="K22" i="62"/>
  <c r="K24" i="108"/>
  <c r="K15" i="122"/>
  <c r="K18" i="121"/>
  <c r="K18" i="64"/>
  <c r="J6" i="57"/>
  <c r="K20" i="120"/>
  <c r="H33" i="74"/>
  <c r="K19" i="62"/>
  <c r="K13" i="122"/>
  <c r="K17" i="78"/>
  <c r="K15" i="66"/>
  <c r="K22" i="122"/>
  <c r="H33" i="76"/>
  <c r="E66" i="76" s="1"/>
  <c r="K20" i="123"/>
  <c r="K21" i="120"/>
  <c r="K21" i="123"/>
  <c r="J33" i="120"/>
  <c r="K21" i="122"/>
  <c r="K21" i="61"/>
  <c r="J33" i="123"/>
  <c r="K20" i="122"/>
  <c r="K19" i="121"/>
  <c r="I33" i="123"/>
  <c r="K12" i="123"/>
  <c r="K18" i="122"/>
  <c r="K14" i="122"/>
  <c r="K19" i="122"/>
  <c r="J21" i="121"/>
  <c r="K21" i="121" s="1"/>
  <c r="J16" i="122"/>
  <c r="K16" i="122" s="1"/>
  <c r="K17" i="121"/>
  <c r="I33" i="122"/>
  <c r="K12" i="122"/>
  <c r="K20" i="121"/>
  <c r="K16" i="121"/>
  <c r="I33" i="121"/>
  <c r="K12" i="121"/>
  <c r="J16" i="65"/>
  <c r="K16" i="65" s="1"/>
  <c r="K18" i="120"/>
  <c r="J21" i="62"/>
  <c r="K21" i="62" s="1"/>
  <c r="K14" i="85"/>
  <c r="K23" i="121"/>
  <c r="K16" i="120"/>
  <c r="K19" i="120"/>
  <c r="K20" i="62"/>
  <c r="K17" i="120"/>
  <c r="I33" i="120"/>
  <c r="K12" i="120"/>
  <c r="K20" i="119"/>
  <c r="K19" i="61"/>
  <c r="K18" i="84"/>
  <c r="K14" i="97"/>
  <c r="K13" i="93"/>
  <c r="K14" i="106"/>
  <c r="K15" i="65"/>
  <c r="K12" i="65"/>
  <c r="K18" i="78"/>
  <c r="K15" i="101"/>
  <c r="K15" i="119"/>
  <c r="K14" i="118"/>
  <c r="J33" i="119"/>
  <c r="K19" i="63"/>
  <c r="K17" i="119"/>
  <c r="K16" i="118"/>
  <c r="K18" i="119"/>
  <c r="K14" i="119"/>
  <c r="K12" i="73"/>
  <c r="K14" i="78"/>
  <c r="I33" i="119"/>
  <c r="K12" i="119"/>
  <c r="K23" i="63"/>
  <c r="J33" i="118"/>
  <c r="K17" i="118"/>
  <c r="K19" i="119"/>
  <c r="K15" i="118"/>
  <c r="K14" i="94"/>
  <c r="K25" i="67"/>
  <c r="I33" i="118"/>
  <c r="K12" i="118"/>
  <c r="J17" i="90"/>
  <c r="K17" i="90" s="1"/>
  <c r="K18" i="118"/>
  <c r="K19" i="118"/>
  <c r="K12" i="60"/>
  <c r="K13" i="68"/>
  <c r="K14" i="87"/>
  <c r="K14" i="95"/>
  <c r="K13" i="101"/>
  <c r="K19" i="104"/>
  <c r="K16" i="109"/>
  <c r="K15" i="102"/>
  <c r="K17" i="109"/>
  <c r="K14" i="64"/>
  <c r="K15" i="84"/>
  <c r="K15" i="113"/>
  <c r="K19" i="67"/>
  <c r="K14" i="93"/>
  <c r="K20" i="65"/>
  <c r="K15" i="60"/>
  <c r="K17" i="64"/>
  <c r="K17" i="94"/>
  <c r="K14" i="98"/>
  <c r="K19" i="105"/>
  <c r="K20" i="61"/>
  <c r="K16" i="61"/>
  <c r="K14" i="69"/>
  <c r="K14" i="60"/>
  <c r="K14" i="68"/>
  <c r="K16" i="73"/>
  <c r="K15" i="79"/>
  <c r="K13" i="86"/>
  <c r="K15" i="94"/>
  <c r="K13" i="64"/>
  <c r="K13" i="105"/>
  <c r="K14" i="74"/>
  <c r="K16" i="74"/>
  <c r="K13" i="81"/>
  <c r="K14" i="89"/>
  <c r="K21" i="65"/>
  <c r="K13" i="69"/>
  <c r="K12" i="79"/>
  <c r="K14" i="105"/>
  <c r="K15" i="71"/>
  <c r="K13" i="103"/>
  <c r="K16" i="106"/>
  <c r="K13" i="106"/>
  <c r="K17" i="61"/>
  <c r="K14" i="65"/>
  <c r="K13" i="70"/>
  <c r="K15" i="80"/>
  <c r="K19" i="113"/>
  <c r="K14" i="66"/>
  <c r="K22" i="65"/>
  <c r="K19" i="109"/>
  <c r="K17" i="73"/>
  <c r="K20" i="105"/>
  <c r="K16" i="83"/>
  <c r="K16" i="84"/>
  <c r="K13" i="109"/>
  <c r="I34" i="92"/>
  <c r="K12" i="82"/>
  <c r="I33" i="102"/>
  <c r="K16" i="113"/>
  <c r="K18" i="73"/>
  <c r="K12" i="62"/>
  <c r="K14" i="102"/>
  <c r="K18" i="108"/>
  <c r="K17" i="62"/>
  <c r="K16" i="3"/>
  <c r="K16" i="89"/>
  <c r="K13" i="92"/>
  <c r="K19" i="97"/>
  <c r="K15" i="106"/>
  <c r="K17" i="85"/>
  <c r="K18" i="65"/>
  <c r="K18" i="106"/>
  <c r="K17" i="106"/>
  <c r="K23" i="62"/>
  <c r="K15" i="73"/>
  <c r="K14" i="82"/>
  <c r="K13" i="97"/>
  <c r="K14" i="70"/>
  <c r="K14" i="83"/>
  <c r="K13" i="90"/>
  <c r="K13" i="94"/>
  <c r="K15" i="95"/>
  <c r="K14" i="101"/>
  <c r="K14" i="91"/>
  <c r="K15" i="64"/>
  <c r="K15" i="90"/>
  <c r="K16" i="77"/>
  <c r="K15" i="81"/>
  <c r="K14" i="90"/>
  <c r="K18" i="104"/>
  <c r="K13" i="108"/>
  <c r="K14" i="113"/>
  <c r="K20" i="66"/>
  <c r="K18" i="113"/>
  <c r="K18" i="63"/>
  <c r="K21" i="66"/>
  <c r="K16" i="67"/>
  <c r="K15" i="70"/>
  <c r="K13" i="76"/>
  <c r="K13" i="78"/>
  <c r="K13" i="83"/>
  <c r="K13" i="102"/>
  <c r="K15" i="105"/>
  <c r="K17" i="108"/>
  <c r="K14" i="108"/>
  <c r="K15" i="108"/>
  <c r="K14" i="107"/>
  <c r="K16" i="62"/>
  <c r="K17" i="63"/>
  <c r="K13" i="71"/>
  <c r="K15" i="74"/>
  <c r="C22" i="148" s="1"/>
  <c r="K15" i="77"/>
  <c r="K18" i="81"/>
  <c r="K15" i="89"/>
  <c r="K16" i="90"/>
  <c r="K15" i="104"/>
  <c r="K18" i="109"/>
  <c r="J20" i="63"/>
  <c r="K20" i="63" s="1"/>
  <c r="K13" i="63"/>
  <c r="K16" i="76"/>
  <c r="K13" i="95"/>
  <c r="K15" i="63"/>
  <c r="K16" i="63"/>
  <c r="K12" i="68"/>
  <c r="K14" i="72"/>
  <c r="K14" i="71"/>
  <c r="K15" i="67"/>
  <c r="K15" i="76"/>
  <c r="K14" i="92"/>
  <c r="K15" i="91"/>
  <c r="K17" i="95"/>
  <c r="K16" i="104"/>
  <c r="K17" i="104"/>
  <c r="K14" i="109"/>
  <c r="K24" i="80"/>
  <c r="K18" i="66"/>
  <c r="K22" i="109"/>
  <c r="K14" i="63"/>
  <c r="K17" i="3"/>
  <c r="K16" i="71"/>
  <c r="K14" i="84"/>
  <c r="K17" i="89"/>
  <c r="K16" i="91"/>
  <c r="K22" i="108"/>
  <c r="J14" i="86"/>
  <c r="K14" i="86" s="1"/>
  <c r="K16" i="108"/>
  <c r="K26" i="80"/>
  <c r="K14" i="76"/>
  <c r="K23" i="105"/>
  <c r="K13" i="113"/>
  <c r="K17" i="113"/>
  <c r="I33" i="113"/>
  <c r="K12" i="113"/>
  <c r="J33" i="113"/>
  <c r="K16" i="82"/>
  <c r="K14" i="73"/>
  <c r="J33" i="107"/>
  <c r="K15" i="109"/>
  <c r="K21" i="105"/>
  <c r="J33" i="87"/>
  <c r="K13" i="67"/>
  <c r="K13" i="80"/>
  <c r="I33" i="106"/>
  <c r="K16" i="105"/>
  <c r="K16" i="69"/>
  <c r="K13" i="77"/>
  <c r="J33" i="109"/>
  <c r="K23" i="108"/>
  <c r="K14" i="80"/>
  <c r="K13" i="87"/>
  <c r="K14" i="61"/>
  <c r="K17" i="79"/>
  <c r="K16" i="85"/>
  <c r="K13" i="107"/>
  <c r="K17" i="97"/>
  <c r="K20" i="3"/>
  <c r="K16" i="95"/>
  <c r="I33" i="109"/>
  <c r="K12" i="109"/>
  <c r="K18" i="62"/>
  <c r="K17" i="84"/>
  <c r="K16" i="94"/>
  <c r="K17" i="98"/>
  <c r="K18" i="74"/>
  <c r="K19" i="73"/>
  <c r="K14" i="3"/>
  <c r="K25" i="3"/>
  <c r="K17" i="83"/>
  <c r="K13" i="82"/>
  <c r="K18" i="102"/>
  <c r="K15" i="103"/>
  <c r="J33" i="103"/>
  <c r="K13" i="104"/>
  <c r="K21" i="104"/>
  <c r="K17" i="105"/>
  <c r="J33" i="105"/>
  <c r="I32" i="108"/>
  <c r="K12" i="108"/>
  <c r="J32" i="108"/>
  <c r="I33" i="107"/>
  <c r="K12" i="107"/>
  <c r="J33" i="106"/>
  <c r="K12" i="106"/>
  <c r="I33" i="105"/>
  <c r="K12" i="105"/>
  <c r="K12" i="103"/>
  <c r="K14" i="104"/>
  <c r="J33" i="104"/>
  <c r="I33" i="104"/>
  <c r="K12" i="104"/>
  <c r="I33" i="103"/>
  <c r="J33" i="102"/>
  <c r="K12" i="102"/>
  <c r="J33" i="101"/>
  <c r="K12" i="101"/>
  <c r="I33" i="97"/>
  <c r="K16" i="101"/>
  <c r="I33" i="101"/>
  <c r="K13" i="91"/>
  <c r="K16" i="92"/>
  <c r="J33" i="98"/>
  <c r="K12" i="98"/>
  <c r="K13" i="98"/>
  <c r="I33" i="98"/>
  <c r="J33" i="97"/>
  <c r="K12" i="97"/>
  <c r="J33" i="95"/>
  <c r="K12" i="95"/>
  <c r="I33" i="95"/>
  <c r="J33" i="94"/>
  <c r="I33" i="94"/>
  <c r="K12" i="94"/>
  <c r="I34" i="93"/>
  <c r="J34" i="93"/>
  <c r="K12" i="93"/>
  <c r="J34" i="92"/>
  <c r="K12" i="92"/>
  <c r="I33" i="68"/>
  <c r="K14" i="67"/>
  <c r="K18" i="76"/>
  <c r="K16" i="79"/>
  <c r="I33" i="86"/>
  <c r="J34" i="91"/>
  <c r="I34" i="91"/>
  <c r="K12" i="91"/>
  <c r="I33" i="90"/>
  <c r="K12" i="90"/>
  <c r="K13" i="89"/>
  <c r="I34" i="89"/>
  <c r="J34" i="89"/>
  <c r="K12" i="89"/>
  <c r="I33" i="88"/>
  <c r="K12" i="88"/>
  <c r="K33" i="88" s="1"/>
  <c r="I33" i="87"/>
  <c r="K12" i="87"/>
  <c r="I33" i="84"/>
  <c r="K12" i="86"/>
  <c r="K17" i="77"/>
  <c r="K15" i="78"/>
  <c r="K14" i="81"/>
  <c r="J33" i="85"/>
  <c r="I33" i="85"/>
  <c r="K12" i="85"/>
  <c r="K18" i="61"/>
  <c r="K13" i="65"/>
  <c r="K13" i="85"/>
  <c r="K12" i="84"/>
  <c r="K20" i="72"/>
  <c r="K24" i="72"/>
  <c r="K13" i="74"/>
  <c r="K17" i="76"/>
  <c r="K14" i="77"/>
  <c r="K18" i="77"/>
  <c r="J33" i="80"/>
  <c r="K20" i="81"/>
  <c r="I33" i="82"/>
  <c r="K12" i="83"/>
  <c r="K15" i="83"/>
  <c r="I33" i="83"/>
  <c r="I33" i="81"/>
  <c r="K12" i="81"/>
  <c r="K17" i="81"/>
  <c r="K16" i="81"/>
  <c r="J33" i="79"/>
  <c r="I33" i="80"/>
  <c r="K12" i="80"/>
  <c r="K14" i="79"/>
  <c r="I33" i="79"/>
  <c r="I33" i="78"/>
  <c r="K12" i="78"/>
  <c r="I33" i="77"/>
  <c r="K12" i="77"/>
  <c r="I33" i="76"/>
  <c r="K12" i="76"/>
  <c r="K12" i="74"/>
  <c r="K15" i="62"/>
  <c r="I33" i="74"/>
  <c r="K13" i="73"/>
  <c r="I33" i="73"/>
  <c r="I33" i="71"/>
  <c r="I34" i="3"/>
  <c r="K13" i="3"/>
  <c r="K13" i="72"/>
  <c r="I33" i="72"/>
  <c r="K12" i="71"/>
  <c r="K12" i="72"/>
  <c r="K15" i="3"/>
  <c r="K12" i="3"/>
  <c r="K15" i="72"/>
  <c r="K17" i="70"/>
  <c r="I33" i="70"/>
  <c r="K12" i="70"/>
  <c r="I33" i="69"/>
  <c r="K12" i="69"/>
  <c r="K16" i="68"/>
  <c r="I33" i="67"/>
  <c r="K12" i="67"/>
  <c r="K13" i="60"/>
  <c r="K18" i="67"/>
  <c r="I33" i="63"/>
  <c r="K17" i="67"/>
  <c r="K13" i="66"/>
  <c r="I33" i="66"/>
  <c r="J33" i="66"/>
  <c r="K12" i="66"/>
  <c r="I33" i="60"/>
  <c r="K15" i="61"/>
  <c r="K12" i="63"/>
  <c r="J33" i="64"/>
  <c r="I33" i="65"/>
  <c r="I33" i="64"/>
  <c r="K12" i="64"/>
  <c r="J33" i="60"/>
  <c r="K13" i="62"/>
  <c r="I33" i="62"/>
  <c r="K14" i="62"/>
  <c r="K13" i="61"/>
  <c r="I33" i="61"/>
  <c r="J33" i="61"/>
  <c r="K12" i="61"/>
  <c r="J7" i="57"/>
  <c r="L9" i="52"/>
  <c r="T8" i="52"/>
  <c r="R8" i="52"/>
  <c r="P8" i="52"/>
  <c r="N8" i="52"/>
  <c r="U8" i="52"/>
  <c r="S8" i="52"/>
  <c r="Q8" i="52"/>
  <c r="O8" i="52"/>
  <c r="M8" i="52"/>
  <c r="J20" i="78"/>
  <c r="K20" i="78" s="1"/>
  <c r="E73" i="140"/>
  <c r="E72" i="140"/>
  <c r="E76" i="140"/>
  <c r="E77" i="140"/>
  <c r="E80" i="140"/>
  <c r="E79" i="140"/>
  <c r="E82" i="140"/>
  <c r="E56" i="140"/>
  <c r="E44" i="140"/>
  <c r="E81" i="140"/>
  <c r="E78" i="140"/>
  <c r="E47" i="140"/>
  <c r="E46" i="140"/>
  <c r="E55" i="140"/>
  <c r="K34" i="163" l="1"/>
  <c r="K68" i="163" s="1"/>
  <c r="K70" i="163" s="1"/>
  <c r="K75" i="163" s="1"/>
  <c r="K68" i="156"/>
  <c r="K73" i="156" s="1"/>
  <c r="K76" i="156" s="1"/>
  <c r="K67" i="157"/>
  <c r="K72" i="157" s="1"/>
  <c r="K75" i="157" s="1"/>
  <c r="K69" i="158"/>
  <c r="K74" i="158" s="1"/>
  <c r="K77" i="158" s="1"/>
  <c r="K33" i="137"/>
  <c r="K68" i="137" s="1"/>
  <c r="K70" i="137" s="1"/>
  <c r="K75" i="137" s="1"/>
  <c r="E10" i="57"/>
  <c r="K67" i="151"/>
  <c r="K72" i="151" s="1"/>
  <c r="K75" i="151" s="1"/>
  <c r="K68" i="153"/>
  <c r="K73" i="153" s="1"/>
  <c r="K76" i="153" s="1"/>
  <c r="K69" i="152"/>
  <c r="K74" i="152" s="1"/>
  <c r="K77" i="152" s="1"/>
  <c r="K67" i="150"/>
  <c r="K72" i="150" s="1"/>
  <c r="K75" i="150" s="1"/>
  <c r="K67" i="149"/>
  <c r="K72" i="149" s="1"/>
  <c r="K75" i="149" s="1"/>
  <c r="K67" i="67"/>
  <c r="K75" i="67" s="1"/>
  <c r="K66" i="84"/>
  <c r="K74" i="84" s="1"/>
  <c r="K66" i="141"/>
  <c r="K74" i="141" s="1"/>
  <c r="K67" i="71"/>
  <c r="K75" i="71" s="1"/>
  <c r="K66" i="142"/>
  <c r="K74" i="142" s="1"/>
  <c r="K67" i="78"/>
  <c r="K75" i="78" s="1"/>
  <c r="K66" i="83"/>
  <c r="K74" i="83" s="1"/>
  <c r="K66" i="76"/>
  <c r="K74" i="76" s="1"/>
  <c r="K69" i="77"/>
  <c r="K67" i="126"/>
  <c r="K75" i="126" s="1"/>
  <c r="K66" i="81"/>
  <c r="K74" i="81" s="1"/>
  <c r="K66" i="144"/>
  <c r="K74" i="144" s="1"/>
  <c r="K67" i="69"/>
  <c r="K75" i="69" s="1"/>
  <c r="K68" i="73"/>
  <c r="K76" i="73" s="1"/>
  <c r="K66" i="82"/>
  <c r="K74" i="82" s="1"/>
  <c r="K71" i="125"/>
  <c r="K79" i="125" s="1"/>
  <c r="K68" i="3"/>
  <c r="K76" i="3" s="1"/>
  <c r="K67" i="143"/>
  <c r="K75" i="143" s="1"/>
  <c r="K66" i="68"/>
  <c r="K74" i="68" s="1"/>
  <c r="K33" i="128"/>
  <c r="E66" i="70"/>
  <c r="E42" i="148"/>
  <c r="E66" i="74"/>
  <c r="E28" i="148"/>
  <c r="K34" i="138"/>
  <c r="J18" i="143"/>
  <c r="J19" i="144"/>
  <c r="J19" i="70"/>
  <c r="K19" i="70" s="1"/>
  <c r="J18" i="142"/>
  <c r="J18" i="69"/>
  <c r="K18" i="69" s="1"/>
  <c r="J19" i="83"/>
  <c r="K19" i="83" s="1"/>
  <c r="J22" i="141"/>
  <c r="K65" i="88"/>
  <c r="K33" i="135"/>
  <c r="K33" i="133"/>
  <c r="J22" i="126"/>
  <c r="K22" i="126" s="1"/>
  <c r="J22" i="81"/>
  <c r="K22" i="81" s="1"/>
  <c r="K33" i="134"/>
  <c r="K34" i="132"/>
  <c r="K33" i="127"/>
  <c r="K33" i="131"/>
  <c r="K33" i="129"/>
  <c r="K34" i="130"/>
  <c r="J22" i="125"/>
  <c r="K33" i="124"/>
  <c r="J33" i="65"/>
  <c r="J22" i="73"/>
  <c r="K22" i="73" s="1"/>
  <c r="J22" i="76"/>
  <c r="K22" i="76" s="1"/>
  <c r="K33" i="123"/>
  <c r="J33" i="62"/>
  <c r="J33" i="122"/>
  <c r="K33" i="122"/>
  <c r="K33" i="121"/>
  <c r="J33" i="121"/>
  <c r="K33" i="120"/>
  <c r="J33" i="90"/>
  <c r="K33" i="119"/>
  <c r="K33" i="118"/>
  <c r="K33" i="86"/>
  <c r="K33" i="60"/>
  <c r="K33" i="64"/>
  <c r="J33" i="63"/>
  <c r="J23" i="73"/>
  <c r="K23" i="73" s="1"/>
  <c r="J20" i="84"/>
  <c r="K20" i="84" s="1"/>
  <c r="K33" i="94"/>
  <c r="K33" i="107"/>
  <c r="K32" i="108"/>
  <c r="K33" i="66"/>
  <c r="K33" i="63"/>
  <c r="K34" i="92"/>
  <c r="K33" i="97"/>
  <c r="K33" i="80"/>
  <c r="J33" i="86"/>
  <c r="K33" i="90"/>
  <c r="K33" i="106"/>
  <c r="K33" i="87"/>
  <c r="J23" i="76"/>
  <c r="K23" i="76" s="1"/>
  <c r="J21" i="78"/>
  <c r="K21" i="78" s="1"/>
  <c r="J21" i="74"/>
  <c r="K21" i="74" s="1"/>
  <c r="J23" i="3"/>
  <c r="K23" i="3" s="1"/>
  <c r="K33" i="113"/>
  <c r="K33" i="95"/>
  <c r="K33" i="109"/>
  <c r="K33" i="105"/>
  <c r="K34" i="91"/>
  <c r="K33" i="102"/>
  <c r="K33" i="104"/>
  <c r="K33" i="103"/>
  <c r="J20" i="74"/>
  <c r="K20" i="74" s="1"/>
  <c r="J22" i="3"/>
  <c r="K22" i="3" s="1"/>
  <c r="J19" i="71"/>
  <c r="K19" i="71" s="1"/>
  <c r="J22" i="67"/>
  <c r="K22" i="67" s="1"/>
  <c r="K33" i="67" s="1"/>
  <c r="K33" i="101"/>
  <c r="K33" i="65"/>
  <c r="K33" i="98"/>
  <c r="K33" i="79"/>
  <c r="K34" i="93"/>
  <c r="K34" i="89"/>
  <c r="K33" i="85"/>
  <c r="K33" i="62"/>
  <c r="K33" i="61"/>
  <c r="J21" i="72"/>
  <c r="I4" i="57"/>
  <c r="J4" i="57" s="1"/>
  <c r="I3" i="57"/>
  <c r="J3" i="57" s="1"/>
  <c r="L10" i="52"/>
  <c r="T9" i="52"/>
  <c r="R9" i="52"/>
  <c r="P9" i="52"/>
  <c r="N9" i="52"/>
  <c r="U9" i="52"/>
  <c r="S9" i="52"/>
  <c r="Q9" i="52"/>
  <c r="O9" i="52"/>
  <c r="M9" i="52"/>
  <c r="E33" i="140"/>
  <c r="E17" i="140"/>
  <c r="E36" i="140"/>
  <c r="E83" i="140"/>
  <c r="E35" i="140"/>
  <c r="E28" i="140"/>
  <c r="E19" i="140"/>
  <c r="K78" i="163" l="1"/>
  <c r="K77" i="77"/>
  <c r="K66" i="70"/>
  <c r="K74" i="70" s="1"/>
  <c r="K66" i="74"/>
  <c r="K74" i="74" s="1"/>
  <c r="K67" i="88"/>
  <c r="K72" i="88" s="1"/>
  <c r="K75" i="88" s="1"/>
  <c r="K69" i="138"/>
  <c r="K71" i="138" s="1"/>
  <c r="K76" i="138" s="1"/>
  <c r="K33" i="69"/>
  <c r="J33" i="144"/>
  <c r="K19" i="144"/>
  <c r="K33" i="144" s="1"/>
  <c r="K18" i="143"/>
  <c r="K33" i="143" s="1"/>
  <c r="J33" i="143"/>
  <c r="K18" i="142"/>
  <c r="K33" i="142" s="1"/>
  <c r="J33" i="142"/>
  <c r="K33" i="83"/>
  <c r="J33" i="141"/>
  <c r="K22" i="141"/>
  <c r="K33" i="141" s="1"/>
  <c r="K69" i="92"/>
  <c r="K71" i="92" s="1"/>
  <c r="K76" i="92" s="1"/>
  <c r="K79" i="92" s="1"/>
  <c r="K66" i="121"/>
  <c r="K68" i="121" s="1"/>
  <c r="K73" i="121" s="1"/>
  <c r="K76" i="121" s="1"/>
  <c r="K67" i="98"/>
  <c r="K69" i="98" s="1"/>
  <c r="K74" i="98" s="1"/>
  <c r="K77" i="98" s="1"/>
  <c r="K67" i="95"/>
  <c r="K69" i="95" s="1"/>
  <c r="K74" i="95" s="1"/>
  <c r="K77" i="95" s="1"/>
  <c r="K66" i="87"/>
  <c r="K68" i="87" s="1"/>
  <c r="K73" i="87" s="1"/>
  <c r="K76" i="87" s="1"/>
  <c r="K66" i="66"/>
  <c r="K68" i="66" s="1"/>
  <c r="K73" i="66" s="1"/>
  <c r="K76" i="66" s="1"/>
  <c r="K66" i="60"/>
  <c r="K68" i="60" s="1"/>
  <c r="K73" i="60" s="1"/>
  <c r="K66" i="122"/>
  <c r="K68" i="122" s="1"/>
  <c r="K73" i="122" s="1"/>
  <c r="K76" i="122" s="1"/>
  <c r="K67" i="134"/>
  <c r="K69" i="134" s="1"/>
  <c r="K74" i="134" s="1"/>
  <c r="K77" i="134" s="1"/>
  <c r="K65" i="61"/>
  <c r="K67" i="61" s="1"/>
  <c r="K72" i="61" s="1"/>
  <c r="K75" i="61" s="1"/>
  <c r="K67" i="65"/>
  <c r="K69" i="65" s="1"/>
  <c r="K74" i="65" s="1"/>
  <c r="K77" i="65" s="1"/>
  <c r="K66" i="104"/>
  <c r="K68" i="104" s="1"/>
  <c r="K73" i="104" s="1"/>
  <c r="K76" i="104" s="1"/>
  <c r="K66" i="113"/>
  <c r="K68" i="113" s="1"/>
  <c r="K73" i="113" s="1"/>
  <c r="K76" i="113" s="1"/>
  <c r="K66" i="106"/>
  <c r="K68" i="106" s="1"/>
  <c r="K73" i="106" s="1"/>
  <c r="K76" i="106" s="1"/>
  <c r="K65" i="108"/>
  <c r="K67" i="108" s="1"/>
  <c r="K72" i="108" s="1"/>
  <c r="K75" i="108" s="1"/>
  <c r="K65" i="86"/>
  <c r="K67" i="86" s="1"/>
  <c r="K72" i="86" s="1"/>
  <c r="K75" i="86" s="1"/>
  <c r="K66" i="63"/>
  <c r="K68" i="63" s="1"/>
  <c r="K73" i="63" s="1"/>
  <c r="K76" i="63" s="1"/>
  <c r="K66" i="135"/>
  <c r="K68" i="135" s="1"/>
  <c r="K73" i="135" s="1"/>
  <c r="K76" i="135" s="1"/>
  <c r="K65" i="90"/>
  <c r="K67" i="90" s="1"/>
  <c r="K72" i="90" s="1"/>
  <c r="K75" i="90" s="1"/>
  <c r="K66" i="67"/>
  <c r="K68" i="67" s="1"/>
  <c r="K73" i="67" s="1"/>
  <c r="K76" i="67" s="1"/>
  <c r="K67" i="94"/>
  <c r="K69" i="94" s="1"/>
  <c r="K74" i="94" s="1"/>
  <c r="K77" i="94" s="1"/>
  <c r="K66" i="119"/>
  <c r="K68" i="119" s="1"/>
  <c r="K73" i="119" s="1"/>
  <c r="K67" i="123"/>
  <c r="K69" i="123" s="1"/>
  <c r="K74" i="123" s="1"/>
  <c r="K77" i="123" s="1"/>
  <c r="K69" i="129"/>
  <c r="K71" i="129" s="1"/>
  <c r="K76" i="129" s="1"/>
  <c r="K79" i="129" s="1"/>
  <c r="K66" i="109"/>
  <c r="K68" i="109" s="1"/>
  <c r="K73" i="109" s="1"/>
  <c r="K76" i="109" s="1"/>
  <c r="K67" i="127"/>
  <c r="K69" i="127" s="1"/>
  <c r="K74" i="127" s="1"/>
  <c r="K77" i="127" s="1"/>
  <c r="K65" i="64"/>
  <c r="K67" i="64" s="1"/>
  <c r="K72" i="64" s="1"/>
  <c r="K75" i="64" s="1"/>
  <c r="K66" i="132"/>
  <c r="K68" i="132" s="1"/>
  <c r="K73" i="132" s="1"/>
  <c r="K76" i="132" s="1"/>
  <c r="K66" i="101"/>
  <c r="K68" i="101" s="1"/>
  <c r="K73" i="101" s="1"/>
  <c r="K76" i="101" s="1"/>
  <c r="K66" i="102"/>
  <c r="K68" i="102" s="1"/>
  <c r="K73" i="102" s="1"/>
  <c r="K76" i="102" s="1"/>
  <c r="K67" i="89"/>
  <c r="K69" i="89" s="1"/>
  <c r="K74" i="89" s="1"/>
  <c r="K77" i="89" s="1"/>
  <c r="K70" i="91"/>
  <c r="K72" i="91" s="1"/>
  <c r="K77" i="91" s="1"/>
  <c r="K80" i="91" s="1"/>
  <c r="K66" i="80"/>
  <c r="K68" i="80" s="1"/>
  <c r="K73" i="80" s="1"/>
  <c r="K76" i="80" s="1"/>
  <c r="K68" i="128"/>
  <c r="K70" i="128" s="1"/>
  <c r="K75" i="128" s="1"/>
  <c r="K65" i="133"/>
  <c r="K67" i="133" s="1"/>
  <c r="K72" i="133" s="1"/>
  <c r="K75" i="133" s="1"/>
  <c r="K66" i="79"/>
  <c r="K68" i="79" s="1"/>
  <c r="K73" i="79" s="1"/>
  <c r="K76" i="79" s="1"/>
  <c r="K65" i="124"/>
  <c r="K67" i="124" s="1"/>
  <c r="K72" i="124" s="1"/>
  <c r="K75" i="124" s="1"/>
  <c r="K66" i="103"/>
  <c r="K68" i="103" s="1"/>
  <c r="K73" i="103" s="1"/>
  <c r="K76" i="103" s="1"/>
  <c r="K65" i="62"/>
  <c r="K67" i="62" s="1"/>
  <c r="K72" i="62" s="1"/>
  <c r="K75" i="62" s="1"/>
  <c r="K66" i="107"/>
  <c r="K68" i="107" s="1"/>
  <c r="K73" i="107" s="1"/>
  <c r="K76" i="107" s="1"/>
  <c r="K66" i="118"/>
  <c r="K68" i="118" s="1"/>
  <c r="K73" i="118" s="1"/>
  <c r="K71" i="130"/>
  <c r="K73" i="130" s="1"/>
  <c r="K78" i="130" s="1"/>
  <c r="K81" i="130" s="1"/>
  <c r="K65" i="85"/>
  <c r="K67" i="85" s="1"/>
  <c r="K72" i="85" s="1"/>
  <c r="K70" i="93"/>
  <c r="K72" i="93" s="1"/>
  <c r="K77" i="93" s="1"/>
  <c r="K80" i="93" s="1"/>
  <c r="K66" i="105"/>
  <c r="K68" i="105" s="1"/>
  <c r="K73" i="105" s="1"/>
  <c r="K76" i="105" s="1"/>
  <c r="K68" i="97"/>
  <c r="K70" i="97" s="1"/>
  <c r="K75" i="97" s="1"/>
  <c r="K66" i="120"/>
  <c r="K68" i="120" s="1"/>
  <c r="K73" i="120" s="1"/>
  <c r="K76" i="120" s="1"/>
  <c r="K66" i="131"/>
  <c r="K68" i="131" s="1"/>
  <c r="K73" i="131" s="1"/>
  <c r="K76" i="131" s="1"/>
  <c r="J34" i="125"/>
  <c r="K33" i="81"/>
  <c r="K22" i="125"/>
  <c r="K34" i="125" s="1"/>
  <c r="K33" i="126"/>
  <c r="J33" i="126"/>
  <c r="K33" i="77"/>
  <c r="J33" i="73"/>
  <c r="K33" i="73"/>
  <c r="J33" i="69"/>
  <c r="J33" i="67"/>
  <c r="J33" i="83"/>
  <c r="K33" i="84"/>
  <c r="J33" i="84"/>
  <c r="J33" i="81"/>
  <c r="K33" i="82"/>
  <c r="J33" i="82"/>
  <c r="K33" i="78"/>
  <c r="J33" i="78"/>
  <c r="J33" i="77"/>
  <c r="K33" i="76"/>
  <c r="J33" i="76"/>
  <c r="K33" i="74"/>
  <c r="J33" i="74"/>
  <c r="K21" i="72"/>
  <c r="K33" i="72" s="1"/>
  <c r="K65" i="72" s="1"/>
  <c r="K67" i="72" s="1"/>
  <c r="K72" i="72" s="1"/>
  <c r="J33" i="72"/>
  <c r="K34" i="3"/>
  <c r="J34" i="3"/>
  <c r="K33" i="71"/>
  <c r="J33" i="71"/>
  <c r="K33" i="70"/>
  <c r="J33" i="70"/>
  <c r="K33" i="68"/>
  <c r="J33" i="68"/>
  <c r="L11" i="52"/>
  <c r="T10" i="52"/>
  <c r="R10" i="52"/>
  <c r="P10" i="52"/>
  <c r="N10" i="52"/>
  <c r="U10" i="52"/>
  <c r="S10" i="52"/>
  <c r="Q10" i="52"/>
  <c r="O10" i="52"/>
  <c r="M10" i="52"/>
  <c r="E45" i="140"/>
  <c r="E69" i="140"/>
  <c r="E11" i="140"/>
  <c r="E8" i="140"/>
  <c r="E5" i="140"/>
  <c r="E14" i="140"/>
  <c r="E42" i="140"/>
  <c r="E9" i="140"/>
  <c r="E7" i="140"/>
  <c r="E6" i="140"/>
  <c r="E57" i="140"/>
  <c r="E10" i="140"/>
  <c r="E53" i="140"/>
  <c r="E16" i="140"/>
  <c r="E65" i="140"/>
  <c r="E59" i="140"/>
  <c r="E58" i="140"/>
  <c r="E12" i="140"/>
  <c r="E13" i="140"/>
  <c r="E15" i="140"/>
  <c r="K78" i="128" l="1"/>
  <c r="K78" i="97"/>
  <c r="K65" i="83"/>
  <c r="K67" i="83" s="1"/>
  <c r="K72" i="83" s="1"/>
  <c r="K75" i="83" s="1"/>
  <c r="K65" i="144"/>
  <c r="K67" i="144" s="1"/>
  <c r="K72" i="144" s="1"/>
  <c r="K75" i="144" s="1"/>
  <c r="K66" i="143"/>
  <c r="K68" i="143" s="1"/>
  <c r="K73" i="143" s="1"/>
  <c r="K76" i="143" s="1"/>
  <c r="K66" i="69"/>
  <c r="K68" i="69" s="1"/>
  <c r="K73" i="69" s="1"/>
  <c r="K76" i="69" s="1"/>
  <c r="K65" i="142"/>
  <c r="K67" i="142" s="1"/>
  <c r="K72" i="142" s="1"/>
  <c r="K75" i="142" s="1"/>
  <c r="K65" i="141"/>
  <c r="K67" i="141" s="1"/>
  <c r="K72" i="141" s="1"/>
  <c r="K75" i="141" s="1"/>
  <c r="K67" i="3"/>
  <c r="K69" i="3" s="1"/>
  <c r="K74" i="3" s="1"/>
  <c r="K77" i="3" s="1"/>
  <c r="K66" i="126"/>
  <c r="K68" i="126" s="1"/>
  <c r="K73" i="126" s="1"/>
  <c r="K76" i="126" s="1"/>
  <c r="K65" i="76"/>
  <c r="K67" i="76" s="1"/>
  <c r="K72" i="76" s="1"/>
  <c r="K75" i="76" s="1"/>
  <c r="K67" i="73"/>
  <c r="K69" i="73" s="1"/>
  <c r="K74" i="73" s="1"/>
  <c r="K77" i="73" s="1"/>
  <c r="K65" i="81"/>
  <c r="K67" i="81" s="1"/>
  <c r="K72" i="81" s="1"/>
  <c r="K75" i="81" s="1"/>
  <c r="K66" i="71"/>
  <c r="K68" i="71" s="1"/>
  <c r="K73" i="71" s="1"/>
  <c r="K76" i="71" s="1"/>
  <c r="K68" i="77"/>
  <c r="K66" i="78"/>
  <c r="K68" i="78" s="1"/>
  <c r="K73" i="78" s="1"/>
  <c r="K76" i="78" s="1"/>
  <c r="K65" i="82"/>
  <c r="K67" i="82" s="1"/>
  <c r="K72" i="82" s="1"/>
  <c r="K75" i="82" s="1"/>
  <c r="K65" i="84"/>
  <c r="K67" i="84" s="1"/>
  <c r="K72" i="84" s="1"/>
  <c r="K75" i="84" s="1"/>
  <c r="K70" i="125"/>
  <c r="K72" i="125" s="1"/>
  <c r="K77" i="125" s="1"/>
  <c r="K80" i="125" s="1"/>
  <c r="B15" i="57" s="1"/>
  <c r="K65" i="68"/>
  <c r="K67" i="68" s="1"/>
  <c r="K72" i="68" s="1"/>
  <c r="K75" i="68" s="1"/>
  <c r="K65" i="70"/>
  <c r="K67" i="70" s="1"/>
  <c r="K72" i="70" s="1"/>
  <c r="K75" i="70" s="1"/>
  <c r="K65" i="74"/>
  <c r="K67" i="74" s="1"/>
  <c r="K72" i="74" s="1"/>
  <c r="K75" i="74" s="1"/>
  <c r="L12" i="52"/>
  <c r="T11" i="52"/>
  <c r="R11" i="52"/>
  <c r="P11" i="52"/>
  <c r="N11" i="52"/>
  <c r="U11" i="52"/>
  <c r="S11" i="52"/>
  <c r="Q11" i="52"/>
  <c r="O11" i="52"/>
  <c r="M11" i="52"/>
  <c r="E31" i="140"/>
  <c r="E20" i="140"/>
  <c r="E32" i="140"/>
  <c r="E30" i="140"/>
  <c r="E23" i="140"/>
  <c r="E18" i="140"/>
  <c r="E29" i="140"/>
  <c r="E40" i="140"/>
  <c r="E21" i="140"/>
  <c r="E34" i="140"/>
  <c r="E38" i="140"/>
  <c r="E24" i="140"/>
  <c r="E37" i="140"/>
  <c r="E27" i="140"/>
  <c r="E22" i="140"/>
  <c r="E50" i="140"/>
  <c r="E26" i="140"/>
  <c r="E39" i="140"/>
  <c r="E51" i="140"/>
  <c r="E49" i="140"/>
  <c r="E25" i="140"/>
  <c r="E48" i="140"/>
  <c r="K70" i="77" l="1"/>
  <c r="K75" i="77" s="1"/>
  <c r="K78" i="77" s="1"/>
  <c r="B14" i="57" s="1"/>
  <c r="L13" i="52"/>
  <c r="T12" i="52"/>
  <c r="R12" i="52"/>
  <c r="P12" i="52"/>
  <c r="N12" i="52"/>
  <c r="U12" i="52"/>
  <c r="S12" i="52"/>
  <c r="Q12" i="52"/>
  <c r="O12" i="52"/>
  <c r="M12" i="52"/>
  <c r="E41" i="140"/>
  <c r="A88" i="140" l="1"/>
  <c r="B9" i="57"/>
  <c r="B12" i="57"/>
  <c r="B11" i="57"/>
  <c r="A89" i="140"/>
  <c r="B13" i="57"/>
  <c r="B10" i="57"/>
  <c r="B86" i="140"/>
  <c r="L14" i="52"/>
  <c r="T13" i="52"/>
  <c r="R13" i="52"/>
  <c r="P13" i="52"/>
  <c r="N13" i="52"/>
  <c r="U13" i="52"/>
  <c r="S13" i="52"/>
  <c r="Q13" i="52"/>
  <c r="O13" i="52"/>
  <c r="M13" i="52"/>
  <c r="L15" i="52" l="1"/>
  <c r="T14" i="52"/>
  <c r="R14" i="52"/>
  <c r="P14" i="52"/>
  <c r="N14" i="52"/>
  <c r="U14" i="52"/>
  <c r="S14" i="52"/>
  <c r="Q14" i="52"/>
  <c r="O14" i="52"/>
  <c r="M14" i="52"/>
  <c r="L16" i="52" l="1"/>
  <c r="T15" i="52"/>
  <c r="R15" i="52"/>
  <c r="P15" i="52"/>
  <c r="N15" i="52"/>
  <c r="U15" i="52"/>
  <c r="S15" i="52"/>
  <c r="Q15" i="52"/>
  <c r="O15" i="52"/>
  <c r="M15" i="52"/>
  <c r="L17" i="52" l="1"/>
  <c r="T16" i="52"/>
  <c r="R16" i="52"/>
  <c r="P16" i="52"/>
  <c r="N16" i="52"/>
  <c r="U16" i="52"/>
  <c r="S16" i="52"/>
  <c r="Q16" i="52"/>
  <c r="O16" i="52"/>
  <c r="M16" i="52"/>
  <c r="L18" i="52" l="1"/>
  <c r="T17" i="52"/>
  <c r="R17" i="52"/>
  <c r="P17" i="52"/>
  <c r="N17" i="52"/>
  <c r="U17" i="52"/>
  <c r="S17" i="52"/>
  <c r="Q17" i="52"/>
  <c r="O17" i="52"/>
  <c r="M17" i="52"/>
  <c r="L19" i="52" l="1"/>
  <c r="T18" i="52"/>
  <c r="R18" i="52"/>
  <c r="P18" i="52"/>
  <c r="N18" i="52"/>
  <c r="U18" i="52"/>
  <c r="S18" i="52"/>
  <c r="Q18" i="52"/>
  <c r="O18" i="52"/>
  <c r="M18" i="52"/>
  <c r="L20" i="52" l="1"/>
  <c r="T19" i="52"/>
  <c r="R19" i="52"/>
  <c r="P19" i="52"/>
  <c r="N19" i="52"/>
  <c r="U19" i="52"/>
  <c r="S19" i="52"/>
  <c r="Q19" i="52"/>
  <c r="O19" i="52"/>
  <c r="M19" i="52"/>
  <c r="L21" i="52" l="1"/>
  <c r="T20" i="52"/>
  <c r="R20" i="52"/>
  <c r="P20" i="52"/>
  <c r="N20" i="52"/>
  <c r="U20" i="52"/>
  <c r="S20" i="52"/>
  <c r="Q20" i="52"/>
  <c r="O20" i="52"/>
  <c r="M20" i="52"/>
  <c r="T21" i="52" l="1"/>
  <c r="R21" i="52"/>
  <c r="P21" i="52"/>
  <c r="N21" i="52"/>
  <c r="U21" i="52"/>
  <c r="S21" i="52"/>
  <c r="Q21" i="52"/>
  <c r="O21" i="52"/>
  <c r="M21" i="5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<sst xmlns="http://schemas.openxmlformats.org/spreadsheetml/2006/main" count="9090" uniqueCount="983">
  <si>
    <t>Institute of Agriculture and Natural Resources</t>
  </si>
  <si>
    <t>EC872</t>
  </si>
  <si>
    <t>The following individuals contributed to these budgets in their specialty area:</t>
  </si>
  <si>
    <t>Cody Creech</t>
  </si>
  <si>
    <t>Robert Harveson</t>
  </si>
  <si>
    <t>Extension Plant Pathologist - Specialty Crops</t>
  </si>
  <si>
    <t>Tamra Jackson-Ziems</t>
  </si>
  <si>
    <t>Extension Plant Pathologist - Corn and Sorghum</t>
  </si>
  <si>
    <t>Paul Jasa</t>
  </si>
  <si>
    <t>Extension Biological Systems Engineer</t>
  </si>
  <si>
    <t>Nevin Lawrence</t>
  </si>
  <si>
    <t>Dylan Mangel</t>
  </si>
  <si>
    <t>Extension Plant Pathologist - Soybeans</t>
  </si>
  <si>
    <t>Jay Parsons</t>
  </si>
  <si>
    <t>Chris Proctor</t>
  </si>
  <si>
    <t>Extension Educator - Weed Management</t>
  </si>
  <si>
    <t>Stephen Wegulo</t>
  </si>
  <si>
    <t>Extension Plant Pathologist - Wheat and Ornamental</t>
  </si>
  <si>
    <t>Extension Entomologist</t>
  </si>
  <si>
    <t>Farm Wide Inputs</t>
  </si>
  <si>
    <t>Region</t>
  </si>
  <si>
    <t>Year</t>
  </si>
  <si>
    <t>Real Estate Values</t>
  </si>
  <si>
    <t>Wage Rate</t>
  </si>
  <si>
    <t>/ Hr</t>
  </si>
  <si>
    <t>Description</t>
  </si>
  <si>
    <t>Value</t>
  </si>
  <si>
    <t xml:space="preserve">Eastern Nebraska </t>
  </si>
  <si>
    <t>Diesel Price</t>
  </si>
  <si>
    <t>/ gal</t>
  </si>
  <si>
    <t>Dryland (State)</t>
  </si>
  <si>
    <t>Lube Factor</t>
  </si>
  <si>
    <t>Dryland (Panhandle)</t>
  </si>
  <si>
    <t>Diesel &amp; Lube</t>
  </si>
  <si>
    <t>Gravity (State)</t>
  </si>
  <si>
    <t>Elect. Price</t>
  </si>
  <si>
    <t>/ kWh</t>
  </si>
  <si>
    <t>Gravity (Panhandle)</t>
  </si>
  <si>
    <t>Tillage System</t>
  </si>
  <si>
    <t>Taxes, Ins., Housing Factor</t>
  </si>
  <si>
    <t>Pivot (State)</t>
  </si>
  <si>
    <t>Investment Interest Rate</t>
  </si>
  <si>
    <t>Pivot (Panhandle)</t>
  </si>
  <si>
    <t>Conventional Tillage</t>
  </si>
  <si>
    <t>Operations Borrowing Rate</t>
  </si>
  <si>
    <t>Dryland (Southwest)</t>
  </si>
  <si>
    <t>No Till</t>
  </si>
  <si>
    <t>Operations Borrowing Time</t>
  </si>
  <si>
    <t>months</t>
  </si>
  <si>
    <t>Fall Establishment</t>
  </si>
  <si>
    <t>Ridge Till</t>
  </si>
  <si>
    <t>Real Estate Tax Rate</t>
  </si>
  <si>
    <t>Pivot (Marginal Land)</t>
  </si>
  <si>
    <t>Strip Till</t>
  </si>
  <si>
    <t>Dryland (Eastern)</t>
  </si>
  <si>
    <t>Stubble Mulch Fallow</t>
  </si>
  <si>
    <t>Clean Till Fallow</t>
  </si>
  <si>
    <t>Ecofallow</t>
  </si>
  <si>
    <t>Reduced Till</t>
  </si>
  <si>
    <t>Tilled Seed Bed</t>
  </si>
  <si>
    <t>No Till Drilled 7.5-inch Rows</t>
  </si>
  <si>
    <t>One Pass Zone-Tillage</t>
  </si>
  <si>
    <t>Continuous</t>
  </si>
  <si>
    <t>Following Corn</t>
  </si>
  <si>
    <t>Following Beans</t>
  </si>
  <si>
    <t>Ecofallow Follows Wheat (2 crops in 3 years)</t>
  </si>
  <si>
    <t>Ecofallow Before Corn (2 crops in 3 years)</t>
  </si>
  <si>
    <t>1 crop in 2 years</t>
  </si>
  <si>
    <t>Water Source</t>
  </si>
  <si>
    <t>Pivot Irrigated Diesel</t>
  </si>
  <si>
    <t>Pivot Irrigated Electric</t>
  </si>
  <si>
    <t>Gravity Irrigated Diesel, fed by a well</t>
  </si>
  <si>
    <t>Pivot Irrigated, fed by canal</t>
  </si>
  <si>
    <t>Gravity Irrigated, fed by canal</t>
  </si>
  <si>
    <t>Dryland</t>
  </si>
  <si>
    <t>Name</t>
  </si>
  <si>
    <t>Repair Category</t>
  </si>
  <si>
    <t>Depreciation Category</t>
  </si>
  <si>
    <t>List Price</t>
  </si>
  <si>
    <t>Beg Yr Value</t>
  </si>
  <si>
    <t>Age</t>
  </si>
  <si>
    <t>Tach Hours</t>
  </si>
  <si>
    <t>Est. Hours per Year</t>
  </si>
  <si>
    <t>Calculated List Price</t>
  </si>
  <si>
    <t>Repairs per Hour</t>
  </si>
  <si>
    <t>Calculated Beg Yr. Value</t>
  </si>
  <si>
    <t>Calculated End Yr. Value</t>
  </si>
  <si>
    <t>Depreciation per Hour</t>
  </si>
  <si>
    <t>TIH per Hour</t>
  </si>
  <si>
    <t>Opportunity Cost per Hour</t>
  </si>
  <si>
    <t>Ownership Cost per Hour</t>
  </si>
  <si>
    <t>Machine</t>
  </si>
  <si>
    <t>Catogory</t>
  </si>
  <si>
    <t>RF1</t>
  </si>
  <si>
    <t>RF2</t>
  </si>
  <si>
    <t>Estimated Life</t>
  </si>
  <si>
    <r>
      <t xml:space="preserve"> </t>
    </r>
    <r>
      <rPr>
        <sz val="12"/>
        <color indexed="63"/>
        <rFont val="Calibri"/>
        <family val="2"/>
        <scheme val="minor"/>
      </rPr>
      <t>Equipment type</t>
    </r>
    <r>
      <rPr>
        <sz val="12"/>
        <rFont val="Calibri"/>
        <family val="2"/>
        <scheme val="minor"/>
      </rPr>
      <t xml:space="preserve"> </t>
    </r>
  </si>
  <si>
    <r>
      <t xml:space="preserve"> </t>
    </r>
    <r>
      <rPr>
        <i/>
        <sz val="12"/>
        <color indexed="63"/>
        <rFont val="Calibri"/>
        <family val="2"/>
        <scheme val="minor"/>
      </rPr>
      <t>C</t>
    </r>
    <r>
      <rPr>
        <sz val="12"/>
        <color indexed="63"/>
        <rFont val="Calibri"/>
        <family val="2"/>
        <scheme val="minor"/>
      </rPr>
      <t>1</t>
    </r>
    <r>
      <rPr>
        <sz val="12"/>
        <rFont val="Calibri"/>
        <family val="2"/>
        <scheme val="minor"/>
      </rPr>
      <t xml:space="preserve"> </t>
    </r>
  </si>
  <si>
    <r>
      <t xml:space="preserve"> </t>
    </r>
    <r>
      <rPr>
        <i/>
        <sz val="12"/>
        <color indexed="63"/>
        <rFont val="Calibri"/>
        <family val="2"/>
        <scheme val="minor"/>
      </rPr>
      <t>C</t>
    </r>
    <r>
      <rPr>
        <sz val="12"/>
        <color indexed="63"/>
        <rFont val="Calibri"/>
        <family val="2"/>
        <scheme val="minor"/>
      </rPr>
      <t>2</t>
    </r>
    <r>
      <rPr>
        <sz val="12"/>
        <rFont val="Calibri"/>
        <family val="2"/>
        <scheme val="minor"/>
      </rPr>
      <t xml:space="preserve"> </t>
    </r>
  </si>
  <si>
    <r>
      <t xml:space="preserve"> </t>
    </r>
    <r>
      <rPr>
        <i/>
        <sz val="12"/>
        <color indexed="63"/>
        <rFont val="Calibri"/>
        <family val="2"/>
        <scheme val="minor"/>
      </rPr>
      <t>C</t>
    </r>
    <r>
      <rPr>
        <sz val="12"/>
        <color indexed="63"/>
        <rFont val="Calibri"/>
        <family val="2"/>
        <scheme val="minor"/>
      </rPr>
      <t>3</t>
    </r>
    <r>
      <rPr>
        <sz val="12"/>
        <rFont val="Calibri"/>
        <family val="2"/>
        <scheme val="minor"/>
      </rPr>
      <t xml:space="preserve"> </t>
    </r>
  </si>
  <si>
    <t>Large Tractor</t>
  </si>
  <si>
    <t xml:space="preserve">4 wheel drive &amp; crawler </t>
  </si>
  <si>
    <t xml:space="preserve">Farm tractors (&gt;150hp) </t>
  </si>
  <si>
    <t>2 wheel drive &amp; stationary tractor</t>
  </si>
  <si>
    <r>
      <t xml:space="preserve"> </t>
    </r>
    <r>
      <rPr>
        <sz val="12"/>
        <color indexed="63"/>
        <rFont val="Calibri"/>
        <family val="2"/>
        <scheme val="minor"/>
      </rPr>
      <t>TRACTORS</t>
    </r>
    <r>
      <rPr>
        <sz val="12"/>
        <rFont val="Calibri"/>
        <family val="2"/>
        <scheme val="minor"/>
      </rPr>
      <t xml:space="preserve"> </t>
    </r>
  </si>
  <si>
    <r>
      <t xml:space="preserve"> </t>
    </r>
    <r>
      <rPr>
        <sz val="12"/>
        <color indexed="63"/>
        <rFont val="Calibri"/>
        <family val="2"/>
        <scheme val="minor"/>
      </rPr>
      <t>0.007</t>
    </r>
    <r>
      <rPr>
        <sz val="12"/>
        <rFont val="Calibri"/>
        <family val="2"/>
        <scheme val="minor"/>
      </rPr>
      <t xml:space="preserve"> </t>
    </r>
  </si>
  <si>
    <r>
      <t xml:space="preserve"> </t>
    </r>
    <r>
      <rPr>
        <sz val="12"/>
        <color indexed="63"/>
        <rFont val="Calibri"/>
        <family val="2"/>
        <scheme val="minor"/>
      </rPr>
      <t>2.0</t>
    </r>
    <r>
      <rPr>
        <sz val="12"/>
        <rFont val="Calibri"/>
        <family val="2"/>
        <scheme val="minor"/>
      </rPr>
      <t xml:space="preserve"> </t>
    </r>
  </si>
  <si>
    <r>
      <t xml:space="preserve"> </t>
    </r>
    <r>
      <rPr>
        <sz val="12"/>
        <color indexed="63"/>
        <rFont val="Calibri"/>
        <family val="2"/>
        <scheme val="minor"/>
      </rPr>
      <t>Farm tractors</t>
    </r>
    <r>
      <rPr>
        <sz val="12"/>
        <rFont val="Calibri"/>
        <family val="2"/>
        <scheme val="minor"/>
      </rPr>
      <t xml:space="preserve"> </t>
    </r>
  </si>
  <si>
    <r>
      <t xml:space="preserve">Farm tractors </t>
    </r>
    <r>
      <rPr>
        <sz val="12"/>
        <color indexed="63"/>
        <rFont val="Calibri"/>
        <family val="2"/>
        <scheme val="minor"/>
      </rPr>
      <t>(&lt;80hp)</t>
    </r>
    <r>
      <rPr>
        <sz val="12"/>
        <rFont val="Calibri"/>
        <family val="2"/>
        <scheme val="minor"/>
      </rPr>
      <t xml:space="preserve"> </t>
    </r>
  </si>
  <si>
    <r>
      <t xml:space="preserve"> </t>
    </r>
    <r>
      <rPr>
        <sz val="12"/>
        <color indexed="63"/>
        <rFont val="Calibri"/>
        <family val="2"/>
        <scheme val="minor"/>
      </rPr>
      <t>0.981</t>
    </r>
    <r>
      <rPr>
        <sz val="12"/>
        <rFont val="Calibri"/>
        <family val="2"/>
        <scheme val="minor"/>
      </rPr>
      <t xml:space="preserve"> </t>
    </r>
  </si>
  <si>
    <r>
      <t xml:space="preserve"> </t>
    </r>
    <r>
      <rPr>
        <sz val="12"/>
        <color indexed="63"/>
        <rFont val="Calibri"/>
        <family val="2"/>
        <scheme val="minor"/>
      </rPr>
      <t>0.093</t>
    </r>
    <r>
      <rPr>
        <sz val="12"/>
        <rFont val="Calibri"/>
        <family val="2"/>
        <scheme val="minor"/>
      </rPr>
      <t xml:space="preserve"> </t>
    </r>
  </si>
  <si>
    <r>
      <t xml:space="preserve"> </t>
    </r>
    <r>
      <rPr>
        <sz val="12"/>
        <color indexed="63"/>
        <rFont val="Calibri"/>
        <family val="2"/>
        <scheme val="minor"/>
      </rPr>
      <t>0.0058</t>
    </r>
    <r>
      <rPr>
        <sz val="12"/>
        <rFont val="Calibri"/>
        <family val="2"/>
        <scheme val="minor"/>
      </rPr>
      <t xml:space="preserve"> </t>
    </r>
  </si>
  <si>
    <t>Medium Tractor</t>
  </si>
  <si>
    <t xml:space="preserve">Farm tractors (80-150hp) </t>
  </si>
  <si>
    <r>
      <rPr>
        <sz val="12"/>
        <color indexed="63"/>
        <rFont val="Calibri"/>
        <family val="2"/>
        <scheme val="minor"/>
      </rPr>
      <t>4 wheel drive &amp; crawler</t>
    </r>
    <r>
      <rPr>
        <sz val="12"/>
        <rFont val="Calibri"/>
        <family val="2"/>
        <scheme val="minor"/>
      </rPr>
      <t xml:space="preserve"> </t>
    </r>
  </si>
  <si>
    <r>
      <t xml:space="preserve"> </t>
    </r>
    <r>
      <rPr>
        <sz val="12"/>
        <color indexed="63"/>
        <rFont val="Calibri"/>
        <family val="2"/>
        <scheme val="minor"/>
      </rPr>
      <t>0.003</t>
    </r>
    <r>
      <rPr>
        <sz val="12"/>
        <rFont val="Calibri"/>
        <family val="2"/>
        <scheme val="minor"/>
      </rPr>
      <t xml:space="preserve"> </t>
    </r>
  </si>
  <si>
    <r>
      <t xml:space="preserve">Farm tractors </t>
    </r>
    <r>
      <rPr>
        <sz val="12"/>
        <color indexed="63"/>
        <rFont val="Calibri"/>
        <family val="2"/>
        <scheme val="minor"/>
      </rPr>
      <t>(80-150hp)</t>
    </r>
    <r>
      <rPr>
        <sz val="12"/>
        <rFont val="Calibri"/>
        <family val="2"/>
        <scheme val="minor"/>
      </rPr>
      <t xml:space="preserve"> </t>
    </r>
  </si>
  <si>
    <r>
      <t xml:space="preserve"> </t>
    </r>
    <r>
      <rPr>
        <sz val="12"/>
        <color indexed="63"/>
        <rFont val="Calibri"/>
        <family val="2"/>
        <scheme val="minor"/>
      </rPr>
      <t>0.942</t>
    </r>
    <r>
      <rPr>
        <sz val="12"/>
        <rFont val="Calibri"/>
        <family val="2"/>
        <scheme val="minor"/>
      </rPr>
      <t xml:space="preserve"> </t>
    </r>
  </si>
  <si>
    <r>
      <t xml:space="preserve"> </t>
    </r>
    <r>
      <rPr>
        <sz val="12"/>
        <color indexed="63"/>
        <rFont val="Calibri"/>
        <family val="2"/>
        <scheme val="minor"/>
      </rPr>
      <t>0.100</t>
    </r>
    <r>
      <rPr>
        <sz val="12"/>
        <rFont val="Calibri"/>
        <family val="2"/>
        <scheme val="minor"/>
      </rPr>
      <t xml:space="preserve"> </t>
    </r>
  </si>
  <si>
    <r>
      <t xml:space="preserve"> </t>
    </r>
    <r>
      <rPr>
        <sz val="12"/>
        <color indexed="63"/>
        <rFont val="Calibri"/>
        <family val="2"/>
        <scheme val="minor"/>
      </rPr>
      <t>0.0008</t>
    </r>
    <r>
      <rPr>
        <sz val="12"/>
        <rFont val="Calibri"/>
        <family val="2"/>
        <scheme val="minor"/>
      </rPr>
      <t xml:space="preserve"> </t>
    </r>
  </si>
  <si>
    <t>Combine</t>
  </si>
  <si>
    <t xml:space="preserve">Combine(SP) </t>
  </si>
  <si>
    <t xml:space="preserve">Combines </t>
  </si>
  <si>
    <r>
      <rPr>
        <sz val="12"/>
        <color indexed="63"/>
        <rFont val="Calibri"/>
        <family val="2"/>
        <scheme val="minor"/>
      </rPr>
      <t>Combine(SP)</t>
    </r>
    <r>
      <rPr>
        <sz val="12"/>
        <rFont val="Calibri"/>
        <family val="2"/>
        <scheme val="minor"/>
      </rPr>
      <t xml:space="preserve"> </t>
    </r>
  </si>
  <si>
    <r>
      <t xml:space="preserve"> </t>
    </r>
    <r>
      <rPr>
        <sz val="12"/>
        <color indexed="63"/>
        <rFont val="Calibri"/>
        <family val="2"/>
        <scheme val="minor"/>
      </rPr>
      <t>HARVESTING</t>
    </r>
    <r>
      <rPr>
        <sz val="12"/>
        <rFont val="Calibri"/>
        <family val="2"/>
        <scheme val="minor"/>
      </rPr>
      <t xml:space="preserve"> </t>
    </r>
  </si>
  <si>
    <r>
      <t xml:space="preserve"> </t>
    </r>
    <r>
      <rPr>
        <sz val="12"/>
        <color indexed="63"/>
        <rFont val="Calibri"/>
        <family val="2"/>
        <scheme val="minor"/>
      </rPr>
      <t>0.04</t>
    </r>
    <r>
      <rPr>
        <sz val="12"/>
        <rFont val="Calibri"/>
        <family val="2"/>
        <scheme val="minor"/>
      </rPr>
      <t xml:space="preserve"> </t>
    </r>
  </si>
  <si>
    <r>
      <t xml:space="preserve"> </t>
    </r>
    <r>
      <rPr>
        <sz val="12"/>
        <color indexed="63"/>
        <rFont val="Calibri"/>
        <family val="2"/>
        <scheme val="minor"/>
      </rPr>
      <t>2.1</t>
    </r>
    <r>
      <rPr>
        <sz val="12"/>
        <rFont val="Calibri"/>
        <family val="2"/>
        <scheme val="minor"/>
      </rPr>
      <t xml:space="preserve"> </t>
    </r>
  </si>
  <si>
    <r>
      <t xml:space="preserve">Farm tractors </t>
    </r>
    <r>
      <rPr>
        <sz val="12"/>
        <color indexed="63"/>
        <rFont val="Calibri"/>
        <family val="2"/>
        <scheme val="minor"/>
      </rPr>
      <t>(&gt;150hp)</t>
    </r>
    <r>
      <rPr>
        <sz val="12"/>
        <rFont val="Calibri"/>
        <family val="2"/>
        <scheme val="minor"/>
      </rPr>
      <t xml:space="preserve"> </t>
    </r>
  </si>
  <si>
    <r>
      <t xml:space="preserve"> </t>
    </r>
    <r>
      <rPr>
        <sz val="12"/>
        <color indexed="63"/>
        <rFont val="Calibri"/>
        <family val="2"/>
        <scheme val="minor"/>
      </rPr>
      <t>0.976</t>
    </r>
    <r>
      <rPr>
        <sz val="12"/>
        <rFont val="Calibri"/>
        <family val="2"/>
        <scheme val="minor"/>
      </rPr>
      <t xml:space="preserve"> </t>
    </r>
  </si>
  <si>
    <r>
      <t xml:space="preserve"> </t>
    </r>
    <r>
      <rPr>
        <sz val="12"/>
        <color indexed="63"/>
        <rFont val="Calibri"/>
        <family val="2"/>
        <scheme val="minor"/>
      </rPr>
      <t>0.119</t>
    </r>
    <r>
      <rPr>
        <sz val="12"/>
        <rFont val="Calibri"/>
        <family val="2"/>
        <scheme val="minor"/>
      </rPr>
      <t xml:space="preserve"> </t>
    </r>
  </si>
  <si>
    <r>
      <t xml:space="preserve"> </t>
    </r>
    <r>
      <rPr>
        <sz val="12"/>
        <color indexed="63"/>
        <rFont val="Calibri"/>
        <family val="2"/>
        <scheme val="minor"/>
      </rPr>
      <t>0.0019</t>
    </r>
    <r>
      <rPr>
        <sz val="12"/>
        <rFont val="Calibri"/>
        <family val="2"/>
        <scheme val="minor"/>
      </rPr>
      <t xml:space="preserve"> </t>
    </r>
  </si>
  <si>
    <t>Diesel Pump</t>
  </si>
  <si>
    <r>
      <rPr>
        <sz val="12"/>
        <color indexed="63"/>
        <rFont val="Calibri"/>
        <family val="2"/>
        <scheme val="minor"/>
      </rPr>
      <t>Cotton picker(SP)</t>
    </r>
    <r>
      <rPr>
        <sz val="12"/>
        <rFont val="Calibri"/>
        <family val="2"/>
        <scheme val="minor"/>
      </rPr>
      <t xml:space="preserve"> </t>
    </r>
  </si>
  <si>
    <r>
      <t xml:space="preserve"> </t>
    </r>
    <r>
      <rPr>
        <sz val="12"/>
        <color indexed="63"/>
        <rFont val="Calibri"/>
        <family val="2"/>
        <scheme val="minor"/>
      </rPr>
      <t>0.11</t>
    </r>
    <r>
      <rPr>
        <sz val="12"/>
        <rFont val="Calibri"/>
        <family val="2"/>
        <scheme val="minor"/>
      </rPr>
      <t xml:space="preserve"> </t>
    </r>
  </si>
  <si>
    <r>
      <t xml:space="preserve"> </t>
    </r>
    <r>
      <rPr>
        <sz val="12"/>
        <color indexed="63"/>
        <rFont val="Calibri"/>
        <family val="2"/>
        <scheme val="minor"/>
      </rPr>
      <t>1.8</t>
    </r>
    <r>
      <rPr>
        <sz val="12"/>
        <rFont val="Calibri"/>
        <family val="2"/>
        <scheme val="minor"/>
      </rPr>
      <t xml:space="preserve"> </t>
    </r>
  </si>
  <si>
    <r>
      <t xml:space="preserve"> </t>
    </r>
    <r>
      <rPr>
        <sz val="12"/>
        <color indexed="63"/>
        <rFont val="Calibri"/>
        <family val="2"/>
        <scheme val="minor"/>
      </rPr>
      <t>Harvest equipment</t>
    </r>
    <r>
      <rPr>
        <sz val="12"/>
        <rFont val="Calibri"/>
        <family val="2"/>
        <scheme val="minor"/>
      </rPr>
      <t xml:space="preserve"> </t>
    </r>
  </si>
  <si>
    <r>
      <rPr>
        <sz val="12"/>
        <color indexed="63"/>
        <rFont val="Calibri"/>
        <family val="2"/>
        <scheme val="minor"/>
      </rPr>
      <t>Combines</t>
    </r>
    <r>
      <rPr>
        <sz val="12"/>
        <rFont val="Calibri"/>
        <family val="2"/>
        <scheme val="minor"/>
      </rPr>
      <t xml:space="preserve"> </t>
    </r>
  </si>
  <si>
    <r>
      <t xml:space="preserve"> </t>
    </r>
    <r>
      <rPr>
        <sz val="12"/>
        <color indexed="63"/>
        <rFont val="Calibri"/>
        <family val="2"/>
        <scheme val="minor"/>
      </rPr>
      <t>1.132</t>
    </r>
    <r>
      <rPr>
        <sz val="12"/>
        <rFont val="Calibri"/>
        <family val="2"/>
        <scheme val="minor"/>
      </rPr>
      <t xml:space="preserve"> </t>
    </r>
  </si>
  <si>
    <r>
      <t xml:space="preserve"> </t>
    </r>
    <r>
      <rPr>
        <sz val="12"/>
        <color indexed="63"/>
        <rFont val="Calibri"/>
        <family val="2"/>
        <scheme val="minor"/>
      </rPr>
      <t>0.165</t>
    </r>
    <r>
      <rPr>
        <sz val="12"/>
        <rFont val="Calibri"/>
        <family val="2"/>
        <scheme val="minor"/>
      </rPr>
      <t xml:space="preserve"> </t>
    </r>
  </si>
  <si>
    <r>
      <t xml:space="preserve"> </t>
    </r>
    <r>
      <rPr>
        <sz val="12"/>
        <color indexed="63"/>
        <rFont val="Calibri"/>
        <family val="2"/>
        <scheme val="minor"/>
      </rPr>
      <t>0.0079</t>
    </r>
    <r>
      <rPr>
        <sz val="12"/>
        <rFont val="Calibri"/>
        <family val="2"/>
        <scheme val="minor"/>
      </rPr>
      <t xml:space="preserve"> </t>
    </r>
  </si>
  <si>
    <t>Electric Pump</t>
  </si>
  <si>
    <t>Electric Motor</t>
  </si>
  <si>
    <t xml:space="preserve">Farm tractors (&lt;80hp) </t>
  </si>
  <si>
    <r>
      <rPr>
        <sz val="12"/>
        <color indexed="63"/>
        <rFont val="Calibri"/>
        <family val="2"/>
        <scheme val="minor"/>
      </rPr>
      <t>Forage harvester(SP)</t>
    </r>
    <r>
      <rPr>
        <sz val="12"/>
        <rFont val="Calibri"/>
        <family val="2"/>
        <scheme val="minor"/>
      </rPr>
      <t xml:space="preserve"> </t>
    </r>
  </si>
  <si>
    <r>
      <t xml:space="preserve"> </t>
    </r>
    <r>
      <rPr>
        <sz val="12"/>
        <color indexed="63"/>
        <rFont val="Calibri"/>
        <family val="2"/>
        <scheme val="minor"/>
      </rPr>
      <t>0.03</t>
    </r>
    <r>
      <rPr>
        <sz val="12"/>
        <rFont val="Calibri"/>
        <family val="2"/>
        <scheme val="minor"/>
      </rPr>
      <t xml:space="preserve"> </t>
    </r>
  </si>
  <si>
    <r>
      <rPr>
        <sz val="12"/>
        <color indexed="63"/>
        <rFont val="Calibri"/>
        <family val="2"/>
        <scheme val="minor"/>
      </rPr>
      <t>Swathers and all other harvest equipment</t>
    </r>
    <r>
      <rPr>
        <sz val="12"/>
        <rFont val="Calibri"/>
        <family val="2"/>
        <scheme val="minor"/>
      </rPr>
      <t xml:space="preserve"> </t>
    </r>
  </si>
  <si>
    <r>
      <t xml:space="preserve"> </t>
    </r>
    <r>
      <rPr>
        <sz val="12"/>
        <color indexed="63"/>
        <rFont val="Calibri"/>
        <family val="2"/>
        <scheme val="minor"/>
      </rPr>
      <t>0.791</t>
    </r>
    <r>
      <rPr>
        <sz val="12"/>
        <rFont val="Calibri"/>
        <family val="2"/>
        <scheme val="minor"/>
      </rPr>
      <t xml:space="preserve"> </t>
    </r>
  </si>
  <si>
    <r>
      <t xml:space="preserve"> </t>
    </r>
    <r>
      <rPr>
        <sz val="12"/>
        <color indexed="63"/>
        <rFont val="Calibri"/>
        <family val="2"/>
        <scheme val="minor"/>
      </rPr>
      <t>0.091</t>
    </r>
    <r>
      <rPr>
        <sz val="12"/>
        <rFont val="Calibri"/>
        <family val="2"/>
        <scheme val="minor"/>
      </rPr>
      <t xml:space="preserve"> </t>
    </r>
  </si>
  <si>
    <t>Diesel Pump for Pipe</t>
  </si>
  <si>
    <r>
      <rPr>
        <sz val="12"/>
        <color indexed="63"/>
        <rFont val="Calibri"/>
        <family val="2"/>
        <scheme val="minor"/>
      </rPr>
      <t>Windrower(SP)</t>
    </r>
    <r>
      <rPr>
        <sz val="12"/>
        <rFont val="Calibri"/>
        <family val="2"/>
        <scheme val="minor"/>
      </rPr>
      <t xml:space="preserve"> </t>
    </r>
  </si>
  <si>
    <r>
      <t xml:space="preserve"> </t>
    </r>
    <r>
      <rPr>
        <sz val="12"/>
        <color indexed="63"/>
        <rFont val="Calibri"/>
        <family val="2"/>
        <scheme val="minor"/>
      </rPr>
      <t>0.06</t>
    </r>
    <r>
      <rPr>
        <sz val="12"/>
        <rFont val="Calibri"/>
        <family val="2"/>
        <scheme val="minor"/>
      </rPr>
      <t xml:space="preserve"> </t>
    </r>
  </si>
  <si>
    <r>
      <t xml:space="preserve"> </t>
    </r>
    <r>
      <rPr>
        <sz val="12"/>
        <color indexed="63"/>
        <rFont val="Calibri"/>
        <family val="2"/>
        <scheme val="minor"/>
      </rPr>
      <t>Miscellaneousequipment</t>
    </r>
    <r>
      <rPr>
        <sz val="12"/>
        <rFont val="Calibri"/>
        <family val="2"/>
        <scheme val="minor"/>
      </rPr>
      <t xml:space="preserve"> </t>
    </r>
  </si>
  <si>
    <r>
      <rPr>
        <sz val="12"/>
        <color indexed="63"/>
        <rFont val="Calibri"/>
        <family val="2"/>
        <scheme val="minor"/>
      </rPr>
      <t>Skid-steerloaders and all other vechicles</t>
    </r>
    <r>
      <rPr>
        <sz val="12"/>
        <rFont val="Calibri"/>
        <family val="2"/>
        <scheme val="minor"/>
      </rPr>
      <t xml:space="preserve"> </t>
    </r>
  </si>
  <si>
    <r>
      <t xml:space="preserve"> </t>
    </r>
    <r>
      <rPr>
        <sz val="12"/>
        <color indexed="63"/>
        <rFont val="Calibri"/>
        <family val="2"/>
        <scheme val="minor"/>
      </rPr>
      <t>0.786</t>
    </r>
    <r>
      <rPr>
        <sz val="12"/>
        <rFont val="Calibri"/>
        <family val="2"/>
        <scheme val="minor"/>
      </rPr>
      <t xml:space="preserve"> </t>
    </r>
  </si>
  <si>
    <r>
      <t xml:space="preserve"> </t>
    </r>
    <r>
      <rPr>
        <sz val="12"/>
        <color indexed="63"/>
        <rFont val="Calibri"/>
        <family val="2"/>
        <scheme val="minor"/>
      </rPr>
      <t>0.063</t>
    </r>
    <r>
      <rPr>
        <sz val="12"/>
        <rFont val="Calibri"/>
        <family val="2"/>
        <scheme val="minor"/>
      </rPr>
      <t xml:space="preserve"> </t>
    </r>
  </si>
  <si>
    <r>
      <t xml:space="preserve"> </t>
    </r>
    <r>
      <rPr>
        <sz val="12"/>
        <color indexed="63"/>
        <rFont val="Calibri"/>
        <family val="2"/>
        <scheme val="minor"/>
      </rPr>
      <t>0.0033</t>
    </r>
    <r>
      <rPr>
        <sz val="12"/>
        <rFont val="Calibri"/>
        <family val="2"/>
        <scheme val="minor"/>
      </rPr>
      <t xml:space="preserve"> </t>
    </r>
  </si>
  <si>
    <t>Windrower</t>
  </si>
  <si>
    <t xml:space="preserve">Forage harvester(SP) </t>
  </si>
  <si>
    <t xml:space="preserve">Swathers and all other harvest equipment </t>
  </si>
  <si>
    <t>See Table 5-5*</t>
  </si>
  <si>
    <t>Self-propelled sprayer</t>
  </si>
  <si>
    <t xml:space="preserve">        </t>
  </si>
  <si>
    <t>Index</t>
  </si>
  <si>
    <t>Material</t>
  </si>
  <si>
    <t>Category</t>
  </si>
  <si>
    <t>Purchase Price</t>
  </si>
  <si>
    <t>Purchase Unit</t>
  </si>
  <si>
    <t>Applied Unit</t>
  </si>
  <si>
    <t>Applied Units / Purchased Units</t>
  </si>
  <si>
    <t>Applied Price</t>
  </si>
  <si>
    <t xml:space="preserve">21-0-0-24S   </t>
  </si>
  <si>
    <t>Additive</t>
  </si>
  <si>
    <t>pound</t>
  </si>
  <si>
    <t>AMS</t>
  </si>
  <si>
    <t>ounce</t>
  </si>
  <si>
    <t>Approved adjuvant</t>
  </si>
  <si>
    <t>acre</t>
  </si>
  <si>
    <t>Crop Oil Concentrate</t>
  </si>
  <si>
    <t>gallon</t>
  </si>
  <si>
    <t>pint</t>
  </si>
  <si>
    <t>MSO</t>
  </si>
  <si>
    <t>NIS</t>
  </si>
  <si>
    <t>UAN</t>
  </si>
  <si>
    <t>Aerial Spray</t>
  </si>
  <si>
    <t>Custom</t>
  </si>
  <si>
    <t>Bale Lg Sq 1360 lb</t>
  </si>
  <si>
    <t>bale</t>
  </si>
  <si>
    <t>ton</t>
  </si>
  <si>
    <t>Broadcast Seed</t>
  </si>
  <si>
    <t>Chop, Haul, Pack</t>
  </si>
  <si>
    <t>Dry 2 Points Removed</t>
  </si>
  <si>
    <t>bushel</t>
  </si>
  <si>
    <t>Haul &amp; Apply Manure</t>
  </si>
  <si>
    <t>Haul Beets</t>
  </si>
  <si>
    <t>Haul Grain (Dry Beans)</t>
  </si>
  <si>
    <t>cwt</t>
  </si>
  <si>
    <t>Haul Grain (Millet)</t>
  </si>
  <si>
    <t>Haul Grain (Sunflower)</t>
  </si>
  <si>
    <t>Haul Grain Bushels</t>
  </si>
  <si>
    <t>Load Large Square Bales</t>
  </si>
  <si>
    <t>Spray</t>
  </si>
  <si>
    <t>10-34-0</t>
  </si>
  <si>
    <t>Fertilizer</t>
  </si>
  <si>
    <t>10-34-0-1Zn</t>
  </si>
  <si>
    <t>11-52-0</t>
  </si>
  <si>
    <t>28-0-0</t>
  </si>
  <si>
    <t>lbs N</t>
  </si>
  <si>
    <t>32-0-0</t>
  </si>
  <si>
    <t>32-0-0 (Applied by Pivot)</t>
  </si>
  <si>
    <t>32-0-0 (Applied by R2)</t>
  </si>
  <si>
    <t>46-0-0</t>
  </si>
  <si>
    <t>82-0-0</t>
  </si>
  <si>
    <t>Uncomposted manure</t>
  </si>
  <si>
    <t>Copper</t>
  </si>
  <si>
    <t>Fungicide</t>
  </si>
  <si>
    <t>Headline AMP</t>
  </si>
  <si>
    <t xml:space="preserve">Lucento </t>
  </si>
  <si>
    <t>Miravis Neo</t>
  </si>
  <si>
    <t>Inoculant</t>
  </si>
  <si>
    <t>Priaxor</t>
  </si>
  <si>
    <t>Proline 480 SC</t>
  </si>
  <si>
    <t>Prosaro 421 SC</t>
  </si>
  <si>
    <t>Quadris</t>
  </si>
  <si>
    <t>Quilt Xcel</t>
  </si>
  <si>
    <t>Revytek</t>
  </si>
  <si>
    <t>Stratego YLD</t>
  </si>
  <si>
    <t>Tilt</t>
  </si>
  <si>
    <t>2,4-D Amine</t>
  </si>
  <si>
    <t>Herbicide</t>
  </si>
  <si>
    <t>2,4-D Ester LV4</t>
  </si>
  <si>
    <t>AAtrex 4L</t>
  </si>
  <si>
    <t>quart</t>
  </si>
  <si>
    <t>Acuron</t>
  </si>
  <si>
    <t>Aim 2EC</t>
  </si>
  <si>
    <t>Ally Extra SGW/TOTSOL</t>
  </si>
  <si>
    <t>Armezon</t>
  </si>
  <si>
    <t>Armezon Pro</t>
  </si>
  <si>
    <t>Atrazine 4L</t>
  </si>
  <si>
    <t>Atrazine 90 DF</t>
  </si>
  <si>
    <t>Authority First DF</t>
  </si>
  <si>
    <t>Authority Supreme</t>
  </si>
  <si>
    <t>Balance Flexx</t>
  </si>
  <si>
    <t>Basagran 5L</t>
  </si>
  <si>
    <t>Beyond</t>
  </si>
  <si>
    <t>Bicep II Magnum</t>
  </si>
  <si>
    <t>Brox 2EC</t>
  </si>
  <si>
    <t>Callisto 4SC</t>
  </si>
  <si>
    <t>Dicamba</t>
  </si>
  <si>
    <t>DiFlexx</t>
  </si>
  <si>
    <t>DiFlexx DUO</t>
  </si>
  <si>
    <t>Distinct</t>
  </si>
  <si>
    <t>Enlist DUO</t>
  </si>
  <si>
    <t xml:space="preserve">ounce </t>
  </si>
  <si>
    <t>Enlist One</t>
  </si>
  <si>
    <t xml:space="preserve">pint </t>
  </si>
  <si>
    <t>Fierce</t>
  </si>
  <si>
    <t xml:space="preserve">pound </t>
  </si>
  <si>
    <t>Fierce MTZ</t>
  </si>
  <si>
    <t>FlexStar GT</t>
  </si>
  <si>
    <t>Glyphosate 5# w/Surfactant</t>
  </si>
  <si>
    <t>Huskie</t>
  </si>
  <si>
    <t>Landmaster BW</t>
  </si>
  <si>
    <t>Laudis</t>
  </si>
  <si>
    <t>Lumax EZ</t>
  </si>
  <si>
    <t>Outlook</t>
  </si>
  <si>
    <t>Peak</t>
  </si>
  <si>
    <t>Prowl H2O</t>
  </si>
  <si>
    <t xml:space="preserve">Pursuit </t>
  </si>
  <si>
    <t>Raptor</t>
  </si>
  <si>
    <t>Roundup WeatherMax</t>
  </si>
  <si>
    <t>Rugged</t>
  </si>
  <si>
    <t>Scorch</t>
  </si>
  <si>
    <t>pints</t>
  </si>
  <si>
    <t>Select Max</t>
  </si>
  <si>
    <t>Sharpen</t>
  </si>
  <si>
    <t>Spartan 4F</t>
  </si>
  <si>
    <t>Status</t>
  </si>
  <si>
    <t>Ultra Blazer</t>
  </si>
  <si>
    <t>Valor XLT</t>
  </si>
  <si>
    <t>Velpar L</t>
  </si>
  <si>
    <t>Vida</t>
  </si>
  <si>
    <t>Warrant Ultra</t>
  </si>
  <si>
    <t>Zidua Pro</t>
  </si>
  <si>
    <t>Zidua SC</t>
  </si>
  <si>
    <t>Asana XL</t>
  </si>
  <si>
    <t>Insecticide</t>
  </si>
  <si>
    <t>Brigade 2EC</t>
  </si>
  <si>
    <t>Capture LFR</t>
  </si>
  <si>
    <t>Mustang Maxx</t>
  </si>
  <si>
    <t>Regent 4 SC</t>
  </si>
  <si>
    <t>Warrior II/Zeon</t>
  </si>
  <si>
    <t>Electricity Fixed</t>
  </si>
  <si>
    <t>Other</t>
  </si>
  <si>
    <t>Electricity Usage</t>
  </si>
  <si>
    <t>kw</t>
  </si>
  <si>
    <t>Fence/Water Repairs</t>
  </si>
  <si>
    <t>circle</t>
  </si>
  <si>
    <t>Irrigation District O&amp;M Charge</t>
  </si>
  <si>
    <t>Move Cattle</t>
  </si>
  <si>
    <t>hour</t>
  </si>
  <si>
    <t>Twine Large Round</t>
  </si>
  <si>
    <t>Twine Large Square</t>
  </si>
  <si>
    <t>Twine Small Square</t>
  </si>
  <si>
    <t>Pasture, Range, &amp; Forage Insurance</t>
  </si>
  <si>
    <t>Grass Drill</t>
  </si>
  <si>
    <t>Rental</t>
  </si>
  <si>
    <t>Seeder/Packer</t>
  </si>
  <si>
    <t>Scouting Dry Beans</t>
  </si>
  <si>
    <t>Scouting</t>
  </si>
  <si>
    <t>Scouting Dryland Corn</t>
  </si>
  <si>
    <t>Scouting Dryland Soybeans</t>
  </si>
  <si>
    <t>Scouting Dryland Wheat</t>
  </si>
  <si>
    <t>Scouting Grain Sorghum</t>
  </si>
  <si>
    <t>Scouting Irrigated Corn</t>
  </si>
  <si>
    <t>Scouting Irrigated Soybeans</t>
  </si>
  <si>
    <t>Scouting Irrigated Wheat</t>
  </si>
  <si>
    <t>Scouting Sugar Beets</t>
  </si>
  <si>
    <t>Alfalfa RR w/Inoculant</t>
  </si>
  <si>
    <t>Seed</t>
  </si>
  <si>
    <t>Alfalfa w/Inoculant</t>
  </si>
  <si>
    <t>Corn</t>
  </si>
  <si>
    <t>bag</t>
  </si>
  <si>
    <t>k seed</t>
  </si>
  <si>
    <t>Corn Bt, ECB, &amp; RIB</t>
  </si>
  <si>
    <t>Corn Bt, ECB, RR2, LL, &amp; RIB</t>
  </si>
  <si>
    <t>Corn Bt, ECB, RW, &amp; RIB</t>
  </si>
  <si>
    <t>Corn Bt, ECB, RW, RR2, LL, &amp; RIB</t>
  </si>
  <si>
    <t>Corn Enlist, Bt, ECB, &amp; RIB</t>
  </si>
  <si>
    <t>Corn RR2, LL</t>
  </si>
  <si>
    <t xml:space="preserve">Corn SmartStax RIB Complete </t>
  </si>
  <si>
    <t>Cover Crop</t>
  </si>
  <si>
    <t>Cover Crop Grazing Mix</t>
  </si>
  <si>
    <t>Edible Beans</t>
  </si>
  <si>
    <t>Grass Seed</t>
  </si>
  <si>
    <t>Millet (Proso)</t>
  </si>
  <si>
    <t>Oats</t>
  </si>
  <si>
    <t>Peas</t>
  </si>
  <si>
    <t>RR2 Soybeans</t>
  </si>
  <si>
    <t>RR2 Soybeans Treated</t>
  </si>
  <si>
    <t>Soybeans Enlist E3</t>
  </si>
  <si>
    <t>Soybeans Enlist E3 Treated</t>
  </si>
  <si>
    <t>Soybeans - LiberyLink Treated</t>
  </si>
  <si>
    <t>Soybean Seed Inoculant</t>
  </si>
  <si>
    <t>Sorghum Safened/Insect</t>
  </si>
  <si>
    <t>Sorghum Sudan</t>
  </si>
  <si>
    <t>Sorghum Sudan (Treated)</t>
  </si>
  <si>
    <t>Sorghum Sudan Brown (Treated)</t>
  </si>
  <si>
    <t>Sorghum Sudan Brown Midrib</t>
  </si>
  <si>
    <t>Sugar Beets RR Poncho</t>
  </si>
  <si>
    <t>Sunflower Clearfield</t>
  </si>
  <si>
    <t>Wheat (Certified and Treated)</t>
  </si>
  <si>
    <t>Wheat Cover Crop</t>
  </si>
  <si>
    <t>Unit</t>
  </si>
  <si>
    <t>Begin Yr. Value</t>
  </si>
  <si>
    <t>Annual Use</t>
  </si>
  <si>
    <t>Units per Hour</t>
  </si>
  <si>
    <t>Labor Factor</t>
  </si>
  <si>
    <t>Power Source</t>
  </si>
  <si>
    <t>Diesel Use per Hour</t>
  </si>
  <si>
    <t>Kw Use per Hour</t>
  </si>
  <si>
    <t>Calc List Price</t>
  </si>
  <si>
    <t>Repairs per Unit</t>
  </si>
  <si>
    <t>Calc Beg Yr. Value</t>
  </si>
  <si>
    <t>Calc End Yr. Value</t>
  </si>
  <si>
    <t>Depreciation per Unit</t>
  </si>
  <si>
    <t>TIH per Unit</t>
  </si>
  <si>
    <t>Opportunity Cost per Unit</t>
  </si>
  <si>
    <t>Ownership Cost per Unit</t>
  </si>
  <si>
    <t xml:space="preserve"> Equipment type </t>
  </si>
  <si>
    <r>
      <t xml:space="preserve"> </t>
    </r>
    <r>
      <rPr>
        <i/>
        <sz val="12"/>
        <color rgb="FFFFFF00"/>
        <rFont val="Calibri"/>
        <family val="2"/>
        <scheme val="minor"/>
      </rPr>
      <t>C</t>
    </r>
    <r>
      <rPr>
        <sz val="12"/>
        <color rgb="FFFFFF00"/>
        <rFont val="Calibri"/>
        <family val="2"/>
        <scheme val="minor"/>
      </rPr>
      <t xml:space="preserve">1 </t>
    </r>
  </si>
  <si>
    <r>
      <t xml:space="preserve"> </t>
    </r>
    <r>
      <rPr>
        <i/>
        <sz val="12"/>
        <color rgb="FFFFFF00"/>
        <rFont val="Calibri"/>
        <family val="2"/>
        <scheme val="minor"/>
      </rPr>
      <t>C</t>
    </r>
    <r>
      <rPr>
        <sz val="12"/>
        <color rgb="FFFFFF00"/>
        <rFont val="Calibri"/>
        <family val="2"/>
        <scheme val="minor"/>
      </rPr>
      <t xml:space="preserve">2 </t>
    </r>
  </si>
  <si>
    <r>
      <t xml:space="preserve"> </t>
    </r>
    <r>
      <rPr>
        <i/>
        <sz val="12"/>
        <color rgb="FFFFFF00"/>
        <rFont val="Calibri"/>
        <family val="2"/>
        <scheme val="minor"/>
      </rPr>
      <t>C</t>
    </r>
    <r>
      <rPr>
        <sz val="12"/>
        <color rgb="FFFFFF00"/>
        <rFont val="Calibri"/>
        <family val="2"/>
        <scheme val="minor"/>
      </rPr>
      <t xml:space="preserve">3 </t>
    </r>
  </si>
  <si>
    <t>Table 5-5. Average Annual Maintenance Costs for Sprinkler Irrigation Systems</t>
  </si>
  <si>
    <t>Power Unit</t>
  </si>
  <si>
    <r>
      <rPr>
        <sz val="12"/>
        <color indexed="63"/>
        <rFont val="Calibri"/>
        <family val="2"/>
        <scheme val="minor"/>
      </rPr>
      <t>Baler</t>
    </r>
    <r>
      <rPr>
        <sz val="12"/>
        <rFont val="Calibri"/>
        <family val="2"/>
        <scheme val="minor"/>
      </rPr>
      <t xml:space="preserve"> - Large rectangular </t>
    </r>
  </si>
  <si>
    <r>
      <t xml:space="preserve"> </t>
    </r>
    <r>
      <rPr>
        <sz val="12"/>
        <color indexed="63"/>
        <rFont val="Calibri"/>
        <family val="2"/>
        <scheme val="minor"/>
      </rPr>
      <t>0.10</t>
    </r>
    <r>
      <rPr>
        <sz val="12"/>
        <rFont val="Calibri"/>
        <family val="2"/>
        <scheme val="minor"/>
      </rPr>
      <t xml:space="preserve"> </t>
    </r>
  </si>
  <si>
    <t>Anhydrous Application</t>
  </si>
  <si>
    <t>Chisel plow (Coulter)</t>
  </si>
  <si>
    <t xml:space="preserve">Manure spreaders and all other miscellaneous equipment </t>
  </si>
  <si>
    <r>
      <rPr>
        <sz val="12"/>
        <color indexed="63"/>
        <rFont val="Calibri"/>
        <family val="2"/>
        <scheme val="minor"/>
      </rPr>
      <t>Baler</t>
    </r>
    <r>
      <rPr>
        <sz val="12"/>
        <rFont val="Calibri"/>
        <family val="2"/>
        <scheme val="minor"/>
      </rPr>
      <t xml:space="preserve"> - Large round </t>
    </r>
  </si>
  <si>
    <r>
      <t xml:space="preserve"> </t>
    </r>
    <r>
      <rPr>
        <sz val="12"/>
        <color indexed="63"/>
        <rFont val="Calibri"/>
        <family val="2"/>
        <scheme val="minor"/>
      </rPr>
      <t>0.43</t>
    </r>
    <r>
      <rPr>
        <sz val="12"/>
        <rFont val="Calibri"/>
        <family val="2"/>
        <scheme val="minor"/>
      </rPr>
      <t xml:space="preserve"> </t>
    </r>
  </si>
  <si>
    <r>
      <rPr>
        <sz val="12"/>
        <color indexed="63"/>
        <rFont val="Calibri"/>
        <family val="2"/>
        <scheme val="minor"/>
      </rPr>
      <t>Mowers</t>
    </r>
    <r>
      <rPr>
        <sz val="12"/>
        <rFont val="Calibri"/>
        <family val="2"/>
        <scheme val="minor"/>
      </rPr>
      <t xml:space="preserve"> </t>
    </r>
  </si>
  <si>
    <r>
      <t xml:space="preserve"> </t>
    </r>
    <r>
      <rPr>
        <sz val="12"/>
        <color indexed="63"/>
        <rFont val="Calibri"/>
        <family val="2"/>
        <scheme val="minor"/>
      </rPr>
      <t>0.756</t>
    </r>
    <r>
      <rPr>
        <sz val="12"/>
        <rFont val="Calibri"/>
        <family val="2"/>
        <scheme val="minor"/>
      </rPr>
      <t xml:space="preserve"> </t>
    </r>
  </si>
  <si>
    <r>
      <t xml:space="preserve"> </t>
    </r>
    <r>
      <rPr>
        <sz val="12"/>
        <color indexed="63"/>
        <rFont val="Calibri"/>
        <family val="2"/>
        <scheme val="minor"/>
      </rPr>
      <t>0.067</t>
    </r>
    <r>
      <rPr>
        <sz val="12"/>
        <rFont val="Calibri"/>
        <family val="2"/>
        <scheme val="minor"/>
      </rPr>
      <t xml:space="preserve"> </t>
    </r>
  </si>
  <si>
    <t>System Type</t>
  </si>
  <si>
    <t>Life-yrs</t>
  </si>
  <si>
    <t>Maintenance, % of capital cost</t>
  </si>
  <si>
    <t>Bale Large Round</t>
  </si>
  <si>
    <t xml:space="preserve">Baler - Large round </t>
  </si>
  <si>
    <t xml:space="preserve">Balers </t>
  </si>
  <si>
    <r>
      <rPr>
        <sz val="12"/>
        <color indexed="63"/>
        <rFont val="Calibri"/>
        <family val="2"/>
        <scheme val="minor"/>
      </rPr>
      <t>Baler</t>
    </r>
    <r>
      <rPr>
        <sz val="12"/>
        <rFont val="Calibri"/>
        <family val="2"/>
        <scheme val="minor"/>
      </rPr>
      <t xml:space="preserve"> - Rectangular </t>
    </r>
  </si>
  <si>
    <r>
      <t xml:space="preserve"> </t>
    </r>
    <r>
      <rPr>
        <sz val="12"/>
        <color indexed="63"/>
        <rFont val="Calibri"/>
        <family val="2"/>
        <scheme val="minor"/>
      </rPr>
      <t>0.23</t>
    </r>
    <r>
      <rPr>
        <sz val="12"/>
        <rFont val="Calibri"/>
        <family val="2"/>
        <scheme val="minor"/>
      </rPr>
      <t xml:space="preserve"> </t>
    </r>
  </si>
  <si>
    <r>
      <rPr>
        <sz val="12"/>
        <color indexed="63"/>
        <rFont val="Calibri"/>
        <family val="2"/>
        <scheme val="minor"/>
      </rPr>
      <t>Balers</t>
    </r>
    <r>
      <rPr>
        <sz val="12"/>
        <rFont val="Calibri"/>
        <family val="2"/>
        <scheme val="minor"/>
      </rPr>
      <t xml:space="preserve"> </t>
    </r>
  </si>
  <si>
    <r>
      <t xml:space="preserve"> </t>
    </r>
    <r>
      <rPr>
        <sz val="12"/>
        <color indexed="63"/>
        <rFont val="Calibri"/>
        <family val="2"/>
        <scheme val="minor"/>
      </rPr>
      <t>0.852</t>
    </r>
    <r>
      <rPr>
        <sz val="12"/>
        <rFont val="Calibri"/>
        <family val="2"/>
        <scheme val="minor"/>
      </rPr>
      <t xml:space="preserve"> </t>
    </r>
  </si>
  <si>
    <r>
      <t xml:space="preserve"> </t>
    </r>
    <r>
      <rPr>
        <sz val="12"/>
        <color indexed="63"/>
        <rFont val="Calibri"/>
        <family val="2"/>
        <scheme val="minor"/>
      </rPr>
      <t>0.101</t>
    </r>
    <r>
      <rPr>
        <sz val="12"/>
        <rFont val="Calibri"/>
        <family val="2"/>
        <scheme val="minor"/>
      </rPr>
      <t xml:space="preserve"> </t>
    </r>
  </si>
  <si>
    <t>Hand move lateral</t>
  </si>
  <si>
    <t>Bale Large Square</t>
  </si>
  <si>
    <t xml:space="preserve">Baler - Large rectangular </t>
  </si>
  <si>
    <r>
      <rPr>
        <sz val="12"/>
        <color indexed="63"/>
        <rFont val="Calibri"/>
        <family val="2"/>
        <scheme val="minor"/>
      </rPr>
      <t>Bean puller-windrower</t>
    </r>
    <r>
      <rPr>
        <sz val="12"/>
        <rFont val="Calibri"/>
        <family val="2"/>
        <scheme val="minor"/>
      </rPr>
      <t xml:space="preserve"> </t>
    </r>
  </si>
  <si>
    <r>
      <t xml:space="preserve"> </t>
    </r>
    <r>
      <rPr>
        <sz val="12"/>
        <color indexed="63"/>
        <rFont val="Calibri"/>
        <family val="2"/>
        <scheme val="minor"/>
      </rPr>
      <t>MISCELLANEOUS</t>
    </r>
    <r>
      <rPr>
        <sz val="12"/>
        <rFont val="Calibri"/>
        <family val="2"/>
        <scheme val="minor"/>
      </rPr>
      <t xml:space="preserve"> </t>
    </r>
  </si>
  <si>
    <r>
      <t xml:space="preserve"> </t>
    </r>
    <r>
      <rPr>
        <sz val="12"/>
        <color indexed="63"/>
        <rFont val="Calibri"/>
        <family val="2"/>
        <scheme val="minor"/>
      </rPr>
      <t>0.20</t>
    </r>
    <r>
      <rPr>
        <sz val="12"/>
        <rFont val="Calibri"/>
        <family val="2"/>
        <scheme val="minor"/>
      </rPr>
      <t xml:space="preserve"> </t>
    </r>
  </si>
  <si>
    <r>
      <t xml:space="preserve"> </t>
    </r>
    <r>
      <rPr>
        <sz val="12"/>
        <color indexed="63"/>
        <rFont val="Calibri"/>
        <family val="2"/>
        <scheme val="minor"/>
      </rPr>
      <t>1.6</t>
    </r>
    <r>
      <rPr>
        <sz val="12"/>
        <rFont val="Calibri"/>
        <family val="2"/>
        <scheme val="minor"/>
      </rPr>
      <t xml:space="preserve"> </t>
    </r>
  </si>
  <si>
    <t>End tow lateral</t>
  </si>
  <si>
    <t>Bale Small Square</t>
  </si>
  <si>
    <t>Ton</t>
  </si>
  <si>
    <t xml:space="preserve">Baler - Rectangular </t>
  </si>
  <si>
    <r>
      <rPr>
        <sz val="12"/>
        <color indexed="63"/>
        <rFont val="Calibri"/>
        <family val="2"/>
        <scheme val="minor"/>
      </rPr>
      <t>Beet topper</t>
    </r>
    <r>
      <rPr>
        <sz val="12"/>
        <rFont val="Calibri"/>
        <family val="2"/>
        <scheme val="minor"/>
      </rPr>
      <t xml:space="preserve"> </t>
    </r>
  </si>
  <si>
    <r>
      <t xml:space="preserve"> </t>
    </r>
    <r>
      <rPr>
        <sz val="12"/>
        <color indexed="63"/>
        <rFont val="Calibri"/>
        <family val="2"/>
        <scheme val="minor"/>
      </rPr>
      <t>0.28</t>
    </r>
    <r>
      <rPr>
        <sz val="12"/>
        <rFont val="Calibri"/>
        <family val="2"/>
        <scheme val="minor"/>
      </rPr>
      <t xml:space="preserve"> </t>
    </r>
  </si>
  <si>
    <r>
      <t xml:space="preserve"> </t>
    </r>
    <r>
      <rPr>
        <sz val="12"/>
        <color indexed="63"/>
        <rFont val="Calibri"/>
        <family val="2"/>
        <scheme val="minor"/>
      </rPr>
      <t>1.4</t>
    </r>
    <r>
      <rPr>
        <sz val="12"/>
        <rFont val="Calibri"/>
        <family val="2"/>
        <scheme val="minor"/>
      </rPr>
      <t xml:space="preserve"> </t>
    </r>
  </si>
  <si>
    <r>
      <t xml:space="preserve"> </t>
    </r>
    <r>
      <rPr>
        <sz val="12"/>
        <color indexed="63"/>
        <rFont val="Calibri"/>
        <family val="2"/>
        <scheme val="minor"/>
      </rPr>
      <t>Tillage equipment</t>
    </r>
    <r>
      <rPr>
        <sz val="12"/>
        <rFont val="Calibri"/>
        <family val="2"/>
        <scheme val="minor"/>
      </rPr>
      <t xml:space="preserve"> </t>
    </r>
  </si>
  <si>
    <r>
      <rPr>
        <sz val="12"/>
        <color indexed="63"/>
        <rFont val="Calibri"/>
        <family val="2"/>
        <scheme val="minor"/>
      </rPr>
      <t>Plows</t>
    </r>
    <r>
      <rPr>
        <sz val="12"/>
        <rFont val="Calibri"/>
        <family val="2"/>
        <scheme val="minor"/>
      </rPr>
      <t xml:space="preserve"> </t>
    </r>
  </si>
  <si>
    <r>
      <t xml:space="preserve"> </t>
    </r>
    <r>
      <rPr>
        <sz val="12"/>
        <color indexed="63"/>
        <rFont val="Calibri"/>
        <family val="2"/>
        <scheme val="minor"/>
      </rPr>
      <t>0.738</t>
    </r>
    <r>
      <rPr>
        <sz val="12"/>
        <rFont val="Calibri"/>
        <family val="2"/>
        <scheme val="minor"/>
      </rPr>
      <t xml:space="preserve"> </t>
    </r>
  </si>
  <si>
    <r>
      <t xml:space="preserve"> </t>
    </r>
    <r>
      <rPr>
        <sz val="12"/>
        <color indexed="63"/>
        <rFont val="Calibri"/>
        <family val="2"/>
        <scheme val="minor"/>
      </rPr>
      <t>0.051</t>
    </r>
    <r>
      <rPr>
        <sz val="12"/>
        <rFont val="Calibri"/>
        <family val="2"/>
        <scheme val="minor"/>
      </rPr>
      <t xml:space="preserve"> </t>
    </r>
  </si>
  <si>
    <t>Side roll lateral</t>
  </si>
  <si>
    <t>Cart</t>
  </si>
  <si>
    <t xml:space="preserve">Wagon - Forage </t>
  </si>
  <si>
    <r>
      <rPr>
        <sz val="12"/>
        <color indexed="63"/>
        <rFont val="Calibri"/>
        <family val="2"/>
        <scheme val="minor"/>
      </rPr>
      <t>Chisel plow</t>
    </r>
    <r>
      <rPr>
        <sz val="12"/>
        <rFont val="Calibri"/>
        <family val="2"/>
        <scheme val="minor"/>
      </rPr>
      <t xml:space="preserve"> (Coulter)</t>
    </r>
  </si>
  <si>
    <r>
      <t xml:space="preserve"> </t>
    </r>
    <r>
      <rPr>
        <sz val="12"/>
        <color indexed="63"/>
        <rFont val="Calibri"/>
        <family val="2"/>
        <scheme val="minor"/>
      </rPr>
      <t>TILLAGE&amp;PLANTING</t>
    </r>
    <r>
      <rPr>
        <sz val="12"/>
        <rFont val="Calibri"/>
        <family val="2"/>
        <scheme val="minor"/>
      </rPr>
      <t xml:space="preserve"> </t>
    </r>
  </si>
  <si>
    <r>
      <rPr>
        <sz val="12"/>
        <color indexed="63"/>
        <rFont val="Calibri"/>
        <family val="2"/>
        <scheme val="minor"/>
      </rPr>
      <t>Disks and all other tillage equipment</t>
    </r>
    <r>
      <rPr>
        <sz val="12"/>
        <rFont val="Calibri"/>
        <family val="2"/>
        <scheme val="minor"/>
      </rPr>
      <t xml:space="preserve"> </t>
    </r>
  </si>
  <si>
    <r>
      <t xml:space="preserve"> </t>
    </r>
    <r>
      <rPr>
        <sz val="12"/>
        <color indexed="63"/>
        <rFont val="Calibri"/>
        <family val="2"/>
        <scheme val="minor"/>
      </rPr>
      <t>0.891</t>
    </r>
    <r>
      <rPr>
        <sz val="12"/>
        <rFont val="Calibri"/>
        <family val="2"/>
        <scheme val="minor"/>
      </rPr>
      <t xml:space="preserve"> </t>
    </r>
  </si>
  <si>
    <r>
      <t xml:space="preserve"> </t>
    </r>
    <r>
      <rPr>
        <sz val="12"/>
        <color indexed="63"/>
        <rFont val="Calibri"/>
        <family val="2"/>
        <scheme val="minor"/>
      </rPr>
      <t>0.110</t>
    </r>
    <r>
      <rPr>
        <sz val="12"/>
        <rFont val="Calibri"/>
        <family val="2"/>
        <scheme val="minor"/>
      </rPr>
      <t xml:space="preserve"> </t>
    </r>
  </si>
  <si>
    <t>Lateral</t>
  </si>
  <si>
    <t>Chisel</t>
  </si>
  <si>
    <t xml:space="preserve">Disks and all other tillage equipment </t>
  </si>
  <si>
    <r>
      <rPr>
        <sz val="12"/>
        <color indexed="63"/>
        <rFont val="Calibri"/>
        <family val="2"/>
        <scheme val="minor"/>
      </rPr>
      <t>Combine</t>
    </r>
    <r>
      <rPr>
        <sz val="12"/>
        <rFont val="Calibri"/>
        <family val="2"/>
        <scheme val="minor"/>
      </rPr>
      <t xml:space="preserve"> </t>
    </r>
  </si>
  <si>
    <r>
      <t xml:space="preserve"> </t>
    </r>
    <r>
      <rPr>
        <sz val="12"/>
        <color indexed="63"/>
        <rFont val="Calibri"/>
        <family val="2"/>
        <scheme val="minor"/>
      </rPr>
      <t>0.12</t>
    </r>
    <r>
      <rPr>
        <sz val="12"/>
        <rFont val="Calibri"/>
        <family val="2"/>
        <scheme val="minor"/>
      </rPr>
      <t xml:space="preserve"> </t>
    </r>
  </si>
  <si>
    <r>
      <t xml:space="preserve"> </t>
    </r>
    <r>
      <rPr>
        <sz val="12"/>
        <color indexed="63"/>
        <rFont val="Calibri"/>
        <family val="2"/>
        <scheme val="minor"/>
      </rPr>
      <t>2.3</t>
    </r>
    <r>
      <rPr>
        <sz val="12"/>
        <rFont val="Calibri"/>
        <family val="2"/>
        <scheme val="minor"/>
      </rPr>
      <t xml:space="preserve"> </t>
    </r>
  </si>
  <si>
    <r>
      <rPr>
        <sz val="12"/>
        <color indexed="63"/>
        <rFont val="Calibri"/>
        <family val="2"/>
        <scheme val="minor"/>
      </rPr>
      <t>Skid-steerloaders and all other vehicles</t>
    </r>
    <r>
      <rPr>
        <sz val="12"/>
        <rFont val="Calibri"/>
        <family val="2"/>
        <scheme val="minor"/>
      </rPr>
      <t xml:space="preserve"> </t>
    </r>
  </si>
  <si>
    <t>Traveling gun</t>
  </si>
  <si>
    <t>Chop Silage</t>
  </si>
  <si>
    <t/>
  </si>
  <si>
    <r>
      <rPr>
        <sz val="12"/>
        <color indexed="63"/>
        <rFont val="Calibri"/>
        <family val="2"/>
        <scheme val="minor"/>
      </rPr>
      <t>Corn picker-sheller</t>
    </r>
    <r>
      <rPr>
        <sz val="12"/>
        <rFont val="Calibri"/>
        <family val="2"/>
        <scheme val="minor"/>
      </rPr>
      <t xml:space="preserve"> </t>
    </r>
  </si>
  <si>
    <r>
      <t xml:space="preserve"> </t>
    </r>
    <r>
      <rPr>
        <sz val="12"/>
        <color indexed="63"/>
        <rFont val="Calibri"/>
        <family val="2"/>
        <scheme val="minor"/>
      </rPr>
      <t>0.14</t>
    </r>
    <r>
      <rPr>
        <sz val="12"/>
        <rFont val="Calibri"/>
        <family val="2"/>
        <scheme val="minor"/>
      </rPr>
      <t xml:space="preserve"> </t>
    </r>
  </si>
  <si>
    <r>
      <rPr>
        <sz val="12"/>
        <color indexed="63"/>
        <rFont val="Calibri"/>
        <family val="2"/>
        <scheme val="minor"/>
      </rPr>
      <t>Planters</t>
    </r>
    <r>
      <rPr>
        <sz val="12"/>
        <rFont val="Calibri"/>
        <family val="2"/>
        <scheme val="minor"/>
      </rPr>
      <t xml:space="preserve"> </t>
    </r>
  </si>
  <si>
    <r>
      <t xml:space="preserve"> </t>
    </r>
    <r>
      <rPr>
        <sz val="12"/>
        <color indexed="63"/>
        <rFont val="Calibri"/>
        <family val="2"/>
        <scheme val="minor"/>
      </rPr>
      <t>0.883</t>
    </r>
    <r>
      <rPr>
        <sz val="12"/>
        <rFont val="Calibri"/>
        <family val="2"/>
        <scheme val="minor"/>
      </rPr>
      <t xml:space="preserve"> </t>
    </r>
  </si>
  <si>
    <r>
      <t xml:space="preserve"> </t>
    </r>
    <r>
      <rPr>
        <sz val="12"/>
        <color indexed="63"/>
        <rFont val="Calibri"/>
        <family val="2"/>
        <scheme val="minor"/>
      </rPr>
      <t>0.078</t>
    </r>
    <r>
      <rPr>
        <sz val="12"/>
        <rFont val="Calibri"/>
        <family val="2"/>
        <scheme val="minor"/>
      </rPr>
      <t xml:space="preserve"> </t>
    </r>
  </si>
  <si>
    <t>Center Pivot</t>
  </si>
  <si>
    <t>Chop Stalks</t>
  </si>
  <si>
    <t xml:space="preserve">Stalk chopper </t>
  </si>
  <si>
    <r>
      <rPr>
        <sz val="12"/>
        <color indexed="63"/>
        <rFont val="Calibri"/>
        <family val="2"/>
        <scheme val="minor"/>
      </rPr>
      <t>Cultivator</t>
    </r>
    <r>
      <rPr>
        <sz val="12"/>
        <rFont val="Calibri"/>
        <family val="2"/>
        <scheme val="minor"/>
      </rPr>
      <t xml:space="preserve"> - Field </t>
    </r>
  </si>
  <si>
    <r>
      <t xml:space="preserve"> </t>
    </r>
    <r>
      <rPr>
        <sz val="12"/>
        <color indexed="63"/>
        <rFont val="Calibri"/>
        <family val="2"/>
        <scheme val="minor"/>
      </rPr>
      <t>0.27</t>
    </r>
    <r>
      <rPr>
        <sz val="12"/>
        <rFont val="Calibri"/>
        <family val="2"/>
        <scheme val="minor"/>
      </rPr>
      <t xml:space="preserve"> </t>
    </r>
  </si>
  <si>
    <r>
      <t xml:space="preserve"> </t>
    </r>
    <r>
      <rPr>
        <sz val="12"/>
        <color indexed="63"/>
        <rFont val="Calibri"/>
        <family val="2"/>
        <scheme val="minor"/>
      </rPr>
      <t>Miscellaneous equipment</t>
    </r>
    <r>
      <rPr>
        <sz val="12"/>
        <rFont val="Calibri"/>
        <family val="2"/>
        <scheme val="minor"/>
      </rPr>
      <t xml:space="preserve"> </t>
    </r>
  </si>
  <si>
    <r>
      <t xml:space="preserve">Manure spreaders and </t>
    </r>
    <r>
      <rPr>
        <sz val="12"/>
        <color indexed="63"/>
        <rFont val="Calibri"/>
        <family val="2"/>
        <scheme val="minor"/>
      </rPr>
      <t>all other miscellaneous equipment</t>
    </r>
    <r>
      <rPr>
        <sz val="12"/>
        <rFont val="Calibri"/>
        <family val="2"/>
        <scheme val="minor"/>
      </rPr>
      <t xml:space="preserve"> </t>
    </r>
  </si>
  <si>
    <r>
      <t xml:space="preserve"> </t>
    </r>
    <r>
      <rPr>
        <sz val="12"/>
        <color indexed="63"/>
        <rFont val="Calibri"/>
        <family val="2"/>
        <scheme val="minor"/>
      </rPr>
      <t>0.943</t>
    </r>
    <r>
      <rPr>
        <sz val="12"/>
        <rFont val="Calibri"/>
        <family val="2"/>
        <scheme val="minor"/>
      </rPr>
      <t xml:space="preserve"> </t>
    </r>
  </si>
  <si>
    <r>
      <t xml:space="preserve"> </t>
    </r>
    <r>
      <rPr>
        <sz val="12"/>
        <color indexed="63"/>
        <rFont val="Calibri"/>
        <family val="2"/>
        <scheme val="minor"/>
      </rPr>
      <t>0.111</t>
    </r>
    <r>
      <rPr>
        <sz val="12"/>
        <rFont val="Calibri"/>
        <family val="2"/>
        <scheme val="minor"/>
      </rPr>
      <t xml:space="preserve"> </t>
    </r>
  </si>
  <si>
    <t>Center Pivot w/corner</t>
  </si>
  <si>
    <t xml:space="preserve">Combine </t>
  </si>
  <si>
    <r>
      <rPr>
        <sz val="12"/>
        <color indexed="63"/>
        <rFont val="Calibri"/>
        <family val="2"/>
        <scheme val="minor"/>
      </rPr>
      <t>Cultivator</t>
    </r>
    <r>
      <rPr>
        <sz val="12"/>
        <rFont val="Calibri"/>
        <family val="2"/>
        <scheme val="minor"/>
      </rPr>
      <t xml:space="preserve"> - Row crop </t>
    </r>
  </si>
  <si>
    <r>
      <t xml:space="preserve"> </t>
    </r>
    <r>
      <rPr>
        <sz val="12"/>
        <color indexed="63"/>
        <rFont val="Calibri"/>
        <family val="2"/>
        <scheme val="minor"/>
      </rPr>
      <t>0.17</t>
    </r>
    <r>
      <rPr>
        <sz val="12"/>
        <rFont val="Calibri"/>
        <family val="2"/>
        <scheme val="minor"/>
      </rPr>
      <t xml:space="preserve"> </t>
    </r>
  </si>
  <si>
    <r>
      <t xml:space="preserve"> </t>
    </r>
    <r>
      <rPr>
        <sz val="12"/>
        <color indexed="63"/>
        <rFont val="Calibri"/>
        <family val="2"/>
        <scheme val="minor"/>
      </rPr>
      <t>2.2</t>
    </r>
    <r>
      <rPr>
        <sz val="12"/>
        <rFont val="Calibri"/>
        <family val="2"/>
        <scheme val="minor"/>
      </rPr>
      <t xml:space="preserve"> </t>
    </r>
  </si>
  <si>
    <t>Pivots</t>
  </si>
  <si>
    <t>Linear move with ditch</t>
  </si>
  <si>
    <r>
      <rPr>
        <sz val="12"/>
        <color indexed="63"/>
        <rFont val="Calibri"/>
        <family val="2"/>
        <scheme val="minor"/>
      </rPr>
      <t>Disk</t>
    </r>
    <r>
      <rPr>
        <sz val="12"/>
        <rFont val="Calibri"/>
        <family val="2"/>
        <scheme val="minor"/>
      </rPr>
      <t xml:space="preserve"> - Heavy-duty </t>
    </r>
  </si>
  <si>
    <r>
      <t xml:space="preserve"> </t>
    </r>
    <r>
      <rPr>
        <sz val="12"/>
        <color indexed="63"/>
        <rFont val="Calibri"/>
        <family val="2"/>
        <scheme val="minor"/>
      </rPr>
      <t>0.18</t>
    </r>
    <r>
      <rPr>
        <sz val="12"/>
        <rFont val="Calibri"/>
        <family val="2"/>
        <scheme val="minor"/>
      </rPr>
      <t xml:space="preserve"> </t>
    </r>
  </si>
  <si>
    <r>
      <t xml:space="preserve"> </t>
    </r>
    <r>
      <rPr>
        <sz val="12"/>
        <color indexed="63"/>
        <rFont val="Calibri"/>
        <family val="2"/>
        <scheme val="minor"/>
      </rPr>
      <t>1.7</t>
    </r>
    <r>
      <rPr>
        <sz val="12"/>
        <rFont val="Calibri"/>
        <family val="2"/>
        <scheme val="minor"/>
      </rPr>
      <t xml:space="preserve"> </t>
    </r>
  </si>
  <si>
    <t>Linear move with pipe</t>
  </si>
  <si>
    <r>
      <rPr>
        <sz val="12"/>
        <color indexed="63"/>
        <rFont val="Calibri"/>
        <family val="2"/>
        <scheme val="minor"/>
      </rPr>
      <t>Diskharrow</t>
    </r>
    <r>
      <rPr>
        <sz val="12"/>
        <rFont val="Calibri"/>
        <family val="2"/>
        <scheme val="minor"/>
      </rPr>
      <t xml:space="preserve"> - Tandem </t>
    </r>
  </si>
  <si>
    <t>Portable solid set</t>
  </si>
  <si>
    <r>
      <rPr>
        <sz val="12"/>
        <color indexed="63"/>
        <rFont val="Calibri"/>
        <family val="2"/>
        <scheme val="minor"/>
      </rPr>
      <t>Drill</t>
    </r>
    <r>
      <rPr>
        <sz val="12"/>
        <rFont val="Calibri"/>
        <family val="2"/>
        <scheme val="minor"/>
      </rPr>
      <t xml:space="preserve"> - Grain </t>
    </r>
  </si>
  <si>
    <r>
      <t xml:space="preserve"> </t>
    </r>
    <r>
      <rPr>
        <sz val="12"/>
        <color indexed="63"/>
        <rFont val="Calibri"/>
        <family val="2"/>
        <scheme val="minor"/>
      </rPr>
      <t>0.32</t>
    </r>
    <r>
      <rPr>
        <sz val="12"/>
        <rFont val="Calibri"/>
        <family val="2"/>
        <scheme val="minor"/>
      </rPr>
      <t xml:space="preserve"> </t>
    </r>
  </si>
  <si>
    <t>Permanent solid set</t>
  </si>
  <si>
    <r>
      <rPr>
        <sz val="12"/>
        <color indexed="63"/>
        <rFont val="Calibri"/>
        <family val="2"/>
        <scheme val="minor"/>
      </rPr>
      <t>Fertilizer spreader</t>
    </r>
    <r>
      <rPr>
        <sz val="12"/>
        <rFont val="Calibri"/>
        <family val="2"/>
        <scheme val="minor"/>
      </rPr>
      <t xml:space="preserve"> </t>
    </r>
  </si>
  <si>
    <r>
      <t xml:space="preserve"> </t>
    </r>
    <r>
      <rPr>
        <sz val="12"/>
        <color indexed="63"/>
        <rFont val="Calibri"/>
        <family val="2"/>
        <scheme val="minor"/>
      </rPr>
      <t>0.63</t>
    </r>
    <r>
      <rPr>
        <sz val="12"/>
        <rFont val="Calibri"/>
        <family val="2"/>
        <scheme val="minor"/>
      </rPr>
      <t xml:space="preserve"> </t>
    </r>
  </si>
  <si>
    <r>
      <t xml:space="preserve"> </t>
    </r>
    <r>
      <rPr>
        <sz val="12"/>
        <color indexed="63"/>
        <rFont val="Calibri"/>
        <family val="2"/>
        <scheme val="minor"/>
      </rPr>
      <t>1.3</t>
    </r>
    <r>
      <rPr>
        <sz val="12"/>
        <rFont val="Calibri"/>
        <family val="2"/>
        <scheme val="minor"/>
      </rPr>
      <t xml:space="preserve"> </t>
    </r>
  </si>
  <si>
    <t>Orchard hose-pull</t>
  </si>
  <si>
    <r>
      <rPr>
        <sz val="12"/>
        <color indexed="63"/>
        <rFont val="Calibri"/>
        <family val="2"/>
        <scheme val="minor"/>
      </rPr>
      <t>Forage blower</t>
    </r>
    <r>
      <rPr>
        <sz val="12"/>
        <rFont val="Calibri"/>
        <family val="2"/>
        <scheme val="minor"/>
      </rPr>
      <t xml:space="preserve"> </t>
    </r>
  </si>
  <si>
    <r>
      <t xml:space="preserve"> </t>
    </r>
    <r>
      <rPr>
        <sz val="12"/>
        <color indexed="63"/>
        <rFont val="Calibri"/>
        <family val="2"/>
        <scheme val="minor"/>
      </rPr>
      <t>0.22</t>
    </r>
    <r>
      <rPr>
        <sz val="12"/>
        <rFont val="Calibri"/>
        <family val="2"/>
        <scheme val="minor"/>
      </rPr>
      <t xml:space="preserve"> </t>
    </r>
  </si>
  <si>
    <t>From "Selection of Irrigation Methods for Agriculture" by C.M. Burt, A.J. Clemmens, R.Bliesner, J.L. Merriam, and L. Hardy. ©2000 by American Society of Civil Engineers, 1801 Alexander Bell Drive, Reston, Virginia, 20191-4400. page 112</t>
  </si>
  <si>
    <r>
      <rPr>
        <sz val="12"/>
        <color indexed="63"/>
        <rFont val="Calibri"/>
        <family val="2"/>
        <scheme val="minor"/>
      </rPr>
      <t>Forage harvester</t>
    </r>
    <r>
      <rPr>
        <sz val="12"/>
        <rFont val="Calibri"/>
        <family val="2"/>
        <scheme val="minor"/>
      </rPr>
      <t xml:space="preserve"> </t>
    </r>
  </si>
  <si>
    <r>
      <t xml:space="preserve"> </t>
    </r>
    <r>
      <rPr>
        <sz val="12"/>
        <color indexed="63"/>
        <rFont val="Calibri"/>
        <family val="2"/>
        <scheme val="minor"/>
      </rPr>
      <t>0.15</t>
    </r>
    <r>
      <rPr>
        <sz val="12"/>
        <rFont val="Calibri"/>
        <family val="2"/>
        <scheme val="minor"/>
      </rPr>
      <t xml:space="preserve"> </t>
    </r>
  </si>
  <si>
    <r>
      <rPr>
        <sz val="12"/>
        <color indexed="63"/>
        <rFont val="Calibri"/>
        <family val="2"/>
        <scheme val="minor"/>
      </rPr>
      <t>Harrow</t>
    </r>
    <r>
      <rPr>
        <sz val="12"/>
        <rFont val="Calibri"/>
        <family val="2"/>
        <scheme val="minor"/>
      </rPr>
      <t xml:space="preserve"> - Spring tooth </t>
    </r>
  </si>
  <si>
    <r>
      <rPr>
        <sz val="12"/>
        <color indexed="63"/>
        <rFont val="Calibri"/>
        <family val="2"/>
        <scheme val="minor"/>
      </rPr>
      <t>Mower</t>
    </r>
    <r>
      <rPr>
        <sz val="12"/>
        <rFont val="Calibri"/>
        <family val="2"/>
        <scheme val="minor"/>
      </rPr>
      <t xml:space="preserve"> </t>
    </r>
  </si>
  <si>
    <r>
      <t xml:space="preserve"> </t>
    </r>
    <r>
      <rPr>
        <sz val="12"/>
        <color indexed="63"/>
        <rFont val="Calibri"/>
        <family val="2"/>
        <scheme val="minor"/>
      </rPr>
      <t>0.46</t>
    </r>
    <r>
      <rPr>
        <sz val="12"/>
        <rFont val="Calibri"/>
        <family val="2"/>
        <scheme val="minor"/>
      </rPr>
      <t xml:space="preserve"> </t>
    </r>
  </si>
  <si>
    <r>
      <rPr>
        <sz val="12"/>
        <color indexed="63"/>
        <rFont val="Calibri"/>
        <family val="2"/>
        <scheme val="minor"/>
      </rPr>
      <t>Mower(rotary)</t>
    </r>
    <r>
      <rPr>
        <sz val="12"/>
        <rFont val="Calibri"/>
        <family val="2"/>
        <scheme val="minor"/>
      </rPr>
      <t xml:space="preserve"> </t>
    </r>
  </si>
  <si>
    <r>
      <t xml:space="preserve"> </t>
    </r>
    <r>
      <rPr>
        <sz val="12"/>
        <color indexed="63"/>
        <rFont val="Calibri"/>
        <family val="2"/>
        <scheme val="minor"/>
      </rPr>
      <t>0.44</t>
    </r>
    <r>
      <rPr>
        <sz val="12"/>
        <rFont val="Calibri"/>
        <family val="2"/>
        <scheme val="minor"/>
      </rPr>
      <t xml:space="preserve"> </t>
    </r>
  </si>
  <si>
    <t>Corrugate</t>
  </si>
  <si>
    <t xml:space="preserve">Cultivator - Field </t>
  </si>
  <si>
    <r>
      <rPr>
        <sz val="12"/>
        <color indexed="63"/>
        <rFont val="Calibri"/>
        <family val="2"/>
        <scheme val="minor"/>
      </rPr>
      <t>Mower-conditioner</t>
    </r>
    <r>
      <rPr>
        <sz val="12"/>
        <rFont val="Calibri"/>
        <family val="2"/>
        <scheme val="minor"/>
      </rPr>
      <t xml:space="preserve"> </t>
    </r>
  </si>
  <si>
    <t>Disk</t>
  </si>
  <si>
    <t xml:space="preserve">Disk - Heavy-duty </t>
  </si>
  <si>
    <r>
      <rPr>
        <sz val="12"/>
        <color indexed="63"/>
        <rFont val="Calibri"/>
        <family val="2"/>
        <scheme val="minor"/>
      </rPr>
      <t>Mower-conditioner(rotary)</t>
    </r>
    <r>
      <rPr>
        <sz val="12"/>
        <rFont val="Calibri"/>
        <family val="2"/>
        <scheme val="minor"/>
      </rPr>
      <t xml:space="preserve"> </t>
    </r>
  </si>
  <si>
    <r>
      <t xml:space="preserve"> </t>
    </r>
    <r>
      <rPr>
        <sz val="12"/>
        <color indexed="63"/>
        <rFont val="Calibri"/>
        <family val="2"/>
        <scheme val="minor"/>
      </rPr>
      <t>0.16</t>
    </r>
    <r>
      <rPr>
        <sz val="12"/>
        <rFont val="Calibri"/>
        <family val="2"/>
        <scheme val="minor"/>
      </rPr>
      <t xml:space="preserve"> </t>
    </r>
  </si>
  <si>
    <t>Ditch Irrigation</t>
  </si>
  <si>
    <t>acre-inch</t>
  </si>
  <si>
    <r>
      <rPr>
        <sz val="12"/>
        <color indexed="63"/>
        <rFont val="Calibri"/>
        <family val="2"/>
        <scheme val="minor"/>
      </rPr>
      <t>Mulcher-packer</t>
    </r>
    <r>
      <rPr>
        <sz val="12"/>
        <rFont val="Calibri"/>
        <family val="2"/>
        <scheme val="minor"/>
      </rPr>
      <t xml:space="preserve"> </t>
    </r>
  </si>
  <si>
    <t>Double Windrows</t>
  </si>
  <si>
    <t xml:space="preserve">Rake - Side delivery </t>
  </si>
  <si>
    <r>
      <rPr>
        <sz val="12"/>
        <color indexed="63"/>
        <rFont val="Calibri"/>
        <family val="2"/>
        <scheme val="minor"/>
      </rPr>
      <t>Planter</t>
    </r>
    <r>
      <rPr>
        <sz val="12"/>
        <rFont val="Calibri"/>
        <family val="2"/>
        <scheme val="minor"/>
      </rPr>
      <t xml:space="preserve"> - Row crop </t>
    </r>
  </si>
  <si>
    <t>Drill</t>
  </si>
  <si>
    <t xml:space="preserve">Drill - Grain </t>
  </si>
  <si>
    <t xml:space="preserve">Planters </t>
  </si>
  <si>
    <r>
      <rPr>
        <sz val="12"/>
        <color indexed="63"/>
        <rFont val="Calibri"/>
        <family val="2"/>
        <scheme val="minor"/>
      </rPr>
      <t>Plow</t>
    </r>
    <r>
      <rPr>
        <sz val="12"/>
        <rFont val="Calibri"/>
        <family val="2"/>
        <scheme val="minor"/>
      </rPr>
      <t xml:space="preserve"> - Moldboard</t>
    </r>
  </si>
  <si>
    <r>
      <t xml:space="preserve"> </t>
    </r>
    <r>
      <rPr>
        <sz val="12"/>
        <color indexed="63"/>
        <rFont val="Calibri"/>
        <family val="2"/>
        <scheme val="minor"/>
      </rPr>
      <t>0.29</t>
    </r>
    <r>
      <rPr>
        <sz val="12"/>
        <rFont val="Calibri"/>
        <family val="2"/>
        <scheme val="minor"/>
      </rPr>
      <t xml:space="preserve"> </t>
    </r>
  </si>
  <si>
    <t>Drill w/ Fertilizer</t>
  </si>
  <si>
    <r>
      <rPr>
        <sz val="12"/>
        <color indexed="63"/>
        <rFont val="Calibri"/>
        <family val="2"/>
        <scheme val="minor"/>
      </rPr>
      <t>Potato harvester</t>
    </r>
    <r>
      <rPr>
        <sz val="12"/>
        <rFont val="Calibri"/>
        <family val="2"/>
        <scheme val="minor"/>
      </rPr>
      <t xml:space="preserve"> </t>
    </r>
  </si>
  <si>
    <r>
      <t xml:space="preserve"> </t>
    </r>
    <r>
      <rPr>
        <sz val="12"/>
        <color indexed="63"/>
        <rFont val="Calibri"/>
        <family val="2"/>
        <scheme val="minor"/>
      </rPr>
      <t>0.19</t>
    </r>
    <r>
      <rPr>
        <sz val="12"/>
        <rFont val="Calibri"/>
        <family val="2"/>
        <scheme val="minor"/>
      </rPr>
      <t xml:space="preserve"> </t>
    </r>
  </si>
  <si>
    <t>Dry Grain</t>
  </si>
  <si>
    <r>
      <rPr>
        <sz val="12"/>
        <color indexed="63"/>
        <rFont val="Calibri"/>
        <family val="2"/>
        <scheme val="minor"/>
      </rPr>
      <t>Rake</t>
    </r>
    <r>
      <rPr>
        <sz val="12"/>
        <rFont val="Calibri"/>
        <family val="2"/>
        <scheme val="minor"/>
      </rPr>
      <t xml:space="preserve"> - Side delivery </t>
    </r>
  </si>
  <si>
    <t>Field Cultivation</t>
  </si>
  <si>
    <r>
      <rPr>
        <sz val="12"/>
        <color indexed="63"/>
        <rFont val="Calibri"/>
        <family val="2"/>
        <scheme val="minor"/>
      </rPr>
      <t>Roller-packer</t>
    </r>
    <r>
      <rPr>
        <sz val="12"/>
        <rFont val="Calibri"/>
        <family val="2"/>
        <scheme val="minor"/>
      </rPr>
      <t xml:space="preserve"> </t>
    </r>
  </si>
  <si>
    <r>
      <rPr>
        <sz val="12"/>
        <color indexed="63"/>
        <rFont val="Calibri"/>
        <family val="2"/>
        <scheme val="minor"/>
      </rPr>
      <t>Rotary hoe</t>
    </r>
    <r>
      <rPr>
        <sz val="12"/>
        <rFont val="Calibri"/>
        <family val="2"/>
        <scheme val="minor"/>
      </rPr>
      <t xml:space="preserve"> </t>
    </r>
  </si>
  <si>
    <t>Harrow</t>
  </si>
  <si>
    <t xml:space="preserve">Harrow - Spring tooth </t>
  </si>
  <si>
    <r>
      <rPr>
        <sz val="12"/>
        <color indexed="63"/>
        <rFont val="Calibri"/>
        <family val="2"/>
        <scheme val="minor"/>
      </rPr>
      <t>Rotary tiller</t>
    </r>
    <r>
      <rPr>
        <sz val="12"/>
        <rFont val="Calibri"/>
        <family val="2"/>
        <scheme val="minor"/>
      </rPr>
      <t xml:space="preserve"> </t>
    </r>
  </si>
  <si>
    <r>
      <t xml:space="preserve"> </t>
    </r>
    <r>
      <rPr>
        <sz val="12"/>
        <color indexed="63"/>
        <rFont val="Calibri"/>
        <family val="2"/>
        <scheme val="minor"/>
      </rPr>
      <t>0.36</t>
    </r>
    <r>
      <rPr>
        <sz val="12"/>
        <rFont val="Calibri"/>
        <family val="2"/>
        <scheme val="minor"/>
      </rPr>
      <t xml:space="preserve"> </t>
    </r>
  </si>
  <si>
    <t>Lift Beets</t>
  </si>
  <si>
    <t xml:space="preserve">Sugar beet harvester </t>
  </si>
  <si>
    <r>
      <rPr>
        <sz val="12"/>
        <color indexed="63"/>
        <rFont val="Calibri"/>
        <family val="2"/>
        <scheme val="minor"/>
      </rPr>
      <t>Sprayer</t>
    </r>
    <r>
      <rPr>
        <sz val="12"/>
        <rFont val="Calibri"/>
        <family val="2"/>
        <scheme val="minor"/>
      </rPr>
      <t xml:space="preserve"> - Air-carrier </t>
    </r>
  </si>
  <si>
    <t>Load Large Square</t>
  </si>
  <si>
    <r>
      <rPr>
        <sz val="12"/>
        <color indexed="63"/>
        <rFont val="Calibri"/>
        <family val="2"/>
        <scheme val="minor"/>
      </rPr>
      <t>Sprayer</t>
    </r>
    <r>
      <rPr>
        <sz val="12"/>
        <rFont val="Calibri"/>
        <family val="2"/>
        <scheme val="minor"/>
      </rPr>
      <t xml:space="preserve"> - Boom-type </t>
    </r>
  </si>
  <si>
    <r>
      <t xml:space="preserve"> </t>
    </r>
    <r>
      <rPr>
        <sz val="12"/>
        <color indexed="63"/>
        <rFont val="Calibri"/>
        <family val="2"/>
        <scheme val="minor"/>
      </rPr>
      <t>0.41</t>
    </r>
    <r>
      <rPr>
        <sz val="12"/>
        <rFont val="Calibri"/>
        <family val="2"/>
        <scheme val="minor"/>
      </rPr>
      <t xml:space="preserve"> </t>
    </r>
  </si>
  <si>
    <t>Load Small Square</t>
  </si>
  <si>
    <t xml:space="preserve">Wagon </t>
  </si>
  <si>
    <r>
      <rPr>
        <sz val="12"/>
        <color indexed="63"/>
        <rFont val="Calibri"/>
        <family val="2"/>
        <scheme val="minor"/>
      </rPr>
      <t>Stalk chopper</t>
    </r>
    <r>
      <rPr>
        <sz val="12"/>
        <rFont val="Calibri"/>
        <family val="2"/>
        <scheme val="minor"/>
      </rPr>
      <t xml:space="preserve"> </t>
    </r>
  </si>
  <si>
    <t>Move Large Round</t>
  </si>
  <si>
    <r>
      <rPr>
        <sz val="12"/>
        <color indexed="63"/>
        <rFont val="Calibri"/>
        <family val="2"/>
        <scheme val="minor"/>
      </rPr>
      <t>Sugar beet harvester</t>
    </r>
    <r>
      <rPr>
        <sz val="12"/>
        <rFont val="Calibri"/>
        <family val="2"/>
        <scheme val="minor"/>
      </rPr>
      <t xml:space="preserve"> </t>
    </r>
  </si>
  <si>
    <r>
      <t xml:space="preserve"> </t>
    </r>
    <r>
      <rPr>
        <sz val="12"/>
        <color indexed="63"/>
        <rFont val="Calibri"/>
        <family val="2"/>
        <scheme val="minor"/>
      </rPr>
      <t>0.59</t>
    </r>
    <r>
      <rPr>
        <sz val="12"/>
        <rFont val="Calibri"/>
        <family val="2"/>
        <scheme val="minor"/>
      </rPr>
      <t xml:space="preserve"> </t>
    </r>
  </si>
  <si>
    <r>
      <rPr>
        <sz val="12"/>
        <color indexed="63"/>
        <rFont val="Calibri"/>
        <family val="2"/>
        <scheme val="minor"/>
      </rPr>
      <t>Wagon</t>
    </r>
    <r>
      <rPr>
        <sz val="12"/>
        <rFont val="Calibri"/>
        <family val="2"/>
        <scheme val="minor"/>
      </rPr>
      <t xml:space="preserve"> </t>
    </r>
  </si>
  <si>
    <t>Pickett Windrowers</t>
  </si>
  <si>
    <t xml:space="preserve">Bean puller-windrower </t>
  </si>
  <si>
    <r>
      <rPr>
        <sz val="12"/>
        <color indexed="63"/>
        <rFont val="Calibri"/>
        <family val="2"/>
        <scheme val="minor"/>
      </rPr>
      <t>Wagon</t>
    </r>
    <r>
      <rPr>
        <sz val="12"/>
        <rFont val="Calibri"/>
        <family val="2"/>
        <scheme val="minor"/>
      </rPr>
      <t xml:space="preserve"> - Forage </t>
    </r>
  </si>
  <si>
    <t>Pipe D 125' Lift</t>
  </si>
  <si>
    <t>Pivot D 125' Lift</t>
  </si>
  <si>
    <t>Pivot D 125' Lift w/fertigation</t>
  </si>
  <si>
    <t>Pivot E 125' Lift</t>
  </si>
  <si>
    <t>Pivot E 125' Lift w/fertigation</t>
  </si>
  <si>
    <t>Plant</t>
  </si>
  <si>
    <t xml:space="preserve">Planter - Row crop </t>
  </si>
  <si>
    <t>Plant Narrow Row</t>
  </si>
  <si>
    <t>Plant No-Till</t>
  </si>
  <si>
    <t>Plow</t>
  </si>
  <si>
    <t>Plow - Moldboard</t>
  </si>
  <si>
    <t xml:space="preserve">Plows </t>
  </si>
  <si>
    <t>Ridge Cultivate/Ditch</t>
  </si>
  <si>
    <t xml:space="preserve">Cultivator - Row crop </t>
  </si>
  <si>
    <t>Ridge Cultivation</t>
  </si>
  <si>
    <t>Ridge Plant and Band Herbicide</t>
  </si>
  <si>
    <t>Rod Weeder</t>
  </si>
  <si>
    <t xml:space="preserve">Diskharrow - Tandem </t>
  </si>
  <si>
    <t>Rod Weeder &amp; Fertilizer</t>
  </si>
  <si>
    <t>Roll</t>
  </si>
  <si>
    <t xml:space="preserve">Mulcher-packer </t>
  </si>
  <si>
    <t>Roller Harrow</t>
  </si>
  <si>
    <t>Rotary Hoe</t>
  </si>
  <si>
    <t xml:space="preserve">Rotary hoe </t>
  </si>
  <si>
    <t>Row Crop Cultivation</t>
  </si>
  <si>
    <t>Spray (Prior Year Stubble)</t>
  </si>
  <si>
    <t xml:space="preserve">Sprayer - Boom-type </t>
  </si>
  <si>
    <t>Spray Fertilizer</t>
  </si>
  <si>
    <t xml:space="preserve">Sprayer - Air-carrier </t>
  </si>
  <si>
    <t>Spray Fertilizer and Herbicide</t>
  </si>
  <si>
    <t>Spray Herbicide</t>
  </si>
  <si>
    <t>Spray Insecticide</t>
  </si>
  <si>
    <t>Spray Burndown Herbicide</t>
  </si>
  <si>
    <t>Spray Post Harvest Burndown Herbicide</t>
  </si>
  <si>
    <t>Spray Fall Burndown Herbicide</t>
  </si>
  <si>
    <t>Spread Fertilizer</t>
  </si>
  <si>
    <t>Spread Manure</t>
  </si>
  <si>
    <t>Subsoil / One-pass Tillage</t>
  </si>
  <si>
    <t>Swath/Condition Hay</t>
  </si>
  <si>
    <t xml:space="preserve">Mower-conditioner </t>
  </si>
  <si>
    <t>Sweep Plow</t>
  </si>
  <si>
    <t>Till Plant Beets</t>
  </si>
  <si>
    <t>Top Beets</t>
  </si>
  <si>
    <t xml:space="preserve">Beet topper </t>
  </si>
  <si>
    <t>Truck</t>
  </si>
  <si>
    <t>Turn Windrows</t>
  </si>
  <si>
    <t>Windrow Grain</t>
  </si>
  <si>
    <t xml:space="preserve">Table 6:  </t>
  </si>
  <si>
    <t>Budget</t>
  </si>
  <si>
    <t>Dryland or Irrigated</t>
  </si>
  <si>
    <t>Area</t>
  </si>
  <si>
    <t xml:space="preserve">Yield </t>
  </si>
  <si>
    <t>Per Acre Premium</t>
  </si>
  <si>
    <t>Your Cost</t>
  </si>
  <si>
    <t>1-Alfalfa</t>
  </si>
  <si>
    <t>N/A</t>
  </si>
  <si>
    <t>2-Alfalfa</t>
  </si>
  <si>
    <t>3-Alfalfa</t>
  </si>
  <si>
    <t>4-Alfalfa</t>
  </si>
  <si>
    <t>5-Alfalfa</t>
  </si>
  <si>
    <t>6-Alfalfa</t>
  </si>
  <si>
    <t>7-Alfalfa</t>
  </si>
  <si>
    <t>8-Alfalfa</t>
  </si>
  <si>
    <t>9-Alfalfa</t>
  </si>
  <si>
    <t>10-Alfalfa</t>
  </si>
  <si>
    <t>11-Alfalfa</t>
  </si>
  <si>
    <t>12-Alfalfa</t>
  </si>
  <si>
    <t>13-Alfalfa</t>
  </si>
  <si>
    <t>14-Alfalfa</t>
  </si>
  <si>
    <t>15-Corn</t>
  </si>
  <si>
    <t>16-Corn</t>
  </si>
  <si>
    <t>17-Corn</t>
  </si>
  <si>
    <t>18-Corn</t>
  </si>
  <si>
    <t>19-Corn</t>
  </si>
  <si>
    <t>20-Corn</t>
  </si>
  <si>
    <t>21-Corn</t>
  </si>
  <si>
    <t>22-Corn</t>
  </si>
  <si>
    <t>23-Corn</t>
  </si>
  <si>
    <t>24-Corn</t>
  </si>
  <si>
    <t>25-Corn</t>
  </si>
  <si>
    <t>26-Corn</t>
  </si>
  <si>
    <t>27-Corn</t>
  </si>
  <si>
    <t>28-Corn</t>
  </si>
  <si>
    <t>29-Corn</t>
  </si>
  <si>
    <t>30-Corn</t>
  </si>
  <si>
    <t>31-Corn</t>
  </si>
  <si>
    <t>32-Corn</t>
  </si>
  <si>
    <t>33-Corn</t>
  </si>
  <si>
    <t>34-Corn</t>
  </si>
  <si>
    <t>35-Corn</t>
  </si>
  <si>
    <t>36-Corn</t>
  </si>
  <si>
    <t>37-Corn</t>
  </si>
  <si>
    <t>38-Corn</t>
  </si>
  <si>
    <t>39-Corn</t>
  </si>
  <si>
    <t>40-Corn</t>
  </si>
  <si>
    <t>41-Corn</t>
  </si>
  <si>
    <t>43-Dry Beans</t>
  </si>
  <si>
    <t>44-Dry Beans</t>
  </si>
  <si>
    <t>45-Dry Beans</t>
  </si>
  <si>
    <t>47-Grain Sorghum</t>
  </si>
  <si>
    <t>48-Grain Sorghum</t>
  </si>
  <si>
    <t>49-Grain Sorghum</t>
  </si>
  <si>
    <t>Limited Irrigation</t>
  </si>
  <si>
    <t>53-Millet-Proso</t>
  </si>
  <si>
    <t>59-Soybeans</t>
  </si>
  <si>
    <t>60-Soybeans</t>
  </si>
  <si>
    <t>61-Soybeans</t>
  </si>
  <si>
    <t>62-Soybeans</t>
  </si>
  <si>
    <t>63-Soybeans</t>
  </si>
  <si>
    <t>64-Soybeans</t>
  </si>
  <si>
    <t>65-Soybeans</t>
  </si>
  <si>
    <t>66-Soybeans</t>
  </si>
  <si>
    <t>68-Sugarbeet</t>
  </si>
  <si>
    <t>69-Sugarbeet</t>
  </si>
  <si>
    <t>70-Sugarbeet</t>
  </si>
  <si>
    <t>72-Sunflower</t>
  </si>
  <si>
    <t>73-Sunflower</t>
  </si>
  <si>
    <t>*</t>
  </si>
  <si>
    <t>76-Wheat-Winter</t>
  </si>
  <si>
    <t>77-Wheat-Winter</t>
  </si>
  <si>
    <t>78-Wheat-Winter</t>
  </si>
  <si>
    <t>79-Wheat-Winter</t>
  </si>
  <si>
    <t>80-Wheat-Winter</t>
  </si>
  <si>
    <t>81-Wheat-Winter</t>
  </si>
  <si>
    <t xml:space="preserve">Source:  Crop insurance rates for various crops were provided by Nebraska Farm Business Inc.  </t>
  </si>
  <si>
    <t xml:space="preserve">yield, and coverage level. The estimates in this chart do not include hail insurance premium costs. </t>
  </si>
  <si>
    <t xml:space="preserve">spring wheat and available under written agreement.  </t>
  </si>
  <si>
    <t>Detail</t>
  </si>
  <si>
    <t xml:space="preserve">Water Source </t>
  </si>
  <si>
    <t>Yield</t>
  </si>
  <si>
    <t>acre/inches</t>
  </si>
  <si>
    <t xml:space="preserve">Cropping System </t>
  </si>
  <si>
    <t>Follows Legume?</t>
  </si>
  <si>
    <t>No</t>
  </si>
  <si>
    <t>Crop Insurance</t>
  </si>
  <si>
    <t>Field Operations</t>
  </si>
  <si>
    <t>Times or Qty</t>
  </si>
  <si>
    <t>Repairs</t>
  </si>
  <si>
    <t>Ownership</t>
  </si>
  <si>
    <t>Total</t>
  </si>
  <si>
    <t>Your Estimate</t>
  </si>
  <si>
    <t>Power</t>
  </si>
  <si>
    <t>Imp.</t>
  </si>
  <si>
    <t>Total for Field Operations</t>
  </si>
  <si>
    <t>Operation Index</t>
  </si>
  <si>
    <t>Percent Acres Applied</t>
  </si>
  <si>
    <t xml:space="preserve">Application </t>
  </si>
  <si>
    <t>Materials &amp; Services</t>
  </si>
  <si>
    <t>Rate</t>
  </si>
  <si>
    <t xml:space="preserve">Total </t>
  </si>
  <si>
    <t>Total Materials &amp; Services</t>
  </si>
  <si>
    <t>Total listed costs for Field Operations and Materials and Services</t>
  </si>
  <si>
    <t>Interest on Operations Capital</t>
  </si>
  <si>
    <t>cash expense @</t>
  </si>
  <si>
    <t>Total Operating and Use Related Ownership Costs</t>
  </si>
  <si>
    <r>
      <t>Overhead</t>
    </r>
    <r>
      <rPr>
        <sz val="10"/>
        <rFont val="Times New Roman"/>
        <family val="1"/>
      </rPr>
      <t xml:space="preserve">    (accounting, liability insurance, vehicle cost, office expense, soil tests)</t>
    </r>
  </si>
  <si>
    <t>Real Estate Opportunity</t>
  </si>
  <si>
    <t>per acre @</t>
  </si>
  <si>
    <t>Real Estate Taxes</t>
  </si>
  <si>
    <t>Total Cost per Acre Including Overhead</t>
  </si>
  <si>
    <t>Yes</t>
  </si>
  <si>
    <t>Roundup Ready®</t>
  </si>
  <si>
    <t>Small Square Bales</t>
  </si>
  <si>
    <t>2.8 ton</t>
  </si>
  <si>
    <t>Establish Spring Seed with Herbicides</t>
  </si>
  <si>
    <t>Ownership^</t>
  </si>
  <si>
    <t>Real Estate Opportunity^</t>
  </si>
  <si>
    <t>^Ownership and RE Opportunity not included in cash costs.</t>
  </si>
  <si>
    <t>Roundup Ready®, Small Square Bales</t>
  </si>
  <si>
    <t>Establish Spring Seed</t>
  </si>
  <si>
    <t>Large Square Bales</t>
  </si>
  <si>
    <t>3.8 ton</t>
  </si>
  <si>
    <t>ai</t>
  </si>
  <si>
    <t>Roundup Ready®, Large Square Bales</t>
  </si>
  <si>
    <t>4 ton</t>
  </si>
  <si>
    <t>Panhandle</t>
  </si>
  <si>
    <t>Large Round Bales</t>
  </si>
  <si>
    <t>2.5 ton</t>
  </si>
  <si>
    <t>Fall Seeded with Subsequent Year Production</t>
  </si>
  <si>
    <t>4.4 ton</t>
  </si>
  <si>
    <t>6.7 ton</t>
  </si>
  <si>
    <t>Large and Small Square Bales</t>
  </si>
  <si>
    <t>6.8 ton</t>
  </si>
  <si>
    <t>6.6 ton</t>
  </si>
  <si>
    <t>100 bushel</t>
  </si>
  <si>
    <t>bu</t>
  </si>
  <si>
    <t>110 bushel</t>
  </si>
  <si>
    <t>in Corn/Soybean Rotation, Conventional Seed (Non Bt)</t>
  </si>
  <si>
    <t>Eastern Nebraska</t>
  </si>
  <si>
    <t>160 bushel</t>
  </si>
  <si>
    <t>170 bushel</t>
  </si>
  <si>
    <t>in Corn/Soybean Rotation</t>
  </si>
  <si>
    <t>Bt, ECB, RR2, LL, &amp; RIB</t>
  </si>
  <si>
    <t>135 bushel</t>
  </si>
  <si>
    <t>*Insecticide for Spider mites and Western Bean Cutworm respectively.</t>
  </si>
  <si>
    <t>180 bushel</t>
  </si>
  <si>
    <t>SmartStax RIB Complete</t>
  </si>
  <si>
    <t>140 bushel</t>
  </si>
  <si>
    <t>185 bushel</t>
  </si>
  <si>
    <t>Bt, ECB, &amp; RIB</t>
  </si>
  <si>
    <t>145 bushel</t>
  </si>
  <si>
    <t>after Beans</t>
  </si>
  <si>
    <t>195 bushel</t>
  </si>
  <si>
    <t>Southwest</t>
  </si>
  <si>
    <t>130 bushel</t>
  </si>
  <si>
    <t>Follows Wheat, Two Crops in Three Years</t>
  </si>
  <si>
    <t>Bt, ECB, RW, &amp; RIB</t>
  </si>
  <si>
    <t>245 bushel</t>
  </si>
  <si>
    <t>255 bushel</t>
  </si>
  <si>
    <t>250 bushel</t>
  </si>
  <si>
    <t>175 bushel</t>
  </si>
  <si>
    <t>260 bushel</t>
  </si>
  <si>
    <t>275 bushel</t>
  </si>
  <si>
    <t>Enlist, Bt, ECB, &amp; RIB</t>
  </si>
  <si>
    <t>235 bushel</t>
  </si>
  <si>
    <t>240 bushel</t>
  </si>
  <si>
    <t>seeds per acre, 80,000 per bag, 5% Refuge</t>
  </si>
  <si>
    <t>Silage</t>
  </si>
  <si>
    <t>28 ton</t>
  </si>
  <si>
    <t>*Insecticide for rootworm, 1st &amp; 2nd  brood European Corn Borer Western and Bean Cutworm, respectively.</t>
  </si>
  <si>
    <t>27 cwt</t>
  </si>
  <si>
    <t>after Harvest Cover Crop</t>
  </si>
  <si>
    <t>Electricity connect fee 6 months @ $72/mo 133 acres</t>
  </si>
  <si>
    <t>*Insecticide for Mexican bean beetle and Western Bean Cutworm (10%).</t>
  </si>
  <si>
    <t>* Mexican Bean Beetle and Western Bean Cutworm</t>
  </si>
  <si>
    <t>Direct Harvest</t>
  </si>
  <si>
    <t>check on heading</t>
  </si>
  <si>
    <t>A potential yield loss of 92-120 pounds per acre (but can be as high as 240-480 pounds per acre) with direct harvest is possible because of beans lost on the lower stem. A draper flex platform is usually the best choice for direct harvest. Direct harvest reduces field operations and weather related losses while beans are drying in the windrow. Undercutting and windrowing has even resulted in total crop loss. In these budgets we have not adjusted dry bean yields because of different harvesting methods.</t>
  </si>
  <si>
    <t>*Treating greenbugs one year in 10, chinchbugs one in 20.</t>
  </si>
  <si>
    <t>**</t>
  </si>
  <si>
    <t>** Since sorghum is generally planted on less productive land, real estate cost is reduced to 70% of average value.</t>
  </si>
  <si>
    <t>120 bushel</t>
  </si>
  <si>
    <t>after Wheat, Two Crops in Three Years</t>
  </si>
  <si>
    <t>22 cwt</t>
  </si>
  <si>
    <t>Followed by Wheat, Two Crops in Three Years</t>
  </si>
  <si>
    <t>85 bushel</t>
  </si>
  <si>
    <t>11 AUM</t>
  </si>
  <si>
    <t>Grazing</t>
  </si>
  <si>
    <t>35 bushel</t>
  </si>
  <si>
    <t>Annually Planted</t>
  </si>
  <si>
    <t>5 ton</t>
  </si>
  <si>
    <t>Roundup Ready 2 Yield®</t>
  </si>
  <si>
    <t>45 bushel</t>
  </si>
  <si>
    <t>after Corn</t>
  </si>
  <si>
    <r>
      <rPr>
        <sz val="10"/>
        <color theme="1"/>
        <rFont val="Calibri"/>
        <family val="2"/>
      </rPr>
      <t>˜</t>
    </r>
    <r>
      <rPr>
        <sz val="10"/>
        <color theme="1"/>
        <rFont val="Times New Roman"/>
        <family val="1"/>
      </rPr>
      <t>See benefits of soybeans in a corn/soybean rotation</t>
    </r>
  </si>
  <si>
    <t>50 bushel</t>
  </si>
  <si>
    <t xml:space="preserve"> after Corn</t>
  </si>
  <si>
    <t>** Insecticide for Aphids and Caterpillars</t>
  </si>
  <si>
    <t>Total listed costs for Field Operations and Materials &amp; Services</t>
  </si>
  <si>
    <r>
      <rPr>
        <sz val="10"/>
        <color theme="1"/>
        <rFont val="Calibri"/>
        <family val="2"/>
      </rPr>
      <t>˜</t>
    </r>
    <r>
      <rPr>
        <sz val="10"/>
        <color theme="1"/>
        <rFont val="Times New Roman"/>
        <family val="1"/>
      </rPr>
      <t>Cost to replace P</t>
    </r>
    <r>
      <rPr>
        <vertAlign val="subscript"/>
        <sz val="10"/>
        <color theme="1"/>
        <rFont val="Times New Roman"/>
        <family val="1"/>
      </rPr>
      <t>2</t>
    </r>
    <r>
      <rPr>
        <sz val="10"/>
        <color theme="1"/>
        <rFont val="Times New Roman"/>
        <family val="1"/>
      </rPr>
      <t>O</t>
    </r>
    <r>
      <rPr>
        <vertAlign val="subscript"/>
        <sz val="10"/>
        <color theme="1"/>
        <rFont val="Times New Roman"/>
        <family val="1"/>
      </rPr>
      <t>5</t>
    </r>
    <r>
      <rPr>
        <sz val="10"/>
        <color theme="1"/>
        <rFont val="Times New Roman"/>
        <family val="1"/>
      </rPr>
      <t xml:space="preserve"> - 0.8 lbs/bushel of yield produced</t>
    </r>
  </si>
  <si>
    <t>67 bushel</t>
  </si>
  <si>
    <t>70 bushel</t>
  </si>
  <si>
    <t>Roundup Ready 2 Yield® Treated</t>
  </si>
  <si>
    <t>64 bushel</t>
  </si>
  <si>
    <t>Narrow Row, Continuous</t>
  </si>
  <si>
    <t>LibertyLink® Treated</t>
  </si>
  <si>
    <t>78 bushel</t>
  </si>
  <si>
    <t>Enlist E3™ Treated</t>
  </si>
  <si>
    <t>30 ton</t>
  </si>
  <si>
    <t>3, 8, 10</t>
  </si>
  <si>
    <t>3, 9, &amp; 11</t>
  </si>
  <si>
    <t>3, 6, and 8</t>
  </si>
  <si>
    <t>Clearfield</t>
  </si>
  <si>
    <t>13 cwt</t>
  </si>
  <si>
    <t>Following Corn or Grain Sorghum</t>
  </si>
  <si>
    <t>16 cwt</t>
  </si>
  <si>
    <r>
      <t>Prowl H</t>
    </r>
    <r>
      <rPr>
        <vertAlign val="subscript"/>
        <sz val="9"/>
        <color theme="1"/>
        <rFont val="Times New Roman"/>
        <family val="1"/>
      </rPr>
      <t>2</t>
    </r>
    <r>
      <rPr>
        <sz val="9"/>
        <color theme="1"/>
        <rFont val="Times New Roman"/>
        <family val="1"/>
      </rPr>
      <t>O</t>
    </r>
  </si>
  <si>
    <t>30 cwt</t>
  </si>
  <si>
    <t>40 bushel</t>
  </si>
  <si>
    <t>Wheat after Row Crop</t>
  </si>
  <si>
    <t>55 bushel</t>
  </si>
  <si>
    <t>Fallow, One Crop in Two Years</t>
  </si>
  <si>
    <t>65 bushel</t>
  </si>
  <si>
    <t>One Crop in Two Years</t>
  </si>
  <si>
    <t>60 bushel</t>
  </si>
  <si>
    <t>80 bushel</t>
  </si>
  <si>
    <t>Wheat before Corn, Two Crops in Three Years</t>
  </si>
  <si>
    <t>105 bushel</t>
  </si>
  <si>
    <t>after Dry Beans</t>
  </si>
  <si>
    <t>90 bushel</t>
  </si>
  <si>
    <t>in Rotation</t>
  </si>
  <si>
    <t>Budgets</t>
  </si>
  <si>
    <t>Cash BE</t>
  </si>
  <si>
    <t>Crop</t>
  </si>
  <si>
    <t>Page</t>
  </si>
  <si>
    <t>Alfalfa</t>
  </si>
  <si>
    <t>Dry Beans</t>
  </si>
  <si>
    <t>Grain Sorghum</t>
  </si>
  <si>
    <t>Grass</t>
  </si>
  <si>
    <t>Grass Hay</t>
  </si>
  <si>
    <t>Millet-Proso</t>
  </si>
  <si>
    <t>Pasture</t>
  </si>
  <si>
    <t>Sorghum-Sudan</t>
  </si>
  <si>
    <t>Soybeans</t>
  </si>
  <si>
    <t>Sugarbeet</t>
  </si>
  <si>
    <t>Sunflower</t>
  </si>
  <si>
    <t>Wheat-Spring</t>
  </si>
  <si>
    <t>Wheat-Winter</t>
  </si>
  <si>
    <t>Cover Crop Grazing</t>
  </si>
  <si>
    <t>Commodity Prices (Nov. 2009)</t>
  </si>
  <si>
    <t>Source:</t>
  </si>
  <si>
    <t>Cornhusker economics 12 2 15</t>
  </si>
  <si>
    <t>Corn after corn</t>
  </si>
  <si>
    <t>Corn after soybeans</t>
  </si>
  <si>
    <t>Corn after wheat</t>
  </si>
  <si>
    <t>Soybeans after corn</t>
  </si>
  <si>
    <t>Soybeans after soybeans</t>
  </si>
  <si>
    <t>Soybeans after wheat</t>
  </si>
  <si>
    <t>Sorghum after corn</t>
  </si>
  <si>
    <t>per cwt</t>
  </si>
  <si>
    <t>Sorghum after soybeans</t>
  </si>
  <si>
    <t>Sorghum after wheat</t>
  </si>
  <si>
    <t>Input Prices</t>
  </si>
  <si>
    <t>Hauling</t>
  </si>
  <si>
    <t>Drying</t>
  </si>
  <si>
    <t>Fuel</t>
  </si>
  <si>
    <t>Pivot</t>
  </si>
  <si>
    <t>Irrigated Inputs</t>
  </si>
  <si>
    <t>Budget No</t>
  </si>
  <si>
    <t>Repairs($)</t>
  </si>
  <si>
    <t>Fuel (gal)</t>
  </si>
  <si>
    <t>Type</t>
  </si>
  <si>
    <t>Amount(lbs)</t>
  </si>
  <si>
    <t>Amount(gal)</t>
  </si>
  <si>
    <t>Seed ($)</t>
  </si>
  <si>
    <t>Pesticide ($)</t>
  </si>
  <si>
    <t>Custom Hire ($)</t>
  </si>
  <si>
    <t>Labor ($)</t>
  </si>
  <si>
    <t>Haul Grain ($/bushels)</t>
  </si>
  <si>
    <t>Dry (($/bushels)</t>
  </si>
  <si>
    <t>Test Sum</t>
  </si>
  <si>
    <t>Water Applied (inches/acre)</t>
  </si>
  <si>
    <t>NoTill-Continuous</t>
  </si>
  <si>
    <t>NoTill-After Soybeans</t>
  </si>
  <si>
    <t>NoTill</t>
  </si>
  <si>
    <t>Dryland Inputs</t>
  </si>
  <si>
    <t>39 modified</t>
  </si>
  <si>
    <t>85 bu</t>
  </si>
  <si>
    <t>100 bu</t>
  </si>
  <si>
    <t>22 AI</t>
  </si>
  <si>
    <t>PivotE 125’Lift</t>
  </si>
  <si>
    <t>16 AI</t>
  </si>
  <si>
    <t>PivotD 125’Lift</t>
  </si>
  <si>
    <t>9 AI</t>
  </si>
  <si>
    <t>Years</t>
  </si>
  <si>
    <t>Combines</t>
  </si>
  <si>
    <t>Mowers</t>
  </si>
  <si>
    <t>Balers</t>
  </si>
  <si>
    <t>Harvest Other</t>
  </si>
  <si>
    <t>Plows</t>
  </si>
  <si>
    <t>Tillage Other</t>
  </si>
  <si>
    <t>Vehicles</t>
  </si>
  <si>
    <t>Planters</t>
  </si>
  <si>
    <t>Misc</t>
  </si>
  <si>
    <r>
      <t xml:space="preserve"> </t>
    </r>
    <r>
      <rPr>
        <sz val="12"/>
        <color indexed="63"/>
        <rFont val="Calibri"/>
        <family val="2"/>
        <scheme val="minor"/>
      </rPr>
      <t>Misc equipment</t>
    </r>
    <r>
      <rPr>
        <sz val="12"/>
        <rFont val="Calibri"/>
        <family val="2"/>
        <scheme val="minor"/>
      </rPr>
      <t xml:space="preserve"> </t>
    </r>
  </si>
  <si>
    <t>C1</t>
  </si>
  <si>
    <t>C2</t>
  </si>
  <si>
    <t>2 WD Case</t>
  </si>
  <si>
    <t>Column1</t>
  </si>
  <si>
    <t>Case IH 130 HP  Farmhall 4WD</t>
  </si>
  <si>
    <t>280 Case Magnum 280CVT AFS C</t>
  </si>
  <si>
    <t>Case Axial Flow</t>
  </si>
  <si>
    <t>Peas with inoculant</t>
  </si>
  <si>
    <t>Composted manure</t>
  </si>
  <si>
    <t>Eptam 7E</t>
  </si>
  <si>
    <t>Sonalan HFP</t>
  </si>
  <si>
    <t>Dual Magnum</t>
  </si>
  <si>
    <t xml:space="preserve">Warrant </t>
  </si>
  <si>
    <t>Roundup PowerMax 3</t>
  </si>
  <si>
    <t>Spray Fungicide</t>
  </si>
  <si>
    <t>pounds</t>
  </si>
  <si>
    <t xml:space="preserve"> </t>
  </si>
  <si>
    <t>Aproach Prima</t>
  </si>
  <si>
    <t>Miravis Top</t>
  </si>
  <si>
    <t>Trivapro</t>
  </si>
  <si>
    <t>Nortron SC</t>
  </si>
  <si>
    <t xml:space="preserve">Custom </t>
  </si>
  <si>
    <t>custom</t>
  </si>
  <si>
    <t>Cover Crop Termination</t>
  </si>
  <si>
    <t xml:space="preserve">Use the UNL Ag Budget Calculator program to customize crop budgets at: </t>
  </si>
  <si>
    <t>agbudget.unl.edu</t>
  </si>
  <si>
    <t xml:space="preserve">See crop insurance tab for multi-peril insurance premiums per crop.  </t>
  </si>
  <si>
    <t>Liberty 280</t>
  </si>
  <si>
    <t xml:space="preserve">70% RP, enterprise units on Irrigated Crops.  (RP is Revenue Protection.) </t>
  </si>
  <si>
    <t>*6</t>
  </si>
  <si>
    <t>***</t>
  </si>
  <si>
    <t>** Minimum 7 days prior to planting</t>
  </si>
  <si>
    <t>*8</t>
  </si>
  <si>
    <t xml:space="preserve">* Harvest factor adjustment used on costs </t>
  </si>
  <si>
    <t>*7</t>
  </si>
  <si>
    <t>***Insecticide for Aphids and Caterpillars</t>
  </si>
  <si>
    <t>**Insecticide for Aphids and Caterpillars</t>
  </si>
  <si>
    <t>*9</t>
  </si>
  <si>
    <t>*3</t>
  </si>
  <si>
    <t>*4</t>
  </si>
  <si>
    <t>**Insecticide for seed weevil and sunflower moth</t>
  </si>
  <si>
    <t xml:space="preserve">**Fungicide for rust                      </t>
  </si>
  <si>
    <t>*5</t>
  </si>
  <si>
    <t>***Insecticide for aphids and army cutworm</t>
  </si>
  <si>
    <t>*11</t>
  </si>
  <si>
    <t>*10</t>
  </si>
  <si>
    <t xml:space="preserve">                 </t>
  </si>
  <si>
    <t>**Insecticide for aphids and army cutworm</t>
  </si>
  <si>
    <t>3.3 ton</t>
  </si>
  <si>
    <t>Extension Dryland Cropping Systems</t>
  </si>
  <si>
    <t>* Spring Wheat #75 budget - Crop insurance is only available in Box Butte, Dawes, Sheridan counties for summer fallow</t>
  </si>
  <si>
    <t>Operation Name</t>
  </si>
  <si>
    <t>Delaro Complete</t>
  </si>
  <si>
    <t>Authority DF</t>
  </si>
  <si>
    <t>Gramoxone SL 3.0</t>
  </si>
  <si>
    <t>Rye Cover Crop</t>
  </si>
  <si>
    <t>RR, Bt, ECB, &amp; RIB</t>
  </si>
  <si>
    <t xml:space="preserve">  Herbicide</t>
  </si>
  <si>
    <t>Overhead Cost per Acre - dryland</t>
  </si>
  <si>
    <t>Overhead Cost per Acre -irrigated</t>
  </si>
  <si>
    <t>Combine Dryland SB - (flex head)</t>
  </si>
  <si>
    <t>Overhead Cost per Acre- small grains</t>
  </si>
  <si>
    <t>Combine Dryland SG (grain head)</t>
  </si>
  <si>
    <t>Combine Irr Dry Beans (flex head)</t>
  </si>
  <si>
    <t>Combine Irr SB (flex head)</t>
  </si>
  <si>
    <t>Combine Irr SG (grain head)</t>
  </si>
  <si>
    <t>Combine Small Grain (grain head)</t>
  </si>
  <si>
    <t>Combine Dryland Corn (corn head)</t>
  </si>
  <si>
    <t>Combine Irr Corn (corn head)</t>
  </si>
  <si>
    <t>Combine - Sunflower head</t>
  </si>
  <si>
    <t>Popcorn</t>
  </si>
  <si>
    <t>Dry 2 Points Removed (pound)</t>
  </si>
  <si>
    <t>Note:  8,000 lbs /65 lbs/bu = 123 bushel equivalent</t>
  </si>
  <si>
    <t>8000 Lbs.</t>
  </si>
  <si>
    <t>2025 Budget 42-Popcorn, No Till, After Beans, 8000 Lbs. Yield</t>
  </si>
  <si>
    <t>Haul Grain (pounds)</t>
  </si>
  <si>
    <t>42-Popcorn</t>
  </si>
  <si>
    <t>State</t>
  </si>
  <si>
    <t>(Revised October 2024)</t>
  </si>
  <si>
    <t>Julie Peterson</t>
  </si>
  <si>
    <t>Justin McMechan</t>
  </si>
  <si>
    <t>Pin-Chu Lai</t>
  </si>
  <si>
    <t>Chateau EZ</t>
  </si>
  <si>
    <t>46-Dry Beans</t>
  </si>
  <si>
    <t>50-Grain Sorghum</t>
  </si>
  <si>
    <t>51-Grass</t>
  </si>
  <si>
    <t>52-Grass Hay</t>
  </si>
  <si>
    <t>54-Millet-Proso</t>
  </si>
  <si>
    <t>55-Oats</t>
  </si>
  <si>
    <t>56-Pasture</t>
  </si>
  <si>
    <t>57-Peas</t>
  </si>
  <si>
    <t xml:space="preserve">Due to price volatility, these rates may change when rates are updated in March, 2025. </t>
  </si>
  <si>
    <t>Winter wheat premiums are actuals (established fall, 2024). Premiums will vary statewide by location,</t>
  </si>
  <si>
    <t xml:space="preserve">Federal Crop Insurance Premium Estimates for 2025 are based on 75% RP, enterprise units on Dryland and </t>
  </si>
  <si>
    <t>Goltix 700 SC (2025?)</t>
  </si>
  <si>
    <t>42-Popcorn, No Till, after Beans, 8,00 Lbs. Yield, Pivot Irrigated Electric</t>
  </si>
  <si>
    <t>58-Sorghum-Sudan</t>
  </si>
  <si>
    <t>67-Sugarbeet</t>
  </si>
  <si>
    <t>71-Sunflower</t>
  </si>
  <si>
    <t>74-Wheat-Spring</t>
  </si>
  <si>
    <t>75-Wheat-Winter</t>
  </si>
  <si>
    <t>82-Cover Crop</t>
  </si>
  <si>
    <t>83-Cover Crop Grazing</t>
  </si>
  <si>
    <t>7 &amp; 9</t>
  </si>
  <si>
    <t>Center for Agricultural Profitability Director</t>
  </si>
  <si>
    <t>Overhead    (accounting, liability insurance, vehicle cost, office expense, soil tests)</t>
  </si>
  <si>
    <t>Extension Weed Management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</si>
</sst>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8" formatCode="&quot;$&quot;#,##0.00_);[Red]\(&quot;$&quot;#,##0.00\)"/>
    <numFmt numFmtId="44" formatCode="_(&quot;$&quot;* #,##0.00_);_(&quot;$&quot;* \(#,##0.00\);_(&quot;$&quot;* &quot;-&quot;??_);_(@_)"/>
    <numFmt numFmtId="43" formatCode="_(* #,##0.00_);_(* \(#,##0.00\);_(* &quot;-&quot;??_);_(@_)"/>
    <numFmt numFmtId="164" formatCode="_(* #,##0_);_(* \(#,##0\);_(* &quot;-&quot;??_);_(@_)"/>
    <numFmt numFmtId="165" formatCode="_(&quot;$&quot;* #,##0.0000_);_(&quot;$&quot;* \(#,##0.0000\);_(&quot;$&quot;* &quot;-&quot;??_);_(@_)"/>
    <numFmt numFmtId="166" formatCode="_(&quot;$&quot;* #,##0_);_(&quot;$&quot;* \(#,##0\);_(&quot;$&quot;* &quot;-&quot;??_);_(@_)"/>
    <numFmt numFmtId="167" formatCode="0.0"/>
    <numFmt numFmtId="168" formatCode="0.000"/>
    <numFmt numFmtId="169" formatCode="_([$$-409]* #,##0.00_);_([$$-409]* \(#,##0.00\);_([$$-409]* &quot;-&quot;??_);_(@_)"/>
    <numFmt numFmtId="170" formatCode="&quot;$&quot;#,##0.000_);[Red]\(&quot;$&quot;#,##0.000\)"/>
  </numFmts>
  <fonts count="56" x14ac:knownFonts="1">
    <font>
      <sz val="10"/>
      <color theme="1"/>
      <name val="Arial"/>
      <family val="2"/>
    </font>
    <font>
      <sz val="10"/>
      <color theme="1"/>
      <name val="Arial"/>
      <family val="2"/>
    </font>
    <font>
      <b/>
      <sz val="10"/>
      <color theme="1"/>
      <name val="Arial"/>
      <family val="2"/>
    </font>
    <font>
      <b/>
      <sz val="10"/>
      <name val="Arial"/>
      <family val="2"/>
    </font>
    <font>
      <sz val="10"/>
      <name val="Arial"/>
      <family val="2"/>
    </font>
    <font>
      <sz val="9"/>
      <name val="Arial"/>
      <family val="2"/>
    </font>
    <font>
      <sz val="12"/>
      <color indexed="63"/>
      <name val="Calibri"/>
      <family val="2"/>
      <scheme val="minor"/>
    </font>
    <font>
      <sz val="12"/>
      <name val="Calibri"/>
      <family val="2"/>
      <scheme val="minor"/>
    </font>
    <font>
      <i/>
      <sz val="12"/>
      <color indexed="63"/>
      <name val="Calibri"/>
      <family val="2"/>
      <scheme val="minor"/>
    </font>
    <font>
      <sz val="14"/>
      <color theme="1"/>
      <name val="Arial"/>
      <family val="2"/>
    </font>
    <font>
      <b/>
      <sz val="10"/>
      <color rgb="FFFFFF00"/>
      <name val="Arial"/>
      <family val="2"/>
    </font>
    <font>
      <sz val="10"/>
      <color rgb="FFFFFF00"/>
      <name val="Arial"/>
      <family val="2"/>
    </font>
    <font>
      <sz val="12"/>
      <color rgb="FFFFFF00"/>
      <name val="Calibri"/>
      <family val="2"/>
      <scheme val="minor"/>
    </font>
    <font>
      <i/>
      <sz val="12"/>
      <color rgb="FFFFFF00"/>
      <name val="Calibri"/>
      <family val="2"/>
      <scheme val="minor"/>
    </font>
    <font>
      <sz val="10"/>
      <color theme="1" tint="4.9989318521683403E-2"/>
      <name val="Arial"/>
      <family val="2"/>
    </font>
    <font>
      <sz val="9"/>
      <color rgb="FFFF0000"/>
      <name val="Arial"/>
      <family val="2"/>
    </font>
    <font>
      <sz val="9"/>
      <color theme="1"/>
      <name val="Arial"/>
      <family val="2"/>
    </font>
    <font>
      <sz val="9"/>
      <color rgb="FF0070C0"/>
      <name val="Arial"/>
      <family val="2"/>
    </font>
    <font>
      <sz val="10"/>
      <color rgb="FF0070C0"/>
      <name val="Arial"/>
      <family val="2"/>
    </font>
    <font>
      <sz val="9"/>
      <color rgb="FF00B0F0"/>
      <name val="Arial"/>
      <family val="2"/>
    </font>
    <font>
      <b/>
      <sz val="12"/>
      <color rgb="FFFF0000"/>
      <name val="Arial"/>
      <family val="2"/>
    </font>
    <font>
      <u/>
      <sz val="10"/>
      <color theme="10"/>
      <name val="Arial"/>
      <family val="2"/>
    </font>
    <font>
      <sz val="26"/>
      <color theme="1"/>
      <name val="Arial"/>
      <family val="2"/>
    </font>
    <font>
      <b/>
      <sz val="10"/>
      <color theme="0"/>
      <name val="Arial"/>
      <family val="2"/>
    </font>
    <font>
      <sz val="10"/>
      <color theme="1"/>
      <name val="Minion Pro"/>
      <family val="1"/>
    </font>
    <font>
      <sz val="10"/>
      <color theme="1"/>
      <name val="Times New Roman"/>
      <family val="1"/>
    </font>
    <font>
      <b/>
      <sz val="10"/>
      <name val="Times New Roman"/>
      <family val="1"/>
    </font>
    <font>
      <sz val="10"/>
      <name val="Times New Roman"/>
      <family val="1"/>
    </font>
    <font>
      <sz val="10"/>
      <color theme="0"/>
      <name val="Times New Roman"/>
      <family val="1"/>
    </font>
    <font>
      <b/>
      <sz val="10"/>
      <color theme="1"/>
      <name val="Times New Roman"/>
      <family val="1"/>
    </font>
    <font>
      <b/>
      <sz val="12"/>
      <color theme="1"/>
      <name val="Times New Roman"/>
      <family val="1"/>
    </font>
    <font>
      <sz val="10"/>
      <color rgb="FF000000"/>
      <name val="Times New Roman"/>
      <family val="1"/>
    </font>
    <font>
      <sz val="8"/>
      <name val="Times New Roman"/>
      <family val="1"/>
    </font>
    <font>
      <sz val="9"/>
      <color theme="1"/>
      <name val="Times New Roman"/>
      <family val="1"/>
    </font>
    <font>
      <vertAlign val="subscript"/>
      <sz val="9"/>
      <color theme="1"/>
      <name val="Times New Roman"/>
      <family val="1"/>
    </font>
    <font>
      <sz val="16"/>
      <name val="Arial"/>
      <family val="2"/>
    </font>
    <font>
      <sz val="10"/>
      <color theme="1"/>
      <name val="Calibri"/>
      <family val="2"/>
    </font>
    <font>
      <vertAlign val="subscript"/>
      <sz val="10"/>
      <color theme="1"/>
      <name val="Times New Roman"/>
      <family val="1"/>
    </font>
    <font>
      <b/>
      <sz val="12"/>
      <color indexed="8"/>
      <name val="Times New Roman"/>
      <family val="1"/>
    </font>
    <font>
      <b/>
      <sz val="12"/>
      <color theme="1"/>
      <name val="Minion Pro"/>
      <family val="1"/>
    </font>
    <font>
      <sz val="12"/>
      <color theme="1"/>
      <name val="Arial"/>
      <family val="2"/>
    </font>
    <font>
      <sz val="12"/>
      <color theme="1"/>
      <name val="Times New Roman"/>
      <family val="1"/>
    </font>
    <font>
      <b/>
      <sz val="14"/>
      <color theme="1"/>
      <name val="Calibri"/>
      <family val="2"/>
      <scheme val="minor"/>
    </font>
    <font>
      <sz val="10"/>
      <color rgb="FF0A0101"/>
      <name val="Times New Roman"/>
      <family val="1"/>
    </font>
    <font>
      <b/>
      <sz val="12"/>
      <color theme="1"/>
      <name val="Calibri"/>
      <family val="2"/>
      <scheme val="minor"/>
    </font>
    <font>
      <sz val="10"/>
      <color rgb="FFFF0000"/>
      <name val="Arial"/>
      <family val="2"/>
    </font>
    <font>
      <i/>
      <sz val="10"/>
      <color theme="1"/>
      <name val="Arial"/>
      <family val="2"/>
    </font>
    <font>
      <sz val="10"/>
      <color rgb="FFFF0000"/>
      <name val="Times New Roman"/>
      <family val="1"/>
    </font>
    <font>
      <i/>
      <sz val="10"/>
      <name val="Times New Roman"/>
      <family val="1"/>
    </font>
    <font>
      <sz val="9"/>
      <color theme="3" tint="0.39997558519241921"/>
      <name val="Arial"/>
      <family val="2"/>
    </font>
    <font>
      <sz val="10"/>
      <color theme="1"/>
      <name val="Arial"/>
      <family val="2"/>
    </font>
    <font>
      <b/>
      <sz val="10"/>
      <color rgb="FFFFFF00"/>
      <name val="Arial"/>
      <family val="2"/>
    </font>
    <font>
      <sz val="9"/>
      <name val="Times New Roman"/>
      <family val="1"/>
    </font>
    <font>
      <b/>
      <sz val="9"/>
      <color theme="1"/>
      <name val="Times New Roman"/>
      <family val="1"/>
    </font>
    <font>
      <sz val="10"/>
      <color theme="1"/>
      <name val="Arial"/>
      <family val="2"/>
    </font>
    <font>
      <i/>
      <sz val="10"/>
      <color theme="1"/>
      <name val="Times New Roman"/>
      <family val="1"/>
    </font>
  </fonts>
  <fills count="11">
    <fill>
      <patternFill patternType="none"/>
    </fill>
    <fill>
      <patternFill patternType="gray125"/>
    </fill>
    <fill>
      <patternFill patternType="solid">
        <fgColor theme="5" tint="0.79998168889431442"/>
        <bgColor theme="5" tint="0.79998168889431442"/>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0"/>
        <bgColor theme="4" tint="0.79998168889431442"/>
      </patternFill>
    </fill>
    <fill>
      <patternFill patternType="solid">
        <fgColor theme="4" tint="0.79998168889431442"/>
        <bgColor indexed="64"/>
      </patternFill>
    </fill>
  </fills>
  <borders count="40">
    <border>
      <left/>
      <right/>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bottom style="double">
        <color indexed="64"/>
      </bottom>
      <diagonal/>
    </border>
    <border>
      <left/>
      <right/>
      <top/>
      <bottom style="thin">
        <color indexed="64"/>
      </bottom>
      <diagonal/>
    </border>
    <border>
      <left style="thin">
        <color theme="5" tint="0.39997558519241921"/>
      </left>
      <right/>
      <top/>
      <bottom style="thin">
        <color theme="5" tint="0.39997558519241921"/>
      </bottom>
      <diagonal/>
    </border>
    <border>
      <left/>
      <right/>
      <top/>
      <bottom style="thin">
        <color theme="5" tint="0.39997558519241921"/>
      </bottom>
      <diagonal/>
    </border>
    <border>
      <left/>
      <right style="thin">
        <color theme="5" tint="0.39997558519241921"/>
      </right>
      <top/>
      <bottom style="thin">
        <color theme="5" tint="0.39997558519241921"/>
      </bottom>
      <diagonal/>
    </border>
    <border>
      <left/>
      <right/>
      <top style="thin">
        <color theme="5" tint="0.39997558519241921"/>
      </top>
      <bottom style="thin">
        <color theme="5"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5" tint="0.39997558519241921"/>
      </left>
      <right/>
      <top style="thin">
        <color theme="5" tint="0.39997558519241921"/>
      </top>
      <bottom style="thin">
        <color theme="5" tint="0.3999755851924192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theme="4" tint="0.39997558519241921"/>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theme="4" tint="0.39997558519241921"/>
      </left>
      <right/>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theme="4" tint="0.39997558519241921"/>
      </left>
      <right/>
      <top style="thin">
        <color theme="4" tint="0.39997558519241921"/>
      </top>
      <bottom style="thin">
        <color theme="3" tint="0.59999389629810485"/>
      </bottom>
      <diagonal/>
    </border>
    <border>
      <left/>
      <right/>
      <top style="thin">
        <color theme="4" tint="0.39997558519241921"/>
      </top>
      <bottom style="thin">
        <color theme="3" tint="0.59999389629810485"/>
      </bottom>
      <diagonal/>
    </border>
    <border>
      <left/>
      <right style="thin">
        <color theme="4" tint="0.39997558519241921"/>
      </right>
      <top style="thin">
        <color theme="4" tint="0.39997558519241921"/>
      </top>
      <bottom style="thin">
        <color theme="3" tint="0.59999389629810485"/>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style="double">
        <color indexed="64"/>
      </bottom>
      <diagonal/>
    </border>
    <border>
      <left style="thin">
        <color theme="0" tint="-0.249977111117893"/>
      </left>
      <right style="thin">
        <color theme="0" tint="-0.249977111117893"/>
      </right>
      <top/>
      <bottom style="double">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double">
        <color auto="1"/>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4" fillId="0" borderId="0"/>
    <xf numFmtId="0" fontId="4" fillId="0" borderId="0"/>
  </cellStyleXfs>
  <cellXfs count="408">
    <xf numFmtId="0" fontId="0" fillId="0" borderId="0" xfId="0"/>
    <xf numFmtId="0" fontId="7" fillId="0" borderId="0" xfId="0" applyFont="1"/>
    <xf numFmtId="0" fontId="7" fillId="0" borderId="0" xfId="0" applyFont="1" applyAlignment="1">
      <alignment horizontal="center"/>
    </xf>
    <xf numFmtId="37" fontId="7" fillId="0" borderId="0" xfId="1" applyNumberFormat="1" applyFont="1" applyFill="1" applyAlignment="1" applyProtection="1"/>
    <xf numFmtId="37" fontId="7" fillId="0" borderId="0" xfId="1" applyNumberFormat="1" applyFont="1" applyFill="1" applyBorder="1" applyAlignment="1" applyProtection="1"/>
    <xf numFmtId="0" fontId="7" fillId="0" borderId="6" xfId="0" applyFont="1" applyBorder="1"/>
    <xf numFmtId="0" fontId="7" fillId="2" borderId="6" xfId="0" applyFont="1" applyFill="1" applyBorder="1"/>
    <xf numFmtId="0" fontId="11" fillId="0" borderId="0" xfId="0" applyFont="1" applyAlignment="1">
      <alignment vertical="top"/>
    </xf>
    <xf numFmtId="0" fontId="12" fillId="0" borderId="0" xfId="0" applyFont="1" applyAlignment="1">
      <alignment vertical="top"/>
    </xf>
    <xf numFmtId="8" fontId="0" fillId="0" borderId="0" xfId="0" applyNumberFormat="1"/>
    <xf numFmtId="0" fontId="7" fillId="2" borderId="8" xfId="0" applyFont="1" applyFill="1" applyBorder="1"/>
    <xf numFmtId="0" fontId="7" fillId="2" borderId="13" xfId="0" applyFont="1" applyFill="1" applyBorder="1" applyAlignment="1">
      <alignment wrapText="1"/>
    </xf>
    <xf numFmtId="0" fontId="7" fillId="0" borderId="5" xfId="0" applyFont="1" applyBorder="1" applyAlignment="1">
      <alignment wrapText="1"/>
    </xf>
    <xf numFmtId="0" fontId="7" fillId="2" borderId="5" xfId="0" applyFont="1" applyFill="1" applyBorder="1" applyAlignment="1">
      <alignment wrapText="1"/>
    </xf>
    <xf numFmtId="0" fontId="7" fillId="2" borderId="8" xfId="0" applyFont="1" applyFill="1" applyBorder="1" applyAlignment="1">
      <alignment wrapText="1"/>
    </xf>
    <xf numFmtId="0" fontId="7" fillId="0" borderId="6" xfId="0" applyFont="1" applyBorder="1" applyAlignment="1">
      <alignment wrapText="1"/>
    </xf>
    <xf numFmtId="0" fontId="7" fillId="2" borderId="6" xfId="0" applyFont="1" applyFill="1" applyBorder="1" applyAlignment="1">
      <alignment wrapText="1"/>
    </xf>
    <xf numFmtId="0" fontId="0" fillId="4" borderId="0" xfId="0" applyFill="1"/>
    <xf numFmtId="0" fontId="4" fillId="4" borderId="15" xfId="0" applyFont="1" applyFill="1" applyBorder="1" applyAlignment="1">
      <alignment wrapText="1"/>
    </xf>
    <xf numFmtId="0" fontId="4" fillId="4" borderId="15" xfId="0" applyFont="1" applyFill="1" applyBorder="1"/>
    <xf numFmtId="0" fontId="0" fillId="4" borderId="15" xfId="0" applyFill="1" applyBorder="1"/>
    <xf numFmtId="0" fontId="20" fillId="4" borderId="0" xfId="0" applyFont="1" applyFill="1" applyAlignment="1">
      <alignment wrapText="1"/>
    </xf>
    <xf numFmtId="2" fontId="0" fillId="0" borderId="0" xfId="0" applyNumberFormat="1"/>
    <xf numFmtId="2" fontId="4" fillId="0" borderId="0" xfId="0" applyNumberFormat="1" applyFont="1"/>
    <xf numFmtId="0" fontId="0" fillId="5" borderId="0" xfId="0" applyFill="1" applyProtection="1">
      <protection locked="0"/>
    </xf>
    <xf numFmtId="44" fontId="4" fillId="5" borderId="15" xfId="1" applyFont="1" applyFill="1" applyBorder="1" applyProtection="1">
      <protection locked="0"/>
    </xf>
    <xf numFmtId="165" fontId="4" fillId="5" borderId="15" xfId="1" applyNumberFormat="1" applyFont="1" applyFill="1" applyBorder="1" applyProtection="1">
      <protection locked="0"/>
    </xf>
    <xf numFmtId="0" fontId="0" fillId="5" borderId="15" xfId="0" applyFill="1" applyBorder="1" applyProtection="1">
      <protection locked="0"/>
    </xf>
    <xf numFmtId="10" fontId="4" fillId="5" borderId="15" xfId="2" applyNumberFormat="1" applyFont="1" applyFill="1" applyBorder="1" applyProtection="1">
      <protection locked="0"/>
    </xf>
    <xf numFmtId="43" fontId="4" fillId="5" borderId="15" xfId="3" applyFont="1" applyFill="1" applyBorder="1" applyProtection="1">
      <protection locked="0"/>
    </xf>
    <xf numFmtId="0" fontId="4" fillId="0" borderId="15" xfId="0" applyFont="1" applyBorder="1" applyAlignment="1">
      <alignment wrapText="1"/>
    </xf>
    <xf numFmtId="0" fontId="4" fillId="0" borderId="15" xfId="0" quotePrefix="1" applyFont="1" applyBorder="1"/>
    <xf numFmtId="0" fontId="0" fillId="0" borderId="15" xfId="0" applyBorder="1"/>
    <xf numFmtId="0" fontId="4" fillId="0" borderId="15" xfId="0" applyFont="1" applyBorder="1"/>
    <xf numFmtId="2" fontId="0" fillId="5" borderId="0" xfId="0" applyNumberFormat="1" applyFill="1" applyProtection="1">
      <protection locked="0"/>
    </xf>
    <xf numFmtId="2" fontId="0" fillId="5" borderId="11" xfId="0" applyNumberFormat="1" applyFill="1" applyBorder="1" applyProtection="1">
      <protection locked="0"/>
    </xf>
    <xf numFmtId="2" fontId="0" fillId="5" borderId="2" xfId="0" applyNumberFormat="1" applyFill="1" applyBorder="1" applyProtection="1">
      <protection locked="0"/>
    </xf>
    <xf numFmtId="164" fontId="0" fillId="5" borderId="2" xfId="3" applyNumberFormat="1" applyFont="1" applyFill="1" applyBorder="1" applyProtection="1">
      <protection locked="0"/>
    </xf>
    <xf numFmtId="1" fontId="0" fillId="5" borderId="2" xfId="0" applyNumberFormat="1" applyFill="1" applyBorder="1" applyAlignment="1" applyProtection="1">
      <alignment horizontal="center"/>
      <protection locked="0"/>
    </xf>
    <xf numFmtId="1" fontId="18" fillId="5" borderId="2" xfId="0" applyNumberFormat="1" applyFont="1" applyFill="1" applyBorder="1" applyAlignment="1" applyProtection="1">
      <alignment horizontal="center"/>
      <protection locked="0"/>
    </xf>
    <xf numFmtId="2" fontId="10" fillId="0" borderId="9" xfId="0" applyNumberFormat="1" applyFont="1" applyBorder="1" applyAlignment="1">
      <alignment horizontal="left" wrapText="1"/>
    </xf>
    <xf numFmtId="2" fontId="10" fillId="0" borderId="9" xfId="0" applyNumberFormat="1" applyFont="1" applyBorder="1" applyAlignment="1">
      <alignment horizontal="center" wrapText="1"/>
    </xf>
    <xf numFmtId="2" fontId="10" fillId="0" borderId="1" xfId="0" applyNumberFormat="1" applyFont="1" applyBorder="1" applyAlignment="1">
      <alignment horizontal="center" wrapText="1"/>
    </xf>
    <xf numFmtId="2" fontId="10" fillId="0" borderId="12" xfId="0" applyNumberFormat="1" applyFont="1" applyBorder="1" applyAlignment="1">
      <alignment horizontal="center" wrapText="1"/>
    </xf>
    <xf numFmtId="2" fontId="10" fillId="0" borderId="10" xfId="0" applyNumberFormat="1" applyFont="1" applyBorder="1" applyAlignment="1">
      <alignment horizontal="center" wrapText="1"/>
    </xf>
    <xf numFmtId="0" fontId="3" fillId="0" borderId="6" xfId="0" applyFont="1" applyBorder="1"/>
    <xf numFmtId="37" fontId="3" fillId="0" borderId="6" xfId="1" applyNumberFormat="1" applyFont="1" applyFill="1" applyBorder="1" applyAlignment="1" applyProtection="1">
      <alignment wrapText="1"/>
    </xf>
    <xf numFmtId="164" fontId="0" fillId="3" borderId="12" xfId="3" applyNumberFormat="1" applyFont="1" applyFill="1" applyBorder="1" applyProtection="1"/>
    <xf numFmtId="2" fontId="0" fillId="3" borderId="12" xfId="0" applyNumberFormat="1" applyFill="1" applyBorder="1"/>
    <xf numFmtId="0" fontId="6" fillId="0" borderId="8" xfId="0" applyFont="1" applyBorder="1"/>
    <xf numFmtId="0" fontId="7" fillId="0" borderId="8" xfId="0" applyFont="1" applyBorder="1"/>
    <xf numFmtId="0" fontId="7" fillId="0" borderId="8" xfId="0" applyFont="1" applyBorder="1" applyAlignment="1">
      <alignment horizontal="center"/>
    </xf>
    <xf numFmtId="37" fontId="7" fillId="0" borderId="8" xfId="1" applyNumberFormat="1" applyFont="1" applyFill="1" applyBorder="1" applyAlignment="1" applyProtection="1"/>
    <xf numFmtId="0" fontId="7" fillId="0" borderId="6" xfId="0" applyFont="1" applyBorder="1" applyAlignment="1">
      <alignment horizontal="center"/>
    </xf>
    <xf numFmtId="37" fontId="7" fillId="0" borderId="6" xfId="1" applyNumberFormat="1" applyFont="1" applyFill="1" applyBorder="1" applyAlignment="1" applyProtection="1"/>
    <xf numFmtId="0" fontId="11" fillId="0" borderId="0" xfId="0" applyFont="1" applyAlignment="1">
      <alignment vertical="top" wrapText="1"/>
    </xf>
    <xf numFmtId="37" fontId="11" fillId="0" borderId="0" xfId="1" applyNumberFormat="1" applyFont="1" applyAlignment="1" applyProtection="1">
      <alignment vertical="top" wrapText="1"/>
    </xf>
    <xf numFmtId="0" fontId="14" fillId="3" borderId="0" xfId="0" applyFont="1" applyFill="1" applyAlignment="1">
      <alignment vertical="top" wrapText="1"/>
    </xf>
    <xf numFmtId="0" fontId="4" fillId="0" borderId="0" xfId="0" applyFont="1"/>
    <xf numFmtId="0" fontId="4" fillId="3" borderId="0" xfId="0" applyFont="1" applyFill="1"/>
    <xf numFmtId="0" fontId="0" fillId="0" borderId="0" xfId="0" applyAlignment="1">
      <alignment wrapText="1"/>
    </xf>
    <xf numFmtId="0" fontId="0" fillId="0" borderId="0" xfId="0" applyAlignment="1">
      <alignment horizontal="center"/>
    </xf>
    <xf numFmtId="0" fontId="7" fillId="0" borderId="5" xfId="0" applyFont="1" applyBorder="1"/>
    <xf numFmtId="37" fontId="7" fillId="0" borderId="7" xfId="1" applyNumberFormat="1" applyFont="1" applyFill="1" applyBorder="1" applyAlignment="1" applyProtection="1"/>
    <xf numFmtId="0" fontId="7" fillId="2" borderId="5" xfId="0" applyFont="1" applyFill="1" applyBorder="1"/>
    <xf numFmtId="0" fontId="7" fillId="2" borderId="6" xfId="0" applyFont="1" applyFill="1" applyBorder="1" applyAlignment="1">
      <alignment horizontal="center"/>
    </xf>
    <xf numFmtId="37" fontId="7" fillId="2" borderId="7" xfId="1" applyNumberFormat="1" applyFont="1" applyFill="1" applyBorder="1" applyAlignment="1" applyProtection="1"/>
    <xf numFmtId="0" fontId="4" fillId="0" borderId="0" xfId="0" applyFont="1" applyAlignment="1">
      <alignment horizontal="center"/>
    </xf>
    <xf numFmtId="44" fontId="4" fillId="0" borderId="15" xfId="1" applyFont="1" applyFill="1" applyBorder="1" applyProtection="1">
      <protection locked="0"/>
    </xf>
    <xf numFmtId="0" fontId="21" fillId="4" borderId="0" xfId="4" applyFill="1" applyAlignment="1" applyProtection="1"/>
    <xf numFmtId="0" fontId="4" fillId="0" borderId="0" xfId="0" applyFont="1" applyProtection="1">
      <protection locked="0"/>
    </xf>
    <xf numFmtId="0" fontId="4" fillId="0" borderId="0" xfId="0" applyFont="1" applyAlignment="1" applyProtection="1">
      <alignment horizontal="center"/>
      <protection locked="0"/>
    </xf>
    <xf numFmtId="0" fontId="2" fillId="4" borderId="0" xfId="0" applyFont="1" applyFill="1"/>
    <xf numFmtId="164" fontId="0" fillId="5" borderId="0" xfId="3" applyNumberFormat="1" applyFont="1" applyFill="1" applyProtection="1">
      <protection locked="0"/>
    </xf>
    <xf numFmtId="164" fontId="0" fillId="5" borderId="0" xfId="3" applyNumberFormat="1" applyFont="1" applyFill="1" applyBorder="1" applyProtection="1">
      <protection locked="0"/>
    </xf>
    <xf numFmtId="0" fontId="23" fillId="6" borderId="22" xfId="0" applyFont="1" applyFill="1" applyBorder="1" applyAlignment="1">
      <alignment wrapText="1"/>
    </xf>
    <xf numFmtId="0" fontId="23" fillId="6" borderId="19" xfId="0" applyFont="1" applyFill="1" applyBorder="1" applyAlignment="1">
      <alignment wrapText="1"/>
    </xf>
    <xf numFmtId="0" fontId="5" fillId="5" borderId="21" xfId="0" applyFont="1" applyFill="1" applyBorder="1" applyAlignment="1">
      <alignment horizontal="center" vertical="top" wrapText="1"/>
    </xf>
    <xf numFmtId="8" fontId="5" fillId="5" borderId="21" xfId="0" applyNumberFormat="1" applyFont="1" applyFill="1" applyBorder="1" applyAlignment="1">
      <alignment horizontal="center" vertical="top" wrapText="1"/>
    </xf>
    <xf numFmtId="38" fontId="5" fillId="5" borderId="21" xfId="0" applyNumberFormat="1" applyFont="1" applyFill="1" applyBorder="1" applyAlignment="1">
      <alignment horizontal="center" vertical="top" wrapText="1"/>
    </xf>
    <xf numFmtId="43" fontId="5" fillId="5" borderId="21" xfId="3" applyFont="1" applyFill="1" applyBorder="1" applyAlignment="1">
      <alignment horizontal="center" vertical="top" wrapText="1"/>
    </xf>
    <xf numFmtId="40" fontId="15" fillId="5" borderId="21" xfId="3" applyNumberFormat="1" applyFont="1" applyFill="1" applyBorder="1" applyAlignment="1">
      <alignment horizontal="center" vertical="top" wrapText="1"/>
    </xf>
    <xf numFmtId="0" fontId="15" fillId="5" borderId="21" xfId="3" applyNumberFormat="1" applyFont="1" applyFill="1" applyBorder="1" applyAlignment="1">
      <alignment horizontal="center" vertical="top" wrapText="1"/>
    </xf>
    <xf numFmtId="164" fontId="0" fillId="3" borderId="21" xfId="3" applyNumberFormat="1" applyFont="1" applyFill="1" applyBorder="1"/>
    <xf numFmtId="43" fontId="0" fillId="3" borderId="20" xfId="3" applyFont="1" applyFill="1" applyBorder="1"/>
    <xf numFmtId="164" fontId="0" fillId="3" borderId="20" xfId="3" applyNumberFormat="1" applyFont="1" applyFill="1" applyBorder="1"/>
    <xf numFmtId="2" fontId="0" fillId="3" borderId="20" xfId="3" applyNumberFormat="1" applyFont="1" applyFill="1" applyBorder="1"/>
    <xf numFmtId="40" fontId="5" fillId="5" borderId="21" xfId="0" applyNumberFormat="1" applyFont="1" applyFill="1" applyBorder="1" applyAlignment="1">
      <alignment horizontal="center" vertical="top" wrapText="1"/>
    </xf>
    <xf numFmtId="38" fontId="17" fillId="5" borderId="21" xfId="0" applyNumberFormat="1" applyFont="1" applyFill="1" applyBorder="1" applyAlignment="1">
      <alignment horizontal="center" vertical="top" wrapText="1"/>
    </xf>
    <xf numFmtId="40" fontId="17" fillId="5" borderId="21" xfId="0" applyNumberFormat="1" applyFont="1" applyFill="1" applyBorder="1" applyAlignment="1">
      <alignment horizontal="center" vertical="top" wrapText="1"/>
    </xf>
    <xf numFmtId="40" fontId="19" fillId="5" borderId="21" xfId="0" applyNumberFormat="1" applyFont="1" applyFill="1" applyBorder="1" applyAlignment="1">
      <alignment horizontal="center" vertical="top" wrapText="1"/>
    </xf>
    <xf numFmtId="0" fontId="17" fillId="5" borderId="21" xfId="3" applyNumberFormat="1" applyFont="1" applyFill="1" applyBorder="1" applyAlignment="1">
      <alignment horizontal="center" vertical="top" wrapText="1"/>
    </xf>
    <xf numFmtId="43" fontId="15" fillId="5" borderId="21" xfId="3" applyFont="1" applyFill="1" applyBorder="1" applyAlignment="1">
      <alignment horizontal="center" vertical="top" wrapText="1"/>
    </xf>
    <xf numFmtId="43" fontId="17" fillId="5" borderId="21" xfId="3" applyFont="1" applyFill="1" applyBorder="1" applyAlignment="1">
      <alignment horizontal="center" vertical="top" wrapText="1"/>
    </xf>
    <xf numFmtId="0" fontId="5" fillId="5" borderId="21" xfId="0" applyFont="1" applyFill="1" applyBorder="1" applyAlignment="1">
      <alignment vertical="top" wrapText="1"/>
    </xf>
    <xf numFmtId="0" fontId="10" fillId="6" borderId="0" xfId="0" applyFont="1" applyFill="1" applyAlignment="1">
      <alignment vertical="top" wrapText="1"/>
    </xf>
    <xf numFmtId="0" fontId="10" fillId="6" borderId="0" xfId="0" applyFont="1" applyFill="1" applyAlignment="1">
      <alignment horizontal="center" vertical="top" wrapText="1"/>
    </xf>
    <xf numFmtId="2" fontId="10" fillId="6" borderId="0" xfId="0" applyNumberFormat="1" applyFont="1" applyFill="1" applyAlignment="1">
      <alignment horizontal="center" vertical="top" wrapText="1"/>
    </xf>
    <xf numFmtId="43" fontId="0" fillId="0" borderId="0" xfId="0" applyNumberFormat="1"/>
    <xf numFmtId="0" fontId="0" fillId="0" borderId="0" xfId="0" applyAlignment="1">
      <alignment vertical="top"/>
    </xf>
    <xf numFmtId="0" fontId="24" fillId="0" borderId="0" xfId="0" applyFont="1" applyAlignment="1">
      <alignment vertical="top" wrapText="1"/>
    </xf>
    <xf numFmtId="0" fontId="24" fillId="0" borderId="15" xfId="0" applyFont="1" applyBorder="1" applyAlignment="1">
      <alignment vertical="top" wrapText="1"/>
    </xf>
    <xf numFmtId="0" fontId="24" fillId="0" borderId="0" xfId="0" applyFont="1" applyAlignment="1">
      <alignment vertical="top"/>
    </xf>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29" fillId="0" borderId="0" xfId="0" applyFont="1" applyAlignment="1">
      <alignment horizontal="right"/>
    </xf>
    <xf numFmtId="2" fontId="25" fillId="0" borderId="0" xfId="0" applyNumberFormat="1" applyFont="1" applyAlignment="1">
      <alignment horizontal="right" indent="1"/>
    </xf>
    <xf numFmtId="0" fontId="25" fillId="0" borderId="4" xfId="0" applyFont="1" applyBorder="1"/>
    <xf numFmtId="0" fontId="25" fillId="0" borderId="0" xfId="0" applyFont="1" applyProtection="1">
      <protection locked="0"/>
    </xf>
    <xf numFmtId="0" fontId="25" fillId="0" borderId="0" xfId="0" applyFont="1" applyAlignment="1" applyProtection="1">
      <alignment horizontal="center"/>
      <protection locked="0"/>
    </xf>
    <xf numFmtId="0" fontId="25" fillId="0" borderId="18" xfId="0" applyFont="1" applyBorder="1"/>
    <xf numFmtId="0" fontId="25" fillId="0" borderId="3" xfId="0" applyFont="1" applyBorder="1" applyProtection="1">
      <protection locked="0"/>
    </xf>
    <xf numFmtId="0" fontId="25" fillId="0" borderId="3" xfId="0" applyFont="1" applyBorder="1" applyAlignment="1" applyProtection="1">
      <alignment horizontal="center"/>
      <protection locked="0"/>
    </xf>
    <xf numFmtId="2" fontId="25" fillId="0" borderId="3" xfId="0" applyNumberFormat="1" applyFont="1" applyBorder="1" applyAlignment="1">
      <alignment horizontal="right" indent="1"/>
    </xf>
    <xf numFmtId="0" fontId="25" fillId="0" borderId="3" xfId="0" applyFont="1" applyBorder="1"/>
    <xf numFmtId="0" fontId="29" fillId="0" borderId="0" xfId="0" applyFont="1" applyAlignment="1">
      <alignment wrapText="1"/>
    </xf>
    <xf numFmtId="0" fontId="29" fillId="0" borderId="3" xfId="0" applyFont="1" applyBorder="1" applyAlignment="1">
      <alignment wrapText="1"/>
    </xf>
    <xf numFmtId="0" fontId="25" fillId="0" borderId="0" xfId="0" applyFont="1" applyAlignment="1">
      <alignment horizontal="left"/>
    </xf>
    <xf numFmtId="0" fontId="25" fillId="0" borderId="3" xfId="0" applyFont="1" applyBorder="1" applyAlignment="1">
      <alignment horizontal="center"/>
    </xf>
    <xf numFmtId="9" fontId="25" fillId="0" borderId="3" xfId="2" applyFont="1" applyFill="1" applyBorder="1" applyAlignment="1" applyProtection="1">
      <alignment horizontal="center"/>
      <protection locked="0"/>
    </xf>
    <xf numFmtId="0" fontId="25" fillId="0" borderId="3" xfId="0" applyFont="1" applyBorder="1" applyAlignment="1">
      <alignment horizontal="left"/>
    </xf>
    <xf numFmtId="2" fontId="25" fillId="0" borderId="3" xfId="0" applyNumberFormat="1" applyFont="1" applyBorder="1" applyAlignment="1">
      <alignment horizontal="center"/>
    </xf>
    <xf numFmtId="2" fontId="25" fillId="0" borderId="3" xfId="0" applyNumberFormat="1" applyFont="1" applyBorder="1"/>
    <xf numFmtId="2" fontId="25" fillId="0" borderId="0" xfId="0" applyNumberFormat="1" applyFont="1"/>
    <xf numFmtId="4" fontId="25" fillId="0" borderId="0" xfId="0" applyNumberFormat="1" applyFont="1" applyAlignment="1">
      <alignment horizontal="right"/>
    </xf>
    <xf numFmtId="0" fontId="25" fillId="0" borderId="0" xfId="0" applyFont="1" applyAlignment="1">
      <alignment horizontal="right"/>
    </xf>
    <xf numFmtId="44" fontId="27" fillId="0" borderId="0" xfId="1" applyFont="1" applyFill="1"/>
    <xf numFmtId="10" fontId="25" fillId="0" borderId="0" xfId="0" applyNumberFormat="1" applyFont="1"/>
    <xf numFmtId="43" fontId="25" fillId="0" borderId="0" xfId="0" applyNumberFormat="1" applyFont="1"/>
    <xf numFmtId="4" fontId="25" fillId="0" borderId="3" xfId="0" applyNumberFormat="1" applyFont="1" applyBorder="1" applyAlignment="1">
      <alignment horizontal="right"/>
    </xf>
    <xf numFmtId="0" fontId="25" fillId="0" borderId="14" xfId="0" applyFont="1" applyBorder="1"/>
    <xf numFmtId="0" fontId="31" fillId="0" borderId="0" xfId="0" applyFont="1"/>
    <xf numFmtId="4" fontId="27" fillId="0" borderId="0" xfId="0" applyNumberFormat="1" applyFont="1" applyAlignment="1">
      <alignment horizontal="right"/>
    </xf>
    <xf numFmtId="166" fontId="25" fillId="0" borderId="0" xfId="1" applyNumberFormat="1" applyFont="1" applyFill="1"/>
    <xf numFmtId="4" fontId="27" fillId="0" borderId="0" xfId="3" applyNumberFormat="1" applyFont="1" applyFill="1" applyAlignment="1">
      <alignment horizontal="right"/>
    </xf>
    <xf numFmtId="166" fontId="27" fillId="0" borderId="0" xfId="1" applyNumberFormat="1" applyFont="1" applyFill="1"/>
    <xf numFmtId="10" fontId="27" fillId="0" borderId="0" xfId="0" applyNumberFormat="1" applyFont="1"/>
    <xf numFmtId="4" fontId="27" fillId="0" borderId="3" xfId="3" applyNumberFormat="1" applyFont="1" applyFill="1" applyBorder="1" applyAlignment="1">
      <alignment horizontal="right"/>
    </xf>
    <xf numFmtId="2" fontId="25" fillId="0" borderId="0" xfId="0" applyNumberFormat="1" applyFont="1" applyAlignment="1">
      <alignment horizontal="right"/>
    </xf>
    <xf numFmtId="2" fontId="27" fillId="0" borderId="0" xfId="0" applyNumberFormat="1" applyFont="1" applyAlignment="1">
      <alignment horizontal="right"/>
    </xf>
    <xf numFmtId="0" fontId="27" fillId="0" borderId="0" xfId="0" applyFont="1" applyAlignment="1">
      <alignment horizontal="right"/>
    </xf>
    <xf numFmtId="0" fontId="32" fillId="0" borderId="0" xfId="0" applyFont="1"/>
    <xf numFmtId="2" fontId="25" fillId="0" borderId="3" xfId="0" applyNumberFormat="1" applyFont="1" applyBorder="1" applyAlignment="1">
      <alignment horizontal="right"/>
    </xf>
    <xf numFmtId="2" fontId="27" fillId="0" borderId="0" xfId="3" applyNumberFormat="1" applyFont="1" applyFill="1" applyAlignment="1">
      <alignment horizontal="right"/>
    </xf>
    <xf numFmtId="2" fontId="27" fillId="0" borderId="3" xfId="3" applyNumberFormat="1" applyFont="1" applyFill="1" applyBorder="1" applyAlignment="1">
      <alignment horizontal="right"/>
    </xf>
    <xf numFmtId="0" fontId="27" fillId="0" borderId="4" xfId="0" applyFont="1" applyBorder="1"/>
    <xf numFmtId="9" fontId="27" fillId="0" borderId="3" xfId="2" applyFont="1" applyFill="1" applyBorder="1" applyAlignment="1" applyProtection="1">
      <alignment horizontal="center"/>
      <protection locked="0"/>
    </xf>
    <xf numFmtId="2" fontId="25" fillId="0" borderId="3" xfId="0" applyNumberFormat="1" applyFont="1" applyBorder="1" applyAlignment="1">
      <alignment horizontal="left"/>
    </xf>
    <xf numFmtId="0" fontId="25" fillId="0" borderId="0" xfId="0" applyFont="1" applyAlignment="1">
      <alignment horizontal="right" indent="1"/>
    </xf>
    <xf numFmtId="0" fontId="29" fillId="0" borderId="3" xfId="0" applyFont="1" applyBorder="1" applyAlignment="1">
      <alignment horizontal="right" wrapText="1"/>
    </xf>
    <xf numFmtId="0" fontId="29" fillId="0" borderId="3" xfId="0" applyFont="1" applyBorder="1" applyAlignment="1">
      <alignment horizontal="left" wrapText="1"/>
    </xf>
    <xf numFmtId="4" fontId="25" fillId="0" borderId="0" xfId="0" applyNumberFormat="1" applyFont="1"/>
    <xf numFmtId="4" fontId="27" fillId="0" borderId="0" xfId="0" applyNumberFormat="1" applyFont="1"/>
    <xf numFmtId="4" fontId="27" fillId="0" borderId="0" xfId="3" applyNumberFormat="1" applyFont="1" applyFill="1"/>
    <xf numFmtId="4" fontId="27" fillId="0" borderId="3" xfId="3" applyNumberFormat="1" applyFont="1" applyFill="1" applyBorder="1"/>
    <xf numFmtId="2" fontId="27" fillId="0" borderId="0" xfId="0" applyNumberFormat="1" applyFont="1"/>
    <xf numFmtId="2" fontId="27" fillId="0" borderId="0" xfId="0" applyNumberFormat="1" applyFont="1" applyAlignment="1">
      <alignment horizontal="right" indent="1"/>
    </xf>
    <xf numFmtId="0" fontId="25" fillId="0" borderId="0" xfId="0" applyFont="1" applyAlignment="1">
      <alignment horizontal="center" vertical="top"/>
    </xf>
    <xf numFmtId="37" fontId="25" fillId="0" borderId="0" xfId="3" applyNumberFormat="1" applyFont="1" applyFill="1"/>
    <xf numFmtId="0" fontId="35" fillId="0" borderId="0" xfId="5" applyFont="1"/>
    <xf numFmtId="0" fontId="4" fillId="0" borderId="0" xfId="5" applyAlignment="1">
      <alignment wrapText="1"/>
    </xf>
    <xf numFmtId="0" fontId="4" fillId="0" borderId="0" xfId="5"/>
    <xf numFmtId="2" fontId="4" fillId="0" borderId="0" xfId="5" applyNumberFormat="1"/>
    <xf numFmtId="2" fontId="4" fillId="0" borderId="0" xfId="6" applyNumberFormat="1"/>
    <xf numFmtId="0" fontId="4" fillId="0" borderId="0" xfId="5" applyAlignment="1">
      <alignment horizontal="center"/>
    </xf>
    <xf numFmtId="0" fontId="4" fillId="0" borderId="0" xfId="5" applyAlignment="1">
      <alignment horizontal="center" wrapText="1"/>
    </xf>
    <xf numFmtId="1" fontId="4" fillId="0" borderId="0" xfId="5" applyNumberFormat="1"/>
    <xf numFmtId="0" fontId="25" fillId="0" borderId="0" xfId="0" applyFont="1" applyAlignment="1">
      <alignment horizontal="center"/>
    </xf>
    <xf numFmtId="0" fontId="29" fillId="0" borderId="3" xfId="0" applyFont="1" applyBorder="1" applyAlignment="1">
      <alignment horizontal="center" wrapText="1"/>
    </xf>
    <xf numFmtId="0" fontId="29" fillId="0" borderId="0" xfId="0" applyFont="1" applyAlignment="1">
      <alignment horizontal="center" wrapText="1"/>
    </xf>
    <xf numFmtId="0" fontId="29" fillId="0" borderId="3" xfId="0" applyFont="1" applyBorder="1" applyAlignment="1">
      <alignment horizontal="center"/>
    </xf>
    <xf numFmtId="0" fontId="27" fillId="0" borderId="0" xfId="0" applyFont="1" applyAlignment="1" applyProtection="1">
      <alignment horizontal="center"/>
      <protection locked="0"/>
    </xf>
    <xf numFmtId="9" fontId="27" fillId="0" borderId="0" xfId="2" applyFont="1" applyFill="1" applyBorder="1" applyAlignment="1" applyProtection="1">
      <alignment horizontal="right" indent="1"/>
      <protection locked="0"/>
    </xf>
    <xf numFmtId="0" fontId="27" fillId="0" borderId="0" xfId="0" applyFont="1" applyAlignment="1" applyProtection="1">
      <alignment horizontal="right"/>
      <protection locked="0"/>
    </xf>
    <xf numFmtId="9" fontId="25" fillId="0" borderId="0" xfId="2" applyFont="1" applyFill="1" applyBorder="1" applyAlignment="1" applyProtection="1">
      <alignment horizontal="right" indent="1"/>
      <protection locked="0"/>
    </xf>
    <xf numFmtId="0" fontId="25" fillId="0" borderId="0" xfId="0" applyFont="1" applyAlignment="1" applyProtection="1">
      <alignment horizontal="right"/>
      <protection locked="0"/>
    </xf>
    <xf numFmtId="0" fontId="25" fillId="0" borderId="0" xfId="0" applyFont="1" applyAlignment="1">
      <alignment horizontal="center" vertical="center"/>
    </xf>
    <xf numFmtId="0" fontId="27" fillId="0" borderId="0" xfId="0" applyFont="1" applyProtection="1">
      <protection locked="0"/>
    </xf>
    <xf numFmtId="0" fontId="27" fillId="0" borderId="0" xfId="3" applyNumberFormat="1" applyFont="1" applyFill="1" applyBorder="1" applyAlignment="1" applyProtection="1">
      <alignment horizontal="right"/>
      <protection locked="0"/>
    </xf>
    <xf numFmtId="0" fontId="33" fillId="0" borderId="0" xfId="0" applyFont="1" applyAlignment="1">
      <alignment vertical="top" wrapText="1"/>
    </xf>
    <xf numFmtId="0" fontId="25" fillId="0" borderId="0" xfId="0" applyFont="1" applyAlignment="1" applyProtection="1">
      <alignment wrapText="1"/>
      <protection locked="0"/>
    </xf>
    <xf numFmtId="2" fontId="27" fillId="0" borderId="0" xfId="0" applyNumberFormat="1" applyFont="1" applyAlignment="1" applyProtection="1">
      <alignment horizontal="right"/>
      <protection locked="0"/>
    </xf>
    <xf numFmtId="0" fontId="25" fillId="0" borderId="0" xfId="0" quotePrefix="1" applyFont="1"/>
    <xf numFmtId="0" fontId="30" fillId="0" borderId="0" xfId="0" applyFont="1" applyAlignment="1" applyProtection="1">
      <alignment wrapText="1"/>
      <protection locked="0"/>
    </xf>
    <xf numFmtId="0" fontId="25" fillId="5" borderId="0" xfId="0" applyFont="1" applyFill="1"/>
    <xf numFmtId="0" fontId="29" fillId="5" borderId="0" xfId="0" applyFont="1" applyFill="1"/>
    <xf numFmtId="0" fontId="38" fillId="0" borderId="0" xfId="0" applyFont="1"/>
    <xf numFmtId="0" fontId="25" fillId="8" borderId="0" xfId="0" applyFont="1" applyFill="1"/>
    <xf numFmtId="0" fontId="0" fillId="0" borderId="0" xfId="0" applyAlignment="1">
      <alignment vertical="top" wrapText="1"/>
    </xf>
    <xf numFmtId="0" fontId="39" fillId="0" borderId="15" xfId="0" applyFont="1" applyBorder="1" applyAlignment="1">
      <alignment horizontal="center" vertical="top" wrapText="1"/>
    </xf>
    <xf numFmtId="0" fontId="24" fillId="0" borderId="15" xfId="0" applyFont="1" applyBorder="1" applyAlignment="1">
      <alignment horizontal="center" vertical="top"/>
    </xf>
    <xf numFmtId="0" fontId="24" fillId="0" borderId="0" xfId="0" applyFont="1" applyAlignment="1">
      <alignment horizontal="center" vertical="top"/>
    </xf>
    <xf numFmtId="0" fontId="39" fillId="0" borderId="15" xfId="0" applyFont="1" applyBorder="1" applyAlignment="1">
      <alignment horizontal="left" vertical="top" wrapText="1"/>
    </xf>
    <xf numFmtId="0" fontId="40" fillId="4" borderId="0" xfId="0" applyFont="1" applyFill="1"/>
    <xf numFmtId="0" fontId="0" fillId="5" borderId="20" xfId="0" applyFill="1" applyBorder="1" applyAlignment="1">
      <alignment vertical="center" wrapText="1"/>
    </xf>
    <xf numFmtId="8" fontId="0" fillId="7" borderId="23" xfId="0" applyNumberFormat="1" applyFill="1" applyBorder="1" applyAlignment="1">
      <alignment horizontal="right" vertical="center" wrapText="1"/>
    </xf>
    <xf numFmtId="8" fontId="0" fillId="0" borderId="23" xfId="0" applyNumberFormat="1" applyBorder="1" applyAlignment="1">
      <alignment horizontal="right" vertical="center" wrapText="1"/>
    </xf>
    <xf numFmtId="0" fontId="23" fillId="6" borderId="0" xfId="0" applyFont="1" applyFill="1" applyAlignment="1">
      <alignment horizontal="center" wrapText="1"/>
    </xf>
    <xf numFmtId="0" fontId="0" fillId="5" borderId="21" xfId="0" applyFill="1" applyBorder="1" applyAlignment="1">
      <alignment horizontal="center" vertical="center" wrapText="1"/>
    </xf>
    <xf numFmtId="2" fontId="0" fillId="5" borderId="21" xfId="0" applyNumberFormat="1" applyFill="1" applyBorder="1" applyAlignment="1">
      <alignment horizontal="center" vertical="center" wrapText="1"/>
    </xf>
    <xf numFmtId="9" fontId="0" fillId="5" borderId="21" xfId="0" applyNumberFormat="1" applyFill="1" applyBorder="1" applyAlignment="1">
      <alignment horizontal="center" vertical="center" wrapText="1"/>
    </xf>
    <xf numFmtId="0" fontId="0" fillId="5" borderId="21" xfId="0" applyFill="1" applyBorder="1" applyAlignment="1">
      <alignment horizontal="center" vertical="center"/>
    </xf>
    <xf numFmtId="2" fontId="0" fillId="5" borderId="21" xfId="0" applyNumberFormat="1" applyFill="1" applyBorder="1" applyAlignment="1">
      <alignment horizontal="center" vertical="center"/>
    </xf>
    <xf numFmtId="0" fontId="16" fillId="0" borderId="2" xfId="0" applyFont="1" applyBorder="1" applyAlignment="1">
      <alignment horizontal="center" vertical="top" wrapText="1"/>
    </xf>
    <xf numFmtId="0" fontId="0" fillId="4" borderId="4" xfId="0" applyFill="1" applyBorder="1"/>
    <xf numFmtId="0" fontId="0" fillId="4" borderId="0" xfId="0" applyFill="1" applyAlignment="1">
      <alignment horizontal="right"/>
    </xf>
    <xf numFmtId="0" fontId="41" fillId="4" borderId="0" xfId="0" applyFont="1" applyFill="1"/>
    <xf numFmtId="0" fontId="30" fillId="4" borderId="0" xfId="0" applyFont="1" applyFill="1"/>
    <xf numFmtId="0" fontId="30" fillId="4" borderId="0" xfId="0" applyFont="1" applyFill="1" applyAlignment="1">
      <alignment horizontal="right"/>
    </xf>
    <xf numFmtId="0" fontId="41" fillId="4" borderId="0" xfId="0" applyFont="1" applyFill="1" applyAlignment="1">
      <alignment horizontal="right"/>
    </xf>
    <xf numFmtId="0" fontId="27" fillId="3" borderId="0" xfId="0" applyFont="1" applyFill="1" applyProtection="1">
      <protection locked="0"/>
    </xf>
    <xf numFmtId="0" fontId="27" fillId="3" borderId="0" xfId="0" applyFont="1" applyFill="1" applyAlignment="1" applyProtection="1">
      <alignment horizontal="center"/>
      <protection locked="0"/>
    </xf>
    <xf numFmtId="2" fontId="25" fillId="3" borderId="0" xfId="0" applyNumberFormat="1" applyFont="1" applyFill="1" applyAlignment="1">
      <alignment horizontal="right" indent="1"/>
    </xf>
    <xf numFmtId="0" fontId="25" fillId="3" borderId="4" xfId="0" applyFont="1" applyFill="1" applyBorder="1"/>
    <xf numFmtId="0" fontId="25" fillId="3" borderId="0" xfId="0" applyFont="1" applyFill="1" applyProtection="1">
      <protection locked="0"/>
    </xf>
    <xf numFmtId="0" fontId="25" fillId="3" borderId="0" xfId="0" applyFont="1" applyFill="1" applyAlignment="1" applyProtection="1">
      <alignment horizontal="center"/>
      <protection locked="0"/>
    </xf>
    <xf numFmtId="2" fontId="27" fillId="3" borderId="0" xfId="0" applyNumberFormat="1" applyFont="1" applyFill="1" applyAlignment="1">
      <alignment horizontal="right" indent="1"/>
    </xf>
    <xf numFmtId="0" fontId="25" fillId="3" borderId="0" xfId="0" applyFont="1" applyFill="1"/>
    <xf numFmtId="9" fontId="27" fillId="3" borderId="0" xfId="2" applyFont="1" applyFill="1" applyBorder="1" applyAlignment="1" applyProtection="1">
      <alignment horizontal="right" indent="1"/>
      <protection locked="0"/>
    </xf>
    <xf numFmtId="0" fontId="27" fillId="3" borderId="0" xfId="0" applyFont="1" applyFill="1" applyAlignment="1" applyProtection="1">
      <alignment horizontal="right"/>
      <protection locked="0"/>
    </xf>
    <xf numFmtId="0" fontId="25" fillId="3" borderId="0" xfId="0" applyFont="1" applyFill="1" applyAlignment="1">
      <alignment horizontal="left"/>
    </xf>
    <xf numFmtId="9" fontId="25" fillId="3" borderId="0" xfId="2" applyFont="1" applyFill="1" applyBorder="1" applyAlignment="1" applyProtection="1">
      <alignment horizontal="right" indent="1"/>
      <protection locked="0"/>
    </xf>
    <xf numFmtId="0" fontId="25" fillId="3" borderId="0" xfId="0" applyFont="1" applyFill="1" applyAlignment="1" applyProtection="1">
      <alignment horizontal="right"/>
      <protection locked="0"/>
    </xf>
    <xf numFmtId="0" fontId="33" fillId="3" borderId="0" xfId="0" applyFont="1" applyFill="1" applyAlignment="1">
      <alignment vertical="top" wrapText="1"/>
    </xf>
    <xf numFmtId="0" fontId="25" fillId="3" borderId="18" xfId="0" applyFont="1" applyFill="1" applyBorder="1"/>
    <xf numFmtId="0" fontId="42" fillId="0" borderId="0" xfId="0" applyFont="1"/>
    <xf numFmtId="0" fontId="2" fillId="4" borderId="25"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0" fillId="4" borderId="27" xfId="0" applyFill="1" applyBorder="1"/>
    <xf numFmtId="0" fontId="0" fillId="4" borderId="27" xfId="0" applyFill="1" applyBorder="1" applyAlignment="1">
      <alignment horizontal="right"/>
    </xf>
    <xf numFmtId="0" fontId="0" fillId="4" borderId="15" xfId="0" applyFill="1" applyBorder="1" applyAlignment="1">
      <alignment horizontal="right"/>
    </xf>
    <xf numFmtId="169" fontId="0" fillId="4" borderId="15" xfId="0" applyNumberFormat="1" applyFill="1" applyBorder="1"/>
    <xf numFmtId="169" fontId="0" fillId="0" borderId="15" xfId="0" applyNumberFormat="1" applyBorder="1"/>
    <xf numFmtId="44" fontId="0" fillId="4" borderId="15" xfId="1" applyFont="1" applyFill="1" applyBorder="1"/>
    <xf numFmtId="44" fontId="0" fillId="4" borderId="15" xfId="1" applyFont="1" applyFill="1" applyBorder="1" applyAlignment="1">
      <alignment horizontal="right"/>
    </xf>
    <xf numFmtId="0" fontId="43" fillId="0" borderId="0" xfId="0" applyFont="1"/>
    <xf numFmtId="0" fontId="44" fillId="0" borderId="0" xfId="0" applyFont="1"/>
    <xf numFmtId="0" fontId="2" fillId="0" borderId="0" xfId="0" applyFont="1"/>
    <xf numFmtId="0" fontId="46" fillId="0" borderId="0" xfId="0" applyFont="1"/>
    <xf numFmtId="164" fontId="4" fillId="5" borderId="0" xfId="3" applyNumberFormat="1" applyFont="1" applyFill="1" applyBorder="1" applyProtection="1">
      <protection locked="0"/>
    </xf>
    <xf numFmtId="2" fontId="45" fillId="5" borderId="0" xfId="0" applyNumberFormat="1" applyFont="1" applyFill="1" applyProtection="1">
      <protection locked="0"/>
    </xf>
    <xf numFmtId="0" fontId="47" fillId="0" borderId="4" xfId="0" applyFont="1" applyBorder="1"/>
    <xf numFmtId="0" fontId="47" fillId="0" borderId="0" xfId="0" applyFont="1"/>
    <xf numFmtId="0" fontId="30" fillId="0" borderId="0" xfId="0" applyFont="1" applyAlignment="1" applyProtection="1">
      <alignment horizontal="left"/>
      <protection locked="0"/>
    </xf>
    <xf numFmtId="0" fontId="25" fillId="3" borderId="0" xfId="0" applyFont="1" applyFill="1" applyAlignment="1">
      <alignment horizontal="center"/>
    </xf>
    <xf numFmtId="168" fontId="0" fillId="0" borderId="0" xfId="0" applyNumberFormat="1" applyAlignment="1">
      <alignment horizontal="right" wrapText="1"/>
    </xf>
    <xf numFmtId="168" fontId="0" fillId="0" borderId="0" xfId="0" applyNumberFormat="1" applyAlignment="1">
      <alignment horizontal="right"/>
    </xf>
    <xf numFmtId="0" fontId="0" fillId="3" borderId="15" xfId="0" applyFill="1" applyBorder="1"/>
    <xf numFmtId="0" fontId="0" fillId="3" borderId="27" xfId="0" applyFill="1" applyBorder="1"/>
    <xf numFmtId="0" fontId="0" fillId="3" borderId="15" xfId="0" applyFill="1" applyBorder="1" applyAlignment="1">
      <alignment horizontal="right"/>
    </xf>
    <xf numFmtId="44" fontId="0" fillId="3" borderId="15" xfId="0" applyNumberFormat="1" applyFill="1" applyBorder="1"/>
    <xf numFmtId="0" fontId="27" fillId="4" borderId="0" xfId="0" applyFont="1" applyFill="1" applyProtection="1">
      <protection locked="0"/>
    </xf>
    <xf numFmtId="0" fontId="27" fillId="4" borderId="0" xfId="0" applyFont="1" applyFill="1" applyAlignment="1" applyProtection="1">
      <alignment horizontal="center"/>
      <protection locked="0"/>
    </xf>
    <xf numFmtId="2" fontId="25" fillId="4" borderId="0" xfId="0" applyNumberFormat="1" applyFont="1" applyFill="1" applyAlignment="1">
      <alignment horizontal="right" indent="1"/>
    </xf>
    <xf numFmtId="0" fontId="25" fillId="4" borderId="4" xfId="0" applyFont="1" applyFill="1" applyBorder="1"/>
    <xf numFmtId="0" fontId="25" fillId="4" borderId="0" xfId="0" applyFont="1" applyFill="1" applyProtection="1">
      <protection locked="0"/>
    </xf>
    <xf numFmtId="0" fontId="25" fillId="4" borderId="0" xfId="0" applyFont="1" applyFill="1" applyAlignment="1" applyProtection="1">
      <alignment horizontal="center"/>
      <protection locked="0"/>
    </xf>
    <xf numFmtId="0" fontId="25" fillId="3" borderId="0" xfId="0" quotePrefix="1" applyFont="1" applyFill="1"/>
    <xf numFmtId="0" fontId="48" fillId="0" borderId="0" xfId="0" applyFont="1"/>
    <xf numFmtId="8" fontId="0" fillId="9" borderId="23" xfId="0" applyNumberFormat="1" applyFill="1" applyBorder="1" applyAlignment="1">
      <alignment horizontal="right" vertical="center" wrapText="1"/>
    </xf>
    <xf numFmtId="8" fontId="0" fillId="10" borderId="23" xfId="0" applyNumberFormat="1" applyFill="1" applyBorder="1" applyAlignment="1">
      <alignment horizontal="right" vertical="center" wrapText="1"/>
    </xf>
    <xf numFmtId="8" fontId="0" fillId="4" borderId="23" xfId="0" applyNumberFormat="1" applyFill="1" applyBorder="1" applyAlignment="1">
      <alignment horizontal="right" vertical="center" wrapText="1"/>
    </xf>
    <xf numFmtId="0" fontId="0" fillId="5" borderId="28" xfId="0" applyFill="1" applyBorder="1" applyAlignment="1">
      <alignment vertical="center" wrapText="1"/>
    </xf>
    <xf numFmtId="0" fontId="0" fillId="5" borderId="29" xfId="0" applyFill="1" applyBorder="1" applyAlignment="1">
      <alignment horizontal="center" vertical="center"/>
    </xf>
    <xf numFmtId="2" fontId="0" fillId="5" borderId="29" xfId="0" applyNumberFormat="1" applyFill="1" applyBorder="1" applyAlignment="1">
      <alignment horizontal="center" vertical="center"/>
    </xf>
    <xf numFmtId="0" fontId="0" fillId="5" borderId="29" xfId="0" applyFill="1" applyBorder="1" applyAlignment="1">
      <alignment horizontal="center" vertical="center" wrapText="1"/>
    </xf>
    <xf numFmtId="8" fontId="0" fillId="7" borderId="30" xfId="0" applyNumberFormat="1" applyFill="1" applyBorder="1" applyAlignment="1">
      <alignment horizontal="right" vertical="center" wrapText="1"/>
    </xf>
    <xf numFmtId="0" fontId="25" fillId="3" borderId="31" xfId="0" applyFont="1" applyFill="1" applyBorder="1" applyAlignment="1" applyProtection="1">
      <alignment horizontal="center"/>
      <protection locked="0"/>
    </xf>
    <xf numFmtId="0" fontId="25" fillId="0" borderId="31" xfId="0" applyFont="1" applyBorder="1" applyAlignment="1" applyProtection="1">
      <alignment horizontal="center"/>
      <protection locked="0"/>
    </xf>
    <xf numFmtId="2" fontId="25" fillId="0" borderId="31" xfId="0" applyNumberFormat="1" applyFont="1" applyBorder="1" applyAlignment="1">
      <alignment horizontal="right" indent="1"/>
    </xf>
    <xf numFmtId="2" fontId="25" fillId="3" borderId="33" xfId="0" applyNumberFormat="1" applyFont="1" applyFill="1" applyBorder="1" applyAlignment="1">
      <alignment horizontal="right" indent="1"/>
    </xf>
    <xf numFmtId="2" fontId="25" fillId="0" borderId="33" xfId="0" applyNumberFormat="1" applyFont="1" applyBorder="1" applyAlignment="1">
      <alignment horizontal="right" indent="1"/>
    </xf>
    <xf numFmtId="0" fontId="25" fillId="3" borderId="31" xfId="0" applyFont="1" applyFill="1" applyBorder="1" applyProtection="1">
      <protection locked="0"/>
    </xf>
    <xf numFmtId="0" fontId="25" fillId="0" borderId="31" xfId="0" applyFont="1" applyBorder="1" applyProtection="1">
      <protection locked="0"/>
    </xf>
    <xf numFmtId="0" fontId="25" fillId="0" borderId="34" xfId="0" applyFont="1" applyBorder="1" applyProtection="1">
      <protection locked="0"/>
    </xf>
    <xf numFmtId="0" fontId="25" fillId="0" borderId="31" xfId="0" applyFont="1" applyBorder="1"/>
    <xf numFmtId="0" fontId="25" fillId="0" borderId="34" xfId="0" applyFont="1" applyBorder="1" applyAlignment="1" applyProtection="1">
      <alignment horizontal="center"/>
      <protection locked="0"/>
    </xf>
    <xf numFmtId="2" fontId="25" fillId="3" borderId="31" xfId="0" applyNumberFormat="1" applyFont="1" applyFill="1" applyBorder="1" applyAlignment="1">
      <alignment horizontal="right" indent="1"/>
    </xf>
    <xf numFmtId="2" fontId="25" fillId="0" borderId="34" xfId="0" applyNumberFormat="1" applyFont="1" applyBorder="1" applyAlignment="1">
      <alignment horizontal="right" indent="1"/>
    </xf>
    <xf numFmtId="2" fontId="25" fillId="0" borderId="35" xfId="0" applyNumberFormat="1" applyFont="1" applyBorder="1" applyAlignment="1">
      <alignment horizontal="right" indent="1"/>
    </xf>
    <xf numFmtId="0" fontId="25" fillId="0" borderId="32" xfId="0" applyFont="1" applyBorder="1" applyAlignment="1" applyProtection="1">
      <alignment horizontal="center"/>
      <protection locked="0"/>
    </xf>
    <xf numFmtId="2" fontId="25" fillId="0" borderId="32" xfId="0" applyNumberFormat="1" applyFont="1" applyBorder="1" applyAlignment="1">
      <alignment horizontal="right" indent="1"/>
    </xf>
    <xf numFmtId="0" fontId="27" fillId="0" borderId="32" xfId="0" applyFont="1" applyBorder="1" applyAlignment="1" applyProtection="1">
      <alignment horizontal="center"/>
      <protection locked="0"/>
    </xf>
    <xf numFmtId="0" fontId="27" fillId="3" borderId="32" xfId="0" applyFont="1" applyFill="1" applyBorder="1" applyAlignment="1" applyProtection="1">
      <alignment horizontal="center"/>
      <protection locked="0"/>
    </xf>
    <xf numFmtId="2" fontId="25" fillId="3" borderId="32" xfId="0" applyNumberFormat="1" applyFont="1" applyFill="1" applyBorder="1" applyAlignment="1">
      <alignment horizontal="right" indent="1"/>
    </xf>
    <xf numFmtId="0" fontId="25" fillId="3" borderId="32" xfId="0" applyFont="1" applyFill="1" applyBorder="1" applyAlignment="1" applyProtection="1">
      <alignment horizontal="center"/>
      <protection locked="0"/>
    </xf>
    <xf numFmtId="1" fontId="25" fillId="0" borderId="0" xfId="0" applyNumberFormat="1" applyFont="1"/>
    <xf numFmtId="0" fontId="27" fillId="0" borderId="36" xfId="0" applyFont="1" applyBorder="1" applyAlignment="1" applyProtection="1">
      <alignment horizontal="center"/>
      <protection locked="0"/>
    </xf>
    <xf numFmtId="0" fontId="25" fillId="0" borderId="36" xfId="0" applyFont="1" applyBorder="1" applyAlignment="1" applyProtection="1">
      <alignment horizontal="center"/>
      <protection locked="0"/>
    </xf>
    <xf numFmtId="2" fontId="25" fillId="0" borderId="36" xfId="0" applyNumberFormat="1" applyFont="1" applyBorder="1" applyAlignment="1">
      <alignment horizontal="right" indent="1"/>
    </xf>
    <xf numFmtId="167" fontId="27" fillId="0" borderId="0" xfId="0" applyNumberFormat="1" applyFont="1" applyAlignment="1" applyProtection="1">
      <alignment horizontal="center"/>
      <protection locked="0"/>
    </xf>
    <xf numFmtId="167" fontId="27" fillId="3" borderId="0" xfId="0" applyNumberFormat="1" applyFont="1" applyFill="1" applyAlignment="1" applyProtection="1">
      <alignment horizontal="center"/>
      <protection locked="0"/>
    </xf>
    <xf numFmtId="1" fontId="27" fillId="0" borderId="0" xfId="0" applyNumberFormat="1" applyFont="1" applyAlignment="1" applyProtection="1">
      <alignment horizontal="center"/>
      <protection locked="0"/>
    </xf>
    <xf numFmtId="2" fontId="27" fillId="3" borderId="0" xfId="0" applyNumberFormat="1" applyFont="1" applyFill="1" applyAlignment="1" applyProtection="1">
      <alignment horizontal="right"/>
      <protection locked="0"/>
    </xf>
    <xf numFmtId="168" fontId="27" fillId="0" borderId="0" xfId="0" applyNumberFormat="1" applyFont="1" applyAlignment="1" applyProtection="1">
      <alignment horizontal="right"/>
      <protection locked="0"/>
    </xf>
    <xf numFmtId="168" fontId="27" fillId="3" borderId="0" xfId="0" applyNumberFormat="1" applyFont="1" applyFill="1" applyAlignment="1" applyProtection="1">
      <alignment horizontal="right"/>
      <protection locked="0"/>
    </xf>
    <xf numFmtId="1" fontId="27" fillId="0" borderId="0" xfId="0" applyNumberFormat="1" applyFont="1" applyAlignment="1" applyProtection="1">
      <alignment horizontal="right"/>
      <protection locked="0"/>
    </xf>
    <xf numFmtId="167" fontId="27" fillId="0" borderId="0" xfId="3" applyNumberFormat="1" applyFont="1" applyFill="1" applyBorder="1" applyAlignment="1" applyProtection="1">
      <alignment horizontal="right"/>
      <protection locked="0"/>
    </xf>
    <xf numFmtId="1" fontId="27" fillId="3" borderId="0" xfId="0" applyNumberFormat="1" applyFont="1" applyFill="1" applyAlignment="1" applyProtection="1">
      <alignment horizontal="right"/>
      <protection locked="0"/>
    </xf>
    <xf numFmtId="167" fontId="27" fillId="0" borderId="0" xfId="0" applyNumberFormat="1" applyFont="1" applyAlignment="1" applyProtection="1">
      <alignment horizontal="right"/>
      <protection locked="0"/>
    </xf>
    <xf numFmtId="167" fontId="27" fillId="3" borderId="0" xfId="0" applyNumberFormat="1" applyFont="1" applyFill="1" applyAlignment="1" applyProtection="1">
      <alignment horizontal="right"/>
      <protection locked="0"/>
    </xf>
    <xf numFmtId="0" fontId="27" fillId="3" borderId="0" xfId="3" applyNumberFormat="1" applyFont="1" applyFill="1" applyBorder="1" applyAlignment="1" applyProtection="1">
      <alignment horizontal="right"/>
      <protection locked="0"/>
    </xf>
    <xf numFmtId="4" fontId="25" fillId="0" borderId="0" xfId="0" applyNumberFormat="1" applyFont="1" applyAlignment="1">
      <alignment horizontal="right" indent="1"/>
    </xf>
    <xf numFmtId="0" fontId="25" fillId="0" borderId="0" xfId="0" applyFont="1" applyAlignment="1" applyProtection="1">
      <alignment horizontal="center" vertical="center"/>
      <protection locked="0"/>
    </xf>
    <xf numFmtId="0" fontId="25" fillId="3" borderId="0" xfId="0" applyFont="1" applyFill="1" applyAlignment="1" applyProtection="1">
      <alignment horizontal="center" vertical="center"/>
      <protection locked="0"/>
    </xf>
    <xf numFmtId="167" fontId="27" fillId="3" borderId="0" xfId="3" applyNumberFormat="1" applyFont="1" applyFill="1" applyBorder="1" applyAlignment="1" applyProtection="1">
      <alignment horizontal="right"/>
      <protection locked="0"/>
    </xf>
    <xf numFmtId="4" fontId="25" fillId="3" borderId="0" xfId="0" applyNumberFormat="1" applyFont="1" applyFill="1" applyAlignment="1">
      <alignment horizontal="right" indent="1"/>
    </xf>
    <xf numFmtId="9" fontId="27" fillId="0" borderId="0" xfId="2" applyFont="1" applyFill="1" applyBorder="1" applyAlignment="1" applyProtection="1">
      <alignment horizontal="center"/>
      <protection locked="0"/>
    </xf>
    <xf numFmtId="9" fontId="27" fillId="3" borderId="0" xfId="2" applyFont="1" applyFill="1" applyBorder="1" applyAlignment="1" applyProtection="1">
      <alignment horizontal="center"/>
      <protection locked="0"/>
    </xf>
    <xf numFmtId="0" fontId="27" fillId="0" borderId="0" xfId="0" applyFont="1" applyAlignment="1">
      <alignment horizontal="left"/>
    </xf>
    <xf numFmtId="0" fontId="27" fillId="0" borderId="37" xfId="0" applyFont="1" applyBorder="1" applyProtection="1">
      <protection locked="0"/>
    </xf>
    <xf numFmtId="0" fontId="27" fillId="0" borderId="38" xfId="0" applyFont="1" applyBorder="1" applyProtection="1">
      <protection locked="0"/>
    </xf>
    <xf numFmtId="0" fontId="27" fillId="3" borderId="38" xfId="0" applyFont="1" applyFill="1" applyBorder="1" applyProtection="1">
      <protection locked="0"/>
    </xf>
    <xf numFmtId="0" fontId="25" fillId="0" borderId="38" xfId="0" applyFont="1" applyBorder="1" applyProtection="1">
      <protection locked="0"/>
    </xf>
    <xf numFmtId="0" fontId="25" fillId="3" borderId="38" xfId="0" applyFont="1" applyFill="1" applyBorder="1" applyProtection="1">
      <protection locked="0"/>
    </xf>
    <xf numFmtId="0" fontId="25" fillId="0" borderId="39" xfId="0" applyFont="1" applyBorder="1" applyAlignment="1">
      <alignment horizontal="center"/>
    </xf>
    <xf numFmtId="0" fontId="2" fillId="4" borderId="24" xfId="0" applyFont="1" applyFill="1" applyBorder="1" applyAlignment="1">
      <alignment horizontal="center" vertical="center"/>
    </xf>
    <xf numFmtId="0" fontId="2" fillId="4" borderId="25" xfId="0" applyFont="1" applyFill="1" applyBorder="1" applyAlignment="1">
      <alignment horizontal="center" vertical="center"/>
    </xf>
    <xf numFmtId="169" fontId="0" fillId="4" borderId="15" xfId="1" applyNumberFormat="1" applyFont="1" applyFill="1" applyBorder="1" applyAlignment="1">
      <alignment horizontal="right"/>
    </xf>
    <xf numFmtId="169" fontId="0" fillId="4" borderId="15" xfId="1" applyNumberFormat="1" applyFont="1" applyFill="1" applyBorder="1" applyAlignment="1">
      <alignment horizontal="left"/>
    </xf>
    <xf numFmtId="169" fontId="0" fillId="3" borderId="15" xfId="0" applyNumberFormat="1" applyFill="1" applyBorder="1" applyAlignment="1">
      <alignment horizontal="left"/>
    </xf>
    <xf numFmtId="38" fontId="49" fillId="5" borderId="21" xfId="0" applyNumberFormat="1" applyFont="1" applyFill="1" applyBorder="1" applyAlignment="1">
      <alignment horizontal="center" vertical="top" wrapText="1"/>
    </xf>
    <xf numFmtId="44" fontId="0" fillId="4" borderId="0" xfId="1" applyFont="1" applyFill="1" applyBorder="1" applyAlignment="1">
      <alignment horizontal="right"/>
    </xf>
    <xf numFmtId="0" fontId="4" fillId="5" borderId="20" xfId="0" applyFont="1" applyFill="1" applyBorder="1" applyAlignment="1">
      <alignment vertical="center" wrapText="1"/>
    </xf>
    <xf numFmtId="0" fontId="4" fillId="5" borderId="21" xfId="0" applyFont="1" applyFill="1" applyBorder="1" applyAlignment="1">
      <alignment horizontal="center" vertical="center"/>
    </xf>
    <xf numFmtId="2" fontId="4" fillId="5" borderId="21" xfId="0" applyNumberFormat="1" applyFont="1" applyFill="1" applyBorder="1" applyAlignment="1">
      <alignment horizontal="center" vertical="center"/>
    </xf>
    <xf numFmtId="0" fontId="4" fillId="5" borderId="21" xfId="0" applyFont="1" applyFill="1" applyBorder="1" applyAlignment="1">
      <alignment horizontal="center" vertical="center" wrapText="1"/>
    </xf>
    <xf numFmtId="8" fontId="4" fillId="7" borderId="23" xfId="0" applyNumberFormat="1" applyFont="1" applyFill="1" applyBorder="1" applyAlignment="1">
      <alignment horizontal="right" vertical="center" wrapText="1"/>
    </xf>
    <xf numFmtId="8" fontId="4" fillId="9" borderId="23" xfId="0" applyNumberFormat="1" applyFont="1" applyFill="1" applyBorder="1" applyAlignment="1">
      <alignment horizontal="right" vertical="center" wrapText="1"/>
    </xf>
    <xf numFmtId="8" fontId="25" fillId="0" borderId="0" xfId="0" applyNumberFormat="1" applyFont="1"/>
    <xf numFmtId="167" fontId="25" fillId="3" borderId="0" xfId="0" applyNumberFormat="1" applyFont="1" applyFill="1" applyAlignment="1" applyProtection="1">
      <alignment horizontal="right"/>
      <protection locked="0"/>
    </xf>
    <xf numFmtId="2" fontId="50" fillId="0" borderId="19" xfId="0" applyNumberFormat="1" applyFont="1" applyBorder="1" applyAlignment="1">
      <alignment vertical="top"/>
    </xf>
    <xf numFmtId="2" fontId="51" fillId="0" borderId="0" xfId="0" applyNumberFormat="1" applyFont="1" applyAlignment="1">
      <alignment horizontal="center" wrapText="1"/>
    </xf>
    <xf numFmtId="2" fontId="0" fillId="0" borderId="19" xfId="0" applyNumberFormat="1" applyBorder="1" applyAlignment="1">
      <alignment vertical="top"/>
    </xf>
    <xf numFmtId="9" fontId="27" fillId="4" borderId="0" xfId="2" applyFont="1" applyFill="1" applyBorder="1" applyAlignment="1" applyProtection="1">
      <alignment horizontal="right" indent="1"/>
      <protection locked="0"/>
    </xf>
    <xf numFmtId="0" fontId="27" fillId="4" borderId="0" xfId="0" applyFont="1" applyFill="1" applyAlignment="1" applyProtection="1">
      <alignment horizontal="right"/>
      <protection locked="0"/>
    </xf>
    <xf numFmtId="0" fontId="25" fillId="4" borderId="0" xfId="0" applyFont="1" applyFill="1" applyAlignment="1">
      <alignment horizontal="left"/>
    </xf>
    <xf numFmtId="0" fontId="27" fillId="0" borderId="0" xfId="0" applyFont="1" applyAlignment="1">
      <alignment horizontal="center"/>
    </xf>
    <xf numFmtId="0" fontId="25" fillId="4" borderId="0" xfId="0" applyFont="1" applyFill="1" applyAlignment="1">
      <alignment horizontal="center"/>
    </xf>
    <xf numFmtId="8" fontId="0" fillId="4" borderId="0" xfId="0" applyNumberFormat="1" applyFill="1" applyAlignment="1">
      <alignment horizontal="right" vertical="center" wrapText="1"/>
    </xf>
    <xf numFmtId="0" fontId="25" fillId="5" borderId="0" xfId="0" applyFont="1" applyFill="1" applyAlignment="1">
      <alignment horizontal="center"/>
    </xf>
    <xf numFmtId="0" fontId="29" fillId="5" borderId="0" xfId="0" applyFont="1" applyFill="1" applyAlignment="1">
      <alignment horizontal="center"/>
    </xf>
    <xf numFmtId="2" fontId="25" fillId="0" borderId="0" xfId="0" applyNumberFormat="1" applyFont="1" applyAlignment="1">
      <alignment horizontal="center"/>
    </xf>
    <xf numFmtId="2" fontId="27" fillId="3" borderId="0" xfId="0" applyNumberFormat="1" applyFont="1" applyFill="1" applyAlignment="1">
      <alignment horizontal="center"/>
    </xf>
    <xf numFmtId="2" fontId="25" fillId="3" borderId="0" xfId="0" applyNumberFormat="1" applyFont="1" applyFill="1" applyAlignment="1">
      <alignment horizontal="center"/>
    </xf>
    <xf numFmtId="2" fontId="25" fillId="4" borderId="0" xfId="0" applyNumberFormat="1" applyFont="1" applyFill="1" applyAlignment="1">
      <alignment horizontal="center"/>
    </xf>
    <xf numFmtId="2" fontId="27" fillId="0" borderId="0" xfId="0" applyNumberFormat="1" applyFont="1" applyAlignment="1">
      <alignment horizontal="center"/>
    </xf>
    <xf numFmtId="2" fontId="27" fillId="0" borderId="0" xfId="3" applyNumberFormat="1" applyFont="1" applyFill="1" applyAlignment="1">
      <alignment horizontal="center"/>
    </xf>
    <xf numFmtId="2" fontId="27" fillId="0" borderId="3" xfId="3" applyNumberFormat="1" applyFont="1" applyFill="1" applyBorder="1" applyAlignment="1">
      <alignment horizontal="center"/>
    </xf>
    <xf numFmtId="0" fontId="52" fillId="0" borderId="0" xfId="0" applyFont="1"/>
    <xf numFmtId="0" fontId="25" fillId="4" borderId="18" xfId="0" applyFont="1" applyFill="1" applyBorder="1"/>
    <xf numFmtId="0" fontId="0" fillId="4" borderId="17" xfId="0" applyFill="1" applyBorder="1"/>
    <xf numFmtId="0" fontId="21" fillId="0" borderId="0" xfId="4" applyAlignment="1" applyProtection="1"/>
    <xf numFmtId="2" fontId="27" fillId="0" borderId="0" xfId="0" applyNumberFormat="1" applyFont="1" applyAlignment="1" applyProtection="1">
      <alignment horizontal="center"/>
      <protection locked="0"/>
    </xf>
    <xf numFmtId="1" fontId="27" fillId="3" borderId="0" xfId="0" applyNumberFormat="1" applyFont="1" applyFill="1" applyAlignment="1" applyProtection="1">
      <alignment horizontal="center"/>
      <protection locked="0"/>
    </xf>
    <xf numFmtId="0" fontId="33" fillId="0" borderId="0" xfId="0" applyFont="1"/>
    <xf numFmtId="0" fontId="32" fillId="0" borderId="0" xfId="0" applyFont="1" applyAlignment="1">
      <alignment horizontal="left" vertical="center" wrapText="1"/>
    </xf>
    <xf numFmtId="0" fontId="27" fillId="4" borderId="0" xfId="0" applyFont="1" applyFill="1" applyAlignment="1">
      <alignment horizontal="right"/>
    </xf>
    <xf numFmtId="4" fontId="33" fillId="0" borderId="0" xfId="0" applyNumberFormat="1" applyFont="1"/>
    <xf numFmtId="0" fontId="53" fillId="0" borderId="0" xfId="0" applyFont="1" applyAlignment="1">
      <alignment horizontal="right"/>
    </xf>
    <xf numFmtId="0" fontId="32" fillId="0" borderId="0" xfId="0" applyFont="1" applyAlignment="1">
      <alignment horizontal="left" vertical="center"/>
    </xf>
    <xf numFmtId="0" fontId="52" fillId="0" borderId="0" xfId="0" applyFont="1" applyAlignment="1">
      <alignment horizontal="left" vertical="center"/>
    </xf>
    <xf numFmtId="0" fontId="54" fillId="5" borderId="20" xfId="0" applyFont="1" applyFill="1" applyBorder="1" applyAlignment="1">
      <alignment vertical="center" wrapText="1"/>
    </xf>
    <xf numFmtId="2" fontId="54" fillId="5" borderId="21" xfId="0" applyNumberFormat="1" applyFont="1" applyFill="1" applyBorder="1" applyAlignment="1">
      <alignment horizontal="center" vertical="center"/>
    </xf>
    <xf numFmtId="0" fontId="54" fillId="5" borderId="21" xfId="0" applyFont="1" applyFill="1" applyBorder="1" applyAlignment="1">
      <alignment horizontal="center" vertical="center"/>
    </xf>
    <xf numFmtId="0" fontId="4" fillId="4" borderId="17" xfId="0" applyFont="1" applyFill="1" applyBorder="1"/>
    <xf numFmtId="0" fontId="0" fillId="0" borderId="0" xfId="0" applyAlignment="1">
      <alignment horizontal="right"/>
    </xf>
    <xf numFmtId="168" fontId="0" fillId="5" borderId="21" xfId="0" applyNumberFormat="1" applyFill="1" applyBorder="1" applyAlignment="1">
      <alignment horizontal="center" vertical="center"/>
    </xf>
    <xf numFmtId="170" fontId="0" fillId="9" borderId="23" xfId="0" applyNumberFormat="1" applyFill="1" applyBorder="1" applyAlignment="1">
      <alignment horizontal="right" vertical="center" wrapText="1"/>
    </xf>
    <xf numFmtId="168" fontId="25" fillId="3" borderId="0" xfId="0" applyNumberFormat="1" applyFont="1" applyFill="1" applyAlignment="1">
      <alignment horizontal="right" indent="1"/>
    </xf>
    <xf numFmtId="168" fontId="25" fillId="0" borderId="0" xfId="0" applyNumberFormat="1" applyFont="1" applyAlignment="1">
      <alignment horizontal="right" indent="1"/>
    </xf>
    <xf numFmtId="0" fontId="55" fillId="0" borderId="0" xfId="0" applyFont="1"/>
    <xf numFmtId="0" fontId="0" fillId="0" borderId="27" xfId="0" applyBorder="1"/>
    <xf numFmtId="44" fontId="0" fillId="0" borderId="15" xfId="0" applyNumberFormat="1" applyBorder="1"/>
    <xf numFmtId="169" fontId="0" fillId="0" borderId="15" xfId="1" applyNumberFormat="1" applyFont="1" applyFill="1" applyBorder="1" applyAlignment="1">
      <alignment horizontal="left"/>
    </xf>
    <xf numFmtId="169" fontId="0" fillId="0" borderId="15" xfId="1" applyNumberFormat="1" applyFont="1" applyFill="1" applyBorder="1" applyAlignment="1">
      <alignment horizontal="right"/>
    </xf>
    <xf numFmtId="0" fontId="3" fillId="5" borderId="15" xfId="0" applyFont="1" applyFill="1" applyBorder="1" applyAlignment="1" applyProtection="1">
      <alignment wrapText="1"/>
      <protection locked="0"/>
    </xf>
    <xf numFmtId="0" fontId="27" fillId="3" borderId="0" xfId="0" applyFont="1" applyFill="1" applyAlignment="1">
      <alignment horizontal="center"/>
    </xf>
    <xf numFmtId="0" fontId="22" fillId="4" borderId="0" xfId="0" applyFont="1" applyFill="1" applyAlignment="1">
      <alignment horizontal="center"/>
    </xf>
    <xf numFmtId="0" fontId="9" fillId="0" borderId="0" xfId="0" applyFont="1" applyAlignment="1">
      <alignment horizontal="left" wrapText="1"/>
    </xf>
    <xf numFmtId="0" fontId="0" fillId="0" borderId="0" xfId="0" applyAlignment="1">
      <alignment horizontal="left" wrapText="1"/>
    </xf>
    <xf numFmtId="0" fontId="29" fillId="0" borderId="0" xfId="0" applyFont="1" applyAlignment="1">
      <alignment horizontal="center"/>
    </xf>
    <xf numFmtId="0" fontId="29" fillId="0" borderId="0" xfId="0" applyFont="1" applyAlignment="1">
      <alignment horizontal="center" wrapText="1"/>
    </xf>
    <xf numFmtId="0" fontId="29" fillId="0" borderId="3" xfId="0" applyFont="1" applyBorder="1" applyAlignment="1">
      <alignment horizontal="center" wrapText="1"/>
    </xf>
    <xf numFmtId="0" fontId="25" fillId="3" borderId="0" xfId="0" applyFont="1" applyFill="1" applyAlignment="1">
      <alignment horizontal="center"/>
    </xf>
    <xf numFmtId="0" fontId="25" fillId="0" borderId="0" xfId="0" applyFont="1" applyAlignment="1">
      <alignment horizontal="center"/>
    </xf>
    <xf numFmtId="0" fontId="25" fillId="4" borderId="0" xfId="0" applyFont="1" applyFill="1" applyAlignment="1">
      <alignment horizontal="center"/>
    </xf>
    <xf numFmtId="0" fontId="30" fillId="0" borderId="0" xfId="0" applyFont="1" applyAlignment="1" applyProtection="1">
      <alignment horizontal="left"/>
      <protection locked="0"/>
    </xf>
    <xf numFmtId="0" fontId="25" fillId="8" borderId="0" xfId="0" applyFont="1" applyFill="1" applyAlignment="1">
      <alignment horizontal="left"/>
    </xf>
    <xf numFmtId="0" fontId="25" fillId="5" borderId="0" xfId="0" applyFont="1" applyFill="1" applyAlignment="1">
      <alignment horizontal="left"/>
    </xf>
    <xf numFmtId="0" fontId="30" fillId="0" borderId="0" xfId="0" applyFont="1" applyAlignment="1" applyProtection="1">
      <alignment horizontal="left" wrapText="1"/>
      <protection locked="0"/>
    </xf>
    <xf numFmtId="0" fontId="29" fillId="0" borderId="0" xfId="0" applyFont="1" applyAlignment="1">
      <alignment horizontal="left"/>
    </xf>
    <xf numFmtId="0" fontId="29" fillId="0" borderId="3" xfId="0" applyFont="1" applyBorder="1" applyAlignment="1">
      <alignment horizontal="left"/>
    </xf>
    <xf numFmtId="0" fontId="29" fillId="0" borderId="3" xfId="0" applyFont="1" applyBorder="1" applyAlignment="1">
      <alignment horizontal="center"/>
    </xf>
    <xf numFmtId="0" fontId="27" fillId="0" borderId="0" xfId="0" applyFont="1" applyAlignment="1">
      <alignment horizontal="center"/>
    </xf>
    <xf numFmtId="0" fontId="25" fillId="0" borderId="16" xfId="0" applyFont="1" applyBorder="1" applyAlignment="1">
      <alignment horizontal="center"/>
    </xf>
    <xf numFmtId="0" fontId="25" fillId="0" borderId="18" xfId="0" applyFont="1" applyBorder="1" applyAlignment="1">
      <alignment horizontal="center"/>
    </xf>
    <xf numFmtId="0" fontId="25" fillId="0" borderId="17" xfId="0" applyFont="1" applyBorder="1" applyAlignment="1">
      <alignment horizontal="center"/>
    </xf>
    <xf numFmtId="0" fontId="25" fillId="8" borderId="0" xfId="0" applyFont="1" applyFill="1"/>
    <xf numFmtId="0" fontId="25" fillId="0" borderId="16" xfId="0" applyFont="1" applyBorder="1" applyAlignment="1" applyProtection="1">
      <alignment horizontal="center"/>
      <protection locked="0"/>
    </xf>
    <xf numFmtId="0" fontId="25" fillId="0" borderId="18" xfId="0" applyFont="1" applyBorder="1" applyAlignment="1" applyProtection="1">
      <alignment horizontal="center"/>
      <protection locked="0"/>
    </xf>
    <xf numFmtId="0" fontId="25" fillId="0" borderId="17" xfId="0" applyFont="1" applyBorder="1" applyAlignment="1" applyProtection="1">
      <alignment horizontal="center"/>
      <protection locked="0"/>
    </xf>
    <xf numFmtId="0" fontId="25" fillId="0" borderId="16" xfId="0" applyFont="1" applyBorder="1" applyAlignment="1">
      <alignment horizontal="left" wrapText="1"/>
    </xf>
    <xf numFmtId="0" fontId="25" fillId="0" borderId="18" xfId="0" applyFont="1" applyBorder="1" applyAlignment="1">
      <alignment horizontal="left" wrapText="1"/>
    </xf>
    <xf numFmtId="0" fontId="25" fillId="0" borderId="17" xfId="0" applyFont="1" applyBorder="1" applyAlignment="1">
      <alignment horizontal="left" wrapText="1"/>
    </xf>
  </cellXfs>
  <cellStyles count="7">
    <cellStyle name="Comma" xfId="3" builtinId="3"/>
    <cellStyle name="Currency" xfId="1" builtinId="4"/>
    <cellStyle name="Hyperlink" xfId="4" builtinId="8"/>
    <cellStyle name="Normal" xfId="0" builtinId="0"/>
    <cellStyle name="Normal 2" xfId="5" xr:uid="{00000000-0005-0000-0000-000004000000}"/>
    <cellStyle name="Normal 3" xfId="6" xr:uid="{00000000-0005-0000-0000-000005000000}"/>
    <cellStyle name="Percent" xfId="2" builtinId="5"/>
  </cellStyles>
  <dxfs count="100">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35" formatCode="_(* #,##0.00_);_(* \(#,##0.00\);_(* &quot;-&quot;??_);_(@_)"/>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35" formatCode="_(* #,##0.00_);_(* \(#,##0.00\);_(* &quot;-&quot;??_);_(@_)"/>
      <fill>
        <patternFill patternType="solid">
          <fgColor indexed="64"/>
          <bgColor theme="0" tint="-0.14999847407452621"/>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border diagonalUp="0" diagonalDown="0">
        <left/>
        <right/>
        <top style="thin">
          <color theme="4" tint="0.39997558519241921"/>
        </top>
        <bottom/>
        <vertical/>
        <horizontal/>
      </border>
    </dxf>
    <dxf>
      <font>
        <b val="0"/>
        <i val="0"/>
        <strike val="0"/>
        <condense val="0"/>
        <extend val="0"/>
        <outline val="0"/>
        <shadow val="0"/>
        <u val="none"/>
        <vertAlign val="baseline"/>
        <sz val="9"/>
        <color rgb="FFFF0000"/>
        <name val="Arial"/>
        <scheme val="none"/>
      </font>
      <numFmt numFmtId="35" formatCode="_(* #,##0.00_);_(* \(#,##0.00\);_(* &quot;-&quot;??_);_(@_)"/>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35" formatCode="_(* #,##0.00_);_(* \(#,##0.00\);_(* &quot;-&quot;??_);_(@_)"/>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12" formatCode="&quot;$&quot;#,##0.00_);[Red]\(&quot;$&quot;#,##0.0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rgb="FFFF0000"/>
        <name val="Arial"/>
        <scheme val="none"/>
      </font>
      <numFmt numFmtId="0" formatCode="General"/>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12" formatCode="&quot;$&quot;#,##0.00_);[Red]\(&quot;$&quot;#,##0.0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6" formatCode="#,##0_);[Red]\(#,##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35" formatCode="_(* #,##0.00_);_(* \(#,##0.00\);_(* &quot;-&quot;??_);_(@_)"/>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12" formatCode="&quot;$&quot;#,##0.00_);[Red]\(&quot;$&quot;#,##0.0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12" formatCode="&quot;$&quot;#,##0.00_);[Red]\(&quot;$&quot;#,##0.0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12" formatCode="&quot;$&quot;#,##0.00_);[Red]\(&quot;$&quot;#,##0.00\)"/>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fill>
        <patternFill patternType="solid">
          <fgColor indexed="64"/>
          <bgColor rgb="FFFFFF99"/>
        </patternFill>
      </fill>
      <alignment horizontal="center"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9"/>
        <color auto="1"/>
        <name val="Arial"/>
        <scheme val="none"/>
      </font>
      <numFmt numFmtId="0" formatCode="General"/>
      <fill>
        <patternFill patternType="solid">
          <fgColor indexed="64"/>
          <bgColor rgb="FFFFFF99"/>
        </patternFill>
      </fill>
      <alignment horizontal="general" vertical="top" textRotation="0" wrapText="1"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dxf>
    <dxf>
      <font>
        <b/>
        <i val="0"/>
        <strike val="0"/>
        <condense val="0"/>
        <extend val="0"/>
        <outline val="0"/>
        <shadow val="0"/>
        <u val="none"/>
        <vertAlign val="baseline"/>
        <sz val="10"/>
        <color rgb="FFFFFF00"/>
        <name val="Arial"/>
        <scheme val="none"/>
      </font>
      <numFmt numFmtId="2" formatCode="0.00"/>
      <fill>
        <patternFill patternType="solid">
          <fgColor theme="4"/>
          <bgColor theme="4"/>
        </patternFill>
      </fill>
      <alignment horizontal="center" vertical="top" textRotation="0" wrapText="1" indent="0" justifyLastLine="0" shrinkToFit="0" readingOrder="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rgb="FFFFFF00"/>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2"/>
        <color auto="1"/>
        <name val="Calibri"/>
        <scheme val="minor"/>
      </font>
      <numFmt numFmtId="5" formatCode="#,##0_);\(#,##0\)"/>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general" vertical="bottom" textRotation="0" wrapText="0" relativeIndent="0" justifyLastLine="0" shrinkToFit="0" readingOrder="0"/>
      <protection locked="1" hidden="0"/>
    </dxf>
    <dxf>
      <font>
        <strike val="0"/>
        <outline val="0"/>
        <shadow val="0"/>
        <u val="none"/>
        <vertAlign val="baseline"/>
        <color rgb="FFFFFF00"/>
      </font>
      <alignment vertical="top" textRotation="0" indent="0" justifyLastLine="0" shrinkToFit="0" readingOrder="0"/>
      <protection locked="1"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vertical="top" textRotation="0" relativeIndent="0" justifyLastLine="0" shrinkToFit="0" readingOrder="0"/>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style="thin">
          <color theme="4" tint="0.39997558519241921"/>
        </left>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border diagonalUp="0" diagonalDown="0">
        <left style="thin">
          <color theme="4" tint="0.39997558519241921"/>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border diagonalUp="0" diagonalDown="0">
        <left/>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tint="-0.14999847407452621"/>
        </patternFill>
      </fill>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theme="0" tint="-0.14999847407452621"/>
        </patternFill>
      </fill>
      <alignment horizontal="center" vertical="bottom" textRotation="0" wrapText="0" relativeIndent="0" justifyLastLine="0" shrinkToFit="0" readingOrder="0"/>
      <border diagonalUp="0" diagonalDown="0">
        <left/>
        <right style="thin">
          <color theme="4" tint="0.39997558519241921"/>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numFmt numFmtId="1" formatCode="0"/>
      <fill>
        <patternFill patternType="solid">
          <fgColor indexed="64"/>
          <bgColor rgb="FFFFFF99"/>
        </patternFill>
      </fill>
      <alignment horizontal="center" vertical="bottom" textRotation="0" wrapText="0" indent="0" justifyLastLine="0" shrinkToFit="0" readingOrder="0"/>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rgb="FFFFFF99"/>
        </patternFill>
      </fill>
      <alignment horizontal="center" vertical="bottom" textRotation="0" wrapText="0" indent="0" justifyLastLine="0" shrinkToFit="0" readingOrder="0"/>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rgb="FFFFFF99"/>
        </patternFill>
      </fill>
      <alignment horizontal="center" vertical="bottom" textRotation="0" wrapText="0" indent="0" justifyLastLine="0" shrinkToFit="0" readingOrder="0"/>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rgb="FFFFFF99"/>
        </patternFill>
      </fill>
      <alignment horizontal="center" vertical="bottom" textRotation="0" wrapText="0" relativeIndent="0" justifyLastLine="0" shrinkToFit="0" readingOrder="0"/>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164" formatCode="_(* #,##0_);_(* \(#,##0\);_(* &quot;-&quot;??_);_(@_)"/>
      <fill>
        <patternFill patternType="solid">
          <fgColor indexed="64"/>
          <bgColor rgb="FFFFFF99"/>
        </patternFill>
      </fill>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2" formatCode="0.00"/>
      <fill>
        <patternFill patternType="solid">
          <fgColor indexed="64"/>
          <bgColor rgb="FFFFFF99"/>
        </patternFill>
      </fill>
      <border diagonalUp="0" diagonalDown="0">
        <left/>
        <right/>
        <top/>
        <bottom style="thin">
          <color theme="4" tint="0.39997558519241921"/>
        </bottom>
      </border>
      <protection locked="0" hidden="0"/>
    </dxf>
    <dxf>
      <font>
        <b val="0"/>
        <i val="0"/>
        <strike val="0"/>
        <condense val="0"/>
        <extend val="0"/>
        <outline val="0"/>
        <shadow val="0"/>
        <u val="none"/>
        <vertAlign val="baseline"/>
        <sz val="10"/>
        <color theme="1"/>
        <name val="Arial"/>
        <scheme val="none"/>
      </font>
      <numFmt numFmtId="2" formatCode="0.00"/>
      <fill>
        <patternFill patternType="solid">
          <fgColor indexed="64"/>
          <bgColor rgb="FFFFFF99"/>
        </patternFill>
      </fill>
      <border diagonalUp="0" diagonalDown="0">
        <left/>
        <right/>
        <top/>
        <bottom style="thin">
          <color theme="4" tint="0.39997558519241921"/>
        </bottom>
      </border>
      <protection locked="0" hidden="0"/>
    </dxf>
    <dxf>
      <numFmt numFmtId="2" formatCode="0.00"/>
      <fill>
        <patternFill patternType="solid">
          <fgColor indexed="64"/>
          <bgColor rgb="FFFFFF99"/>
        </patternFill>
      </fill>
      <protection locked="0" hidden="0"/>
    </dxf>
    <dxf>
      <font>
        <b val="0"/>
        <i val="0"/>
        <strike val="0"/>
        <condense val="0"/>
        <extend val="0"/>
        <outline val="0"/>
        <shadow val="0"/>
        <u val="none"/>
        <vertAlign val="baseline"/>
        <sz val="10"/>
        <color theme="1"/>
        <name val="Arial"/>
        <scheme val="none"/>
      </font>
      <numFmt numFmtId="2" formatCode="0.00"/>
      <fill>
        <patternFill patternType="none">
          <fgColor indexed="64"/>
          <bgColor indexed="65"/>
        </patternFill>
      </fill>
      <alignment vertical="top" textRotation="0" relativeIndent="0" justifyLastLine="0" shrinkToFit="0" readingOrder="0"/>
      <protection locked="1" hidden="0"/>
    </dxf>
    <dxf>
      <font>
        <b/>
        <i val="0"/>
        <strike val="0"/>
        <condense val="0"/>
        <extend val="0"/>
        <outline val="0"/>
        <shadow val="0"/>
        <u val="none"/>
        <vertAlign val="baseline"/>
        <sz val="10"/>
        <color rgb="FFFFFF00"/>
        <name val="Arial"/>
        <scheme val="none"/>
      </font>
      <numFmt numFmtId="2" formatCode="0.00"/>
      <fill>
        <patternFill patternType="none">
          <fgColor indexed="64"/>
          <bgColor indexed="65"/>
        </patternFill>
      </fill>
      <alignment horizontal="center" vertical="bottom" textRotation="0" wrapText="1"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5" formatCode="#,##0_);\(#,##0\)"/>
      <fill>
        <patternFill patternType="none">
          <fgColor indexed="64"/>
          <bgColor indexed="65"/>
        </patternFill>
      </fill>
      <alignment horizontal="general" vertical="bottom" textRotation="0" wrapText="0" relativeIndent="0" justifyLastLine="0" shrinkToFit="0" readingOrder="0"/>
      <border diagonalUp="0" diagonalDown="0">
        <left/>
        <right/>
        <top/>
        <bottom style="thin">
          <color theme="5" tint="0.39997558519241921"/>
        </bottom>
      </border>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border diagonalUp="0" diagonalDown="0">
        <left/>
        <right/>
        <top/>
        <bottom style="thin">
          <color theme="5" tint="0.39997558519241921"/>
        </bottom>
      </border>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bottom" textRotation="0" wrapText="0" relativeIndent="0" justifyLastLine="0" shrinkToFit="0" readingOrder="0"/>
      <border diagonalUp="0" diagonalDown="0">
        <left/>
        <right/>
        <top/>
        <bottom style="thin">
          <color theme="5" tint="0.39997558519241921"/>
        </bottom>
      </border>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border diagonalUp="0" diagonalDown="0">
        <left/>
        <right/>
        <top/>
        <bottom style="thin">
          <color theme="5" tint="0.39997558519241921"/>
        </bottom>
      </border>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border diagonalUp="0" diagonalDown="0">
        <left/>
        <right/>
        <top/>
        <bottom style="thin">
          <color theme="5" tint="0.39997558519241921"/>
        </bottom>
      </border>
      <protection locked="1" hidden="0"/>
    </dxf>
    <dxf>
      <border outline="0">
        <left style="thin">
          <color theme="5" tint="0.39997558519241921"/>
        </left>
        <right style="thin">
          <color theme="5" tint="0.39997558519241921"/>
        </right>
        <top style="thin">
          <color theme="5" tint="0.39997558519241921"/>
        </top>
        <bottom style="thin">
          <color theme="5" tint="0.39997558519241921"/>
        </bottom>
      </border>
    </dxf>
    <dxf>
      <fill>
        <patternFill patternType="none">
          <fgColor indexed="64"/>
          <bgColor auto="1"/>
        </patternFill>
      </fill>
      <protection locked="1" hidden="0"/>
    </dxf>
    <dxf>
      <border outline="0">
        <bottom style="thin">
          <color theme="5" tint="0.39997558519241921"/>
        </bottom>
      </border>
    </dxf>
    <dxf>
      <font>
        <b/>
        <i val="0"/>
        <strike val="0"/>
        <condense val="0"/>
        <extend val="0"/>
        <outline val="0"/>
        <shadow val="0"/>
        <u val="none"/>
        <vertAlign val="baseline"/>
        <sz val="10"/>
        <color auto="1"/>
        <name val="Arial"/>
        <scheme val="none"/>
      </font>
      <fill>
        <patternFill patternType="none">
          <fgColor indexed="64"/>
          <bgColor indexed="65"/>
        </patternFill>
      </fill>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general" vertical="bottom" textRotation="0" wrapText="0" relativeIndent="0" justifyLastLine="0" shrinkToFit="0" readingOrder="0"/>
      <protection locked="1" hidden="0"/>
    </dxf>
    <dxf>
      <font>
        <b val="0"/>
        <i val="0"/>
        <strike val="0"/>
        <condense val="0"/>
        <extend val="0"/>
        <outline val="0"/>
        <shadow val="0"/>
        <u val="none"/>
        <vertAlign val="baseline"/>
        <sz val="10"/>
        <color theme="1"/>
        <name val="Arial"/>
        <scheme val="none"/>
      </font>
      <numFmt numFmtId="12" formatCode="&quot;$&quot;#,##0.00_);[Red]\(&quot;$&quot;#,##0.00\)"/>
      <fill>
        <patternFill patternType="none">
          <fgColor indexed="64"/>
          <bgColor indexed="65"/>
        </patternFill>
      </fill>
      <alignment horizontal="right" vertical="center" textRotation="0" wrapText="1" indent="0" justifyLastLine="0" shrinkToFit="0" readingOrder="0"/>
      <border diagonalUp="0" diagonalDown="0" outline="0">
        <left/>
        <right style="thin">
          <color theme="4" tint="0.39997558519241921"/>
        </right>
        <top style="thin">
          <color theme="4" tint="0.39997558519241921"/>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vertical="center" textRotation="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style="thin">
          <color theme="4" tint="0.39997558519241921"/>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protection locked="1" hidden="0"/>
    </dxf>
    <dxf>
      <border outline="0">
        <top style="thin">
          <color theme="4" tint="0.39997558519241921"/>
        </top>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fill>
        <patternFill patternType="solid">
          <fgColor theme="4"/>
          <bgColor theme="4"/>
        </patternFill>
      </fill>
      <alignment horizontal="general" vertical="bottom" textRotation="0" wrapText="1" indent="0" justifyLastLine="0" shrinkToFit="0" readingOrder="0"/>
    </dxf>
    <dxf>
      <numFmt numFmtId="164" formatCode="_(* #,##0_);_(* \(#,##0\);_(* &quot;-&quot;??_);_(@_)"/>
      <fill>
        <patternFill patternType="solid">
          <fgColor indexed="64"/>
          <bgColor rgb="FFFFFF99"/>
        </patternFill>
      </fill>
      <protection locked="0" hidden="0"/>
    </dxf>
    <dxf>
      <fill>
        <patternFill patternType="solid">
          <fgColor indexed="64"/>
          <bgColor rgb="FFFFFF99"/>
        </patternFill>
      </fill>
      <protection locked="0" hidden="0"/>
    </dxf>
    <dxf>
      <fill>
        <patternFill patternType="solid">
          <fgColor indexed="64"/>
          <bgColor theme="0"/>
        </patternFill>
      </fill>
    </dxf>
    <dxf>
      <fill>
        <patternFill>
          <bgColor theme="0"/>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MySqlDefault" pivot="0" table="0" count="2" xr9:uid="{00000000-0011-0000-FFFF-FFFF00000000}">
      <tableStyleElement type="wholeTable" dxfId="99"/>
      <tableStyleElement type="headerRow" dxfId="98"/>
    </tableStyle>
    <tableStyle name="Table Style 1" pivot="0" count="0" xr9:uid="{00000000-0011-0000-FFFF-FFFF01000000}"/>
  </tableStyles>
  <colors>
    <mruColors>
      <color rgb="FFFFFF99"/>
      <color rgb="FFD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microsoft.com/office/2006/relationships/vbaProject" Target="vbaProject.bin"/><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'Depreciation Graph'!$M$1</c:f>
              <c:strCache>
                <c:ptCount val="1"/>
                <c:pt idx="0">
                  <c:v>Combines</c:v>
                </c:pt>
              </c:strCache>
            </c:strRef>
          </c:tx>
          <c:marker>
            <c:symbol val="none"/>
          </c:marker>
          <c:val>
            <c:numRef>
              <c:f>'Depreciation Graph'!$M$2:$M$21</c:f>
              <c:numCache>
                <c:formatCode>General</c:formatCode>
                <c:ptCount val="20"/>
                <c:pt idx="0">
                  <c:v>0.93508899999999973</c:v>
                </c:pt>
                <c:pt idx="1">
                  <c:v>0.80758038163990642</c:v>
                </c:pt>
                <c:pt idx="2">
                  <c:v>0.71607410032456997</c:v>
                </c:pt>
                <c:pt idx="3">
                  <c:v>0.64320399999999966</c:v>
                </c:pt>
                <c:pt idx="4">
                  <c:v>0.58224344632517844</c:v>
                </c:pt>
                <c:pt idx="5">
                  <c:v>0.52974261168591585</c:v>
                </c:pt>
                <c:pt idx="6">
                  <c:v>0.48365214023871145</c:v>
                </c:pt>
                <c:pt idx="7">
                  <c:v>0.44263676327981305</c:v>
                </c:pt>
                <c:pt idx="8">
                  <c:v>0.40576899999999988</c:v>
                </c:pt>
                <c:pt idx="9">
                  <c:v>0.37237355726750004</c:v>
                </c:pt>
                <c:pt idx="10">
                  <c:v>0.34194064331483676</c:v>
                </c:pt>
                <c:pt idx="11">
                  <c:v>0.31407420064914032</c:v>
                </c:pt>
                <c:pt idx="12">
                  <c:v>0.28845926553767204</c:v>
                </c:pt>
                <c:pt idx="13">
                  <c:v>0.26484046659672628</c:v>
                </c:pt>
                <c:pt idx="14">
                  <c:v>0.2430073411907572</c:v>
                </c:pt>
                <c:pt idx="15">
                  <c:v>0.22278399999999987</c:v>
                </c:pt>
                <c:pt idx="16">
                  <c:v>0.20402166249426656</c:v>
                </c:pt>
                <c:pt idx="17">
                  <c:v>0.18659314491971973</c:v>
                </c:pt>
                <c:pt idx="18">
                  <c:v>0.17038871065094577</c:v>
                </c:pt>
                <c:pt idx="19">
                  <c:v>0.15531289265035694</c:v>
                </c:pt>
              </c:numCache>
            </c:numRef>
          </c:val>
          <c:smooth val="0"/>
          <c:extLst>
            <c:ext xmlns:c16="http://schemas.microsoft.com/office/drawing/2014/chart" uri="{C3380CC4-5D6E-409C-BE32-E72D297353CC}">
              <c16:uniqueId val="{00000000-84D6-4925-BF84-9952C43AFF81}"/>
            </c:ext>
          </c:extLst>
        </c:ser>
        <c:ser>
          <c:idx val="1"/>
          <c:order val="1"/>
          <c:tx>
            <c:strRef>
              <c:f>'Depreciation Graph'!$N$1</c:f>
              <c:strCache>
                <c:ptCount val="1"/>
                <c:pt idx="0">
                  <c:v>Mowers</c:v>
                </c:pt>
              </c:strCache>
            </c:strRef>
          </c:tx>
          <c:marker>
            <c:symbol val="none"/>
          </c:marker>
          <c:val>
            <c:numRef>
              <c:f>'Depreciation Graph'!$N$2:$N$21</c:f>
              <c:numCache>
                <c:formatCode>General</c:formatCode>
                <c:ptCount val="20"/>
                <c:pt idx="0">
                  <c:v>0.47472100000000006</c:v>
                </c:pt>
                <c:pt idx="1">
                  <c:v>0.43724850927735592</c:v>
                </c:pt>
                <c:pt idx="2">
                  <c:v>0.40953932499004247</c:v>
                </c:pt>
                <c:pt idx="3">
                  <c:v>0.38688400000000001</c:v>
                </c:pt>
                <c:pt idx="4">
                  <c:v>0.36745836960736133</c:v>
                </c:pt>
                <c:pt idx="5">
                  <c:v>0.35032689109709297</c:v>
                </c:pt>
                <c:pt idx="6">
                  <c:v>0.33493380918391269</c:v>
                </c:pt>
                <c:pt idx="7">
                  <c:v>0.320917018554712</c:v>
                </c:pt>
                <c:pt idx="8">
                  <c:v>0.30802499999999994</c:v>
                </c:pt>
                <c:pt idx="9">
                  <c:v>0.2960746239143025</c:v>
                </c:pt>
                <c:pt idx="10">
                  <c:v>0.28492764223783656</c:v>
                </c:pt>
                <c:pt idx="11">
                  <c:v>0.27447664998008492</c:v>
                </c:pt>
                <c:pt idx="12">
                  <c:v>0.26463623359039606</c:v>
                </c:pt>
                <c:pt idx="13">
                  <c:v>0.25533714009025266</c:v>
                </c:pt>
                <c:pt idx="14">
                  <c:v>0.24652229509580381</c:v>
                </c:pt>
                <c:pt idx="15">
                  <c:v>0.23814399999999999</c:v>
                </c:pt>
                <c:pt idx="16">
                  <c:v>0.23016190770242853</c:v>
                </c:pt>
                <c:pt idx="17">
                  <c:v>0.22254152783206796</c:v>
                </c:pt>
                <c:pt idx="18">
                  <c:v>0.21525310142355558</c:v>
                </c:pt>
                <c:pt idx="19">
                  <c:v>0.20827073921472258</c:v>
                </c:pt>
              </c:numCache>
            </c:numRef>
          </c:val>
          <c:smooth val="0"/>
          <c:extLst>
            <c:ext xmlns:c16="http://schemas.microsoft.com/office/drawing/2014/chart" uri="{C3380CC4-5D6E-409C-BE32-E72D297353CC}">
              <c16:uniqueId val="{00000001-84D6-4925-BF84-9952C43AFF81}"/>
            </c:ext>
          </c:extLst>
        </c:ser>
        <c:ser>
          <c:idx val="2"/>
          <c:order val="2"/>
          <c:tx>
            <c:strRef>
              <c:f>'Depreciation Graph'!$O$1</c:f>
              <c:strCache>
                <c:ptCount val="1"/>
                <c:pt idx="0">
                  <c:v>Balers</c:v>
                </c:pt>
              </c:strCache>
            </c:strRef>
          </c:tx>
          <c:marker>
            <c:symbol val="none"/>
          </c:marker>
          <c:val>
            <c:numRef>
              <c:f>'Depreciation Graph'!$O$2:$O$21</c:f>
              <c:numCache>
                <c:formatCode>General</c:formatCode>
                <c:ptCount val="20"/>
                <c:pt idx="0">
                  <c:v>0.56400099999999997</c:v>
                </c:pt>
                <c:pt idx="1">
                  <c:v>0.50291418906134078</c:v>
                </c:pt>
                <c:pt idx="2">
                  <c:v>0.45841412781416585</c:v>
                </c:pt>
                <c:pt idx="3">
                  <c:v>0.42249999999999988</c:v>
                </c:pt>
                <c:pt idx="4">
                  <c:v>0.39207275680037612</c:v>
                </c:pt>
                <c:pt idx="5">
                  <c:v>0.36554301730804389</c:v>
                </c:pt>
                <c:pt idx="6">
                  <c:v>0.34196661636053971</c:v>
                </c:pt>
                <c:pt idx="7">
                  <c:v>0.32072837812268157</c:v>
                </c:pt>
                <c:pt idx="8">
                  <c:v>0.30140099999999992</c:v>
                </c:pt>
                <c:pt idx="9">
                  <c:v>0.28367336557438111</c:v>
                </c:pt>
                <c:pt idx="10">
                  <c:v>0.26731060708067417</c:v>
                </c:pt>
                <c:pt idx="11">
                  <c:v>0.25213025562833186</c:v>
                </c:pt>
                <c:pt idx="12">
                  <c:v>0.23798720328754555</c:v>
                </c:pt>
                <c:pt idx="13">
                  <c:v>0.22476379710665753</c:v>
                </c:pt>
                <c:pt idx="14">
                  <c:v>0.21236307418431866</c:v>
                </c:pt>
                <c:pt idx="15">
                  <c:v>0.20070399999999997</c:v>
                </c:pt>
                <c:pt idx="16">
                  <c:v>0.18971802940869809</c:v>
                </c:pt>
                <c:pt idx="17">
                  <c:v>0.17934656718402256</c:v>
                </c:pt>
                <c:pt idx="18">
                  <c:v>0.16953905622087587</c:v>
                </c:pt>
                <c:pt idx="19">
                  <c:v>0.16025151360075235</c:v>
                </c:pt>
              </c:numCache>
            </c:numRef>
          </c:val>
          <c:smooth val="0"/>
          <c:extLst>
            <c:ext xmlns:c16="http://schemas.microsoft.com/office/drawing/2014/chart" uri="{C3380CC4-5D6E-409C-BE32-E72D297353CC}">
              <c16:uniqueId val="{00000002-84D6-4925-BF84-9952C43AFF81}"/>
            </c:ext>
          </c:extLst>
        </c:ser>
        <c:ser>
          <c:idx val="3"/>
          <c:order val="3"/>
          <c:tx>
            <c:strRef>
              <c:f>'Depreciation Graph'!$P$1</c:f>
              <c:strCache>
                <c:ptCount val="1"/>
                <c:pt idx="0">
                  <c:v>Harvest Other</c:v>
                </c:pt>
              </c:strCache>
            </c:strRef>
          </c:tx>
          <c:marker>
            <c:symbol val="none"/>
          </c:marker>
          <c:val>
            <c:numRef>
              <c:f>'Depreciation Graph'!$P$2:$P$21</c:f>
              <c:numCache>
                <c:formatCode>General</c:formatCode>
                <c:ptCount val="20"/>
                <c:pt idx="0">
                  <c:v>0.4900000000000001</c:v>
                </c:pt>
                <c:pt idx="1">
                  <c:v>0.4386499871336445</c:v>
                </c:pt>
                <c:pt idx="2">
                  <c:v>0.40117450164076934</c:v>
                </c:pt>
                <c:pt idx="3">
                  <c:v>0.37088099999999996</c:v>
                </c:pt>
                <c:pt idx="4">
                  <c:v>0.34517718182317542</c:v>
                </c:pt>
                <c:pt idx="5">
                  <c:v>0.32273355764944822</c:v>
                </c:pt>
                <c:pt idx="6">
                  <c:v>0.3027603497565195</c:v>
                </c:pt>
                <c:pt idx="7">
                  <c:v>0.28474297426728906</c:v>
                </c:pt>
                <c:pt idx="8">
                  <c:v>0.26832400000000001</c:v>
                </c:pt>
                <c:pt idx="9">
                  <c:v>0.25324318348683983</c:v>
                </c:pt>
                <c:pt idx="10">
                  <c:v>0.23930406193085599</c:v>
                </c:pt>
                <c:pt idx="11">
                  <c:v>0.22635400328153865</c:v>
                </c:pt>
                <c:pt idx="12">
                  <c:v>0.21427162728165322</c:v>
                </c:pt>
                <c:pt idx="13">
                  <c:v>0.20295851928524988</c:v>
                </c:pt>
                <c:pt idx="14">
                  <c:v>0.19233357151328787</c:v>
                </c:pt>
                <c:pt idx="15">
                  <c:v>0.18232900000000005</c:v>
                </c:pt>
                <c:pt idx="16">
                  <c:v>0.17288746792483037</c:v>
                </c:pt>
                <c:pt idx="17">
                  <c:v>0.16395996140093352</c:v>
                </c:pt>
                <c:pt idx="18">
                  <c:v>0.15550419028999754</c:v>
                </c:pt>
                <c:pt idx="19">
                  <c:v>0.14748336364635059</c:v>
                </c:pt>
              </c:numCache>
            </c:numRef>
          </c:val>
          <c:smooth val="0"/>
          <c:extLst>
            <c:ext xmlns:c16="http://schemas.microsoft.com/office/drawing/2014/chart" uri="{C3380CC4-5D6E-409C-BE32-E72D297353CC}">
              <c16:uniqueId val="{00000003-84D6-4925-BF84-9952C43AFF81}"/>
            </c:ext>
          </c:extLst>
        </c:ser>
        <c:ser>
          <c:idx val="4"/>
          <c:order val="4"/>
          <c:tx>
            <c:strRef>
              <c:f>'Depreciation Graph'!$Q$1</c:f>
              <c:strCache>
                <c:ptCount val="1"/>
                <c:pt idx="0">
                  <c:v>Plows</c:v>
                </c:pt>
              </c:strCache>
            </c:strRef>
          </c:tx>
          <c:marker>
            <c:symbol val="none"/>
          </c:marker>
          <c:val>
            <c:numRef>
              <c:f>'Depreciation Graph'!$Q$2:$Q$21</c:f>
              <c:numCache>
                <c:formatCode>General</c:formatCode>
                <c:ptCount val="20"/>
                <c:pt idx="0">
                  <c:v>0.47196899999999992</c:v>
                </c:pt>
                <c:pt idx="1">
                  <c:v>0.44338965987880286</c:v>
                </c:pt>
                <c:pt idx="2">
                  <c:v>0.42206514340944518</c:v>
                </c:pt>
                <c:pt idx="3">
                  <c:v>0.40449600000000002</c:v>
                </c:pt>
                <c:pt idx="4">
                  <c:v>0.38932674692572572</c:v>
                </c:pt>
                <c:pt idx="5">
                  <c:v>0.3758622101222534</c:v>
                </c:pt>
                <c:pt idx="6">
                  <c:v>0.36368942430830187</c:v>
                </c:pt>
                <c:pt idx="7">
                  <c:v>0.35253931975760572</c:v>
                </c:pt>
                <c:pt idx="8">
                  <c:v>0.34222499999999995</c:v>
                </c:pt>
                <c:pt idx="9">
                  <c:v>0.33261038685316513</c:v>
                </c:pt>
                <c:pt idx="10">
                  <c:v>0.32359275228120699</c:v>
                </c:pt>
                <c:pt idx="11">
                  <c:v>0.3150922868188904</c:v>
                </c:pt>
                <c:pt idx="12">
                  <c:v>0.30704552218817283</c:v>
                </c:pt>
                <c:pt idx="13">
                  <c:v>0.29940099855320479</c:v>
                </c:pt>
                <c:pt idx="14">
                  <c:v>0.29211630563089042</c:v>
                </c:pt>
                <c:pt idx="15">
                  <c:v>0.28515600000000002</c:v>
                </c:pt>
                <c:pt idx="16">
                  <c:v>0.27849010092600496</c:v>
                </c:pt>
                <c:pt idx="17">
                  <c:v>0.27209297963640872</c:v>
                </c:pt>
                <c:pt idx="18">
                  <c:v>0.26594252312603217</c:v>
                </c:pt>
                <c:pt idx="19">
                  <c:v>0.26001949385145162</c:v>
                </c:pt>
              </c:numCache>
            </c:numRef>
          </c:val>
          <c:smooth val="0"/>
          <c:extLst>
            <c:ext xmlns:c16="http://schemas.microsoft.com/office/drawing/2014/chart" uri="{C3380CC4-5D6E-409C-BE32-E72D297353CC}">
              <c16:uniqueId val="{00000004-84D6-4925-BF84-9952C43AFF81}"/>
            </c:ext>
          </c:extLst>
        </c:ser>
        <c:ser>
          <c:idx val="5"/>
          <c:order val="5"/>
          <c:tx>
            <c:strRef>
              <c:f>'Depreciation Graph'!$R$1</c:f>
              <c:strCache>
                <c:ptCount val="1"/>
                <c:pt idx="0">
                  <c:v>Tillage Other</c:v>
                </c:pt>
              </c:strCache>
            </c:strRef>
          </c:tx>
          <c:marker>
            <c:symbol val="none"/>
          </c:marker>
          <c:val>
            <c:numRef>
              <c:f>'Depreciation Graph'!$R$2:$R$21</c:f>
              <c:numCache>
                <c:formatCode>General</c:formatCode>
                <c:ptCount val="20"/>
                <c:pt idx="0">
                  <c:v>0.60996100000000009</c:v>
                </c:pt>
                <c:pt idx="1">
                  <c:v>0.54086685750362595</c:v>
                </c:pt>
                <c:pt idx="2">
                  <c:v>0.49066440070034867</c:v>
                </c:pt>
                <c:pt idx="3">
                  <c:v>0.45024100000000006</c:v>
                </c:pt>
                <c:pt idx="4">
                  <c:v>0.41606695505049113</c:v>
                </c:pt>
                <c:pt idx="5">
                  <c:v>0.38633202061964145</c:v>
                </c:pt>
                <c:pt idx="6">
                  <c:v>0.35996082800511897</c:v>
                </c:pt>
                <c:pt idx="7">
                  <c:v>0.33625271500725185</c:v>
                </c:pt>
                <c:pt idx="8">
                  <c:v>0.31472099999999992</c:v>
                </c:pt>
                <c:pt idx="9">
                  <c:v>0.29501133305379423</c:v>
                </c:pt>
                <c:pt idx="10">
                  <c:v>0.27685620859453458</c:v>
                </c:pt>
                <c:pt idx="11">
                  <c:v>0.26004780140069728</c:v>
                </c:pt>
                <c:pt idx="12">
                  <c:v>0.24442083898354883</c:v>
                </c:pt>
                <c:pt idx="13">
                  <c:v>0.22984131904457203</c:v>
                </c:pt>
                <c:pt idx="14">
                  <c:v>0.21619880447642217</c:v>
                </c:pt>
                <c:pt idx="15">
                  <c:v>0.203401</c:v>
                </c:pt>
                <c:pt idx="16">
                  <c:v>0.19136983526642617</c:v>
                </c:pt>
                <c:pt idx="17">
                  <c:v>0.18003857251087776</c:v>
                </c:pt>
                <c:pt idx="18">
                  <c:v>0.16934962908715717</c:v>
                </c:pt>
                <c:pt idx="19">
                  <c:v>0.15925291010098244</c:v>
                </c:pt>
              </c:numCache>
            </c:numRef>
          </c:val>
          <c:smooth val="0"/>
          <c:extLst>
            <c:ext xmlns:c16="http://schemas.microsoft.com/office/drawing/2014/chart" uri="{C3380CC4-5D6E-409C-BE32-E72D297353CC}">
              <c16:uniqueId val="{00000005-84D6-4925-BF84-9952C43AFF81}"/>
            </c:ext>
          </c:extLst>
        </c:ser>
        <c:ser>
          <c:idx val="6"/>
          <c:order val="6"/>
          <c:tx>
            <c:strRef>
              <c:f>'Depreciation Graph'!$S$1</c:f>
              <c:strCache>
                <c:ptCount val="1"/>
                <c:pt idx="0">
                  <c:v>Vehicles</c:v>
                </c:pt>
              </c:strCache>
            </c:strRef>
          </c:tx>
          <c:marker>
            <c:symbol val="none"/>
          </c:marker>
          <c:val>
            <c:numRef>
              <c:f>'Depreciation Graph'!$S$2:$S$21</c:f>
              <c:numCache>
                <c:formatCode>General</c:formatCode>
                <c:ptCount val="20"/>
                <c:pt idx="0">
                  <c:v>0.52272900000000011</c:v>
                </c:pt>
                <c:pt idx="1">
                  <c:v>0.48567594563681826</c:v>
                </c:pt>
                <c:pt idx="2">
                  <c:v>0.45816761622160873</c:v>
                </c:pt>
                <c:pt idx="3">
                  <c:v>0.43560000000000004</c:v>
                </c:pt>
                <c:pt idx="4">
                  <c:v>0.4161897717803309</c:v>
                </c:pt>
                <c:pt idx="5">
                  <c:v>0.39902233383372521</c:v>
                </c:pt>
                <c:pt idx="6">
                  <c:v>0.38355437315740726</c:v>
                </c:pt>
                <c:pt idx="7">
                  <c:v>0.36943189127363629</c:v>
                </c:pt>
                <c:pt idx="8">
                  <c:v>0.35640899999999998</c:v>
                </c:pt>
                <c:pt idx="9">
                  <c:v>0.3443066696475644</c:v>
                </c:pt>
                <c:pt idx="10">
                  <c:v>0.33298974726236269</c:v>
                </c:pt>
                <c:pt idx="11">
                  <c:v>0.32235323244321745</c:v>
                </c:pt>
                <c:pt idx="12">
                  <c:v>0.31231362388314837</c:v>
                </c:pt>
                <c:pt idx="13">
                  <c:v>0.30280321904345592</c:v>
                </c:pt>
                <c:pt idx="14">
                  <c:v>0.29376622132500235</c:v>
                </c:pt>
                <c:pt idx="15">
                  <c:v>0.28515600000000002</c:v>
                </c:pt>
                <c:pt idx="16">
                  <c:v>0.27693311126132947</c:v>
                </c:pt>
                <c:pt idx="17">
                  <c:v>0.26906383691045449</c:v>
                </c:pt>
                <c:pt idx="18">
                  <c:v>0.26151908422750586</c:v>
                </c:pt>
                <c:pt idx="19">
                  <c:v>0.25427354356066173</c:v>
                </c:pt>
              </c:numCache>
            </c:numRef>
          </c:val>
          <c:smooth val="0"/>
          <c:extLst>
            <c:ext xmlns:c16="http://schemas.microsoft.com/office/drawing/2014/chart" uri="{C3380CC4-5D6E-409C-BE32-E72D297353CC}">
              <c16:uniqueId val="{00000006-84D6-4925-BF84-9952C43AFF81}"/>
            </c:ext>
          </c:extLst>
        </c:ser>
        <c:ser>
          <c:idx val="7"/>
          <c:order val="7"/>
          <c:tx>
            <c:strRef>
              <c:f>'Depreciation Graph'!$T$1</c:f>
              <c:strCache>
                <c:ptCount val="1"/>
                <c:pt idx="0">
                  <c:v>Planters</c:v>
                </c:pt>
              </c:strCache>
            </c:strRef>
          </c:tx>
          <c:marker>
            <c:symbol val="none"/>
          </c:marker>
          <c:val>
            <c:numRef>
              <c:f>'Depreciation Graph'!$T$2:$T$21</c:f>
              <c:numCache>
                <c:formatCode>General</c:formatCode>
                <c:ptCount val="20"/>
                <c:pt idx="0">
                  <c:v>0.64802500000000007</c:v>
                </c:pt>
                <c:pt idx="1">
                  <c:v>0.59705191021023085</c:v>
                </c:pt>
                <c:pt idx="2">
                  <c:v>0.55935446535900235</c:v>
                </c:pt>
                <c:pt idx="3">
                  <c:v>0.52852899999999992</c:v>
                </c:pt>
                <c:pt idx="4">
                  <c:v>0.50209510823535897</c:v>
                </c:pt>
                <c:pt idx="5">
                  <c:v>0.47878068691110282</c:v>
                </c:pt>
                <c:pt idx="6">
                  <c:v>0.45783004840347474</c:v>
                </c:pt>
                <c:pt idx="7">
                  <c:v>0.43875082042046182</c:v>
                </c:pt>
                <c:pt idx="8">
                  <c:v>0.42120100000000005</c:v>
                </c:pt>
                <c:pt idx="9">
                  <c:v>0.40493157686712605</c:v>
                </c:pt>
                <c:pt idx="10">
                  <c:v>0.38975456837812444</c:v>
                </c:pt>
                <c:pt idx="11">
                  <c:v>0.37552393071800461</c:v>
                </c:pt>
                <c:pt idx="12">
                  <c:v>0.36212352290738653</c:v>
                </c:pt>
                <c:pt idx="13">
                  <c:v>0.34945917828666312</c:v>
                </c:pt>
                <c:pt idx="14">
                  <c:v>0.33745329002662078</c:v>
                </c:pt>
                <c:pt idx="15">
                  <c:v>0.32604099999999997</c:v>
                </c:pt>
                <c:pt idx="16">
                  <c:v>0.3151674462824185</c:v>
                </c:pt>
                <c:pt idx="17">
                  <c:v>0.30478573063069264</c:v>
                </c:pt>
                <c:pt idx="18">
                  <c:v>0.29485538832515923</c:v>
                </c:pt>
                <c:pt idx="19">
                  <c:v>0.28534121647071786</c:v>
                </c:pt>
              </c:numCache>
            </c:numRef>
          </c:val>
          <c:smooth val="0"/>
          <c:extLst>
            <c:ext xmlns:c16="http://schemas.microsoft.com/office/drawing/2014/chart" uri="{C3380CC4-5D6E-409C-BE32-E72D297353CC}">
              <c16:uniqueId val="{00000007-84D6-4925-BF84-9952C43AFF81}"/>
            </c:ext>
          </c:extLst>
        </c:ser>
        <c:ser>
          <c:idx val="8"/>
          <c:order val="8"/>
          <c:tx>
            <c:strRef>
              <c:f>'Depreciation Graph'!$U$1</c:f>
              <c:strCache>
                <c:ptCount val="1"/>
                <c:pt idx="0">
                  <c:v>Misc</c:v>
                </c:pt>
              </c:strCache>
            </c:strRef>
          </c:tx>
          <c:marker>
            <c:symbol val="none"/>
          </c:marker>
          <c:val>
            <c:numRef>
              <c:f>'Depreciation Graph'!$U$2:$U$21</c:f>
              <c:numCache>
                <c:formatCode>General</c:formatCode>
                <c:ptCount val="20"/>
                <c:pt idx="0">
                  <c:v>0.69222399999999995</c:v>
                </c:pt>
                <c:pt idx="1">
                  <c:v>0.61783104757144203</c:v>
                </c:pt>
                <c:pt idx="2">
                  <c:v>0.56361409163868581</c:v>
                </c:pt>
                <c:pt idx="3">
                  <c:v>0.519841</c:v>
                </c:pt>
                <c:pt idx="4">
                  <c:v>0.4827421131823289</c:v>
                </c:pt>
                <c:pt idx="5">
                  <c:v>0.45038412030731279</c:v>
                </c:pt>
                <c:pt idx="6">
                  <c:v>0.42161854603387217</c:v>
                </c:pt>
                <c:pt idx="7">
                  <c:v>0.39569709514288404</c:v>
                </c:pt>
                <c:pt idx="8">
                  <c:v>0.37209999999999988</c:v>
                </c:pt>
                <c:pt idx="9">
                  <c:v>0.35044882095439045</c:v>
                </c:pt>
                <c:pt idx="10">
                  <c:v>0.33045786663825838</c:v>
                </c:pt>
                <c:pt idx="11">
                  <c:v>0.3119051832773716</c:v>
                </c:pt>
                <c:pt idx="12">
                  <c:v>0.29461426268671564</c:v>
                </c:pt>
                <c:pt idx="13">
                  <c:v>0.27844199270842246</c:v>
                </c:pt>
                <c:pt idx="14">
                  <c:v>0.26327042840486203</c:v>
                </c:pt>
                <c:pt idx="15">
                  <c:v>0.24900099999999994</c:v>
                </c:pt>
                <c:pt idx="16">
                  <c:v>0.23555032969944517</c:v>
                </c:pt>
                <c:pt idx="17">
                  <c:v>0.22284714271432615</c:v>
                </c:pt>
                <c:pt idx="18">
                  <c:v>0.21082994176553407</c:v>
                </c:pt>
                <c:pt idx="19">
                  <c:v>0.19944522636465797</c:v>
                </c:pt>
              </c:numCache>
            </c:numRef>
          </c:val>
          <c:smooth val="0"/>
          <c:extLst>
            <c:ext xmlns:c16="http://schemas.microsoft.com/office/drawing/2014/chart" uri="{C3380CC4-5D6E-409C-BE32-E72D297353CC}">
              <c16:uniqueId val="{00000008-84D6-4925-BF84-9952C43AFF81}"/>
            </c:ext>
          </c:extLst>
        </c:ser>
        <c:dLbls>
          <c:showLegendKey val="0"/>
          <c:showVal val="0"/>
          <c:showCatName val="0"/>
          <c:showSerName val="0"/>
          <c:showPercent val="0"/>
          <c:showBubbleSize val="0"/>
        </c:dLbls>
        <c:smooth val="0"/>
        <c:axId val="522045688"/>
        <c:axId val="522044904"/>
      </c:lineChart>
      <c:catAx>
        <c:axId val="522045688"/>
        <c:scaling>
          <c:orientation val="minMax"/>
        </c:scaling>
        <c:delete val="0"/>
        <c:axPos val="b"/>
        <c:majorTickMark val="out"/>
        <c:minorTickMark val="none"/>
        <c:tickLblPos val="nextTo"/>
        <c:crossAx val="522044904"/>
        <c:crosses val="autoZero"/>
        <c:auto val="1"/>
        <c:lblAlgn val="ctr"/>
        <c:lblOffset val="100"/>
        <c:noMultiLvlLbl val="0"/>
      </c:catAx>
      <c:valAx>
        <c:axId val="522044904"/>
        <c:scaling>
          <c:orientation val="minMax"/>
        </c:scaling>
        <c:delete val="0"/>
        <c:axPos val="l"/>
        <c:majorGridlines/>
        <c:numFmt formatCode="General" sourceLinked="1"/>
        <c:majorTickMark val="out"/>
        <c:minorTickMark val="none"/>
        <c:tickLblPos val="nextTo"/>
        <c:crossAx val="522045688"/>
        <c:crosses val="autoZero"/>
        <c:crossBetween val="between"/>
      </c:valAx>
    </c:plotArea>
    <c:legend>
      <c:legendPos val="r"/>
      <c:overlay val="0"/>
    </c:legend>
    <c:plotVisOnly val="1"/>
    <c:dispBlanksAs val="gap"/>
    <c:showDLblsOverMax val="0"/>
  </c:chart>
  <c:printSettings>
    <c:headerFooter/>
    <c:pageMargins b="0.75000000000001021" l="0.70000000000000062" r="0.70000000000000062" t="0.7500000000000102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cap.unl.edu/abc"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hyperlink" Target="https://cap.unl.edu/documents/land/2024%20NE%20Farm%20Real%20Estate%20Report.pdf" TargetMode="Externa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9525</xdr:colOff>
      <xdr:row>9</xdr:row>
      <xdr:rowOff>100552</xdr:rowOff>
    </xdr:from>
    <xdr:ext cx="9544050" cy="1090073"/>
    <xdr:sp macro="" textlink="">
      <xdr:nvSpPr>
        <xdr:cNvPr id="2" name="Rectangle 1">
          <a:extLst>
            <a:ext uri="{FF2B5EF4-FFF2-40B4-BE49-F238E27FC236}">
              <a16:creationId xmlns:a16="http://schemas.microsoft.com/office/drawing/2014/main" id="{00000000-0008-0000-0000-000002000000}"/>
            </a:ext>
          </a:extLst>
        </xdr:cNvPr>
        <xdr:cNvSpPr/>
      </xdr:nvSpPr>
      <xdr:spPr>
        <a:xfrm>
          <a:off x="9525" y="1719802"/>
          <a:ext cx="9544050" cy="1090073"/>
        </a:xfrm>
        <a:prstGeom prst="rect">
          <a:avLst/>
        </a:prstGeom>
        <a:noFill/>
      </xdr:spPr>
      <xdr:txBody>
        <a:bodyPr wrap="square" lIns="91440" tIns="45720" rIns="91440" bIns="45720">
          <a:noAutofit/>
        </a:bodyPr>
        <a:lstStyle/>
        <a:p>
          <a:pPr algn="ctr"/>
          <a:r>
            <a:rPr lang="en-US" sz="5200" b="1" cap="none" spc="0">
              <a:ln w="18000">
                <a:solidFill>
                  <a:schemeClr val="tx1"/>
                </a:solidFill>
                <a:prstDash val="solid"/>
                <a:miter lim="800000"/>
              </a:ln>
              <a:solidFill>
                <a:schemeClr val="tx1"/>
              </a:solidFill>
              <a:effectLst/>
              <a:latin typeface="Arial" panose="020B0604020202020204" pitchFamily="34" charset="0"/>
              <a:cs typeface="Arial" panose="020B0604020202020204" pitchFamily="34" charset="0"/>
            </a:rPr>
            <a:t>2025 Nebraska Crop Budgets</a:t>
          </a:r>
        </a:p>
      </xdr:txBody>
    </xdr:sp>
    <xdr:clientData/>
  </xdr:oneCellAnchor>
  <xdr:oneCellAnchor>
    <xdr:from>
      <xdr:col>0</xdr:col>
      <xdr:colOff>0</xdr:colOff>
      <xdr:row>17</xdr:row>
      <xdr:rowOff>19050</xdr:rowOff>
    </xdr:from>
    <xdr:ext cx="9391650" cy="942976"/>
    <xdr:sp macro="" textlink="">
      <xdr:nvSpPr>
        <xdr:cNvPr id="3" name="Rectangle 2">
          <a:extLst>
            <a:ext uri="{FF2B5EF4-FFF2-40B4-BE49-F238E27FC236}">
              <a16:creationId xmlns:a16="http://schemas.microsoft.com/office/drawing/2014/main" id="{00000000-0008-0000-0000-000003000000}"/>
            </a:ext>
          </a:extLst>
        </xdr:cNvPr>
        <xdr:cNvSpPr/>
      </xdr:nvSpPr>
      <xdr:spPr>
        <a:xfrm>
          <a:off x="0" y="2886075"/>
          <a:ext cx="9391650" cy="942976"/>
        </a:xfrm>
        <a:prstGeom prst="rect">
          <a:avLst/>
        </a:prstGeom>
        <a:noFill/>
      </xdr:spPr>
      <xdr:txBody>
        <a:bodyPr wrap="square" lIns="91440" tIns="45720" rIns="91440" bIns="45720">
          <a:noAutofit/>
        </a:bodyPr>
        <a:lstStyle/>
        <a:p>
          <a:pPr algn="ctr"/>
          <a:r>
            <a:rPr lang="en-US" sz="2000" b="1" cap="none" spc="0">
              <a:ln w="10541" cmpd="sng">
                <a:noFill/>
                <a:prstDash val="solid"/>
              </a:ln>
              <a:solidFill>
                <a:schemeClr val="tx1"/>
              </a:solidFill>
              <a:effectLst/>
              <a:latin typeface="Times New Roman" panose="02020603050405020304" pitchFamily="18" charset="0"/>
              <a:cs typeface="Times New Roman" panose="02020603050405020304" pitchFamily="18" charset="0"/>
            </a:rPr>
            <a:t>Robert Klein, Senior Editor, Western Nebraska Crop Specialist</a:t>
          </a:r>
        </a:p>
        <a:p>
          <a:pPr algn="ctr"/>
          <a:r>
            <a:rPr lang="en-US" sz="2000" b="1" cap="none" spc="0">
              <a:ln w="10541" cmpd="sng">
                <a:noFill/>
                <a:prstDash val="solid"/>
              </a:ln>
              <a:solidFill>
                <a:schemeClr val="tx1"/>
              </a:solidFill>
              <a:effectLst/>
              <a:latin typeface="Times New Roman" panose="02020603050405020304" pitchFamily="18" charset="0"/>
              <a:cs typeface="Times New Roman" panose="02020603050405020304" pitchFamily="18" charset="0"/>
            </a:rPr>
            <a:t>Glennis McClure, Extension Educator</a:t>
          </a:r>
          <a:r>
            <a:rPr lang="en-US" sz="2000" b="1" cap="none" spc="0" baseline="0">
              <a:ln w="10541" cmpd="sng">
                <a:noFill/>
                <a:prstDash val="solid"/>
              </a:ln>
              <a:solidFill>
                <a:schemeClr val="tx1"/>
              </a:solidFill>
              <a:effectLst/>
              <a:latin typeface="Times New Roman" panose="02020603050405020304" pitchFamily="18" charset="0"/>
              <a:cs typeface="Times New Roman" panose="02020603050405020304" pitchFamily="18" charset="0"/>
            </a:rPr>
            <a:t> - Agricultural Economics</a:t>
          </a:r>
        </a:p>
        <a:p>
          <a:pPr algn="ctr"/>
          <a:endParaRPr lang="en-US" sz="28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1</xdr:col>
      <xdr:colOff>104775</xdr:colOff>
      <xdr:row>24</xdr:row>
      <xdr:rowOff>104776</xdr:rowOff>
    </xdr:from>
    <xdr:to>
      <xdr:col>14</xdr:col>
      <xdr:colOff>600075</xdr:colOff>
      <xdr:row>40</xdr:row>
      <xdr:rowOff>114300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14375" y="4105276"/>
          <a:ext cx="8420100" cy="2600324"/>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200" b="1">
              <a:solidFill>
                <a:schemeClr val="tx1"/>
              </a:solidFill>
              <a:latin typeface="Arial" panose="020B0604020202020204" pitchFamily="34" charset="0"/>
              <a:cs typeface="Arial" panose="020B0604020202020204" pitchFamily="34" charset="0"/>
            </a:rPr>
            <a:t>The</a:t>
          </a:r>
          <a:r>
            <a:rPr lang="en-US" sz="1200" b="1" baseline="0">
              <a:solidFill>
                <a:schemeClr val="tx1"/>
              </a:solidFill>
              <a:latin typeface="Arial" panose="020B0604020202020204" pitchFamily="34" charset="0"/>
              <a:cs typeface="Arial" panose="020B0604020202020204" pitchFamily="34" charset="0"/>
            </a:rPr>
            <a:t> 2025 Nebraska Crop</a:t>
          </a:r>
          <a:r>
            <a:rPr lang="en-US" sz="1200" b="1">
              <a:solidFill>
                <a:schemeClr val="tx1"/>
              </a:solidFill>
              <a:latin typeface="Arial" panose="020B0604020202020204" pitchFamily="34" charset="0"/>
              <a:cs typeface="Arial" panose="020B0604020202020204" pitchFamily="34" charset="0"/>
            </a:rPr>
            <a:t> budget projections were created using cropping practice norms for many producers in Nebraska. However, each individual farming operation is unique and these budgets should be used only as a guide. The</a:t>
          </a:r>
          <a:r>
            <a:rPr lang="en-US" sz="1200" b="1" baseline="0">
              <a:solidFill>
                <a:schemeClr val="tx1"/>
              </a:solidFill>
              <a:latin typeface="Arial" panose="020B0604020202020204" pitchFamily="34" charset="0"/>
              <a:cs typeface="Arial" panose="020B0604020202020204" pitchFamily="34" charset="0"/>
            </a:rPr>
            <a:t> budgets for 2025 are available from the Center for Agricultural Profitability in the Agricultural Budget Calculator program at: </a:t>
          </a:r>
          <a:r>
            <a:rPr lang="en-US" sz="1200" b="1">
              <a:solidFill>
                <a:schemeClr val="tx1"/>
              </a:solidFill>
              <a:latin typeface="Arial" panose="020B0604020202020204" pitchFamily="34" charset="0"/>
              <a:cs typeface="Arial" panose="020B0604020202020204" pitchFamily="34" charset="0"/>
            </a:rPr>
            <a:t> </a:t>
          </a:r>
          <a:r>
            <a:rPr lang="en-US" sz="1200" b="1">
              <a:solidFill>
                <a:schemeClr val="accent5">
                  <a:lumMod val="75000"/>
                </a:schemeClr>
              </a:solidFill>
              <a:latin typeface="Arial" panose="020B0604020202020204" pitchFamily="34" charset="0"/>
              <a:cs typeface="Arial" panose="020B0604020202020204" pitchFamily="34" charset="0"/>
            </a:rPr>
            <a:t>https://agbudget.unl.edu/</a:t>
          </a:r>
          <a:r>
            <a:rPr lang="en-US" sz="1200" b="1" baseline="0">
              <a:solidFill>
                <a:schemeClr val="accent5">
                  <a:lumMod val="75000"/>
                </a:schemeClr>
              </a:solidFill>
              <a:latin typeface="Arial" panose="020B0604020202020204" pitchFamily="34" charset="0"/>
              <a:cs typeface="Arial" panose="020B0604020202020204" pitchFamily="34" charset="0"/>
            </a:rPr>
            <a:t>  </a:t>
          </a:r>
          <a:r>
            <a:rPr lang="en-US" sz="1200" b="1" baseline="0">
              <a:solidFill>
                <a:schemeClr val="tx1"/>
              </a:solidFill>
              <a:latin typeface="Arial" panose="020B0604020202020204" pitchFamily="34" charset="0"/>
              <a:cs typeface="Arial" panose="020B0604020202020204" pitchFamily="34" charset="0"/>
            </a:rPr>
            <a:t>To modify these budgets you can download UNL budgets into your ABC program account or create your own. In addition, the reports for each of the 2025 crop budgets are saved as printable (pdf) files. </a:t>
          </a:r>
          <a:endParaRPr lang="en-US" sz="1200" b="1">
            <a:solidFill>
              <a:schemeClr val="tx1"/>
            </a:solidFill>
            <a:latin typeface="Arial" panose="020B0604020202020204" pitchFamily="34" charset="0"/>
            <a:cs typeface="Arial" panose="020B0604020202020204" pitchFamily="34" charset="0"/>
          </a:endParaRPr>
        </a:p>
        <a:p>
          <a:pPr algn="l"/>
          <a:endParaRPr lang="en-US" sz="1200" b="1">
            <a:solidFill>
              <a:sysClr val="windowText" lastClr="000000"/>
            </a:solidFill>
            <a:latin typeface="Arial" panose="020B0604020202020204" pitchFamily="34" charset="0"/>
            <a:cs typeface="Arial" panose="020B0604020202020204" pitchFamily="34" charset="0"/>
          </a:endParaRPr>
        </a:p>
        <a:p>
          <a:pPr algn="l"/>
          <a:r>
            <a:rPr lang="en-US" sz="1200" b="1" baseline="0">
              <a:solidFill>
                <a:sysClr val="windowText" lastClr="000000"/>
              </a:solidFill>
              <a:latin typeface="Arial" panose="020B0604020202020204" pitchFamily="34" charset="0"/>
              <a:cs typeface="Arial" panose="020B0604020202020204" pitchFamily="34" charset="0"/>
            </a:rPr>
            <a:t>The danger in releasing a tool that can subsequently be modified is that there is no way to verify that no alterations have been made or unrealistic data entered. Therefore, users of the enterprise budgeting tool are responsible for independently verifying all results prior to relying on them</a:t>
          </a:r>
          <a:r>
            <a:rPr lang="en-US" sz="1200" b="1" baseline="0">
              <a:solidFill>
                <a:srgbClr val="D00000"/>
              </a:solidFill>
              <a:latin typeface="Arial" panose="020B0604020202020204" pitchFamily="34" charset="0"/>
              <a:cs typeface="Arial" panose="020B0604020202020204" pitchFamily="34" charset="0"/>
            </a:rPr>
            <a:t>. </a:t>
          </a:r>
        </a:p>
        <a:p>
          <a:pPr algn="l"/>
          <a:endParaRPr lang="en-US" sz="1200" b="1" baseline="0">
            <a:solidFill>
              <a:srgbClr val="D00000"/>
            </a:solidFill>
            <a:latin typeface="Arial" panose="020B0604020202020204" pitchFamily="34" charset="0"/>
            <a:cs typeface="Arial" panose="020B0604020202020204" pitchFamily="34" charset="0"/>
          </a:endParaRPr>
        </a:p>
        <a:p>
          <a:pPr algn="l"/>
          <a:r>
            <a:rPr lang="en-US" sz="1200" b="1" baseline="0">
              <a:solidFill>
                <a:schemeClr val="tx1"/>
              </a:solidFill>
              <a:latin typeface="Arial" panose="020B0604020202020204" pitchFamily="34" charset="0"/>
              <a:cs typeface="Arial" panose="020B0604020202020204" pitchFamily="34" charset="0"/>
            </a:rPr>
            <a:t>For more information contact: </a:t>
          </a:r>
        </a:p>
        <a:p>
          <a:pPr algn="l"/>
          <a:r>
            <a:rPr lang="en-US" sz="1200" b="1" baseline="0">
              <a:solidFill>
                <a:schemeClr val="tx1"/>
              </a:solidFill>
              <a:latin typeface="Arial" panose="020B0604020202020204" pitchFamily="34" charset="0"/>
              <a:cs typeface="Arial" panose="020B0604020202020204" pitchFamily="34" charset="0"/>
            </a:rPr>
            <a:t>Robert Klein, 308.696.6705, or rklein1@unl.edu </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1" baseline="0">
              <a:solidFill>
                <a:schemeClr val="tx1"/>
              </a:solidFill>
              <a:latin typeface="Arial" panose="020B0604020202020204" pitchFamily="34" charset="0"/>
              <a:cs typeface="Arial" panose="020B0604020202020204" pitchFamily="34" charset="0"/>
            </a:rPr>
            <a:t>Glennis McClure, 402-472-0661 or gmcclure3@unl.edu  </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latin typeface="Arial" panose="020B0604020202020204" pitchFamily="34" charset="0"/>
              <a:cs typeface="Arial" panose="020B0604020202020204" pitchFamily="34" charset="0"/>
            </a:rPr>
            <a:t>For more information on how to use the </a:t>
          </a:r>
          <a:r>
            <a:rPr kumimoji="0" lang="en-US" sz="12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Ag Budget Calculator (ABC) program to update annual crop budgets see: </a:t>
          </a:r>
          <a:r>
            <a:rPr kumimoji="0" lang="en-US" sz="1200" b="0" i="1" u="none" strike="noStrike" kern="0" cap="none" spc="0" normalizeH="0" baseline="0" noProof="0">
              <a:ln>
                <a:noFill/>
              </a:ln>
              <a:solidFill>
                <a:srgbClr val="4BACC6">
                  <a:lumMod val="75000"/>
                </a:srgbClr>
              </a:solidFill>
              <a:effectLst/>
              <a:uLnTx/>
              <a:uFillTx/>
              <a:latin typeface="Arial" panose="020B0604020202020204" pitchFamily="34" charset="0"/>
              <a:ea typeface="+mn-ea"/>
              <a:cs typeface="Arial" panose="020B0604020202020204" pitchFamily="34" charset="0"/>
            </a:rPr>
            <a:t>https://cap.unl.edu/abc</a:t>
          </a:r>
          <a:r>
            <a:rPr kumimoji="0" lang="en-US" sz="12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or contact Glennis McClure for assistance. </a:t>
          </a:r>
        </a:p>
        <a:p>
          <a:pPr algn="l"/>
          <a:endParaRPr lang="en-US" sz="1200" b="1" baseline="0">
            <a:solidFill>
              <a:schemeClr val="tx1"/>
            </a:solidFill>
            <a:latin typeface="Arial" panose="020B0604020202020204" pitchFamily="34" charset="0"/>
            <a:cs typeface="Arial" panose="020B0604020202020204" pitchFamily="34" charset="0"/>
          </a:endParaRPr>
        </a:p>
        <a:p>
          <a:pPr algn="l"/>
          <a:endParaRPr lang="en-US" sz="1200" b="1">
            <a:solidFill>
              <a:srgbClr val="D00000"/>
            </a:solidFill>
          </a:endParaRPr>
        </a:p>
      </xdr:txBody>
    </xdr:sp>
    <xdr:clientData/>
  </xdr:twoCellAnchor>
  <xdr:twoCellAnchor>
    <xdr:from>
      <xdr:col>2</xdr:col>
      <xdr:colOff>66675</xdr:colOff>
      <xdr:row>56</xdr:row>
      <xdr:rowOff>19049</xdr:rowOff>
    </xdr:from>
    <xdr:to>
      <xdr:col>13</xdr:col>
      <xdr:colOff>342900</xdr:colOff>
      <xdr:row>58</xdr:row>
      <xdr:rowOff>123825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285875" y="10506074"/>
          <a:ext cx="6981825" cy="457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100" i="1">
              <a:latin typeface="Arial" panose="020B0604020202020204" pitchFamily="34" charset="0"/>
              <a:cs typeface="Arial" panose="020B0604020202020204" pitchFamily="34" charset="0"/>
            </a:rPr>
            <a:t>Nebraska Extension is a Division of the Institute of Agriculture and Natural Resources at the University of Nebraska–Lincoln cooperating with the Counties and the United States Department of Agriculture.</a:t>
          </a:r>
        </a:p>
      </xdr:txBody>
    </xdr:sp>
    <xdr:clientData/>
  </xdr:twoCellAnchor>
  <xdr:twoCellAnchor>
    <xdr:from>
      <xdr:col>2</xdr:col>
      <xdr:colOff>85725</xdr:colOff>
      <xdr:row>58</xdr:row>
      <xdr:rowOff>133350</xdr:rowOff>
    </xdr:from>
    <xdr:to>
      <xdr:col>13</xdr:col>
      <xdr:colOff>333375</xdr:colOff>
      <xdr:row>61</xdr:row>
      <xdr:rowOff>152400</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304925" y="10972800"/>
          <a:ext cx="695325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Arial" panose="020B0604020202020204" pitchFamily="34" charset="0"/>
              <a:ea typeface="+mn-ea"/>
              <a:cs typeface="Arial" panose="020B0604020202020204" pitchFamily="34" charset="0"/>
            </a:rPr>
            <a:t>Nebraska Extension educational programs abide with the nondiscrimination policies of the University of Nebraska–Lincoln and the United States Department of Agriculture.</a:t>
          </a:r>
          <a:endParaRPr lang="en-US" sz="1100" i="1">
            <a:latin typeface="Arial" panose="020B0604020202020204" pitchFamily="34" charset="0"/>
            <a:cs typeface="Arial" panose="020B0604020202020204" pitchFamily="34" charset="0"/>
          </a:endParaRPr>
        </a:p>
      </xdr:txBody>
    </xdr:sp>
    <xdr:clientData/>
  </xdr:twoCellAnchor>
  <xdr:twoCellAnchor>
    <xdr:from>
      <xdr:col>2</xdr:col>
      <xdr:colOff>228600</xdr:colOff>
      <xdr:row>61</xdr:row>
      <xdr:rowOff>114300</xdr:rowOff>
    </xdr:from>
    <xdr:to>
      <xdr:col>13</xdr:col>
      <xdr:colOff>266700</xdr:colOff>
      <xdr:row>63</xdr:row>
      <xdr:rowOff>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447800" y="11468100"/>
          <a:ext cx="67437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800" i="1">
              <a:solidFill>
                <a:sysClr val="windowText" lastClr="000000"/>
              </a:solidFill>
              <a:effectLst/>
              <a:latin typeface="Arial" panose="020B0604020202020204" pitchFamily="34" charset="0"/>
              <a:ea typeface="+mn-ea"/>
              <a:cs typeface="Arial" panose="020B0604020202020204" pitchFamily="34" charset="0"/>
            </a:rPr>
            <a:t>© 2024, The Board of Regents of the University of Nebraska on behalf of the University of Nebraska–Lincoln Extension. All rights reserved.</a:t>
          </a:r>
        </a:p>
        <a:p>
          <a:endParaRPr lang="en-US" sz="1100"/>
        </a:p>
      </xdr:txBody>
    </xdr:sp>
    <xdr:clientData/>
  </xdr:twoCellAnchor>
  <xdr:twoCellAnchor editAs="oneCell">
    <xdr:from>
      <xdr:col>9</xdr:col>
      <xdr:colOff>542925</xdr:colOff>
      <xdr:row>64</xdr:row>
      <xdr:rowOff>66364</xdr:rowOff>
    </xdr:from>
    <xdr:to>
      <xdr:col>13</xdr:col>
      <xdr:colOff>466725</xdr:colOff>
      <xdr:row>70</xdr:row>
      <xdr:rowOff>48791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9325" y="11001064"/>
          <a:ext cx="2362200" cy="953977"/>
        </a:xfrm>
        <a:prstGeom prst="rect">
          <a:avLst/>
        </a:prstGeom>
      </xdr:spPr>
    </xdr:pic>
    <xdr:clientData/>
  </xdr:twoCellAnchor>
  <xdr:twoCellAnchor editAs="oneCell">
    <xdr:from>
      <xdr:col>2</xdr:col>
      <xdr:colOff>66675</xdr:colOff>
      <xdr:row>1</xdr:row>
      <xdr:rowOff>47624</xdr:rowOff>
    </xdr:from>
    <xdr:to>
      <xdr:col>6</xdr:col>
      <xdr:colOff>232931</xdr:colOff>
      <xdr:row>5</xdr:row>
      <xdr:rowOff>149224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875" y="209549"/>
          <a:ext cx="2604656" cy="866775"/>
        </a:xfrm>
        <a:prstGeom prst="rect">
          <a:avLst/>
        </a:prstGeom>
      </xdr:spPr>
    </xdr:pic>
    <xdr:clientData/>
  </xdr:twoCellAnchor>
  <xdr:twoCellAnchor editAs="oneCell">
    <xdr:from>
      <xdr:col>2</xdr:col>
      <xdr:colOff>122242</xdr:colOff>
      <xdr:row>63</xdr:row>
      <xdr:rowOff>161924</xdr:rowOff>
    </xdr:from>
    <xdr:to>
      <xdr:col>7</xdr:col>
      <xdr:colOff>479430</xdr:colOff>
      <xdr:row>72</xdr:row>
      <xdr:rowOff>66675</xdr:rowOff>
    </xdr:to>
    <xdr:pic>
      <xdr:nvPicPr>
        <xdr:cNvPr id="11" name="Picture 10">
          <a:extLst>
            <a:ext uri="{FF2B5EF4-FFF2-40B4-BE49-F238E27FC236}">
              <a16:creationId xmlns:a16="http://schemas.microsoft.com/office/drawing/2014/main" id="{994D9F96-C58E-D7F5-E964-CCB455C18D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41442" y="10934699"/>
          <a:ext cx="3405188" cy="1362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104774</xdr:colOff>
      <xdr:row>20</xdr:row>
      <xdr:rowOff>19052</xdr:rowOff>
    </xdr:from>
    <xdr:to>
      <xdr:col>3</xdr:col>
      <xdr:colOff>606425</xdr:colOff>
      <xdr:row>25</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104774" y="3562352"/>
          <a:ext cx="3997326" cy="92392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rgbClr val="D00000"/>
              </a:solidFill>
              <a:effectLst/>
              <a:latin typeface="+mn-lt"/>
              <a:ea typeface="+mn-ea"/>
              <a:cs typeface="+mn-cs"/>
            </a:rPr>
            <a:t>Real Estate Values were obtained from the "Nebraska Farm Real Estate Report 2024" available at:</a:t>
          </a:r>
          <a:r>
            <a:rPr lang="en-US" sz="1100" b="1" i="0" u="none" strike="noStrike" baseline="0">
              <a:solidFill>
                <a:srgbClr val="D00000"/>
              </a:solidFill>
              <a:effectLst/>
              <a:latin typeface="+mn-lt"/>
              <a:ea typeface="+mn-ea"/>
              <a:cs typeface="+mn-cs"/>
            </a:rPr>
            <a:t> </a:t>
          </a:r>
        </a:p>
        <a:p>
          <a:r>
            <a:rPr lang="en-US" sz="1100" b="1" i="0" u="sng" strike="noStrike" baseline="0">
              <a:solidFill>
                <a:srgbClr val="0070C0"/>
              </a:solidFill>
              <a:effectLst/>
              <a:latin typeface="+mn-lt"/>
              <a:ea typeface="+mn-ea"/>
              <a:cs typeface="+mn-cs"/>
            </a:rPr>
            <a:t>https://cap.unl.edu/documents/land/2024-nebraska-farm-real-estate-report.pdf</a:t>
          </a:r>
        </a:p>
        <a:p>
          <a:endParaRPr lang="en-US" sz="1100" b="1" i="0" u="none" strike="noStrike" baseline="0">
            <a:solidFill>
              <a:srgbClr val="D00000"/>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533400</xdr:colOff>
      <xdr:row>0</xdr:row>
      <xdr:rowOff>104775</xdr:rowOff>
    </xdr:from>
    <xdr:to>
      <xdr:col>11</xdr:col>
      <xdr:colOff>200025</xdr:colOff>
      <xdr:row>27</xdr:row>
      <xdr:rowOff>76200</xdr:rowOff>
    </xdr:to>
    <xdr:graphicFrame macro="">
      <xdr:nvGraphicFramePr>
        <xdr:cNvPr id="2" name="Chart 1">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ocuments%20and%20Settings\rwilson6\My%20Documents\Feed%20Cost%20Calculator%20with%20Examp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mcclure3\Downloads\2021-Corn-Irrigated-121620%2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structions"/>
      <sheetName val="F1"/>
      <sheetName val="F2"/>
      <sheetName val="F3"/>
      <sheetName val="F4"/>
      <sheetName val="F5"/>
      <sheetName val="F6"/>
      <sheetName val="F7"/>
      <sheetName val="F8"/>
      <sheetName val="F9"/>
      <sheetName val="F10"/>
      <sheetName val="Per Pound"/>
      <sheetName val="Whole Herd"/>
      <sheetName val="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General Variables"/>
      <sheetName val="Power Units"/>
      <sheetName val="Materials"/>
      <sheetName val="Operations"/>
      <sheetName val="Crop Insurance"/>
      <sheetName val="Start"/>
      <sheetName val="1-Alfalfa"/>
      <sheetName val="2-Alfalfa"/>
      <sheetName val="3-Alfalfa"/>
      <sheetName val="4-Alfalfa"/>
      <sheetName val="5-Alfalfa"/>
      <sheetName val="6-Alfalfa"/>
      <sheetName val="7-Alfalfa"/>
      <sheetName val="8-Alfalfa"/>
      <sheetName val="9-Alfalfa"/>
      <sheetName val="10-Alfalfa"/>
      <sheetName val="11-Alfalfa"/>
      <sheetName val="12-Alfalfa"/>
      <sheetName val="13-Alfalfa"/>
      <sheetName val="14-Alfalfa"/>
      <sheetName val="15-Corn"/>
      <sheetName val="16-Corn"/>
      <sheetName val="17-Corn"/>
      <sheetName val="18-Corn"/>
      <sheetName val="19-Corn"/>
      <sheetName val="20-Corn"/>
      <sheetName val="21-Corn"/>
      <sheetName val="22-Corn"/>
      <sheetName val="23-Corn"/>
      <sheetName val="24-Corn"/>
      <sheetName val="25-Corn"/>
      <sheetName val="26-Corn"/>
      <sheetName val="27-Corn"/>
      <sheetName val="28-Corn"/>
      <sheetName val="29-Corn"/>
      <sheetName val="30-Corn"/>
      <sheetName val="31-Corn"/>
      <sheetName val="32-Corn"/>
      <sheetName val="33-Corn"/>
      <sheetName val="34-Corn"/>
      <sheetName val="35-Corn"/>
      <sheetName val="36-Corn"/>
      <sheetName val="37-Corn"/>
      <sheetName val="38-Corn"/>
      <sheetName val="39-Corn"/>
      <sheetName val="40-Corn"/>
      <sheetName val="41-Dry Beans"/>
      <sheetName val="42-Dry Beans"/>
      <sheetName val="43-Dry Beans"/>
      <sheetName val="44-Dry Beans"/>
      <sheetName val="45-Grain Sorghum"/>
      <sheetName val="46-Grain Sorghum"/>
      <sheetName val="47-Grain Sorghum"/>
      <sheetName val="48-Grain Sorghum"/>
      <sheetName val="49-Grass"/>
      <sheetName val="50-Grass Hay"/>
      <sheetName val="51-Millet"/>
      <sheetName val="52-Millet"/>
      <sheetName val="53-Oats"/>
      <sheetName val="54-Pasture"/>
      <sheetName val="55-Peas"/>
      <sheetName val="56-Sorghum-Sudan"/>
      <sheetName val="57-Soybeans"/>
      <sheetName val="58-Soybeans"/>
      <sheetName val="59-Soybeans"/>
      <sheetName val="60-Soybeans"/>
      <sheetName val="61-Soybeans"/>
      <sheetName val="62-Soybeans"/>
      <sheetName val="63-Soybeans"/>
      <sheetName val="64-Soybeans"/>
      <sheetName val="65-Soybeans"/>
      <sheetName val="66-Soybeans"/>
      <sheetName val="67-Sugarbeet"/>
      <sheetName val="68-Sugarbeet"/>
      <sheetName val="69-Sugarbeet"/>
      <sheetName val="70-Sugarbeet"/>
      <sheetName val="71-Sunflower"/>
      <sheetName val="72-Sunflower"/>
      <sheetName val="73-Sunflower"/>
      <sheetName val="74-Wheat-Spring"/>
      <sheetName val="75-Wheat-Winter"/>
      <sheetName val="76-Wheat-Winter"/>
      <sheetName val="77-Wheat-Winter"/>
      <sheetName val="78-Wheat-Winter"/>
      <sheetName val="79-Wheat-Winter"/>
      <sheetName val="80-Wheat-Winter"/>
      <sheetName val="81-Wheat-Winter"/>
      <sheetName val="82-Cover Crop"/>
      <sheetName val="83-Cover Crop Grazing"/>
      <sheetName val="Master"/>
      <sheetName val="Stop"/>
      <sheetName val="Budget Listing"/>
      <sheetName val="Crop after Crop Data"/>
      <sheetName val="Formulas"/>
      <sheetName val="Depreciation Graph"/>
    </sheetNames>
    <sheetDataSet>
      <sheetData sheetId="0"/>
      <sheetData sheetId="1">
        <row r="4">
          <cell r="B4">
            <v>25</v>
          </cell>
        </row>
        <row r="5">
          <cell r="B5">
            <v>1.5</v>
          </cell>
        </row>
        <row r="10">
          <cell r="B10">
            <v>0.03</v>
          </cell>
        </row>
        <row r="12">
          <cell r="B12">
            <v>6</v>
          </cell>
        </row>
      </sheetData>
      <sheetData sheetId="2"/>
      <sheetData sheetId="3">
        <row r="132">
          <cell r="B132" t="str">
            <v>Alfalfa w/Inoculant</v>
          </cell>
        </row>
        <row r="133">
          <cell r="B133" t="str">
            <v>Corn</v>
          </cell>
        </row>
        <row r="134">
          <cell r="B134" t="str">
            <v>Corn Bt, ECB, &amp; RIB</v>
          </cell>
        </row>
        <row r="135">
          <cell r="B135" t="str">
            <v>Corn Bt, ECB, RR2, LL, &amp; RIB</v>
          </cell>
        </row>
        <row r="136">
          <cell r="B136" t="str">
            <v>Corn Bt, ECB, RW, &amp; RIB</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0000000}" name="Table9" displayName="Table9" ref="E4:F16" totalsRowShown="0" headerRowDxfId="97" dataDxfId="96">
  <autoFilter ref="E4:F16" xr:uid="{00000000-0009-0000-0100-000009000000}"/>
  <tableColumns count="2">
    <tableColumn id="1" xr3:uid="{00000000-0010-0000-0000-000001000000}" name="Description" dataDxfId="95"/>
    <tableColumn id="2" xr3:uid="{00000000-0010-0000-0000-000002000000}" name="Value" dataDxfId="94" dataCellStyle="Comma"/>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2" displayName="Table2" ref="B1:H172" totalsRowShown="0" headerRowDxfId="93" dataDxfId="92" tableBorderDxfId="91">
  <autoFilter ref="B1:H172" xr:uid="{00000000-0009-0000-0100-000001000000}"/>
  <sortState xmlns:xlrd2="http://schemas.microsoft.com/office/spreadsheetml/2017/richdata2" ref="B2:H172">
    <sortCondition ref="C1:C172"/>
  </sortState>
  <tableColumns count="7">
    <tableColumn id="1" xr3:uid="{00000000-0010-0000-0400-000001000000}" name="Material" dataDxfId="90" totalsRowDxfId="89"/>
    <tableColumn id="2" xr3:uid="{00000000-0010-0000-0400-000002000000}" name="Category" dataDxfId="88" totalsRowDxfId="87"/>
    <tableColumn id="3" xr3:uid="{00000000-0010-0000-0400-000003000000}" name="Purchase Price" dataDxfId="86" totalsRowDxfId="85"/>
    <tableColumn id="4" xr3:uid="{00000000-0010-0000-0400-000004000000}" name="Purchase Unit" dataDxfId="84" totalsRowDxfId="83"/>
    <tableColumn id="5" xr3:uid="{00000000-0010-0000-0400-000005000000}" name="Applied Unit" dataDxfId="82" totalsRowDxfId="81"/>
    <tableColumn id="6" xr3:uid="{00000000-0010-0000-0400-000006000000}" name="Applied Units / Purchased Units" dataDxfId="80" totalsRowDxfId="79"/>
    <tableColumn id="7" xr3:uid="{00000000-0010-0000-0400-000007000000}" name="Applied Price" dataDxfId="78" totalsRowDxfId="77"/>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1" displayName="Table1" ref="X1:AB7" totalsRowShown="0" headerRowDxfId="76" dataDxfId="75">
  <autoFilter ref="X1:AB7" xr:uid="{00000000-0009-0000-0100-000006000000}"/>
  <tableColumns count="5">
    <tableColumn id="1" xr3:uid="{00000000-0010-0000-0100-000001000000}" name=" Equipment type " dataDxfId="74"/>
    <tableColumn id="2" xr3:uid="{00000000-0010-0000-0100-000002000000}" name="Machine" dataDxfId="73"/>
    <tableColumn id="3" xr3:uid="{00000000-0010-0000-0100-000003000000}" name=" C1 " dataDxfId="72"/>
    <tableColumn id="4" xr3:uid="{00000000-0010-0000-0100-000004000000}" name=" C2 " dataDxfId="71"/>
    <tableColumn id="5" xr3:uid="{00000000-0010-0000-0100-000005000000}" name=" C3 " dataDxfId="70"/>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PwrRepairs" displayName="PwrRepairs" ref="R1:V8" totalsRowShown="0" headerRowDxfId="69" dataDxfId="67" headerRowBorderDxfId="68" tableBorderDxfId="66">
  <autoFilter ref="R1:V8" xr:uid="{00000000-0009-0000-0100-000008000000}"/>
  <tableColumns count="5">
    <tableColumn id="1" xr3:uid="{00000000-0010-0000-0200-000001000000}" name="Machine" dataDxfId="65"/>
    <tableColumn id="2" xr3:uid="{00000000-0010-0000-0200-000002000000}" name="Catogory" dataDxfId="64"/>
    <tableColumn id="3" xr3:uid="{00000000-0010-0000-0200-000003000000}" name="RF1" dataDxfId="63"/>
    <tableColumn id="4" xr3:uid="{00000000-0010-0000-0200-000004000000}" name="RF2" dataDxfId="62"/>
    <tableColumn id="5" xr3:uid="{00000000-0010-0000-0200-000005000000}" name="Estimated Life" dataDxfId="61" dataCellStyle="Currency"/>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PowerUnits" displayName="PowerUnits" ref="A1:Q11" totalsRowShown="0" headerRowDxfId="60" dataDxfId="59">
  <autoFilter ref="A1:Q11" xr:uid="{00000000-0009-0000-0100-000007000000}"/>
  <tableColumns count="17">
    <tableColumn id="1" xr3:uid="{00000000-0010-0000-0300-000001000000}" name="Name" dataDxfId="58"/>
    <tableColumn id="2" xr3:uid="{00000000-0010-0000-0300-000002000000}" name="Repair Category" dataDxfId="57"/>
    <tableColumn id="3" xr3:uid="{00000000-0010-0000-0300-000003000000}" name="Depreciation Category" dataDxfId="56"/>
    <tableColumn id="4" xr3:uid="{00000000-0010-0000-0300-000004000000}" name="List Price" dataDxfId="55" dataCellStyle="Comma"/>
    <tableColumn id="12" xr3:uid="{00000000-0010-0000-0300-00000C000000}" name="Beg Yr Value" dataDxfId="54" dataCellStyle="Comma"/>
    <tableColumn id="5" xr3:uid="{00000000-0010-0000-0300-000005000000}" name="Age" dataDxfId="53"/>
    <tableColumn id="6" xr3:uid="{00000000-0010-0000-0300-000006000000}" name="Tach Hours" dataDxfId="52"/>
    <tableColumn id="7" xr3:uid="{00000000-0010-0000-0300-000007000000}" name="Est. Hours per Year" dataDxfId="51"/>
    <tableColumn id="14" xr3:uid="{00000000-0010-0000-0300-00000E000000}" name="Calculated List Price" dataDxfId="50" dataCellStyle="Comma">
      <calculatedColumnFormula>IF(PowerUnits[[#This Row],[List Price]]&gt;1,PowerUnits[[#This Row],[List Price]],IF(C2="",0,PowerUnits[[#This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calculatedColumnFormula>
    </tableColumn>
    <tableColumn id="11" xr3:uid="{00000000-0010-0000-0300-00000B000000}" name="Repairs per Hour" dataDxfId="49" dataCellStyle="Comma">
      <calculatedColumnFormula>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calculatedColumnFormula>
    </tableColumn>
    <tableColumn id="8" xr3:uid="{00000000-0010-0000-0300-000008000000}" name="Calculated Beg Yr. Value" dataDxfId="48" dataCellStyle="Comma">
      <calculatedColumnFormula>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calculatedColumnFormula>
    </tableColumn>
    <tableColumn id="9" xr3:uid="{00000000-0010-0000-0300-000009000000}" name="Calculated End Yr. Value" dataDxfId="47" dataCellStyle="Comma">
      <calculatedColumnFormula>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calculatedColumnFormula>
    </tableColumn>
    <tableColumn id="10" xr3:uid="{00000000-0010-0000-0300-00000A000000}" name="Depreciation per Hour" dataDxfId="46">
      <calculatedColumnFormula>IF(PowerUnits[[#This Row],[Est. Hours per Year]]=0,0,(PowerUnits[[#This Row],[Calculated Beg Yr. Value]]-PowerUnits[[#This Row],[Calculated End Yr. Value]])/PowerUnits[[#This Row],[Est. Hours per Year]])</calculatedColumnFormula>
    </tableColumn>
    <tableColumn id="15" xr3:uid="{00000000-0010-0000-0300-00000F000000}" name="TIH per Hour" dataDxfId="45">
      <calculatedColumnFormula>IF(PowerUnits[[#This Row],[Est. Hours per Year]]=0,0,PowerUnits[[#This Row],[Calculated Beg Yr. Value]]*'General Variables'!$B$9/PowerUnits[[#This Row],[Est. Hours per Year]])</calculatedColumnFormula>
    </tableColumn>
    <tableColumn id="16" xr3:uid="{00000000-0010-0000-0300-000010000000}" name="Opportunity Cost per Hour" dataDxfId="44">
      <calculatedColumnFormula>IF(PowerUnits[[#This Row],[Est. Hours per Year]]=0,0,PowerUnits[[#This Row],[Calculated Beg Yr. Value]]*'General Variables'!$B$10/PowerUnits[[#This Row],[Est. Hours per Year]])</calculatedColumnFormula>
    </tableColumn>
    <tableColumn id="17" xr3:uid="{00000000-0010-0000-0300-000011000000}" name="Ownership Cost per Hour" dataDxfId="43">
      <calculatedColumnFormula>SUM(PowerUnits[[#This Row],[Depreciation per Hour]:[Opportunity Cost per Hour]])</calculatedColumnFormula>
    </tableColumn>
    <tableColumn id="13" xr3:uid="{C8FE3909-81AD-4D18-8791-FAF4B78A9510}" name="Column1" dataDxfId="4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ImpRepairFac" displayName="ImpRepairFac" ref="W1:AA48" totalsRowShown="0" headerRowDxfId="41" dataDxfId="40">
  <autoFilter ref="W1:AA48" xr:uid="{00000000-0009-0000-0100-000003000000}"/>
  <sortState xmlns:xlrd2="http://schemas.microsoft.com/office/spreadsheetml/2017/richdata2" ref="W2:AA53">
    <sortCondition ref="W2:W54"/>
  </sortState>
  <tableColumns count="5">
    <tableColumn id="2" xr3:uid="{00000000-0010-0000-0500-000002000000}" name="Machine" dataDxfId="39"/>
    <tableColumn id="1" xr3:uid="{00000000-0010-0000-0500-000001000000}" name="Catogory" dataDxfId="38"/>
    <tableColumn id="3" xr3:uid="{00000000-0010-0000-0500-000003000000}" name="RF1" dataDxfId="37"/>
    <tableColumn id="4" xr3:uid="{00000000-0010-0000-0500-000004000000}" name="RF2" dataDxfId="36"/>
    <tableColumn id="5" xr3:uid="{00000000-0010-0000-0500-000005000000}" name="Estimated Life" dataDxfId="35" dataCellStyle="Currency"/>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ImpDepreciation" displayName="ImpDepreciation" ref="AD1:AH11" totalsRowShown="0" headerRowDxfId="34" dataDxfId="33">
  <autoFilter ref="AD1:AH11" xr:uid="{00000000-0009-0000-0100-000004000000}"/>
  <tableColumns count="5">
    <tableColumn id="1" xr3:uid="{00000000-0010-0000-0600-000001000000}" name=" Equipment type " dataDxfId="32"/>
    <tableColumn id="2" xr3:uid="{00000000-0010-0000-0600-000002000000}" name="Machine" dataDxfId="31"/>
    <tableColumn id="3" xr3:uid="{00000000-0010-0000-0600-000003000000}" name=" C1 " dataDxfId="30"/>
    <tableColumn id="4" xr3:uid="{00000000-0010-0000-0600-000004000000}" name=" C2 " dataDxfId="29"/>
    <tableColumn id="5" xr3:uid="{00000000-0010-0000-0600-000005000000}" name=" C3 " dataDxfId="28"/>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IrrigationSystems" displayName="IrrigationSystems" ref="AK3:AM15" totalsRowShown="0" headerRowDxfId="27" dataDxfId="26">
  <autoFilter ref="AK3:AM15" xr:uid="{00000000-0009-0000-0100-000005000000}"/>
  <tableColumns count="3">
    <tableColumn id="1" xr3:uid="{00000000-0010-0000-0700-000001000000}" name="System Type" dataDxfId="25"/>
    <tableColumn id="2" xr3:uid="{00000000-0010-0000-0700-000002000000}" name="Life-yrs" dataDxfId="24"/>
    <tableColumn id="3" xr3:uid="{00000000-0010-0000-0700-000003000000}" name="Maintenance, % of capital cost" dataDxfId="23"/>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le3" displayName="Table3" ref="A1:U79" totalsRowShown="0" headerRowDxfId="22" dataDxfId="21" tableBorderDxfId="20" dataCellStyle="Comma">
  <autoFilter ref="A1:U79" xr:uid="{00000000-0009-0000-0100-000002000000}"/>
  <sortState xmlns:xlrd2="http://schemas.microsoft.com/office/spreadsheetml/2017/richdata2" ref="A2:U79">
    <sortCondition ref="A1:A79"/>
  </sortState>
  <tableColumns count="21">
    <tableColumn id="1" xr3:uid="{00000000-0010-0000-0800-000001000000}" name="Operation Name" dataDxfId="19"/>
    <tableColumn id="2" xr3:uid="{00000000-0010-0000-0800-000002000000}" name="Unit" dataDxfId="18"/>
    <tableColumn id="3" xr3:uid="{00000000-0010-0000-0800-000003000000}" name="Repair Category" dataDxfId="17"/>
    <tableColumn id="4" xr3:uid="{00000000-0010-0000-0800-000004000000}" name="Depreciation Category" dataDxfId="16"/>
    <tableColumn id="5" xr3:uid="{00000000-0010-0000-0800-000005000000}" name="List Price" dataDxfId="15"/>
    <tableColumn id="6" xr3:uid="{00000000-0010-0000-0800-000006000000}" name="Begin Yr. Value" dataDxfId="14" dataCellStyle="Comma"/>
    <tableColumn id="7" xr3:uid="{00000000-0010-0000-0800-000007000000}" name="Age" dataDxfId="13"/>
    <tableColumn id="8" xr3:uid="{00000000-0010-0000-0800-000008000000}" name="Annual Use" dataDxfId="12"/>
    <tableColumn id="9" xr3:uid="{00000000-0010-0000-0800-000009000000}" name="Units per Hour"/>
    <tableColumn id="10" xr3:uid="{00000000-0010-0000-0800-00000A000000}" name="Labor Factor" dataDxfId="11" dataCellStyle="Comma"/>
    <tableColumn id="11" xr3:uid="{00000000-0010-0000-0800-00000B000000}" name="Power Source" dataDxfId="10"/>
    <tableColumn id="12" xr3:uid="{00000000-0010-0000-0800-00000C000000}" name="Diesel Use per Hour" dataDxfId="9" dataCellStyle="Comma"/>
    <tableColumn id="13" xr3:uid="{00000000-0010-0000-0800-00000D000000}" name="Kw Use per Hour" dataDxfId="8" dataCellStyle="Comma"/>
    <tableColumn id="14" xr3:uid="{00000000-0010-0000-0800-00000E000000}" name="Calc List Price" dataDxfId="7" dataCellStyle="Comma">
      <calculatedColumnFormula>IF(Operations!$E2&gt;1,Operations!$E2,IF(Operations!$D2=0,0,Operations!$F2/(VLOOKUP(Operations!$D2,ImpDepLookup,2,FALSE)-VLOOKUP(Operations!$D2,ImpDepLookup,3,FALSE)*Operations!$G2^0.5-VLOOKUP(Operations!$D2,ImpDepLookup,4,FALSE)*(Operations!$G2*(Operations!$G2*Operations!$H2/Operations!$I2)^0.5))^2))</calculatedColumnFormula>
    </tableColumn>
    <tableColumn id="15" xr3:uid="{00000000-0010-0000-0800-00000F000000}" name="Repairs per Unit" dataDxfId="6" dataCellStyle="Comma">
      <calculatedColumnFormula>IF(Operations!$C2="",0,(((Operations!$G2+1)*Operations!$H2/Operations!$I2/1000)^VLOOKUP(Operations!$C2,ImpRepairFac[],4,FALSE)-(Operations!$G2*Operations!$H2/Operations!$I2/1000)^VLOOKUP(Operations!$C2,ImpRepairFac[],4,FALSE))*Operations!$N2*VLOOKUP(Operations!$C2,ImpRepairFac[],3,FALSE)/Operations!$H2)</calculatedColumnFormula>
    </tableColumn>
    <tableColumn id="16" xr3:uid="{00000000-0010-0000-0800-000010000000}" name="Calc Beg Yr. Value" dataDxfId="5" dataCellStyle="Comma">
      <calculatedColumnFormula>IF(Operations!$N2=0,0,Operations!$N2*(VLOOKUP(Operations!$D2,ImpDepLookup,2,FALSE)-VLOOKUP(Operations!$D2,ImpDepLookup,3,FALSE)*Operations!$G2^0.5-VLOOKUP(Operations!$D2,ImpDepLookup,4,FALSE)*(Operations!$G2*Operations!$H2/Operations!$I2)^0.5)^2)</calculatedColumnFormula>
    </tableColumn>
    <tableColumn id="17" xr3:uid="{00000000-0010-0000-0800-000011000000}" name="Calc End Yr. Value" dataDxfId="4" dataCellStyle="Comma">
      <calculatedColumnFormula>IF(Operations!$N2=0,0,Operations!$N2*(VLOOKUP(Operations!$D2,ImpDepLookup,2,FALSE)-VLOOKUP(Operations!$D2,ImpDepLookup,3,FALSE)*(Operations!$G2+1)^0.5-VLOOKUP(Operations!$D2,ImpDepLookup,4,FALSE)*(Operations!$G2*Operations!$H2/Operations!$I2)^0.5)^2)</calculatedColumnFormula>
    </tableColumn>
    <tableColumn id="18" xr3:uid="{00000000-0010-0000-0800-000012000000}" name="Depreciation per Unit" dataDxfId="3" dataCellStyle="Comma">
      <calculatedColumnFormula>IF(Operations!$N2=0,0,IF(Operations!$I2*Operations!$H2=0,0,(Operations!$P2-Operations!$Q2)/(Operations!$H2)))</calculatedColumnFormula>
    </tableColumn>
    <tableColumn id="19" xr3:uid="{00000000-0010-0000-0800-000013000000}" name="TIH per Unit" dataDxfId="2" dataCellStyle="Comma">
      <calculatedColumnFormula>IF(Operations!$H2=0,0,Operations!$P2*'General Variables'!$B$9/Operations!$H2)</calculatedColumnFormula>
    </tableColumn>
    <tableColumn id="20" xr3:uid="{00000000-0010-0000-0800-000014000000}" name="Opportunity Cost per Unit" dataDxfId="1" dataCellStyle="Comma">
      <calculatedColumnFormula>IF(Operations!$H2=0,0,Operations!$P2*'General Variables'!$B$10/Operations!$H2)</calculatedColumnFormula>
    </tableColumn>
    <tableColumn id="21" xr3:uid="{00000000-0010-0000-0800-000015000000}" name="Ownership Cost per Unit" dataDxfId="0" dataCellStyle="Comma">
      <calculatedColumnFormula>SUM(Table3[[#This Row],[Depreciation per Unit]:[Opportunity Cost per Unit]])</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4" Type="http://schemas.openxmlformats.org/officeDocument/2006/relationships/table" Target="../tables/table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5.bin"/><Relationship Id="rId5" Type="http://schemas.openxmlformats.org/officeDocument/2006/relationships/table" Target="../tables/table9.xml"/><Relationship Id="rId4" Type="http://schemas.openxmlformats.org/officeDocument/2006/relationships/table" Target="../tables/table8.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P63"/>
  <sheetViews>
    <sheetView showGridLines="0" tabSelected="1" zoomScaleNormal="100" workbookViewId="0">
      <selection activeCell="M43" sqref="M43"/>
    </sheetView>
  </sheetViews>
  <sheetFormatPr defaultRowHeight="12.75" x14ac:dyDescent="0.2"/>
  <sheetData>
    <row r="1" spans="1:16" x14ac:dyDescent="0.2">
      <c r="A1" s="17"/>
      <c r="B1" s="17"/>
      <c r="C1" s="17"/>
      <c r="D1" s="17"/>
      <c r="E1" s="17"/>
      <c r="F1" s="17"/>
      <c r="G1" s="17"/>
      <c r="H1" s="17"/>
      <c r="I1" s="17"/>
      <c r="J1" s="17"/>
      <c r="K1" s="17"/>
      <c r="L1" s="17"/>
      <c r="M1" s="17"/>
      <c r="N1" s="17"/>
      <c r="O1" s="17"/>
      <c r="P1" s="17"/>
    </row>
    <row r="2" spans="1:16" x14ac:dyDescent="0.2">
      <c r="A2" s="17"/>
      <c r="B2" s="17"/>
      <c r="C2" s="17"/>
      <c r="D2" s="17"/>
      <c r="E2" s="17"/>
      <c r="F2" s="17"/>
      <c r="G2" s="17"/>
      <c r="H2" s="17"/>
      <c r="I2" s="17"/>
      <c r="J2" s="17"/>
      <c r="K2" s="17"/>
      <c r="L2" s="17"/>
      <c r="M2" s="17"/>
      <c r="N2" s="17"/>
      <c r="O2" s="17"/>
      <c r="P2" s="17"/>
    </row>
    <row r="3" spans="1:16" ht="15.75" x14ac:dyDescent="0.25">
      <c r="A3" s="17"/>
      <c r="B3" s="17"/>
      <c r="C3" s="17"/>
      <c r="D3" s="17"/>
      <c r="E3" s="17"/>
      <c r="F3" s="17"/>
      <c r="G3" s="17"/>
      <c r="H3" s="17"/>
      <c r="I3" s="17"/>
      <c r="K3" s="209"/>
      <c r="L3" s="210"/>
      <c r="M3" s="210"/>
      <c r="N3" s="210"/>
      <c r="O3" s="211" t="s">
        <v>0</v>
      </c>
      <c r="P3" s="17"/>
    </row>
    <row r="4" spans="1:16" ht="15.75" x14ac:dyDescent="0.25">
      <c r="A4" s="17"/>
      <c r="B4" s="17"/>
      <c r="C4" s="17"/>
      <c r="D4" s="17"/>
      <c r="E4" s="17"/>
      <c r="F4" s="17"/>
      <c r="K4" s="209"/>
      <c r="L4" s="210"/>
      <c r="M4" s="210"/>
      <c r="N4" s="210"/>
      <c r="O4" s="211" t="s">
        <v>1</v>
      </c>
      <c r="P4" s="17"/>
    </row>
    <row r="5" spans="1:16" ht="15.75" x14ac:dyDescent="0.25">
      <c r="A5" s="17"/>
      <c r="B5" s="17"/>
      <c r="C5" s="17"/>
      <c r="D5" s="17"/>
      <c r="E5" s="17"/>
      <c r="F5" s="17"/>
      <c r="K5" s="209"/>
      <c r="L5" s="209"/>
      <c r="M5" s="209"/>
      <c r="N5" s="209"/>
      <c r="O5" s="212" t="s">
        <v>954</v>
      </c>
      <c r="P5" s="17"/>
    </row>
    <row r="6" spans="1:16" x14ac:dyDescent="0.2">
      <c r="A6" s="17"/>
      <c r="B6" s="17"/>
      <c r="C6" s="17"/>
      <c r="D6" s="17"/>
      <c r="E6" s="17"/>
      <c r="F6" s="17"/>
      <c r="P6" s="17"/>
    </row>
    <row r="7" spans="1:16" x14ac:dyDescent="0.2">
      <c r="A7" s="17"/>
      <c r="B7" s="17"/>
      <c r="C7" s="17"/>
      <c r="D7" s="17"/>
      <c r="E7" s="17"/>
      <c r="F7" s="17"/>
      <c r="K7" s="17"/>
      <c r="L7" s="17"/>
      <c r="M7" s="17"/>
      <c r="N7" s="17"/>
      <c r="O7" s="208"/>
      <c r="P7" s="17"/>
    </row>
    <row r="8" spans="1:16" x14ac:dyDescent="0.2">
      <c r="A8" s="17"/>
      <c r="B8" s="17"/>
      <c r="C8" s="17"/>
      <c r="D8" s="17"/>
      <c r="E8" s="17"/>
      <c r="F8" s="17"/>
      <c r="G8" s="17"/>
      <c r="H8" s="17"/>
      <c r="I8" s="17"/>
      <c r="J8" s="17"/>
      <c r="K8" s="17"/>
      <c r="L8" s="17"/>
      <c r="M8" s="17"/>
      <c r="N8" s="17"/>
      <c r="O8" s="17"/>
      <c r="P8" s="17"/>
    </row>
    <row r="9" spans="1:16" x14ac:dyDescent="0.2">
      <c r="A9" s="17"/>
      <c r="B9" s="17"/>
      <c r="C9" s="17"/>
      <c r="D9" s="17"/>
      <c r="E9" s="17"/>
      <c r="F9" s="17"/>
      <c r="G9" s="17"/>
      <c r="H9" s="17"/>
      <c r="I9" s="17"/>
      <c r="J9" s="17"/>
      <c r="K9" s="17"/>
      <c r="L9" s="17"/>
      <c r="M9" s="17"/>
      <c r="N9" s="17"/>
      <c r="O9" s="17"/>
      <c r="P9" s="17"/>
    </row>
    <row r="10" spans="1:16" x14ac:dyDescent="0.2">
      <c r="A10" s="17"/>
      <c r="B10" s="17"/>
      <c r="C10" s="17"/>
      <c r="D10" s="17"/>
      <c r="E10" s="17"/>
      <c r="F10" s="17"/>
      <c r="G10" s="17"/>
      <c r="H10" s="17"/>
      <c r="I10" s="17"/>
      <c r="J10" s="17"/>
      <c r="K10" s="17"/>
      <c r="L10" s="17"/>
      <c r="M10" s="17"/>
      <c r="N10" s="17"/>
      <c r="O10" s="17"/>
      <c r="P10" s="17"/>
    </row>
    <row r="11" spans="1:16" x14ac:dyDescent="0.2">
      <c r="A11" s="17"/>
      <c r="B11" s="17"/>
      <c r="C11" s="17"/>
      <c r="D11" s="17"/>
      <c r="E11" s="17"/>
      <c r="F11" s="17"/>
      <c r="G11" s="17"/>
      <c r="H11" s="17"/>
      <c r="I11" s="17"/>
      <c r="J11" s="17"/>
      <c r="K11" s="17"/>
      <c r="L11" s="17"/>
      <c r="M11" s="17"/>
      <c r="N11" s="17"/>
      <c r="O11" s="17"/>
      <c r="P11" s="17"/>
    </row>
    <row r="12" spans="1:16" x14ac:dyDescent="0.2">
      <c r="A12" s="17"/>
      <c r="B12" s="17"/>
      <c r="C12" s="17"/>
      <c r="D12" s="17"/>
      <c r="E12" s="17"/>
      <c r="F12" s="17"/>
      <c r="G12" s="17"/>
      <c r="H12" s="17"/>
      <c r="I12" s="17"/>
      <c r="J12" s="17"/>
      <c r="K12" s="17"/>
      <c r="L12" s="17"/>
      <c r="M12" s="17"/>
      <c r="N12" s="17"/>
      <c r="O12" s="17"/>
      <c r="P12" s="17"/>
    </row>
    <row r="13" spans="1:16" x14ac:dyDescent="0.2">
      <c r="A13" s="17"/>
      <c r="B13" s="17"/>
      <c r="C13" s="17"/>
      <c r="D13" s="17"/>
      <c r="E13" s="17"/>
      <c r="F13" s="17"/>
      <c r="G13" s="17"/>
      <c r="H13" s="17"/>
      <c r="I13" s="17"/>
      <c r="J13" s="17"/>
      <c r="K13" s="17"/>
      <c r="L13" s="17"/>
      <c r="M13" s="17"/>
      <c r="N13" s="17"/>
      <c r="O13" s="17"/>
      <c r="P13" s="17"/>
    </row>
    <row r="14" spans="1:16" x14ac:dyDescent="0.2">
      <c r="A14" s="17"/>
      <c r="B14" s="17"/>
      <c r="C14" s="17"/>
      <c r="D14" s="17"/>
      <c r="E14" s="17"/>
      <c r="F14" s="17"/>
      <c r="G14" s="17"/>
      <c r="H14" s="17"/>
      <c r="I14" s="17"/>
      <c r="J14" s="17"/>
      <c r="K14" s="17"/>
      <c r="L14" s="17"/>
      <c r="M14" s="17"/>
      <c r="N14" s="17"/>
      <c r="O14" s="17"/>
      <c r="P14" s="17"/>
    </row>
    <row r="15" spans="1:16" x14ac:dyDescent="0.2">
      <c r="A15" s="17"/>
      <c r="B15" s="17"/>
      <c r="C15" s="17"/>
      <c r="D15" s="17"/>
      <c r="E15" s="17"/>
      <c r="F15" s="17"/>
      <c r="G15" s="17"/>
      <c r="H15" s="17"/>
      <c r="I15" s="17"/>
      <c r="J15" s="17"/>
      <c r="K15" s="17"/>
      <c r="L15" s="17"/>
      <c r="M15" s="17"/>
      <c r="N15" s="17"/>
      <c r="O15" s="17"/>
      <c r="P15" s="17"/>
    </row>
    <row r="16" spans="1:16" x14ac:dyDescent="0.2">
      <c r="A16" s="17"/>
      <c r="B16" s="17"/>
      <c r="C16" s="17"/>
      <c r="D16" s="17"/>
      <c r="E16" s="17"/>
      <c r="F16" s="17"/>
      <c r="G16" s="17"/>
      <c r="H16" s="17"/>
      <c r="I16" s="17"/>
      <c r="J16" s="17"/>
      <c r="K16" s="17"/>
      <c r="L16" s="17"/>
      <c r="M16" s="17"/>
      <c r="N16" s="17"/>
      <c r="O16" s="17"/>
      <c r="P16" s="17"/>
    </row>
    <row r="17" spans="1:16" x14ac:dyDescent="0.2">
      <c r="A17" s="17"/>
      <c r="B17" s="17"/>
      <c r="C17" s="17"/>
      <c r="D17" s="17"/>
      <c r="E17" s="17"/>
      <c r="F17" s="17"/>
      <c r="G17" s="17"/>
      <c r="H17" s="17"/>
      <c r="I17" s="17"/>
      <c r="J17" s="17"/>
      <c r="K17" s="17"/>
      <c r="L17" s="17"/>
      <c r="M17" s="17"/>
      <c r="N17" s="17"/>
      <c r="O17" s="17"/>
      <c r="P17" s="17"/>
    </row>
    <row r="18" spans="1:16" x14ac:dyDescent="0.2">
      <c r="A18" s="17"/>
      <c r="B18" s="17"/>
      <c r="C18" s="17"/>
      <c r="D18" s="17"/>
      <c r="E18" s="17"/>
      <c r="F18" s="17"/>
      <c r="G18" s="17"/>
      <c r="H18" s="17"/>
      <c r="I18" s="17"/>
      <c r="J18" s="17"/>
      <c r="K18" s="17"/>
      <c r="L18" s="17"/>
      <c r="M18" s="17"/>
      <c r="N18" s="17"/>
      <c r="O18" s="17"/>
      <c r="P18" s="17"/>
    </row>
    <row r="19" spans="1:16" x14ac:dyDescent="0.2">
      <c r="A19" s="17"/>
      <c r="B19" s="17"/>
      <c r="C19" s="17"/>
      <c r="D19" s="17"/>
      <c r="E19" s="17"/>
      <c r="F19" s="17"/>
      <c r="G19" s="17"/>
      <c r="H19" s="17"/>
      <c r="I19" s="17"/>
      <c r="J19" s="17"/>
      <c r="K19" s="17"/>
      <c r="L19" s="17"/>
      <c r="M19" s="17"/>
      <c r="N19" s="17"/>
      <c r="O19" s="17"/>
      <c r="P19" s="17"/>
    </row>
    <row r="20" spans="1:16" x14ac:dyDescent="0.2">
      <c r="A20" s="17"/>
      <c r="B20" s="17"/>
      <c r="C20" s="17"/>
      <c r="D20" s="17"/>
      <c r="E20" s="17"/>
      <c r="F20" s="17"/>
      <c r="G20" s="17"/>
      <c r="H20" s="17"/>
      <c r="I20" s="17"/>
      <c r="J20" s="17"/>
      <c r="K20" s="17"/>
      <c r="L20" s="17"/>
      <c r="M20" s="17"/>
      <c r="N20" s="17"/>
      <c r="O20" s="17"/>
      <c r="P20" s="17"/>
    </row>
    <row r="21" spans="1:16" x14ac:dyDescent="0.2">
      <c r="A21" s="17"/>
      <c r="B21" s="17"/>
      <c r="C21" s="17"/>
      <c r="D21" s="17"/>
      <c r="E21" s="17"/>
      <c r="F21" s="17"/>
      <c r="G21" s="17"/>
      <c r="H21" s="17"/>
      <c r="I21" s="17"/>
      <c r="J21" s="17"/>
      <c r="K21" s="17"/>
      <c r="L21" s="17"/>
      <c r="M21" s="17"/>
      <c r="N21" s="17"/>
      <c r="O21" s="17"/>
      <c r="P21" s="17"/>
    </row>
    <row r="22" spans="1:16" x14ac:dyDescent="0.2">
      <c r="A22" s="17"/>
      <c r="B22" s="17"/>
      <c r="C22" s="17"/>
      <c r="D22" s="17"/>
      <c r="E22" s="17"/>
      <c r="F22" s="17"/>
      <c r="G22" s="17"/>
      <c r="H22" s="17"/>
      <c r="I22" s="17"/>
      <c r="J22" s="17"/>
      <c r="K22" s="17"/>
      <c r="L22" s="17"/>
      <c r="M22" s="17"/>
      <c r="N22" s="17"/>
      <c r="O22" s="17"/>
      <c r="P22" s="17"/>
    </row>
    <row r="23" spans="1:16" x14ac:dyDescent="0.2">
      <c r="A23" s="17"/>
      <c r="B23" s="17"/>
      <c r="C23" s="17"/>
      <c r="D23" s="17"/>
      <c r="E23" s="17"/>
      <c r="F23" s="17"/>
      <c r="G23" s="17"/>
      <c r="H23" s="17"/>
      <c r="I23" s="17"/>
      <c r="J23" s="17"/>
      <c r="K23" s="17"/>
      <c r="L23" s="17"/>
      <c r="M23" s="17"/>
      <c r="N23" s="17"/>
      <c r="O23" s="17"/>
      <c r="P23" s="17"/>
    </row>
    <row r="24" spans="1:16" x14ac:dyDescent="0.2">
      <c r="A24" s="17"/>
      <c r="B24" s="17"/>
      <c r="C24" s="17"/>
      <c r="D24" s="17"/>
      <c r="E24" s="17"/>
      <c r="F24" s="17"/>
      <c r="G24" s="17"/>
      <c r="H24" s="17"/>
      <c r="I24" s="17"/>
      <c r="J24" s="17"/>
      <c r="K24" s="17"/>
      <c r="L24" s="17"/>
      <c r="M24" s="17"/>
      <c r="N24" s="17"/>
      <c r="O24" s="17"/>
      <c r="P24" s="17"/>
    </row>
    <row r="25" spans="1:16" x14ac:dyDescent="0.2">
      <c r="A25" s="17"/>
      <c r="B25" s="17"/>
      <c r="C25" s="17"/>
      <c r="D25" s="17"/>
      <c r="E25" s="17"/>
      <c r="F25" s="17"/>
      <c r="G25" s="17"/>
      <c r="H25" s="17"/>
      <c r="I25" s="17"/>
      <c r="J25" s="17"/>
      <c r="K25" s="17"/>
      <c r="L25" s="17"/>
      <c r="M25" s="17"/>
      <c r="N25" s="17"/>
      <c r="O25" s="17"/>
      <c r="P25" s="17"/>
    </row>
    <row r="26" spans="1:16" x14ac:dyDescent="0.2">
      <c r="A26" s="17"/>
      <c r="B26" s="17"/>
      <c r="C26" s="17"/>
      <c r="D26" s="17"/>
      <c r="E26" s="17"/>
      <c r="F26" s="17"/>
      <c r="G26" s="17"/>
      <c r="H26" s="17"/>
      <c r="I26" s="17"/>
      <c r="J26" s="17"/>
      <c r="K26" s="17"/>
      <c r="L26" s="17"/>
      <c r="M26" s="17"/>
      <c r="N26" s="17"/>
      <c r="O26" s="17"/>
      <c r="P26" s="17"/>
    </row>
    <row r="27" spans="1:16" x14ac:dyDescent="0.2">
      <c r="A27" s="17"/>
      <c r="B27" s="17"/>
      <c r="C27" s="17"/>
      <c r="D27" s="17"/>
      <c r="E27" s="17"/>
      <c r="F27" s="17"/>
      <c r="G27" s="17"/>
      <c r="H27" s="17"/>
      <c r="I27" s="17"/>
      <c r="J27" s="17"/>
      <c r="K27" s="17"/>
      <c r="L27" s="17"/>
      <c r="M27" s="17"/>
      <c r="N27" s="17"/>
      <c r="O27" s="17"/>
      <c r="P27" s="17"/>
    </row>
    <row r="28" spans="1:16" x14ac:dyDescent="0.2">
      <c r="A28" s="17"/>
      <c r="B28" s="17"/>
      <c r="C28" s="17"/>
      <c r="D28" s="17"/>
      <c r="E28" s="17"/>
      <c r="F28" s="17"/>
      <c r="G28" s="17"/>
      <c r="H28" s="17"/>
      <c r="I28" s="17"/>
      <c r="J28" s="17"/>
      <c r="K28" s="17"/>
      <c r="L28" s="17"/>
      <c r="M28" s="17"/>
      <c r="N28" s="17"/>
      <c r="O28" s="17"/>
      <c r="P28" s="17"/>
    </row>
    <row r="29" spans="1:16" x14ac:dyDescent="0.2">
      <c r="A29" s="17"/>
      <c r="B29" s="17"/>
      <c r="C29" s="17"/>
      <c r="D29" s="17"/>
      <c r="E29" s="17"/>
      <c r="F29" s="17"/>
      <c r="G29" s="17"/>
      <c r="H29" s="17"/>
      <c r="I29" s="17"/>
      <c r="J29" s="17"/>
      <c r="K29" s="17"/>
      <c r="L29" s="17"/>
      <c r="M29" s="17"/>
      <c r="N29" s="17"/>
      <c r="O29" s="17"/>
      <c r="P29" s="17"/>
    </row>
    <row r="30" spans="1:16" x14ac:dyDescent="0.2">
      <c r="A30" s="17"/>
      <c r="B30" s="17"/>
      <c r="C30" s="17"/>
      <c r="D30" s="17"/>
      <c r="E30" s="17"/>
      <c r="F30" s="17"/>
      <c r="G30" s="17"/>
      <c r="H30" s="17"/>
      <c r="I30" s="17"/>
      <c r="J30" s="17"/>
      <c r="K30" s="17"/>
      <c r="L30" s="17"/>
      <c r="M30" s="17"/>
      <c r="N30" s="17"/>
      <c r="O30" s="17"/>
      <c r="P30" s="17"/>
    </row>
    <row r="31" spans="1:16" x14ac:dyDescent="0.2">
      <c r="A31" s="17"/>
      <c r="B31" s="17"/>
      <c r="C31" s="17"/>
      <c r="D31" s="17"/>
      <c r="E31" s="17"/>
      <c r="F31" s="17"/>
      <c r="G31" s="17"/>
      <c r="H31" s="17"/>
      <c r="I31" s="17"/>
      <c r="J31" s="17"/>
      <c r="K31" s="17"/>
      <c r="L31" s="17"/>
      <c r="M31" s="17"/>
      <c r="N31" s="17"/>
      <c r="O31" s="17"/>
      <c r="P31" s="17"/>
    </row>
    <row r="32" spans="1:16" x14ac:dyDescent="0.2">
      <c r="A32" s="17"/>
      <c r="B32" s="17"/>
      <c r="C32" s="17"/>
      <c r="D32" s="17"/>
      <c r="E32" s="17"/>
      <c r="F32" s="17"/>
      <c r="G32" s="17"/>
      <c r="H32" s="17"/>
      <c r="I32" s="17"/>
      <c r="J32" s="17"/>
      <c r="K32" s="17"/>
      <c r="L32" s="17"/>
      <c r="M32" s="17"/>
      <c r="N32" s="17"/>
      <c r="O32" s="17"/>
      <c r="P32" s="17"/>
    </row>
    <row r="33" spans="1:16" x14ac:dyDescent="0.2">
      <c r="A33" s="17"/>
      <c r="B33" s="17"/>
      <c r="C33" s="17"/>
      <c r="D33" s="17"/>
      <c r="E33" s="17"/>
      <c r="F33" s="17"/>
      <c r="G33" s="17"/>
      <c r="H33" s="17"/>
      <c r="I33" s="17"/>
      <c r="J33" s="17"/>
      <c r="K33" s="17"/>
      <c r="L33" s="17"/>
      <c r="M33" s="17"/>
      <c r="N33" s="17"/>
      <c r="O33" s="17"/>
      <c r="P33" s="17"/>
    </row>
    <row r="34" spans="1:16" x14ac:dyDescent="0.2">
      <c r="A34" s="17"/>
      <c r="B34" s="17"/>
      <c r="C34" s="17"/>
      <c r="D34" s="17"/>
      <c r="E34" s="17"/>
      <c r="F34" s="17"/>
      <c r="G34" s="17"/>
      <c r="H34" s="17"/>
      <c r="I34" s="17"/>
      <c r="J34" s="17"/>
      <c r="K34" s="17"/>
      <c r="L34" s="17"/>
      <c r="M34" s="17"/>
      <c r="N34" s="17"/>
      <c r="O34" s="17"/>
      <c r="P34" s="17"/>
    </row>
    <row r="35" spans="1:16" x14ac:dyDescent="0.2">
      <c r="A35" s="17"/>
      <c r="B35" s="17"/>
      <c r="C35" s="17"/>
      <c r="D35" s="17"/>
      <c r="E35" s="17"/>
      <c r="F35" s="17"/>
      <c r="G35" s="17"/>
      <c r="H35" s="17"/>
      <c r="I35" s="17"/>
      <c r="J35" s="17"/>
      <c r="K35" s="17"/>
      <c r="L35" s="17"/>
      <c r="M35" s="17"/>
      <c r="N35" s="17"/>
      <c r="O35" s="17"/>
      <c r="P35" s="17"/>
    </row>
    <row r="36" spans="1:16" x14ac:dyDescent="0.2">
      <c r="A36" s="17"/>
      <c r="B36" s="17"/>
      <c r="C36" s="17"/>
      <c r="D36" s="17"/>
      <c r="E36" s="17"/>
      <c r="F36" s="17"/>
      <c r="G36" s="17"/>
      <c r="H36" s="17"/>
      <c r="I36" s="17"/>
      <c r="J36" s="17"/>
      <c r="K36" s="17"/>
      <c r="L36" s="17"/>
      <c r="M36" s="17"/>
      <c r="N36" s="17"/>
      <c r="O36" s="17"/>
      <c r="P36" s="17"/>
    </row>
    <row r="37" spans="1:16" x14ac:dyDescent="0.2">
      <c r="A37" s="17"/>
      <c r="B37" s="17"/>
      <c r="C37" s="17"/>
      <c r="D37" s="17"/>
      <c r="E37" s="17"/>
      <c r="F37" s="17"/>
      <c r="G37" s="17"/>
      <c r="H37" s="17"/>
      <c r="I37" s="17"/>
      <c r="J37" s="17"/>
      <c r="K37" s="17"/>
      <c r="L37" s="17"/>
      <c r="M37" s="17"/>
      <c r="N37" s="17"/>
      <c r="O37" s="17"/>
      <c r="P37" s="17"/>
    </row>
    <row r="38" spans="1:16" x14ac:dyDescent="0.2">
      <c r="A38" s="17"/>
      <c r="B38" s="17"/>
      <c r="C38" s="17"/>
      <c r="D38" s="17"/>
      <c r="E38" s="17"/>
      <c r="F38" s="17"/>
      <c r="G38" s="17"/>
      <c r="H38" s="17"/>
      <c r="I38" s="17"/>
      <c r="J38" s="17"/>
      <c r="K38" s="17"/>
      <c r="L38" s="17"/>
      <c r="M38" s="17"/>
      <c r="N38" s="17"/>
      <c r="O38" s="17"/>
      <c r="P38" s="17"/>
    </row>
    <row r="39" spans="1:16" x14ac:dyDescent="0.2">
      <c r="A39" s="17"/>
      <c r="B39" s="17"/>
      <c r="C39" s="17"/>
      <c r="D39" s="17"/>
      <c r="E39" s="17"/>
      <c r="F39" s="17"/>
      <c r="G39" s="17"/>
      <c r="H39" s="17"/>
      <c r="I39" s="17"/>
      <c r="J39" s="17"/>
      <c r="K39" s="17"/>
      <c r="L39" s="17"/>
      <c r="M39" s="17"/>
      <c r="N39" s="17"/>
      <c r="O39" s="17"/>
      <c r="P39" s="17"/>
    </row>
    <row r="40" spans="1:16" x14ac:dyDescent="0.2">
      <c r="A40" s="17"/>
      <c r="B40" s="17"/>
      <c r="C40" s="17"/>
      <c r="D40" s="17"/>
      <c r="E40" s="17"/>
      <c r="F40" s="17"/>
      <c r="G40" s="17"/>
      <c r="H40" s="17"/>
      <c r="I40" s="17"/>
      <c r="J40" s="17"/>
      <c r="K40" s="17"/>
      <c r="L40" s="17"/>
      <c r="M40" s="17"/>
      <c r="N40" s="17"/>
      <c r="O40" s="17"/>
      <c r="P40" s="17"/>
    </row>
    <row r="41" spans="1:16" x14ac:dyDescent="0.2">
      <c r="A41" s="17"/>
      <c r="B41" s="17"/>
      <c r="C41" s="17"/>
      <c r="D41" s="17"/>
      <c r="E41" s="17"/>
      <c r="F41" s="17"/>
      <c r="G41" s="17"/>
      <c r="H41" s="17"/>
      <c r="I41" s="17"/>
      <c r="J41" s="17"/>
      <c r="K41" s="17"/>
      <c r="L41" s="17"/>
      <c r="M41" s="17"/>
      <c r="N41" s="17"/>
      <c r="O41" s="17"/>
      <c r="P41" s="17"/>
    </row>
    <row r="42" spans="1:16" ht="15" x14ac:dyDescent="0.2">
      <c r="A42" s="17"/>
      <c r="B42" s="17"/>
      <c r="C42" s="196" t="s">
        <v>2</v>
      </c>
      <c r="D42" s="17"/>
      <c r="E42" s="17"/>
      <c r="F42" s="17"/>
      <c r="G42" s="17"/>
      <c r="H42" s="17"/>
      <c r="I42" s="17"/>
      <c r="J42" s="17"/>
      <c r="K42" s="17"/>
      <c r="L42" s="17"/>
      <c r="M42" s="17"/>
      <c r="N42" s="17"/>
    </row>
    <row r="43" spans="1:16" ht="15" x14ac:dyDescent="0.2">
      <c r="A43" s="17"/>
      <c r="B43" s="17"/>
      <c r="C43" s="196"/>
      <c r="D43" s="196" t="s">
        <v>3</v>
      </c>
      <c r="E43" s="17"/>
      <c r="F43" s="17"/>
      <c r="G43" s="196" t="s">
        <v>925</v>
      </c>
      <c r="H43" s="17"/>
      <c r="I43" s="17"/>
      <c r="J43" s="17"/>
      <c r="K43" s="17"/>
      <c r="L43" s="17"/>
      <c r="M43" s="17"/>
      <c r="N43" s="17"/>
    </row>
    <row r="44" spans="1:16" ht="15" x14ac:dyDescent="0.2">
      <c r="A44" s="17"/>
      <c r="B44" s="17"/>
      <c r="C44" s="196"/>
      <c r="D44" s="196" t="s">
        <v>4</v>
      </c>
      <c r="G44" s="196" t="s">
        <v>5</v>
      </c>
      <c r="L44" s="17"/>
      <c r="M44" s="17"/>
      <c r="N44" s="17"/>
    </row>
    <row r="45" spans="1:16" ht="15" x14ac:dyDescent="0.2">
      <c r="A45" s="17"/>
      <c r="B45" s="17"/>
      <c r="C45" s="17"/>
      <c r="D45" s="196" t="s">
        <v>6</v>
      </c>
      <c r="E45" s="196"/>
      <c r="F45" s="196"/>
      <c r="G45" s="196" t="s">
        <v>7</v>
      </c>
      <c r="H45" s="196"/>
      <c r="I45" s="17"/>
      <c r="J45" s="17"/>
      <c r="K45" s="17"/>
      <c r="L45" s="17"/>
      <c r="M45" s="17"/>
      <c r="N45" s="17"/>
    </row>
    <row r="46" spans="1:16" ht="15" x14ac:dyDescent="0.2">
      <c r="A46" s="17"/>
      <c r="B46" s="17"/>
      <c r="C46" s="17"/>
      <c r="D46" s="196" t="s">
        <v>8</v>
      </c>
      <c r="E46" s="196"/>
      <c r="F46" s="196"/>
      <c r="G46" s="196" t="s">
        <v>9</v>
      </c>
      <c r="H46" s="196"/>
      <c r="I46" s="17"/>
      <c r="J46" s="17"/>
      <c r="K46" s="17"/>
      <c r="L46" s="17"/>
      <c r="M46" s="17"/>
      <c r="N46" s="17"/>
    </row>
    <row r="47" spans="1:16" ht="15" x14ac:dyDescent="0.2">
      <c r="A47" s="17"/>
      <c r="B47" s="17"/>
      <c r="C47" s="17"/>
      <c r="D47" s="196" t="s">
        <v>957</v>
      </c>
      <c r="E47" s="196"/>
      <c r="F47" s="196"/>
      <c r="G47" s="196" t="s">
        <v>18</v>
      </c>
      <c r="H47" s="196"/>
      <c r="I47" s="17"/>
      <c r="J47" s="17"/>
      <c r="K47" s="17"/>
      <c r="L47" s="17"/>
      <c r="M47" s="17"/>
      <c r="N47" s="17"/>
    </row>
    <row r="48" spans="1:16" ht="15" x14ac:dyDescent="0.2">
      <c r="A48" s="17"/>
      <c r="B48" s="17"/>
      <c r="C48" s="17"/>
      <c r="D48" s="196" t="s">
        <v>10</v>
      </c>
      <c r="E48" s="196"/>
      <c r="F48" s="196"/>
      <c r="G48" s="196" t="s">
        <v>982</v>
      </c>
      <c r="H48" s="196"/>
      <c r="I48" s="17"/>
      <c r="J48" s="17"/>
      <c r="K48" s="17"/>
      <c r="L48" s="17"/>
      <c r="M48" s="17"/>
      <c r="N48" s="17"/>
    </row>
    <row r="49" spans="1:16" ht="15" x14ac:dyDescent="0.2">
      <c r="A49" s="17"/>
      <c r="B49" s="17"/>
      <c r="C49" s="17"/>
      <c r="D49" s="196" t="s">
        <v>11</v>
      </c>
      <c r="E49" s="196"/>
      <c r="F49" s="196"/>
      <c r="G49" s="196" t="s">
        <v>12</v>
      </c>
      <c r="H49" s="196"/>
      <c r="I49" s="17"/>
      <c r="J49" s="17"/>
      <c r="K49" s="17"/>
      <c r="L49" s="17"/>
      <c r="M49" s="17"/>
      <c r="N49" s="17"/>
    </row>
    <row r="50" spans="1:16" ht="15" x14ac:dyDescent="0.2">
      <c r="A50" s="17"/>
      <c r="B50" s="17"/>
      <c r="C50" s="17"/>
      <c r="D50" s="196" t="s">
        <v>956</v>
      </c>
      <c r="E50" s="196"/>
      <c r="F50" s="196"/>
      <c r="G50" s="196" t="s">
        <v>18</v>
      </c>
      <c r="H50" s="196"/>
      <c r="I50" s="17"/>
      <c r="J50" s="17"/>
      <c r="K50" s="17"/>
      <c r="L50" s="17"/>
      <c r="M50" s="17"/>
      <c r="N50" s="17"/>
    </row>
    <row r="51" spans="1:16" ht="15" x14ac:dyDescent="0.2">
      <c r="A51" s="17"/>
      <c r="B51" s="17"/>
      <c r="C51" s="17"/>
      <c r="D51" s="196" t="s">
        <v>13</v>
      </c>
      <c r="E51" s="196"/>
      <c r="F51" s="196"/>
      <c r="G51" s="196" t="s">
        <v>980</v>
      </c>
      <c r="H51" s="196"/>
      <c r="I51" s="17"/>
      <c r="J51" s="17"/>
      <c r="K51" s="17"/>
      <c r="L51" s="17"/>
      <c r="M51" s="17"/>
      <c r="N51" s="17"/>
    </row>
    <row r="52" spans="1:16" ht="15" x14ac:dyDescent="0.2">
      <c r="A52" s="17"/>
      <c r="B52" s="17"/>
      <c r="C52" s="17"/>
      <c r="D52" s="196" t="s">
        <v>955</v>
      </c>
      <c r="E52" s="196"/>
      <c r="F52" s="196"/>
      <c r="G52" s="196" t="s">
        <v>18</v>
      </c>
      <c r="H52" s="196"/>
      <c r="I52" s="17"/>
      <c r="J52" s="17"/>
      <c r="K52" s="17"/>
      <c r="L52" s="17"/>
      <c r="M52" s="17"/>
      <c r="N52" s="17"/>
    </row>
    <row r="53" spans="1:16" ht="15" x14ac:dyDescent="0.2">
      <c r="A53" s="17"/>
      <c r="B53" s="17"/>
      <c r="C53" s="17"/>
      <c r="D53" s="196" t="s">
        <v>14</v>
      </c>
      <c r="E53" s="196"/>
      <c r="F53" s="196"/>
      <c r="G53" s="196" t="s">
        <v>15</v>
      </c>
      <c r="H53" s="196"/>
      <c r="I53" s="17"/>
      <c r="J53" s="17"/>
      <c r="K53" s="17"/>
      <c r="L53" s="17"/>
      <c r="M53" s="17"/>
      <c r="N53" s="17"/>
    </row>
    <row r="54" spans="1:16" ht="15" x14ac:dyDescent="0.2">
      <c r="A54" s="17"/>
      <c r="B54" s="17"/>
      <c r="C54" s="17"/>
      <c r="D54" s="196" t="s">
        <v>16</v>
      </c>
      <c r="E54" s="196"/>
      <c r="F54" s="196"/>
      <c r="G54" s="196" t="s">
        <v>17</v>
      </c>
      <c r="H54" s="196"/>
      <c r="I54" s="17"/>
      <c r="J54" s="17"/>
      <c r="K54" s="17"/>
      <c r="L54" s="17"/>
      <c r="M54" s="17"/>
      <c r="N54" s="17"/>
    </row>
    <row r="55" spans="1:16" x14ac:dyDescent="0.2">
      <c r="A55" s="207"/>
      <c r="B55" s="207"/>
      <c r="C55" s="207"/>
      <c r="D55" s="207"/>
      <c r="E55" s="207"/>
      <c r="F55" s="207"/>
      <c r="G55" s="207"/>
      <c r="H55" s="207"/>
      <c r="I55" s="207"/>
      <c r="J55" s="207"/>
      <c r="K55" s="207"/>
      <c r="L55" s="207"/>
      <c r="M55" s="207"/>
      <c r="N55" s="207"/>
      <c r="O55" s="207"/>
      <c r="P55" s="17"/>
    </row>
    <row r="56" spans="1:16" x14ac:dyDescent="0.2">
      <c r="P56" s="17"/>
    </row>
    <row r="57" spans="1:16" ht="15" x14ac:dyDescent="0.2">
      <c r="A57" s="17"/>
      <c r="B57" s="17"/>
      <c r="C57" s="17"/>
      <c r="D57" s="196"/>
      <c r="E57" s="196"/>
      <c r="F57" s="196"/>
      <c r="G57" s="196"/>
      <c r="H57" s="196"/>
      <c r="I57" s="17"/>
      <c r="J57" s="17"/>
      <c r="K57" s="196"/>
      <c r="L57" s="17"/>
      <c r="M57" s="17"/>
      <c r="N57" s="17"/>
      <c r="O57" s="17"/>
      <c r="P57" s="17"/>
    </row>
    <row r="58" spans="1:16" x14ac:dyDescent="0.2">
      <c r="A58" s="17"/>
      <c r="B58" s="17"/>
      <c r="C58" s="17"/>
      <c r="D58" s="17"/>
      <c r="E58" s="17"/>
      <c r="F58" s="17"/>
      <c r="G58" s="17"/>
      <c r="H58" s="17"/>
      <c r="I58" s="17"/>
      <c r="J58" s="17"/>
      <c r="K58" s="17"/>
      <c r="L58" s="17"/>
      <c r="M58" s="17"/>
      <c r="N58" s="17"/>
      <c r="O58" s="17"/>
      <c r="P58" s="17"/>
    </row>
    <row r="59" spans="1:16" ht="15" x14ac:dyDescent="0.2">
      <c r="A59" s="17"/>
      <c r="B59" s="17"/>
      <c r="C59" s="17"/>
      <c r="D59" s="17"/>
      <c r="E59" s="17"/>
      <c r="F59" s="17"/>
      <c r="G59" s="17"/>
      <c r="H59" s="17"/>
      <c r="I59" s="17"/>
      <c r="J59" s="17"/>
      <c r="K59" s="196"/>
      <c r="L59" s="17"/>
      <c r="M59" s="17"/>
      <c r="N59" s="17"/>
      <c r="O59" s="17"/>
      <c r="P59" s="17"/>
    </row>
    <row r="60" spans="1:16" x14ac:dyDescent="0.2">
      <c r="A60" s="17"/>
      <c r="B60" s="17"/>
      <c r="C60" s="17"/>
      <c r="D60" s="17"/>
      <c r="E60" s="17"/>
      <c r="F60" s="17"/>
      <c r="G60" s="17"/>
      <c r="H60" s="17"/>
      <c r="I60" s="17"/>
      <c r="J60" s="17"/>
      <c r="K60" s="17"/>
      <c r="L60" s="17"/>
      <c r="M60" s="17"/>
      <c r="N60" s="17"/>
      <c r="O60" s="17"/>
      <c r="P60" s="17"/>
    </row>
    <row r="61" spans="1:16" x14ac:dyDescent="0.2">
      <c r="A61" s="17"/>
      <c r="B61" s="17"/>
      <c r="C61" s="17"/>
      <c r="D61" s="17"/>
      <c r="E61" s="17"/>
      <c r="F61" s="17"/>
      <c r="G61" s="17"/>
      <c r="H61" s="17"/>
      <c r="I61" s="17"/>
      <c r="J61" s="17"/>
      <c r="K61" s="17"/>
      <c r="L61" s="17"/>
      <c r="M61" s="17"/>
      <c r="N61" s="17"/>
      <c r="O61" s="17"/>
      <c r="P61" s="17"/>
    </row>
    <row r="62" spans="1:16" ht="15" x14ac:dyDescent="0.2">
      <c r="A62" s="17"/>
      <c r="B62" s="17"/>
      <c r="C62" s="17"/>
      <c r="D62" s="17"/>
      <c r="E62" s="17"/>
      <c r="F62" s="17"/>
      <c r="G62" s="17"/>
      <c r="H62" s="17"/>
      <c r="I62" s="17"/>
      <c r="J62" s="17"/>
      <c r="K62" s="196"/>
      <c r="L62" s="17"/>
      <c r="M62" s="17"/>
      <c r="N62" s="17"/>
      <c r="O62" s="17"/>
      <c r="P62" s="17"/>
    </row>
    <row r="63" spans="1:16" x14ac:dyDescent="0.2">
      <c r="A63" s="17"/>
      <c r="B63" s="17"/>
      <c r="C63" s="17"/>
      <c r="D63" s="17"/>
      <c r="E63" s="17"/>
      <c r="F63" s="17"/>
      <c r="G63" s="17"/>
      <c r="H63" s="17"/>
      <c r="I63" s="17"/>
      <c r="J63" s="17"/>
      <c r="K63" s="17"/>
      <c r="L63" s="69"/>
      <c r="M63" s="17"/>
      <c r="N63" s="17"/>
      <c r="O63" s="17"/>
      <c r="P63" s="17"/>
    </row>
  </sheetData>
  <pageMargins left="0.7" right="0.7" top="0.75" bottom="0.75" header="0.3" footer="0.3"/>
  <pageSetup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4">
    <pageSetUpPr fitToPage="1"/>
  </sheetPr>
  <dimension ref="A2:M256"/>
  <sheetViews>
    <sheetView topLeftCell="A11" zoomScaleNormal="100" workbookViewId="0">
      <selection activeCell="H62" sqref="H6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683</v>
      </c>
      <c r="H2" s="392"/>
      <c r="J2" s="128" t="s">
        <v>649</v>
      </c>
      <c r="K2" s="401" t="s">
        <v>74</v>
      </c>
      <c r="L2" s="401"/>
    </row>
    <row r="3" spans="1:13" hidden="1" x14ac:dyDescent="0.2">
      <c r="B3" s="103" t="s">
        <v>38</v>
      </c>
      <c r="C3" s="391" t="s">
        <v>43</v>
      </c>
      <c r="D3" s="391"/>
      <c r="E3" s="391"/>
      <c r="G3" s="128" t="s">
        <v>650</v>
      </c>
      <c r="H3" s="187" t="s">
        <v>684</v>
      </c>
      <c r="J3" s="128" t="s">
        <v>651</v>
      </c>
      <c r="K3" s="187"/>
    </row>
    <row r="4" spans="1:13" hidden="1" x14ac:dyDescent="0.2">
      <c r="B4" s="103" t="s">
        <v>652</v>
      </c>
      <c r="C4" s="392" t="s">
        <v>685</v>
      </c>
      <c r="D4" s="392"/>
      <c r="E4" s="392"/>
      <c r="G4" s="103">
        <f>IFERROR(VALUE(LEFT($H$3,FIND(" ",$H$3))),"")</f>
        <v>2.8</v>
      </c>
      <c r="H4" s="103" t="str">
        <f>IFERROR(RIGHT(H3,LEN(H3)-LEN(G4)-1),"")</f>
        <v>ton</v>
      </c>
      <c r="J4" s="128" t="s">
        <v>653</v>
      </c>
      <c r="K4" s="188"/>
    </row>
    <row r="5" spans="1:13" ht="15.75" hidden="1" customHeight="1" x14ac:dyDescent="0.2">
      <c r="B5" s="103" t="s">
        <v>655</v>
      </c>
      <c r="C5" s="238" t="str">
        <f ca="1">MID(CELL("filename",C5),FIND("]",CELL("filename",C5))+1,255)</f>
        <v>4-Alfalfa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4-Alfalfa, Small Square Bales, Conventional Tillage, Establish Spring Seed with Herbicides, 2.8 ton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4-Alfalfa, Small Square Bales, Conventional Tillage, Establish Spring Seed with Herbicides, 2.8 ton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IF(C13&gt;9999,"",ROUND(SUM(E13:J13),2))</f>
        <v>18.059999999999999</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306</v>
      </c>
      <c r="C15" s="214">
        <v>1</v>
      </c>
      <c r="D15" s="214"/>
      <c r="E15" s="215">
        <f>IF(B15=0,"",IF(C15&gt;9999,"",ROUND('General Variables'!$B$4*VLOOKUP(B15,Operations!$A$2:$U$79,10,FALSE)/VLOOKUP(B15,Operations!$A$2:$U$79,9,FALSE)*C15,2)))</f>
        <v>4.05</v>
      </c>
      <c r="F15" s="215">
        <f>IF(B15=0,0,IF(C15&gt;9999,"",ROUND(IF(VLOOKUP(B15,Operations!$A$2:$U$79,12,FALSE)=0,VLOOKUP(B15,Operations!$A$2:$U$79,13,FALSE)*'General Variables'!$B$8,VLOOKUP(B15,Operations!$A$2:$U$79,12,FALSE)*'General Variables'!$B$7)/VLOOKUP(B15,Operations!$A$2:$U$79,9,FALSE)*C15,2)))</f>
        <v>1.72</v>
      </c>
      <c r="G15" s="215">
        <f>IF(B15=0,0,IF(C15&gt;9999,"",ROUND(VLOOKUP(VLOOKUP(B15,Operations!$A$2:$U$79,11,FALSE),PowerUnits[],10,FALSE)/VLOOKUP(B15,Operations!$A$2:$U$79,9,FALSE)*C15,2)))</f>
        <v>0.1</v>
      </c>
      <c r="H15" s="215">
        <f>IF(B15=0,"",IF(C15&gt;9999,"",ROUND(VLOOKUP($B15,Operations!$A$2:$U$79,15,FALSE)*C15,2)))</f>
        <v>4.17</v>
      </c>
      <c r="I15" s="215">
        <f>IF(B15=0,0,IF(C15&gt;9999,"",ROUND(VLOOKUP(VLOOKUP(B15,Operations!$A$2:$U$79,11,FALSE),PowerUnits[],16,FALSE)/VLOOKUP(B15,Operations!$A$2:$U$79,9,FALSE)*C15,2)))</f>
        <v>5.41</v>
      </c>
      <c r="J15" s="215">
        <f>IF(B15=0,"",IF(C15&gt;9999,"",ROUND(VLOOKUP($B15,Operations!$A$2:$U$79,21,FALSE)*$C15,2)))</f>
        <v>3.63</v>
      </c>
      <c r="K15" s="215">
        <f t="shared" si="0"/>
        <v>19.079999999999998</v>
      </c>
      <c r="L15" s="216"/>
    </row>
    <row r="16" spans="1:13" x14ac:dyDescent="0.2">
      <c r="A16" s="170">
        <v>5</v>
      </c>
      <c r="B16" s="180" t="s">
        <v>552</v>
      </c>
      <c r="C16" s="174">
        <v>0.2</v>
      </c>
      <c r="D16" s="174"/>
      <c r="E16" s="109">
        <f>IF(B16=0,"",IF(C16&gt;9999,"",ROUND('General Variables'!$B$4*VLOOKUP(B16,Operations!$A$2:$U$79,10,FALSE)/VLOOKUP(B16,Operations!$A$2:$U$79,9,FALSE)*C16,2)))</f>
        <v>0.2</v>
      </c>
      <c r="F16" s="109">
        <f>IF(B16=0,0,IF(C16&gt;9999,"",ROUND(IF(VLOOKUP(B16,Operations!$A$2:$U$79,12,FALSE)=0,VLOOKUP(B16,Operations!$A$2:$U$79,13,FALSE)*'General Variables'!$B$8,VLOOKUP(B16,Operations!$A$2:$U$79,12,FALSE)*'General Variables'!$B$7)/VLOOKUP(B16,Operations!$A$2:$U$79,9,FALSE)*C16,2)))</f>
        <v>0.05</v>
      </c>
      <c r="G16" s="109">
        <f>IF(B16=0,0,IF(C16&gt;9999,"",ROUND(VLOOKUP(VLOOKUP(B16,Operations!$A$2:$U$79,11,FALSE),PowerUnits[],10,FALSE)/VLOOKUP(B16,Operations!$A$2:$U$79,9,FALSE)*C16,2)))</f>
        <v>0.01</v>
      </c>
      <c r="H16" s="109">
        <f>IF(B16=0,"",IF(C16&gt;9999,"",ROUND(VLOOKUP($B16,Operations!$A$2:$U$79,15,FALSE)*C16,2)))</f>
        <v>0.22</v>
      </c>
      <c r="I16" s="109">
        <f>IF(B16=0,0,IF(C16&gt;9999,"",ROUND(VLOOKUP(VLOOKUP(B16,Operations!$A$2:$U$79,11,FALSE),PowerUnits[],16,FALSE)/VLOOKUP(B16,Operations!$A$2:$U$79,9,FALSE)*C16,2)))</f>
        <v>0.26</v>
      </c>
      <c r="J16" s="109">
        <f>IF(B16=0,"",IF(C16&gt;9999,"",ROUND(VLOOKUP($B16,Operations!$A$2:$U$79,21,FALSE)*$C16,2)))</f>
        <v>0.4</v>
      </c>
      <c r="K16" s="109">
        <f t="shared" si="0"/>
        <v>1.1399999999999999</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559</v>
      </c>
      <c r="C18" s="174">
        <v>2</v>
      </c>
      <c r="D18" s="174"/>
      <c r="E18" s="109">
        <f>IF(B18=0,"",IF(C18&gt;9999,"",ROUND('General Variables'!$B$4*VLOOKUP(B18,Operations!$A$2:$U$79,10,FALSE)/VLOOKUP(B18,Operations!$A$2:$U$79,9,FALSE)*C18,2)))</f>
        <v>5.4</v>
      </c>
      <c r="F18" s="109">
        <f>IF(B18=0,0,IF(C18&gt;9999,"",ROUND(IF(VLOOKUP(B18,Operations!$A$2:$U$79,12,FALSE)=0,VLOOKUP(B18,Operations!$A$2:$U$79,13,FALSE)*'General Variables'!$B$8,VLOOKUP(B18,Operations!$A$2:$U$79,12,FALSE)*'General Variables'!$B$7)/VLOOKUP(B18,Operations!$A$2:$U$79,9,FALSE)*C18,2)))</f>
        <v>3.2</v>
      </c>
      <c r="G18" s="109">
        <f>IF(B18=0,0,IF(C18&gt;9999,"",ROUND(VLOOKUP(VLOOKUP(B18,Operations!$A$2:$U$79,11,FALSE),PowerUnits[],10,FALSE)/VLOOKUP(B18,Operations!$A$2:$U$79,9,FALSE)*C18,2)))</f>
        <v>2.04</v>
      </c>
      <c r="H18" s="109">
        <f>IF(B18=0,"",IF(C18&gt;9999,"",ROUND(VLOOKUP($B18,Operations!$A$2:$U$79,15,FALSE)*C18,2)))</f>
        <v>2.0299999999999998</v>
      </c>
      <c r="I18" s="109">
        <f>IF(B18=0,0,IF(C18&gt;9999,"",ROUND(VLOOKUP(VLOOKUP(B18,Operations!$A$2:$U$79,11,FALSE),PowerUnits[],16,FALSE)/VLOOKUP(B18,Operations!$A$2:$U$79,9,FALSE)*C18,2)))</f>
        <v>7.49</v>
      </c>
      <c r="J18" s="109">
        <f>IF(B18=0,"",IF(C18&gt;9999,"",ROUND(VLOOKUP($B18,Operations!$A$2:$U$79,21,FALSE)*$C18,2)))</f>
        <v>10.15</v>
      </c>
      <c r="K18" s="109">
        <f t="shared" si="0"/>
        <v>30.31</v>
      </c>
      <c r="L18" s="110"/>
    </row>
    <row r="19" spans="1:12" x14ac:dyDescent="0.2">
      <c r="A19" s="170">
        <v>8</v>
      </c>
      <c r="B19" s="213" t="s">
        <v>566</v>
      </c>
      <c r="C19" s="214">
        <v>0.5</v>
      </c>
      <c r="D19" s="214"/>
      <c r="E19" s="215">
        <f>IF(B19=0,"",IF(C19&gt;9999,"",ROUND('General Variables'!$B$4*VLOOKUP(B19,Operations!$A$2:$U$79,10,FALSE)/VLOOKUP(B19,Operations!$A$2:$U$79,9,FALSE)*C19,2)))</f>
        <v>1.1299999999999999</v>
      </c>
      <c r="F19" s="215">
        <f>IF(B19=0,0,IF(C19&gt;9999,"",ROUND(IF(VLOOKUP(B19,Operations!$A$2:$U$79,12,FALSE)=0,VLOOKUP(B19,Operations!$A$2:$U$79,13,FALSE)*'General Variables'!$B$8,VLOOKUP(B19,Operations!$A$2:$U$79,12,FALSE)*'General Variables'!$B$7)/VLOOKUP(B19,Operations!$A$2:$U$79,9,FALSE)*C19,2)))</f>
        <v>0.28000000000000003</v>
      </c>
      <c r="G19" s="215">
        <f>IF(B19=0,0,IF(C19&gt;9999,"",ROUND(VLOOKUP(VLOOKUP(B19,Operations!$A$2:$U$79,11,FALSE),PowerUnits[],10,FALSE)/VLOOKUP(B19,Operations!$A$2:$U$79,9,FALSE)*C19,2)))</f>
        <v>0.42</v>
      </c>
      <c r="H19" s="215">
        <f>IF(B19=0,"",IF(C19&gt;9999,"",ROUND(VLOOKUP($B19,Operations!$A$2:$U$79,15,FALSE)*C19,2)))</f>
        <v>0.12</v>
      </c>
      <c r="I19" s="215">
        <f>IF(B19=0,0,IF(C19&gt;9999,"",ROUND(VLOOKUP(VLOOKUP(B19,Operations!$A$2:$U$79,11,FALSE),PowerUnits[],16,FALSE)/VLOOKUP(B19,Operations!$A$2:$U$79,9,FALSE)*C19,2)))</f>
        <v>1.56</v>
      </c>
      <c r="J19" s="215">
        <f>IF(B19=0,"",IF(C19&gt;9999,"",ROUND(VLOOKUP($B19,Operations!$A$2:$U$79,21,FALSE)*$C19,2)))</f>
        <v>0.26</v>
      </c>
      <c r="K19" s="215">
        <f t="shared" si="0"/>
        <v>3.77</v>
      </c>
      <c r="L19" s="216"/>
    </row>
    <row r="20" spans="1:12" x14ac:dyDescent="0.2">
      <c r="A20" s="170">
        <v>9</v>
      </c>
      <c r="B20" s="180" t="s">
        <v>403</v>
      </c>
      <c r="C20" s="293">
        <f>$G$4</f>
        <v>2.8</v>
      </c>
      <c r="D20" s="112" t="s">
        <v>187</v>
      </c>
      <c r="E20" s="109">
        <f>IF(B20=0,"",IF(C20&gt;9999,"",ROUND('General Variables'!$B$4*VLOOKUP(B20,Operations!$A$2:$U$79,10,FALSE)/VLOOKUP(B20,Operations!$A$2:$U$79,9,FALSE)*C20,2)))</f>
        <v>20.79</v>
      </c>
      <c r="F20" s="109">
        <f>IF(B20=0,0,IF(C20&gt;9999,"",ROUND(IF(VLOOKUP(B20,Operations!$A$2:$U$79,12,FALSE)=0,VLOOKUP(B20,Operations!$A$2:$U$79,13,FALSE)*'General Variables'!$B$8,VLOOKUP(B20,Operations!$A$2:$U$79,12,FALSE)*'General Variables'!$B$7)/VLOOKUP(B20,Operations!$A$2:$U$79,9,FALSE)*C20,2)))</f>
        <v>7.83</v>
      </c>
      <c r="G20" s="109">
        <f>IF(B20=0,0,IF(C20&gt;9999,"",ROUND(VLOOKUP(VLOOKUP(B20,Operations!$A$2:$U$79,11,FALSE),PowerUnits[],10,FALSE)/VLOOKUP(B20,Operations!$A$2:$U$79,9,FALSE)*C20,2)))</f>
        <v>0.59</v>
      </c>
      <c r="H20" s="109">
        <f>IF(B20=0,"",IF(C20&gt;9999,"",ROUND(VLOOKUP($B20,Operations!$A$2:$U$79,15,FALSE)*C20,2)))</f>
        <v>21.71</v>
      </c>
      <c r="I20" s="109">
        <f>IF(B20=0,0,IF(C20&gt;9999,"",ROUND(VLOOKUP(VLOOKUP(B20,Operations!$A$2:$U$79,11,FALSE),PowerUnits[],16,FALSE)/VLOOKUP(B20,Operations!$A$2:$U$79,9,FALSE)*C20,2)))</f>
        <v>30.3</v>
      </c>
      <c r="J20" s="109">
        <f>IF(B20=0,"",IF(C20&gt;9999,"",ROUND(VLOOKUP($B20,Operations!$A$2:$U$79,21,FALSE)*$C20,2)))</f>
        <v>5.0199999999999996</v>
      </c>
      <c r="K20" s="109">
        <f>IF(C20&gt;9999,"",ROUND(SUM(E20:J20),2))</f>
        <v>86.24</v>
      </c>
      <c r="L20" s="110"/>
    </row>
    <row r="21" spans="1:12" x14ac:dyDescent="0.2">
      <c r="A21" s="170">
        <v>10</v>
      </c>
      <c r="B21" s="180" t="s">
        <v>511</v>
      </c>
      <c r="C21" s="293">
        <f>$G$4</f>
        <v>2.8</v>
      </c>
      <c r="D21" s="112" t="s">
        <v>187</v>
      </c>
      <c r="E21" s="109">
        <f>IF(B21=0,"",IF(C21&gt;9999,"",ROUND('General Variables'!$B$4*VLOOKUP(B21,Operations!$A$2:$U$79,10,FALSE)/VLOOKUP(B21,Operations!$A$2:$U$79,9,FALSE)*C21,2)))</f>
        <v>7.56</v>
      </c>
      <c r="F21" s="109">
        <f>IF(B21=0,0,IF(C21&gt;9999,"",ROUND(IF(VLOOKUP(B21,Operations!$A$2:$U$79,12,FALSE)=0,VLOOKUP(B21,Operations!$A$2:$U$79,13,FALSE)*'General Variables'!$B$8,VLOOKUP(B21,Operations!$A$2:$U$79,12,FALSE)*'General Variables'!$B$7)/VLOOKUP(B21,Operations!$A$2:$U$79,9,FALSE)*C21,2)))</f>
        <v>1.79</v>
      </c>
      <c r="G21" s="109">
        <f>IF(B21=0,0,IF(C21&gt;9999,"",ROUND(VLOOKUP(VLOOKUP(B21,Operations!$A$2:$U$79,11,FALSE),PowerUnits[],10,FALSE)/VLOOKUP(B21,Operations!$A$2:$U$79,9,FALSE)*C21,2)))</f>
        <v>0.23</v>
      </c>
      <c r="H21" s="109">
        <f>IF(B21=0,"",IF(C21&gt;9999,"",ROUND(VLOOKUP($B21,Operations!$A$2:$U$79,15,FALSE)*C21,2)))</f>
        <v>0.87</v>
      </c>
      <c r="I21" s="109">
        <f>IF(B21=0,0,IF(C21&gt;9999,"",ROUND(VLOOKUP(VLOOKUP(B21,Operations!$A$2:$U$79,11,FALSE),PowerUnits[],16,FALSE)/VLOOKUP(B21,Operations!$A$2:$U$79,9,FALSE)*C21,2)))</f>
        <v>12.12</v>
      </c>
      <c r="J21" s="109">
        <f>IF(B21=0,"",IF(C21&gt;9999,"",ROUND(VLOOKUP($B21,Operations!$A$2:$U$79,21,FALSE)*$C21,2)))</f>
        <v>1.25</v>
      </c>
      <c r="K21" s="109">
        <f>IF(C21&gt;9999,"",ROUND(SUM(E21:J21),2))</f>
        <v>23.82</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46.980000000000004</v>
      </c>
      <c r="F33" s="109">
        <f t="shared" ref="F33:K33" si="1">SUM(F12:F31)</f>
        <v>20.279999999999998</v>
      </c>
      <c r="G33" s="109">
        <f t="shared" si="1"/>
        <v>4.03</v>
      </c>
      <c r="H33" s="109">
        <f t="shared" si="1"/>
        <v>34.049999999999997</v>
      </c>
      <c r="I33" s="109">
        <f t="shared" si="1"/>
        <v>76.470000000000013</v>
      </c>
      <c r="J33" s="109">
        <f t="shared" si="1"/>
        <v>30.26</v>
      </c>
      <c r="K33" s="109">
        <f t="shared" si="1"/>
        <v>212.07</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306</v>
      </c>
      <c r="C38" s="388" t="str">
        <f>IF(B38=0,"",VLOOKUP($B38,Table2[],2,FALSE))</f>
        <v>Rental</v>
      </c>
      <c r="D38" s="388"/>
      <c r="E38" s="388"/>
      <c r="F38" s="174">
        <v>4</v>
      </c>
      <c r="G38" s="175">
        <v>1</v>
      </c>
      <c r="H38" s="176">
        <v>1</v>
      </c>
      <c r="I38" s="120" t="str">
        <f>IF($B38=0,"",VLOOKUP($B38,Table2[],5,FALSE))</f>
        <v>acre</v>
      </c>
      <c r="J38" s="109">
        <f>IF($B38=0,"",VLOOKUP($B38,Table2[],7,FALSE))</f>
        <v>20</v>
      </c>
      <c r="K38" s="109">
        <f t="shared" ref="K38:K61" si="2">IF(B38=0,0,ROUND(G38*H38*J38,2))</f>
        <v>20</v>
      </c>
      <c r="L38" s="110"/>
    </row>
    <row r="39" spans="2:12" x14ac:dyDescent="0.2">
      <c r="B39" s="180" t="s">
        <v>319</v>
      </c>
      <c r="C39" s="388" t="str">
        <f>IF(B39=0,"",VLOOKUP($B39,Table2[],2,FALSE))</f>
        <v>Seed</v>
      </c>
      <c r="D39" s="388"/>
      <c r="E39" s="388"/>
      <c r="F39" s="174">
        <v>4</v>
      </c>
      <c r="G39" s="175">
        <v>1</v>
      </c>
      <c r="H39" s="176">
        <v>12</v>
      </c>
      <c r="I39" s="120" t="str">
        <f>IF($B39=0,"",VLOOKUP($B39,Table2[],5,FALSE))</f>
        <v>pound</v>
      </c>
      <c r="J39" s="109">
        <f>IF($B39=0,"",VLOOKUP($B39,Table2[],7,FALSE))</f>
        <v>6.25</v>
      </c>
      <c r="K39" s="109">
        <f t="shared" si="2"/>
        <v>75</v>
      </c>
      <c r="L39" s="110"/>
    </row>
    <row r="40" spans="2:12" x14ac:dyDescent="0.2">
      <c r="B40" s="213" t="s">
        <v>288</v>
      </c>
      <c r="C40" s="387" t="str">
        <f>IF(B40=0,"",VLOOKUP($B40,Table2[],2,FALSE))</f>
        <v>Insecticide</v>
      </c>
      <c r="D40" s="387"/>
      <c r="E40" s="387"/>
      <c r="F40" s="214">
        <v>5</v>
      </c>
      <c r="G40" s="221">
        <v>0.2</v>
      </c>
      <c r="H40" s="222">
        <v>3</v>
      </c>
      <c r="I40" s="223" t="str">
        <f>IF($B40=0,"",VLOOKUP($B40,Table2[],5,FALSE))</f>
        <v>ounce</v>
      </c>
      <c r="J40" s="215">
        <f>IF($B40=0,"",VLOOKUP($B40,Table2[],7,FALSE))</f>
        <v>1.25</v>
      </c>
      <c r="K40" s="215">
        <f t="shared" si="2"/>
        <v>0.75</v>
      </c>
      <c r="L40" s="216"/>
    </row>
    <row r="41" spans="2:12" x14ac:dyDescent="0.2">
      <c r="B41" s="180" t="s">
        <v>245</v>
      </c>
      <c r="C41" s="388" t="str">
        <f>IF(B41=0,"",VLOOKUP($B41,Table2[],2,FALSE))</f>
        <v>Herbicide</v>
      </c>
      <c r="D41" s="388"/>
      <c r="E41" s="388"/>
      <c r="F41" s="174">
        <v>6</v>
      </c>
      <c r="G41" s="175">
        <v>1</v>
      </c>
      <c r="H41" s="176">
        <v>1</v>
      </c>
      <c r="I41" s="120" t="str">
        <f>IF($B41=0,"",VLOOKUP($B41,Table2[],5,FALSE))</f>
        <v>pint</v>
      </c>
      <c r="J41" s="109">
        <f>IF($B41=0,"",VLOOKUP($B41,Table2[],7,FALSE))</f>
        <v>6.625</v>
      </c>
      <c r="K41" s="109">
        <f t="shared" si="2"/>
        <v>6.63</v>
      </c>
      <c r="L41" s="110"/>
    </row>
    <row r="42" spans="2:12" x14ac:dyDescent="0.2">
      <c r="B42" s="180" t="s">
        <v>267</v>
      </c>
      <c r="C42" s="388" t="str">
        <f>IF(B42=0,"",VLOOKUP($B42,Table2[],2,FALSE))</f>
        <v>Herbicide</v>
      </c>
      <c r="D42" s="388"/>
      <c r="E42" s="388"/>
      <c r="F42" s="174">
        <v>6</v>
      </c>
      <c r="G42" s="175">
        <v>1</v>
      </c>
      <c r="H42" s="176">
        <v>3</v>
      </c>
      <c r="I42" s="120" t="str">
        <f>IF($B42=0,"",VLOOKUP($B42,Table2[],5,FALSE))</f>
        <v>ounce</v>
      </c>
      <c r="J42" s="109">
        <f>IF($B42=0,"",VLOOKUP($B42,Table2[],7,FALSE))</f>
        <v>3.90625</v>
      </c>
      <c r="K42" s="109">
        <f t="shared" si="2"/>
        <v>11.72</v>
      </c>
      <c r="L42" s="110"/>
    </row>
    <row r="43" spans="2:12" x14ac:dyDescent="0.2">
      <c r="B43" s="180" t="s">
        <v>302</v>
      </c>
      <c r="C43" s="388" t="str">
        <f>IF(B43=0,"",VLOOKUP($B43,Table2[],2,FALSE))</f>
        <v>Other</v>
      </c>
      <c r="D43" s="388"/>
      <c r="E43" s="388"/>
      <c r="F43" s="174">
        <v>9</v>
      </c>
      <c r="G43" s="175">
        <v>1</v>
      </c>
      <c r="H43" s="176">
        <v>3</v>
      </c>
      <c r="I43" s="120" t="str">
        <f>IF($B43=0,"",VLOOKUP($B43,Table2[],5,FALSE))</f>
        <v>ton</v>
      </c>
      <c r="J43" s="109">
        <f>IF($B43=0,"",VLOOKUP($B43,Table2[],7,FALSE))</f>
        <v>15</v>
      </c>
      <c r="K43" s="109">
        <f t="shared" si="2"/>
        <v>45</v>
      </c>
      <c r="L43" s="110"/>
    </row>
    <row r="44" spans="2:12" ht="12.75" hidden="1" customHeight="1" x14ac:dyDescent="0.2">
      <c r="B44" s="217"/>
      <c r="C44" s="387" t="str">
        <f>IF(B44=0,"",VLOOKUP($B44,Table2[],2,FALSE))</f>
        <v/>
      </c>
      <c r="D44" s="387"/>
      <c r="E44" s="387"/>
      <c r="F44" s="218"/>
      <c r="G44" s="224"/>
      <c r="H44" s="225"/>
      <c r="I44" s="223" t="str">
        <f>IF($B44=0,"",VLOOKUP($B44,Table2[],5,FALSE))</f>
        <v/>
      </c>
      <c r="J44" s="215" t="str">
        <f>IF($B44=0,"",VLOOKUP($B44,Table2[],7,FALSE))</f>
        <v/>
      </c>
      <c r="K44" s="215">
        <f t="shared" si="2"/>
        <v>0</v>
      </c>
      <c r="L44" s="216"/>
    </row>
    <row r="45" spans="2:12" ht="12.75" hidden="1" customHeight="1" x14ac:dyDescent="0.2">
      <c r="B45" s="111"/>
      <c r="C45" s="388" t="str">
        <f>IF(B45=0,"",VLOOKUP($B45,Table2[],2,FALSE))</f>
        <v/>
      </c>
      <c r="D45" s="388"/>
      <c r="E45" s="388"/>
      <c r="F45" s="112"/>
      <c r="G45" s="177"/>
      <c r="H45" s="178"/>
      <c r="I45" s="120" t="str">
        <f>IF($B45=0,"",VLOOKUP($B45,Table2[],5,FALSE))</f>
        <v/>
      </c>
      <c r="J45" s="109" t="str">
        <f>IF($B45=0,"",VLOOKUP($B45,Table2[],7,FALSE))</f>
        <v/>
      </c>
      <c r="K45" s="109">
        <f t="shared" si="2"/>
        <v>0</v>
      </c>
      <c r="L45" s="110"/>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217"/>
      <c r="C48" s="387" t="str">
        <f>IF(B48=0,"",VLOOKUP($B48,Table2[],2,FALSE))</f>
        <v/>
      </c>
      <c r="D48" s="387"/>
      <c r="E48" s="387"/>
      <c r="F48" s="218"/>
      <c r="G48" s="224"/>
      <c r="H48" s="225"/>
      <c r="I48" s="223" t="str">
        <f>IF($B48=0,"",VLOOKUP($B48,Table2[],5,FALSE))</f>
        <v/>
      </c>
      <c r="J48" s="215" t="str">
        <f>IF($B48=0,"",VLOOKUP($B48,Table2[],7,FALSE))</f>
        <v/>
      </c>
      <c r="K48" s="215">
        <f t="shared" si="2"/>
        <v>0</v>
      </c>
      <c r="L48" s="216"/>
    </row>
    <row r="49" spans="2:12" ht="12.75" hidden="1" customHeight="1" x14ac:dyDescent="0.2">
      <c r="B49" s="111"/>
      <c r="C49" s="388" t="str">
        <f>IF(B49=0,"",VLOOKUP($B49,Table2[],2,FALSE))</f>
        <v/>
      </c>
      <c r="D49" s="388"/>
      <c r="E49" s="388"/>
      <c r="F49" s="112"/>
      <c r="G49" s="177"/>
      <c r="H49" s="178"/>
      <c r="I49" s="120" t="str">
        <f>IF($B49=0,"",VLOOKUP($B49,Table2[],5,FALSE))</f>
        <v/>
      </c>
      <c r="J49" s="109" t="str">
        <f>IF($B49=0,"",VLOOKUP($B49,Table2[],7,FALSE))</f>
        <v/>
      </c>
      <c r="K49" s="109">
        <f t="shared" si="2"/>
        <v>0</v>
      </c>
      <c r="L49" s="110"/>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hidden="1" x14ac:dyDescent="0.2">
      <c r="C61" s="388" t="s">
        <v>655</v>
      </c>
      <c r="D61" s="388"/>
      <c r="E61" s="388"/>
      <c r="F61" s="112"/>
      <c r="G61" s="177"/>
      <c r="H61" s="178"/>
      <c r="I61" s="170"/>
      <c r="J61" s="109" t="e">
        <f ca="1">IF(F5=0,E5,F5)</f>
        <v>#N/A</v>
      </c>
      <c r="K61" s="109">
        <f t="shared" si="2"/>
        <v>0</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J63" s="126"/>
      <c r="K63" s="127">
        <f>SUM(K37:K61)</f>
        <v>199.1</v>
      </c>
      <c r="L63" s="110"/>
    </row>
    <row r="64" spans="2:12" x14ac:dyDescent="0.2">
      <c r="K64" s="127"/>
    </row>
    <row r="65" spans="2:12" x14ac:dyDescent="0.2">
      <c r="B65" s="107" t="s">
        <v>672</v>
      </c>
      <c r="K65" s="127">
        <f>K33+K63</f>
        <v>411.16999999999996</v>
      </c>
      <c r="L65" s="110"/>
    </row>
    <row r="66" spans="2:12" ht="13.5" thickBot="1" x14ac:dyDescent="0.25">
      <c r="D66" s="128" t="s">
        <v>673</v>
      </c>
      <c r="E66" s="129">
        <f>ROUND(SUM($E$33:$H$33)+$K$63,2)</f>
        <v>304.44</v>
      </c>
      <c r="F66" s="388" t="s">
        <v>674</v>
      </c>
      <c r="G66" s="388"/>
      <c r="H66" s="130">
        <f>'General Variables'!$B$11</f>
        <v>7.4999999999999997E-2</v>
      </c>
      <c r="I66" s="131" t="str">
        <f>CONCATENATE("for ",TEXT('General Variables'!$B$12,"0.0")," mo.")</f>
        <v>for 6.0 mo.</v>
      </c>
      <c r="K66" s="132">
        <f>E66*H66*'General Variables'!$B$12/12</f>
        <v>11.416499999999999</v>
      </c>
      <c r="L66" s="133"/>
    </row>
    <row r="67" spans="2:12" ht="13.5" thickTop="1" x14ac:dyDescent="0.2">
      <c r="B67" s="107" t="s">
        <v>675</v>
      </c>
      <c r="K67" s="127">
        <f>SUM(K65:K66)</f>
        <v>422.58649999999994</v>
      </c>
      <c r="L67" s="110"/>
    </row>
    <row r="68" spans="2:12" x14ac:dyDescent="0.2">
      <c r="K68" s="127"/>
    </row>
    <row r="69" spans="2:12" x14ac:dyDescent="0.2">
      <c r="B69" s="104" t="s">
        <v>676</v>
      </c>
      <c r="C69" s="134"/>
      <c r="D69" s="134"/>
      <c r="E69" s="134"/>
      <c r="F69" s="134"/>
      <c r="G69" s="134"/>
      <c r="H69" s="134"/>
      <c r="I69" s="134"/>
      <c r="J69" s="134"/>
      <c r="K69" s="135">
        <f>'General Variables'!B16</f>
        <v>18</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SUM(K67:K71)</f>
        <v>635.37649999999996</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IF(G4=0,0,(E66+K66+K69+K71)/G4)</f>
        <v>140.26660714285714</v>
      </c>
      <c r="L74" s="148"/>
    </row>
    <row r="75" spans="2:12" x14ac:dyDescent="0.2">
      <c r="B75" s="107" t="str">
        <f>IF(G4="","","Cost of production per "&amp;H4)</f>
        <v>Cost of production per ton</v>
      </c>
      <c r="K75" s="141">
        <f>IF(G4="","",K72/G4)</f>
        <v>226.92017857142858</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row>
    <row r="112" spans="2:11" x14ac:dyDescent="0.2">
      <c r="B112" s="105"/>
      <c r="C112" s="105"/>
      <c r="D112" s="105"/>
      <c r="K112" s="103" t="s">
        <v>681</v>
      </c>
    </row>
    <row r="113" spans="2:11" x14ac:dyDescent="0.2">
      <c r="B113" s="105"/>
      <c r="C113" s="105"/>
      <c r="D113" s="105"/>
      <c r="K113" s="103" t="s">
        <v>654</v>
      </c>
    </row>
    <row r="114" spans="2:11" x14ac:dyDescent="0.2">
      <c r="B114" s="105"/>
      <c r="C114" s="105"/>
      <c r="D114" s="105"/>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4:E44"/>
    <mergeCell ref="C45:E45"/>
    <mergeCell ref="C46:E46"/>
    <mergeCell ref="C47:E47"/>
    <mergeCell ref="A6:M6"/>
    <mergeCell ref="C3:E3"/>
    <mergeCell ref="K2:L2"/>
    <mergeCell ref="G2:H2"/>
    <mergeCell ref="C4:E4"/>
  </mergeCells>
  <dataValidations count="9">
    <dataValidation type="list" allowBlank="1" showInputMessage="1" showErrorMessage="1" sqref="B62" xr:uid="{00000000-0002-0000-0A00-000000000000}">
      <formula1>$C$111:$C$210</formula1>
    </dataValidation>
    <dataValidation type="list" allowBlank="1" showInputMessage="1" showErrorMessage="1" sqref="B32" xr:uid="{00000000-0002-0000-0A00-000001000000}">
      <formula1>$B$111:$B$210</formula1>
    </dataValidation>
    <dataValidation type="list" allowBlank="1" showInputMessage="1" showErrorMessage="1" sqref="K4" xr:uid="{00000000-0002-0000-0A00-000002000000}">
      <formula1>$K$111:$K$113</formula1>
    </dataValidation>
    <dataValidation type="list" allowBlank="1" showInputMessage="1" showErrorMessage="1" sqref="B37:B60" xr:uid="{00000000-0002-0000-0A00-000003000000}">
      <formula1>MaterialList</formula1>
    </dataValidation>
    <dataValidation type="list" allowBlank="1" showInputMessage="1" showErrorMessage="1" sqref="C70:E70" xr:uid="{00000000-0002-0000-0A00-000004000000}">
      <formula1>RealEstateList</formula1>
    </dataValidation>
    <dataValidation type="list" allowBlank="1" showInputMessage="1" showErrorMessage="1" sqref="B12:B31" xr:uid="{00000000-0002-0000-0A00-000005000000}">
      <formula1>OperationList</formula1>
    </dataValidation>
    <dataValidation type="list" allowBlank="1" showInputMessage="1" showErrorMessage="1" sqref="D12:D32" xr:uid="{00000000-0002-0000-0A00-000006000000}">
      <formula1>#REF!</formula1>
    </dataValidation>
    <dataValidation type="list" allowBlank="1" showInputMessage="1" showErrorMessage="1" sqref="K2" xr:uid="{00000000-0002-0000-0A00-000007000000}">
      <formula1>watersource</formula1>
    </dataValidation>
    <dataValidation type="list" allowBlank="1" showInputMessage="1" showErrorMessage="1" sqref="C3" xr:uid="{00000000-0002-0000-0A00-000008000000}">
      <formula1>TillageSystem</formula1>
    </dataValidation>
  </dataValidations>
  <pageMargins left="0.7" right="0.7" top="0.75" bottom="0.75" header="0.3" footer="0.3"/>
  <pageSetup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5">
    <pageSetUpPr fitToPage="1"/>
  </sheetPr>
  <dimension ref="A2:M257"/>
  <sheetViews>
    <sheetView topLeftCell="A40" zoomScaleNormal="100" workbookViewId="0">
      <selection activeCell="C71" sqref="C71:E7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689</v>
      </c>
      <c r="H2" s="392"/>
      <c r="J2" s="128" t="s">
        <v>649</v>
      </c>
      <c r="K2" s="401" t="s">
        <v>74</v>
      </c>
      <c r="L2" s="401"/>
    </row>
    <row r="3" spans="1:13" hidden="1" x14ac:dyDescent="0.2">
      <c r="B3" s="103" t="s">
        <v>38</v>
      </c>
      <c r="C3" s="391" t="s">
        <v>43</v>
      </c>
      <c r="D3" s="391"/>
      <c r="E3" s="391"/>
      <c r="G3" s="128" t="s">
        <v>650</v>
      </c>
      <c r="H3" s="187" t="s">
        <v>684</v>
      </c>
      <c r="J3" s="128" t="s">
        <v>651</v>
      </c>
      <c r="K3" s="187"/>
    </row>
    <row r="4" spans="1:13" hidden="1" x14ac:dyDescent="0.2">
      <c r="B4" s="103" t="s">
        <v>652</v>
      </c>
      <c r="C4" s="392" t="s">
        <v>690</v>
      </c>
      <c r="D4" s="392"/>
      <c r="E4" s="392"/>
      <c r="G4" s="103">
        <f>IFERROR(VALUE(LEFT($H$3,FIND(" ",$H$3))),"")</f>
        <v>2.8</v>
      </c>
      <c r="H4" s="103" t="str">
        <f>IFERROR(RIGHT(H3,LEN(H3)-LEN(G4)-1),"")</f>
        <v>ton</v>
      </c>
      <c r="J4" s="128" t="s">
        <v>653</v>
      </c>
      <c r="K4" s="188"/>
    </row>
    <row r="5" spans="1:13" ht="15.75" hidden="1" customHeight="1" x14ac:dyDescent="0.2">
      <c r="B5" s="103" t="s">
        <v>655</v>
      </c>
      <c r="C5" s="238" t="str">
        <f ca="1">MID(CELL("filename",C5),FIND("]",CELL("filename",C5))+1,255)</f>
        <v>5-Alfalfa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5-Alfalfa, Roundup Ready®, Small Square Bales, Conventional Tillage, Establish Spring Seed, 2.8 ton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5-Alfalfa, Roundup Ready®, Small Square Bales, Conventional Tillage, Establish Spring Seed, 2.8 ton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IF(C13&gt;9999,"",ROUND(SUM(E13:J13),2))</f>
        <v>18.059999999999999</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306</v>
      </c>
      <c r="C15" s="214">
        <v>1</v>
      </c>
      <c r="D15" s="214"/>
      <c r="E15" s="215">
        <f>IF(B15=0,"",IF(C15&gt;9999,"",ROUND('General Variables'!$B$4*VLOOKUP(B15,Operations!$A$2:$U$79,10,FALSE)/VLOOKUP(B15,Operations!$A$2:$U$79,9,FALSE)*C15,2)))</f>
        <v>4.05</v>
      </c>
      <c r="F15" s="215">
        <f>IF(B15=0,0,IF(C15&gt;9999,"",ROUND(IF(VLOOKUP(B15,Operations!$A$2:$U$79,12,FALSE)=0,VLOOKUP(B15,Operations!$A$2:$U$79,13,FALSE)*'General Variables'!$B$8,VLOOKUP(B15,Operations!$A$2:$U$79,12,FALSE)*'General Variables'!$B$7)/VLOOKUP(B15,Operations!$A$2:$U$79,9,FALSE)*C15,2)))</f>
        <v>1.72</v>
      </c>
      <c r="G15" s="215">
        <f>IF(B15=0,0,IF(C15&gt;9999,"",ROUND(VLOOKUP(VLOOKUP(B15,Operations!$A$2:$U$79,11,FALSE),PowerUnits[],10,FALSE)/VLOOKUP(B15,Operations!$A$2:$U$79,9,FALSE)*C15,2)))</f>
        <v>0.1</v>
      </c>
      <c r="H15" s="215">
        <f>IF(B15=0,"",IF(C15&gt;9999,"",ROUND(VLOOKUP($B15,Operations!$A$2:$U$79,15,FALSE)*C15,2)))</f>
        <v>4.17</v>
      </c>
      <c r="I15" s="215">
        <f>IF(B15=0,0,IF(C15&gt;9999,"",ROUND(VLOOKUP(VLOOKUP(B15,Operations!$A$2:$U$79,11,FALSE),PowerUnits[],16,FALSE)/VLOOKUP(B15,Operations!$A$2:$U$79,9,FALSE)*C15,2)))</f>
        <v>5.41</v>
      </c>
      <c r="J15" s="215">
        <f>IF(B15=0,"",IF(C15&gt;9999,"",ROUND(VLOOKUP($B15,Operations!$A$2:$U$79,21,FALSE)*$C15,2)))</f>
        <v>3.63</v>
      </c>
      <c r="K15" s="215">
        <f t="shared" si="0"/>
        <v>19.079999999999998</v>
      </c>
      <c r="L15" s="216"/>
    </row>
    <row r="16" spans="1:13" x14ac:dyDescent="0.2">
      <c r="A16" s="170">
        <v>5</v>
      </c>
      <c r="B16" s="180" t="s">
        <v>552</v>
      </c>
      <c r="C16" s="174">
        <v>0.2</v>
      </c>
      <c r="D16" s="174"/>
      <c r="E16" s="109">
        <f>IF(B16=0,"",IF(C16&gt;9999,"",ROUND('General Variables'!$B$4*VLOOKUP(B16,Operations!$A$2:$U$79,10,FALSE)/VLOOKUP(B16,Operations!$A$2:$U$79,9,FALSE)*C16,2)))</f>
        <v>0.2</v>
      </c>
      <c r="F16" s="109">
        <f>IF(B16=0,0,IF(C16&gt;9999,"",ROUND(IF(VLOOKUP(B16,Operations!$A$2:$U$79,12,FALSE)=0,VLOOKUP(B16,Operations!$A$2:$U$79,13,FALSE)*'General Variables'!$B$8,VLOOKUP(B16,Operations!$A$2:$U$79,12,FALSE)*'General Variables'!$B$7)/VLOOKUP(B16,Operations!$A$2:$U$79,9,FALSE)*C16,2)))</f>
        <v>0.05</v>
      </c>
      <c r="G16" s="109">
        <f>IF(B16=0,0,IF(C16&gt;9999,"",ROUND(VLOOKUP(VLOOKUP(B16,Operations!$A$2:$U$79,11,FALSE),PowerUnits[],10,FALSE)/VLOOKUP(B16,Operations!$A$2:$U$79,9,FALSE)*C16,2)))</f>
        <v>0.01</v>
      </c>
      <c r="H16" s="109">
        <f>IF(B16=0,"",IF(C16&gt;9999,"",ROUND(VLOOKUP($B16,Operations!$A$2:$U$79,15,FALSE)*C16,2)))</f>
        <v>0.22</v>
      </c>
      <c r="I16" s="109">
        <f>IF(B16=0,0,IF(C16&gt;9999,"",ROUND(VLOOKUP(VLOOKUP(B16,Operations!$A$2:$U$79,11,FALSE),PowerUnits[],16,FALSE)/VLOOKUP(B16,Operations!$A$2:$U$79,9,FALSE)*C16,2)))</f>
        <v>0.26</v>
      </c>
      <c r="J16" s="109">
        <f>IF(B16=0,"",IF(C16&gt;9999,"",ROUND(VLOOKUP($B16,Operations!$A$2:$U$79,21,FALSE)*$C16,2)))</f>
        <v>0.4</v>
      </c>
      <c r="K16" s="109">
        <f t="shared" si="0"/>
        <v>1.1399999999999999</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559</v>
      </c>
      <c r="C18" s="174">
        <v>2</v>
      </c>
      <c r="D18" s="174"/>
      <c r="E18" s="109">
        <f>IF(B18=0,"",IF(C18&gt;9999,"",ROUND('General Variables'!$B$4*VLOOKUP(B18,Operations!$A$2:$U$79,10,FALSE)/VLOOKUP(B18,Operations!$A$2:$U$79,9,FALSE)*C18,2)))</f>
        <v>5.4</v>
      </c>
      <c r="F18" s="109">
        <f>IF(B18=0,0,IF(C18&gt;9999,"",ROUND(IF(VLOOKUP(B18,Operations!$A$2:$U$79,12,FALSE)=0,VLOOKUP(B18,Operations!$A$2:$U$79,13,FALSE)*'General Variables'!$B$8,VLOOKUP(B18,Operations!$A$2:$U$79,12,FALSE)*'General Variables'!$B$7)/VLOOKUP(B18,Operations!$A$2:$U$79,9,FALSE)*C18,2)))</f>
        <v>3.2</v>
      </c>
      <c r="G18" s="109">
        <f>IF(B18=0,0,IF(C18&gt;9999,"",ROUND(VLOOKUP(VLOOKUP(B18,Operations!$A$2:$U$79,11,FALSE),PowerUnits[],10,FALSE)/VLOOKUP(B18,Operations!$A$2:$U$79,9,FALSE)*C18,2)))</f>
        <v>2.04</v>
      </c>
      <c r="H18" s="109">
        <f>IF(B18=0,"",IF(C18&gt;9999,"",ROUND(VLOOKUP($B18,Operations!$A$2:$U$79,15,FALSE)*C18,2)))</f>
        <v>2.0299999999999998</v>
      </c>
      <c r="I18" s="109">
        <f>IF(B18=0,0,IF(C18&gt;9999,"",ROUND(VLOOKUP(VLOOKUP(B18,Operations!$A$2:$U$79,11,FALSE),PowerUnits[],16,FALSE)/VLOOKUP(B18,Operations!$A$2:$U$79,9,FALSE)*C18,2)))</f>
        <v>7.49</v>
      </c>
      <c r="J18" s="109">
        <f>IF(B18=0,"",IF(C18&gt;9999,"",ROUND(VLOOKUP($B18,Operations!$A$2:$U$79,21,FALSE)*$C18,2)))</f>
        <v>10.15</v>
      </c>
      <c r="K18" s="109">
        <f t="shared" si="0"/>
        <v>30.31</v>
      </c>
      <c r="L18" s="110"/>
    </row>
    <row r="19" spans="1:12" x14ac:dyDescent="0.2">
      <c r="A19" s="170">
        <v>8</v>
      </c>
      <c r="B19" s="213" t="s">
        <v>566</v>
      </c>
      <c r="C19" s="214">
        <v>0.5</v>
      </c>
      <c r="D19" s="214"/>
      <c r="E19" s="215">
        <f>IF(B19=0,"",IF(C19&gt;9999,"",ROUND('General Variables'!$B$4*VLOOKUP(B19,Operations!$A$2:$U$79,10,FALSE)/VLOOKUP(B19,Operations!$A$2:$U$79,9,FALSE)*C19,2)))</f>
        <v>1.1299999999999999</v>
      </c>
      <c r="F19" s="215">
        <f>IF(B19=0,0,IF(C19&gt;9999,"",ROUND(IF(VLOOKUP(B19,Operations!$A$2:$U$79,12,FALSE)=0,VLOOKUP(B19,Operations!$A$2:$U$79,13,FALSE)*'General Variables'!$B$8,VLOOKUP(B19,Operations!$A$2:$U$79,12,FALSE)*'General Variables'!$B$7)/VLOOKUP(B19,Operations!$A$2:$U$79,9,FALSE)*C19,2)))</f>
        <v>0.28000000000000003</v>
      </c>
      <c r="G19" s="215">
        <f>IF(B19=0,0,IF(C19&gt;9999,"",ROUND(VLOOKUP(VLOOKUP(B19,Operations!$A$2:$U$79,11,FALSE),PowerUnits[],10,FALSE)/VLOOKUP(B19,Operations!$A$2:$U$79,9,FALSE)*C19,2)))</f>
        <v>0.42</v>
      </c>
      <c r="H19" s="215">
        <f>IF(B19=0,"",IF(C19&gt;9999,"",ROUND(VLOOKUP($B19,Operations!$A$2:$U$79,15,FALSE)*C19,2)))</f>
        <v>0.12</v>
      </c>
      <c r="I19" s="215">
        <f>IF(B19=0,0,IF(C19&gt;9999,"",ROUND(VLOOKUP(VLOOKUP(B19,Operations!$A$2:$U$79,11,FALSE),PowerUnits[],16,FALSE)/VLOOKUP(B19,Operations!$A$2:$U$79,9,FALSE)*C19,2)))</f>
        <v>1.56</v>
      </c>
      <c r="J19" s="215">
        <f>IF(B19=0,"",IF(C19&gt;9999,"",ROUND(VLOOKUP($B19,Operations!$A$2:$U$79,21,FALSE)*$C19,2)))</f>
        <v>0.26</v>
      </c>
      <c r="K19" s="215">
        <f t="shared" si="0"/>
        <v>3.77</v>
      </c>
      <c r="L19" s="216"/>
    </row>
    <row r="20" spans="1:12" x14ac:dyDescent="0.2">
      <c r="A20" s="170">
        <v>9</v>
      </c>
      <c r="B20" s="180" t="s">
        <v>403</v>
      </c>
      <c r="C20" s="293">
        <f>$G$4</f>
        <v>2.8</v>
      </c>
      <c r="D20" s="112" t="s">
        <v>187</v>
      </c>
      <c r="E20" s="109">
        <f>IF(B20=0,"",IF(C20&gt;9999,"",ROUND('General Variables'!$B$4*VLOOKUP(B20,Operations!$A$2:$U$79,10,FALSE)/VLOOKUP(B20,Operations!$A$2:$U$79,9,FALSE)*C20,2)))</f>
        <v>20.79</v>
      </c>
      <c r="F20" s="109">
        <f>IF(B20=0,0,IF(C20&gt;9999,"",ROUND(IF(VLOOKUP(B20,Operations!$A$2:$U$79,12,FALSE)=0,VLOOKUP(B20,Operations!$A$2:$U$79,13,FALSE)*'General Variables'!$B$8,VLOOKUP(B20,Operations!$A$2:$U$79,12,FALSE)*'General Variables'!$B$7)/VLOOKUP(B20,Operations!$A$2:$U$79,9,FALSE)*C20,2)))</f>
        <v>7.83</v>
      </c>
      <c r="G20" s="109">
        <f>IF(B20=0,0,IF(C20&gt;9999,"",ROUND(VLOOKUP(VLOOKUP(B20,Operations!$A$2:$U$79,11,FALSE),PowerUnits[],10,FALSE)/VLOOKUP(B20,Operations!$A$2:$U$79,9,FALSE)*C20,2)))</f>
        <v>0.59</v>
      </c>
      <c r="H20" s="109">
        <f>IF(B20=0,"",IF(C20&gt;9999,"",ROUND(VLOOKUP($B20,Operations!$A$2:$U$79,15,FALSE)*C20,2)))</f>
        <v>21.71</v>
      </c>
      <c r="I20" s="109">
        <f>IF(B20=0,0,IF(C20&gt;9999,"",ROUND(VLOOKUP(VLOOKUP(B20,Operations!$A$2:$U$79,11,FALSE),PowerUnits[],16,FALSE)/VLOOKUP(B20,Operations!$A$2:$U$79,9,FALSE)*C20,2)))</f>
        <v>30.3</v>
      </c>
      <c r="J20" s="109">
        <f>IF(B20=0,"",IF(C20&gt;9999,"",ROUND(VLOOKUP($B20,Operations!$A$2:$U$79,21,FALSE)*$C20,2)))</f>
        <v>5.0199999999999996</v>
      </c>
      <c r="K20" s="109">
        <f>IF(C20&gt;9999,"",ROUND(SUM(E20:J20),2))</f>
        <v>86.24</v>
      </c>
      <c r="L20" s="110"/>
    </row>
    <row r="21" spans="1:12" x14ac:dyDescent="0.2">
      <c r="A21" s="170">
        <v>10</v>
      </c>
      <c r="B21" s="180" t="s">
        <v>511</v>
      </c>
      <c r="C21" s="293">
        <v>2.8</v>
      </c>
      <c r="D21" s="112" t="s">
        <v>187</v>
      </c>
      <c r="E21" s="109">
        <f>IF(B21=0,"",IF(C21&gt;9999,"",ROUND('General Variables'!$B$4*VLOOKUP(B21,Operations!$A$2:$U$79,10,FALSE)/VLOOKUP(B21,Operations!$A$2:$U$79,9,FALSE)*C21,2)))</f>
        <v>7.56</v>
      </c>
      <c r="F21" s="109">
        <f>IF(B21=0,0,IF(C21&gt;9999,"",ROUND(IF(VLOOKUP(B21,Operations!$A$2:$U$79,12,FALSE)=0,VLOOKUP(B21,Operations!$A$2:$U$79,13,FALSE)*'General Variables'!$B$8,VLOOKUP(B21,Operations!$A$2:$U$79,12,FALSE)*'General Variables'!$B$7)/VLOOKUP(B21,Operations!$A$2:$U$79,9,FALSE)*C21,2)))</f>
        <v>1.79</v>
      </c>
      <c r="G21" s="109">
        <f>IF(B21=0,0,IF(C21&gt;9999,"",ROUND(VLOOKUP(VLOOKUP(B21,Operations!$A$2:$U$79,11,FALSE),PowerUnits[],10,FALSE)/VLOOKUP(B21,Operations!$A$2:$U$79,9,FALSE)*C21,2)))</f>
        <v>0.23</v>
      </c>
      <c r="H21" s="109">
        <f>IF(B21=0,"",IF(C21&gt;9999,"",ROUND(VLOOKUP($B21,Operations!$A$2:$U$79,15,FALSE)*C21,2)))</f>
        <v>0.87</v>
      </c>
      <c r="I21" s="109">
        <f>IF(B21=0,0,IF(C21&gt;9999,"",ROUND(VLOOKUP(VLOOKUP(B21,Operations!$A$2:$U$79,11,FALSE),PowerUnits[],16,FALSE)/VLOOKUP(B21,Operations!$A$2:$U$79,9,FALSE)*C21,2)))</f>
        <v>12.12</v>
      </c>
      <c r="J21" s="109">
        <f>IF(B21=0,"",IF(C21&gt;9999,"",ROUND(VLOOKUP($B21,Operations!$A$2:$U$79,21,FALSE)*$C21,2)))</f>
        <v>1.25</v>
      </c>
      <c r="K21" s="109">
        <f>IF(C21&gt;9999,"",ROUND(SUM(E21:J21),2))</f>
        <v>23.82</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46.980000000000004</v>
      </c>
      <c r="F33" s="109">
        <f t="shared" ref="F33:K33" si="1">SUM(F12:F31)</f>
        <v>20.279999999999998</v>
      </c>
      <c r="G33" s="109">
        <f t="shared" si="1"/>
        <v>4.03</v>
      </c>
      <c r="H33" s="109">
        <f t="shared" si="1"/>
        <v>34.049999999999997</v>
      </c>
      <c r="I33" s="109">
        <f t="shared" si="1"/>
        <v>76.470000000000013</v>
      </c>
      <c r="J33" s="109">
        <f t="shared" si="1"/>
        <v>30.26</v>
      </c>
      <c r="K33" s="109">
        <f t="shared" si="1"/>
        <v>212.07</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306</v>
      </c>
      <c r="C38" s="388" t="str">
        <f>IF(B38=0,"",VLOOKUP($B38,Table2[],2,FALSE))</f>
        <v>Rental</v>
      </c>
      <c r="D38" s="388"/>
      <c r="E38" s="388"/>
      <c r="F38" s="174">
        <v>4</v>
      </c>
      <c r="G38" s="175">
        <v>1</v>
      </c>
      <c r="H38" s="176">
        <v>1</v>
      </c>
      <c r="I38" s="120" t="str">
        <f>IF($B38=0,"",VLOOKUP($B38,Table2[],5,FALSE))</f>
        <v>acre</v>
      </c>
      <c r="J38" s="109">
        <f>IF($B38=0,"",VLOOKUP($B38,Table2[],7,FALSE))</f>
        <v>20</v>
      </c>
      <c r="K38" s="109">
        <f t="shared" ref="K38:K62" si="2">IF(B38=0,0,ROUND(G38*H38*J38,2))</f>
        <v>20</v>
      </c>
      <c r="L38" s="110"/>
    </row>
    <row r="39" spans="2:12" x14ac:dyDescent="0.2">
      <c r="B39" s="180" t="s">
        <v>317</v>
      </c>
      <c r="C39" s="388" t="str">
        <f>IF(B39=0,"",VLOOKUP($B39,Table2[],2,FALSE))</f>
        <v>Seed</v>
      </c>
      <c r="D39" s="388"/>
      <c r="E39" s="388"/>
      <c r="F39" s="174">
        <v>4</v>
      </c>
      <c r="G39" s="175">
        <v>1</v>
      </c>
      <c r="H39" s="176">
        <v>12</v>
      </c>
      <c r="I39" s="120" t="str">
        <f>IF($B39=0,"",VLOOKUP($B39,Table2[],5,FALSE))</f>
        <v>pound</v>
      </c>
      <c r="J39" s="109">
        <f>IF($B39=0,"",VLOOKUP($B39,Table2[],7,FALSE))</f>
        <v>10.5</v>
      </c>
      <c r="K39" s="109">
        <f t="shared" si="2"/>
        <v>126</v>
      </c>
      <c r="L39" s="110"/>
    </row>
    <row r="40" spans="2:12" x14ac:dyDescent="0.2">
      <c r="B40" s="213" t="s">
        <v>288</v>
      </c>
      <c r="C40" s="387" t="str">
        <f>IF(B40=0,"",VLOOKUP($B40,Table2[],2,FALSE))</f>
        <v>Insecticide</v>
      </c>
      <c r="D40" s="387"/>
      <c r="E40" s="387"/>
      <c r="F40" s="214">
        <v>5</v>
      </c>
      <c r="G40" s="221">
        <v>0.2</v>
      </c>
      <c r="H40" s="222">
        <v>3</v>
      </c>
      <c r="I40" s="223" t="str">
        <f>IF($B40=0,"",VLOOKUP($B40,Table2[],5,FALSE))</f>
        <v>ounce</v>
      </c>
      <c r="J40" s="215">
        <f>IF($B40=0,"",VLOOKUP($B40,Table2[],7,FALSE))</f>
        <v>1.25</v>
      </c>
      <c r="K40" s="215">
        <f t="shared" si="2"/>
        <v>0.75</v>
      </c>
      <c r="L40" s="216"/>
    </row>
    <row r="41" spans="2:12" x14ac:dyDescent="0.2">
      <c r="B41" s="180" t="s">
        <v>889</v>
      </c>
      <c r="C41" s="388" t="str">
        <f>IF(B41=0,"",VLOOKUP($B41,Table2[],2,FALSE))</f>
        <v>Herbicide</v>
      </c>
      <c r="D41" s="388"/>
      <c r="E41" s="388"/>
      <c r="F41" s="174">
        <v>6</v>
      </c>
      <c r="G41" s="175">
        <v>1</v>
      </c>
      <c r="H41" s="176">
        <v>32</v>
      </c>
      <c r="I41" s="120" t="str">
        <f>IF($B41=0,"",VLOOKUP($B41,Table2[],5,FALSE))</f>
        <v>ounce</v>
      </c>
      <c r="J41" s="109">
        <f>IF($B41=0,"",VLOOKUP($B41,Table2[],7,FALSE))</f>
        <v>0.1953125</v>
      </c>
      <c r="K41" s="109">
        <f t="shared" si="2"/>
        <v>6.25</v>
      </c>
      <c r="L41" s="110"/>
    </row>
    <row r="42" spans="2:12" x14ac:dyDescent="0.2">
      <c r="B42" s="180" t="s">
        <v>245</v>
      </c>
      <c r="C42" s="388" t="str">
        <f>IF(B42=0,"",VLOOKUP($B42,Table2[],2,FALSE))</f>
        <v>Herbicide</v>
      </c>
      <c r="D42" s="388"/>
      <c r="E42" s="388"/>
      <c r="F42" s="174">
        <v>6</v>
      </c>
      <c r="G42" s="175">
        <v>1</v>
      </c>
      <c r="H42" s="176">
        <v>1</v>
      </c>
      <c r="I42" s="120" t="s">
        <v>179</v>
      </c>
      <c r="J42" s="109">
        <f>IF($B42=0,"",VLOOKUP($B42,Table2[],7,FALSE))</f>
        <v>6.625</v>
      </c>
      <c r="K42" s="109">
        <f>IF($B42=0,"",VLOOKUP($B42,Table2[],7,FALSE))</f>
        <v>6.625</v>
      </c>
      <c r="L42" s="110"/>
    </row>
    <row r="43" spans="2:12" x14ac:dyDescent="0.2">
      <c r="B43" s="180" t="s">
        <v>170</v>
      </c>
      <c r="C43" s="388" t="str">
        <f>IF(B43=0,"",VLOOKUP($B43,Table2[],2,FALSE))</f>
        <v>Additive</v>
      </c>
      <c r="D43" s="388"/>
      <c r="E43" s="388"/>
      <c r="F43" s="174">
        <v>6</v>
      </c>
      <c r="G43" s="175">
        <v>1</v>
      </c>
      <c r="H43" s="184">
        <v>1.7</v>
      </c>
      <c r="I43" s="120" t="str">
        <f>IF($B43=0,"",VLOOKUP($B43,Table2[],5,FALSE))</f>
        <v>pound</v>
      </c>
      <c r="J43" s="109">
        <f>IF($B43=0,"",VLOOKUP($B43,Table2[],7,FALSE))</f>
        <v>0.4</v>
      </c>
      <c r="K43" s="109">
        <f t="shared" si="2"/>
        <v>0.68</v>
      </c>
      <c r="L43" s="110"/>
    </row>
    <row r="44" spans="2:12" x14ac:dyDescent="0.2">
      <c r="B44" s="180" t="s">
        <v>302</v>
      </c>
      <c r="C44" s="388" t="str">
        <f>IF(B44=0,"",VLOOKUP($B44,Table2[],2,FALSE))</f>
        <v>Other</v>
      </c>
      <c r="D44" s="388"/>
      <c r="E44" s="388"/>
      <c r="F44" s="174">
        <v>9</v>
      </c>
      <c r="G44" s="175">
        <v>1</v>
      </c>
      <c r="H44" s="184">
        <v>3</v>
      </c>
      <c r="I44" s="120" t="str">
        <f>IF($B44=0,"",VLOOKUP($B44,Table2[],5,FALSE))</f>
        <v>ton</v>
      </c>
      <c r="J44" s="109">
        <f>IF($B44=0,"",VLOOKUP($B44,Table2[],7,FALSE))</f>
        <v>15</v>
      </c>
      <c r="K44" s="109">
        <f t="shared" si="2"/>
        <v>45</v>
      </c>
      <c r="L44" s="110"/>
    </row>
    <row r="45" spans="2:12" ht="12.75" hidden="1" customHeight="1" x14ac:dyDescent="0.2">
      <c r="B45" s="217"/>
      <c r="C45" s="387" t="str">
        <f>IF(B45=0,"",VLOOKUP($B45,Table2[],2,FALSE))</f>
        <v/>
      </c>
      <c r="D45" s="387"/>
      <c r="E45" s="387"/>
      <c r="F45" s="218"/>
      <c r="G45" s="224"/>
      <c r="H45" s="225"/>
      <c r="I45" s="223" t="str">
        <f>IF($B45=0,"",VLOOKUP($B45,Table2[],5,FALSE))</f>
        <v/>
      </c>
      <c r="J45" s="215" t="str">
        <f>IF($B45=0,"",VLOOKUP($B45,Table2[],7,FALSE))</f>
        <v/>
      </c>
      <c r="K45" s="215">
        <f t="shared" si="2"/>
        <v>0</v>
      </c>
      <c r="L45" s="216"/>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2"/>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2"/>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2"/>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2"/>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245.30500000000001</v>
      </c>
      <c r="L64" s="110"/>
    </row>
    <row r="65" spans="2:12" x14ac:dyDescent="0.2">
      <c r="K65" s="127"/>
    </row>
    <row r="66" spans="2:12" x14ac:dyDescent="0.2">
      <c r="B66" s="107" t="s">
        <v>672</v>
      </c>
      <c r="K66" s="127">
        <f>K33+K64</f>
        <v>457.375</v>
      </c>
      <c r="L66" s="110"/>
    </row>
    <row r="67" spans="2:12" ht="13.5" thickBot="1" x14ac:dyDescent="0.25">
      <c r="D67" s="128" t="s">
        <v>673</v>
      </c>
      <c r="E67" s="129">
        <f>ROUND(SUM($E$33:$H$33)+$K$64,2)</f>
        <v>350.65</v>
      </c>
      <c r="F67" s="388" t="s">
        <v>674</v>
      </c>
      <c r="G67" s="388"/>
      <c r="H67" s="130">
        <f>'General Variables'!$B$11</f>
        <v>7.4999999999999997E-2</v>
      </c>
      <c r="I67" s="131" t="str">
        <f>CONCATENATE("for ",TEXT('General Variables'!$B$12,"0.0")," mo.")</f>
        <v>for 6.0 mo.</v>
      </c>
      <c r="K67" s="132">
        <f>E67*H67*'General Variables'!$B$12/12</f>
        <v>13.149374999999999</v>
      </c>
      <c r="L67" s="133"/>
    </row>
    <row r="68" spans="2:12" ht="13.5" thickTop="1" x14ac:dyDescent="0.2">
      <c r="B68" s="107" t="s">
        <v>675</v>
      </c>
      <c r="K68" s="127">
        <f>SUM(K66:K67)</f>
        <v>470.52437500000002</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30</v>
      </c>
      <c r="D71" s="399"/>
      <c r="E71" s="400"/>
      <c r="F71" s="136">
        <f>IF(C71=0,0,VLOOKUP(C71,RETable,2,FALSE))</f>
        <v>4530</v>
      </c>
      <c r="G71" s="388" t="s">
        <v>678</v>
      </c>
      <c r="H71" s="388"/>
      <c r="I71" s="130">
        <f>'General Variables'!$B$10</f>
        <v>0.03</v>
      </c>
      <c r="K71" s="137">
        <f>ROUND(F71*I71,2)</f>
        <v>135.9</v>
      </c>
      <c r="L71" s="110"/>
    </row>
    <row r="72" spans="2:12" ht="13.5" thickBot="1" x14ac:dyDescent="0.25">
      <c r="B72" s="103" t="s">
        <v>679</v>
      </c>
      <c r="F72" s="138">
        <f>IF(C71=0,0,VLOOKUP(C71,RETable,2,FALSE))</f>
        <v>4530</v>
      </c>
      <c r="G72" s="397" t="s">
        <v>678</v>
      </c>
      <c r="H72" s="397"/>
      <c r="I72" s="139">
        <f>'General Variables'!$B$13</f>
        <v>1.2999999999999999E-2</v>
      </c>
      <c r="J72" s="105"/>
      <c r="K72" s="140">
        <f>ROUND(F72*I72,2)</f>
        <v>58.89</v>
      </c>
      <c r="L72" s="133"/>
    </row>
    <row r="73" spans="2:12" ht="13.5" thickTop="1" x14ac:dyDescent="0.2">
      <c r="B73" s="107" t="s">
        <v>680</v>
      </c>
      <c r="K73" s="127">
        <f>SUM(K68:K72)</f>
        <v>692.31437500000004</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IF(G4=0,0,(E67+K67+K70+K72)/G4)</f>
        <v>160.60334821428572</v>
      </c>
      <c r="L75" s="148"/>
    </row>
    <row r="76" spans="2:12" x14ac:dyDescent="0.2">
      <c r="B76" s="107" t="str">
        <f>IF(G4="","","Cost of production per "&amp;H4)</f>
        <v>Cost of production per ton</v>
      </c>
      <c r="K76" s="141">
        <f>IF(G4="","",K73/G4)</f>
        <v>247.25513392857147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67:G67"/>
    <mergeCell ref="C71:E71"/>
    <mergeCell ref="G71:H71"/>
    <mergeCell ref="G72:H72"/>
    <mergeCell ref="C57:E57"/>
    <mergeCell ref="C58:E58"/>
    <mergeCell ref="C59:E59"/>
    <mergeCell ref="C60:E60"/>
    <mergeCell ref="C61:E61"/>
    <mergeCell ref="C62:E62"/>
    <mergeCell ref="C56:E56"/>
    <mergeCell ref="C45:E45"/>
    <mergeCell ref="C46:E46"/>
    <mergeCell ref="C47:E47"/>
    <mergeCell ref="C48:E48"/>
    <mergeCell ref="C49:E49"/>
    <mergeCell ref="C50:E50"/>
    <mergeCell ref="C51:E51"/>
    <mergeCell ref="C52:E52"/>
    <mergeCell ref="C53:E53"/>
    <mergeCell ref="C54:E54"/>
    <mergeCell ref="C55:E55"/>
    <mergeCell ref="C44:E44"/>
    <mergeCell ref="F35:F36"/>
    <mergeCell ref="G35:G36"/>
    <mergeCell ref="H35:I35"/>
    <mergeCell ref="J35:J36"/>
    <mergeCell ref="C38:E38"/>
    <mergeCell ref="C39:E39"/>
    <mergeCell ref="C40:E40"/>
    <mergeCell ref="C41:E41"/>
    <mergeCell ref="C43:E43"/>
    <mergeCell ref="C37:E37"/>
    <mergeCell ref="C42:E42"/>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0B00-000000000000}">
      <formula1>$B$112:$B$211</formula1>
    </dataValidation>
    <dataValidation type="list" allowBlank="1" showInputMessage="1" showErrorMessage="1" sqref="B63" xr:uid="{00000000-0002-0000-0B00-000001000000}">
      <formula1>$C$112:$C$211</formula1>
    </dataValidation>
    <dataValidation type="list" allowBlank="1" showInputMessage="1" showErrorMessage="1" sqref="K4" xr:uid="{00000000-0002-0000-0B00-000002000000}">
      <formula1>$K$112:$K$114</formula1>
    </dataValidation>
    <dataValidation type="list" allowBlank="1" showInputMessage="1" showErrorMessage="1" sqref="B37:B61" xr:uid="{00000000-0002-0000-0B00-000003000000}">
      <formula1>MaterialList</formula1>
    </dataValidation>
    <dataValidation type="list" allowBlank="1" showInputMessage="1" showErrorMessage="1" sqref="C71:E71" xr:uid="{00000000-0002-0000-0B00-000004000000}">
      <formula1>RealEstateList</formula1>
    </dataValidation>
    <dataValidation type="list" allowBlank="1" showInputMessage="1" showErrorMessage="1" sqref="B12:B31" xr:uid="{00000000-0002-0000-0B00-000005000000}">
      <formula1>OperationList</formula1>
    </dataValidation>
    <dataValidation type="list" allowBlank="1" showInputMessage="1" showErrorMessage="1" sqref="D12:D32" xr:uid="{00000000-0002-0000-0B00-000006000000}">
      <formula1>#REF!</formula1>
    </dataValidation>
    <dataValidation type="list" allowBlank="1" showInputMessage="1" showErrorMessage="1" sqref="K2" xr:uid="{00000000-0002-0000-0B00-000007000000}">
      <formula1>watersource</formula1>
    </dataValidation>
    <dataValidation type="list" allowBlank="1" showInputMessage="1" showErrorMessage="1" sqref="C3" xr:uid="{00000000-0002-0000-0B00-000008000000}">
      <formula1>TillageSystem</formula1>
    </dataValidation>
  </dataValidations>
  <pageMargins left="0.7" right="0.7" top="0.75" bottom="0.75" header="0.3" footer="0.3"/>
  <pageSetup scale="7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6">
    <pageSetUpPr fitToPage="1"/>
  </sheetPr>
  <dimension ref="A2:M256"/>
  <sheetViews>
    <sheetView topLeftCell="A33" zoomScaleNormal="100" workbookViewId="0">
      <selection activeCell="H43" sqref="H43"/>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691</v>
      </c>
      <c r="H2" s="392"/>
      <c r="J2" s="128" t="s">
        <v>649</v>
      </c>
      <c r="K2" s="401" t="s">
        <v>69</v>
      </c>
      <c r="L2" s="401"/>
    </row>
    <row r="3" spans="1:13" hidden="1" x14ac:dyDescent="0.2">
      <c r="B3" s="103" t="s">
        <v>38</v>
      </c>
      <c r="C3" s="391" t="s">
        <v>43</v>
      </c>
      <c r="D3" s="391"/>
      <c r="E3" s="391"/>
      <c r="G3" s="128" t="s">
        <v>650</v>
      </c>
      <c r="H3" s="187" t="s">
        <v>692</v>
      </c>
      <c r="J3" s="128" t="s">
        <v>651</v>
      </c>
      <c r="K3" s="187">
        <v>12</v>
      </c>
    </row>
    <row r="4" spans="1:13" hidden="1" x14ac:dyDescent="0.2">
      <c r="B4" s="103" t="s">
        <v>652</v>
      </c>
      <c r="C4" s="392" t="s">
        <v>685</v>
      </c>
      <c r="D4" s="392"/>
      <c r="E4" s="392"/>
      <c r="G4" s="103">
        <f>IFERROR(VALUE(LEFT($H$3,FIND(" ",$H$3))),"")</f>
        <v>3.8</v>
      </c>
      <c r="H4" s="103" t="str">
        <f>IFERROR(RIGHT(H3,LEN(H3)-LEN(G4)-1),"")</f>
        <v>ton</v>
      </c>
      <c r="J4" s="128" t="s">
        <v>653</v>
      </c>
      <c r="K4" s="188"/>
    </row>
    <row r="5" spans="1:13" ht="15.75" hidden="1" customHeight="1" x14ac:dyDescent="0.2">
      <c r="B5" s="103" t="s">
        <v>655</v>
      </c>
      <c r="C5" s="238" t="str">
        <f ca="1">MID(CELL("filename",C5),FIND("]",CELL("filename",C5))+1,255)</f>
        <v>6-Alfalfa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6-Alfalfa, Large Square Bales, Conventional Tillage, Establish Spring Seed with Herbicides, 3.8 ton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6-Alfalfa, Large Square Bales, Conventional Tillage, Establish Spring Seed with Herbicides, 3.8 ton Yield</v>
      </c>
      <c r="C7" s="393"/>
      <c r="D7" s="393"/>
      <c r="E7" s="393"/>
      <c r="F7" s="393"/>
      <c r="G7" s="393"/>
      <c r="H7" s="393"/>
      <c r="I7" s="393"/>
      <c r="J7" s="393"/>
      <c r="K7" s="393"/>
      <c r="L7" s="393"/>
      <c r="M7" s="186"/>
    </row>
    <row r="8" spans="1:13" ht="15.75" x14ac:dyDescent="0.25">
      <c r="B8" s="189" t="str">
        <f>IF(K2="","",K2)&amp;IF(LEFT(K2,5)="Pivot",", 800 GPM 35 PSI","") &amp; IF(K3="","",", "&amp; K3&amp;" "&amp;J3)</f>
        <v>Pivot Irrigated Diesel, 800 GPM 35 PSI, 12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IF(C13&gt;9999,"",ROUND(SUM(E13:J13),2))</f>
        <v>18.059999999999999</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306</v>
      </c>
      <c r="C15" s="214">
        <v>1</v>
      </c>
      <c r="D15" s="214"/>
      <c r="E15" s="215">
        <f>IF(B15=0,"",IF(C15&gt;9999,"",ROUND('General Variables'!$B$4*VLOOKUP(B15,Operations!$A$2:$U$79,10,FALSE)/VLOOKUP(B15,Operations!$A$2:$U$79,9,FALSE)*C15,2)))</f>
        <v>4.05</v>
      </c>
      <c r="F15" s="215">
        <f>IF(B15=0,0,IF(C15&gt;9999,"",ROUND(IF(VLOOKUP(B15,Operations!$A$2:$U$79,12,FALSE)=0,VLOOKUP(B15,Operations!$A$2:$U$79,13,FALSE)*'General Variables'!$B$8,VLOOKUP(B15,Operations!$A$2:$U$79,12,FALSE)*'General Variables'!$B$7)/VLOOKUP(B15,Operations!$A$2:$U$79,9,FALSE)*C15,2)))</f>
        <v>1.72</v>
      </c>
      <c r="G15" s="215">
        <f>IF(B15=0,0,IF(C15&gt;9999,"",ROUND(VLOOKUP(VLOOKUP(B15,Operations!$A$2:$U$79,11,FALSE),PowerUnits[],10,FALSE)/VLOOKUP(B15,Operations!$A$2:$U$79,9,FALSE)*C15,2)))</f>
        <v>0.1</v>
      </c>
      <c r="H15" s="215">
        <f>IF(B15=0,"",IF(C15&gt;9999,"",ROUND(VLOOKUP($B15,Operations!$A$2:$U$79,15,FALSE)*C15,2)))</f>
        <v>4.17</v>
      </c>
      <c r="I15" s="215">
        <f>IF(B15=0,0,IF(C15&gt;9999,"",ROUND(VLOOKUP(VLOOKUP(B15,Operations!$A$2:$U$79,11,FALSE),PowerUnits[],16,FALSE)/VLOOKUP(B15,Operations!$A$2:$U$79,9,FALSE)*C15,2)))</f>
        <v>5.41</v>
      </c>
      <c r="J15" s="215">
        <f>IF(B15=0,"",IF(C15&gt;9999,"",ROUND(VLOOKUP($B15,Operations!$A$2:$U$79,21,FALSE)*$C15,2)))</f>
        <v>3.63</v>
      </c>
      <c r="K15" s="215">
        <f t="shared" si="0"/>
        <v>19.079999999999998</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522</v>
      </c>
      <c r="C17" s="174">
        <v>10</v>
      </c>
      <c r="D17" s="174" t="s">
        <v>693</v>
      </c>
      <c r="E17" s="109">
        <f>IF(B17=0,"",IF(C17&gt;9999,"",ROUND('General Variables'!$B$4*VLOOKUP(B17,Operations!$A$2:$U$79,10,FALSE)/VLOOKUP(B17,Operations!$A$2:$U$79,9,FALSE)*C17,2)))</f>
        <v>9.3800000000000008</v>
      </c>
      <c r="F17" s="109">
        <f>IF(B17=0,0,IF(C17&gt;9999,"",ROUND(IF(VLOOKUP(B17,Operations!$A$2:$U$79,12,FALSE)=0,VLOOKUP(B17,Operations!$A$2:$U$79,13,FALSE)*'General Variables'!$B$8,VLOOKUP(B17,Operations!$A$2:$U$79,12,FALSE)*'General Variables'!$B$7)/VLOOKUP(B17,Operations!$A$2:$U$79,9,FALSE)*C17,2)))</f>
        <v>59.32</v>
      </c>
      <c r="G17" s="109">
        <f>IF(B17=0,0,IF(C17&gt;9999,"",ROUND(VLOOKUP(VLOOKUP(B17,Operations!$A$2:$U$79,11,FALSE),PowerUnits[],10,FALSE)/VLOOKUP(B17,Operations!$A$2:$U$79,9,FALSE)*C17,2)))</f>
        <v>5.44</v>
      </c>
      <c r="H17" s="109">
        <v>8</v>
      </c>
      <c r="I17" s="109">
        <f>IF(B17=0,0,IF(C17&gt;9999,"",ROUND(VLOOKUP(VLOOKUP(B17,Operations!$A$2:$U$79,11,FALSE),PowerUnits[],16,FALSE)/VLOOKUP(B17,Operations!$A$2:$U$79,9,FALSE)*C17,2)))</f>
        <v>10.34</v>
      </c>
      <c r="J17" s="109">
        <f>IF(B17=0,"",IF(C17&gt;9999,"",ROUND(VLOOKUP($B17,Operations!$A$2:$U$79,21,FALSE)*$C17,2)))</f>
        <v>14.55</v>
      </c>
      <c r="K17" s="109">
        <f t="shared" si="0"/>
        <v>107.03</v>
      </c>
      <c r="L17" s="110"/>
    </row>
    <row r="18" spans="1:12" x14ac:dyDescent="0.2">
      <c r="A18" s="170">
        <v>7</v>
      </c>
      <c r="B18" s="180" t="s">
        <v>559</v>
      </c>
      <c r="C18" s="174">
        <v>2</v>
      </c>
      <c r="D18" s="174"/>
      <c r="E18" s="109">
        <f>IF(B18=0,"",IF(C18&gt;9999,"",ROUND('General Variables'!$B$4*VLOOKUP(B18,Operations!$A$2:$U$79,10,FALSE)/VLOOKUP(B18,Operations!$A$2:$U$79,9,FALSE)*C18,2)))</f>
        <v>5.4</v>
      </c>
      <c r="F18" s="109">
        <f>IF(B18=0,0,IF(C18&gt;9999,"",ROUND(IF(VLOOKUP(B18,Operations!$A$2:$U$79,12,FALSE)=0,VLOOKUP(B18,Operations!$A$2:$U$79,13,FALSE)*'General Variables'!$B$8,VLOOKUP(B18,Operations!$A$2:$U$79,12,FALSE)*'General Variables'!$B$7)/VLOOKUP(B18,Operations!$A$2:$U$79,9,FALSE)*C18,2)))</f>
        <v>3.2</v>
      </c>
      <c r="G18" s="109">
        <f>IF(B18=0,0,IF(C18&gt;9999,"",ROUND(VLOOKUP(VLOOKUP(B18,Operations!$A$2:$U$79,11,FALSE),PowerUnits[],10,FALSE)/VLOOKUP(B18,Operations!$A$2:$U$79,9,FALSE)*C18,2)))</f>
        <v>2.04</v>
      </c>
      <c r="H18" s="109">
        <f>IF(B18=0,"",IF(C18&gt;9999,"",ROUND(VLOOKUP($B18,Operations!$A$2:$U$79,15,FALSE)*C18,2)))</f>
        <v>2.0299999999999998</v>
      </c>
      <c r="I18" s="109">
        <f>IF(B18=0,0,IF(C18&gt;9999,"",ROUND(VLOOKUP(VLOOKUP(B18,Operations!$A$2:$U$79,11,FALSE),PowerUnits[],16,FALSE)/VLOOKUP(B18,Operations!$A$2:$U$79,9,FALSE)*C18,2)))</f>
        <v>7.49</v>
      </c>
      <c r="J18" s="109">
        <f>IF(B18=0,"",IF(C18&gt;9999,"",ROUND(VLOOKUP($B18,Operations!$A$2:$U$79,21,FALSE)*$C18,2)))</f>
        <v>10.15</v>
      </c>
      <c r="K18" s="109">
        <f>IF(C18&gt;9999,"",ROUND(SUM(E18:J18),2))</f>
        <v>30.31</v>
      </c>
      <c r="L18" s="110"/>
    </row>
    <row r="19" spans="1:12" x14ac:dyDescent="0.2">
      <c r="A19" s="170">
        <v>8</v>
      </c>
      <c r="B19" s="213" t="s">
        <v>566</v>
      </c>
      <c r="C19" s="214">
        <v>0.5</v>
      </c>
      <c r="D19" s="218"/>
      <c r="E19" s="215">
        <f>IF(B19=0,"",IF(C19&gt;9999,"",ROUND('General Variables'!$B$4*VLOOKUP(B19,Operations!$A$2:$U$79,10,FALSE)/VLOOKUP(B19,Operations!$A$2:$U$79,9,FALSE)*C19,2)))</f>
        <v>1.1299999999999999</v>
      </c>
      <c r="F19" s="215">
        <f>IF(B19=0,0,IF(C19&gt;9999,"",ROUND(IF(VLOOKUP(B19,Operations!$A$2:$U$79,12,FALSE)=0,VLOOKUP(B19,Operations!$A$2:$U$79,13,FALSE)*'General Variables'!$B$8,VLOOKUP(B19,Operations!$A$2:$U$79,12,FALSE)*'General Variables'!$B$7)/VLOOKUP(B19,Operations!$A$2:$U$79,9,FALSE)*C19,2)))</f>
        <v>0.28000000000000003</v>
      </c>
      <c r="G19" s="215">
        <f>IF(B19=0,0,IF(C19&gt;9999,"",ROUND(VLOOKUP(VLOOKUP(B19,Operations!$A$2:$U$79,11,FALSE),PowerUnits[],10,FALSE)/VLOOKUP(B19,Operations!$A$2:$U$79,9,FALSE)*C19,2)))</f>
        <v>0.42</v>
      </c>
      <c r="H19" s="215">
        <f>IF(B19=0,"",IF(C19&gt;9999,"",ROUND(VLOOKUP($B19,Operations!$A$2:$U$79,15,FALSE)*C19,2)))</f>
        <v>0.12</v>
      </c>
      <c r="I19" s="215">
        <f>IF(B19=0,0,IF(C19&gt;9999,"",ROUND(VLOOKUP(VLOOKUP(B19,Operations!$A$2:$U$79,11,FALSE),PowerUnits[],16,FALSE)/VLOOKUP(B19,Operations!$A$2:$U$79,9,FALSE)*C19,2)))</f>
        <v>1.56</v>
      </c>
      <c r="J19" s="215">
        <f>IF(B19=0,"",IF(C19&gt;9999,"",ROUND(VLOOKUP($B19,Operations!$A$2:$U$79,21,FALSE)*$C19,2)))</f>
        <v>0.26</v>
      </c>
      <c r="K19" s="215">
        <f>IF(C19&gt;9999,"",ROUND(SUM(E19:J19),2))</f>
        <v>3.77</v>
      </c>
      <c r="L19" s="216"/>
    </row>
    <row r="20" spans="1:12" x14ac:dyDescent="0.2">
      <c r="A20" s="170">
        <v>9</v>
      </c>
      <c r="B20" s="180" t="s">
        <v>396</v>
      </c>
      <c r="C20" s="293">
        <f>$G$4</f>
        <v>3.8</v>
      </c>
      <c r="D20" s="112" t="s">
        <v>187</v>
      </c>
      <c r="E20" s="109">
        <f>IF(B20=0,"",IF(C20&gt;9999,"",ROUND('General Variables'!$B$4*VLOOKUP(B20,Operations!$A$2:$U$79,10,FALSE)/VLOOKUP(B20,Operations!$A$2:$U$79,9,FALSE)*C20,2)))</f>
        <v>6.64</v>
      </c>
      <c r="F20" s="109">
        <f>IF(B20=0,0,IF(C20&gt;9999,"",ROUND(IF(VLOOKUP(B20,Operations!$A$2:$U$79,12,FALSE)=0,VLOOKUP(B20,Operations!$A$2:$U$79,13,FALSE)*'General Variables'!$B$8,VLOOKUP(B20,Operations!$A$2:$U$79,12,FALSE)*'General Variables'!$B$7)/VLOOKUP(B20,Operations!$A$2:$U$79,9,FALSE)*C20,2)))</f>
        <v>4.42</v>
      </c>
      <c r="G20" s="109">
        <f>IF(B20=0,0,IF(C20&gt;9999,"",ROUND(VLOOKUP(VLOOKUP(B20,Operations!$A$2:$U$79,11,FALSE),PowerUnits[],10,FALSE)/VLOOKUP(B20,Operations!$A$2:$U$79,9,FALSE)*C20,2)))</f>
        <v>0.76</v>
      </c>
      <c r="H20" s="109">
        <f>IF(B20=0,"",IF(C20&gt;9999,"",ROUND(VLOOKUP($B20,Operations!$A$2:$U$79,15,FALSE)*C20,2)))</f>
        <v>2.77</v>
      </c>
      <c r="I20" s="109">
        <f>IF(B20=0,0,IF(C20&gt;9999,"",ROUND(VLOOKUP(VLOOKUP(B20,Operations!$A$2:$U$79,11,FALSE),PowerUnits[],16,FALSE)/VLOOKUP(B20,Operations!$A$2:$U$79,9,FALSE)*C20,2)))</f>
        <v>20.63</v>
      </c>
      <c r="J20" s="109">
        <f>IF(B20=0,"",IF(C20&gt;9999,"",ROUND(VLOOKUP($B20,Operations!$A$2:$U$79,21,FALSE)*$C20,2)))</f>
        <v>29.8</v>
      </c>
      <c r="K20" s="109">
        <f>IF(C20&gt;9999,"",ROUND(SUM(E20:J20),2))</f>
        <v>65.02</v>
      </c>
      <c r="L20" s="110"/>
    </row>
    <row r="21" spans="1:12" x14ac:dyDescent="0.2">
      <c r="A21" s="170">
        <v>10</v>
      </c>
      <c r="B21" s="180" t="s">
        <v>508</v>
      </c>
      <c r="C21" s="293">
        <f>$G$4</f>
        <v>3.8</v>
      </c>
      <c r="D21" s="112" t="s">
        <v>187</v>
      </c>
      <c r="E21" s="109">
        <f>IF(B21=0,"",IF(C21&gt;9999,"",ROUND('General Variables'!$B$4*VLOOKUP(B21,Operations!$A$2:$U$79,10,FALSE)/VLOOKUP(B21,Operations!$A$2:$U$79,9,FALSE)*C21,2)))</f>
        <v>5.64</v>
      </c>
      <c r="F21" s="109">
        <f>IF(B21=0,0,IF(C21&gt;9999,"",ROUND(IF(VLOOKUP(B21,Operations!$A$2:$U$79,12,FALSE)=0,VLOOKUP(B21,Operations!$A$2:$U$79,13,FALSE)*'General Variables'!$B$8,VLOOKUP(B21,Operations!$A$2:$U$79,12,FALSE)*'General Variables'!$B$7)/VLOOKUP(B21,Operations!$A$2:$U$79,9,FALSE)*C21,2)))</f>
        <v>2.4300000000000002</v>
      </c>
      <c r="G21" s="109">
        <f>IF(B21=0,0,IF(C21&gt;9999,"",ROUND(VLOOKUP(VLOOKUP(B21,Operations!$A$2:$U$79,11,FALSE),PowerUnits[],10,FALSE)/VLOOKUP(B21,Operations!$A$2:$U$79,9,FALSE)*C21,2)))</f>
        <v>0.16</v>
      </c>
      <c r="H21" s="109">
        <f>IF(B21=0,"",IF(C21&gt;9999,"",ROUND(VLOOKUP($B21,Operations!$A$2:$U$79,15,FALSE)*C21,2)))</f>
        <v>0.61</v>
      </c>
      <c r="I21" s="109">
        <f>IF(B21=0,0,IF(C21&gt;9999,"",ROUND(VLOOKUP(VLOOKUP(B21,Operations!$A$2:$U$79,11,FALSE),PowerUnits[],16,FALSE)/VLOOKUP(B21,Operations!$A$2:$U$79,9,FALSE)*C21,2)))</f>
        <v>8.2200000000000006</v>
      </c>
      <c r="J21" s="109">
        <f>IF(B21=0,"",IF(C21&gt;9999,"",ROUND(VLOOKUP($B21,Operations!$A$2:$U$79,21,FALSE)*$C21,2)))</f>
        <v>0.7</v>
      </c>
      <c r="K21" s="109">
        <f>IF(C21&gt;9999,"",ROUND(SUM(E21:J21),2))</f>
        <v>17.760000000000002</v>
      </c>
      <c r="L21" s="110"/>
    </row>
    <row r="22" spans="1:12" x14ac:dyDescent="0.2">
      <c r="A22" s="170">
        <v>11</v>
      </c>
      <c r="B22" s="180" t="s">
        <v>552</v>
      </c>
      <c r="C22" s="293">
        <v>0.5</v>
      </c>
      <c r="D22" s="112"/>
      <c r="E22" s="109">
        <f>IF(B22=0,"",IF(C22&gt;9999,"",ROUND('General Variables'!$B$4*VLOOKUP(B22,Operations!$A$2:$U$79,10,FALSE)/VLOOKUP(B22,Operations!$A$2:$U$79,9,FALSE)*C22,2)))</f>
        <v>0.51</v>
      </c>
      <c r="F22" s="109">
        <f>IF(B22=0,0,IF(C22&gt;9999,"",ROUND(IF(VLOOKUP(B22,Operations!$A$2:$U$79,12,FALSE)=0,VLOOKUP(B22,Operations!$A$2:$U$79,13,FALSE)*'General Variables'!$B$8,VLOOKUP(B22,Operations!$A$2:$U$79,12,FALSE)*'General Variables'!$B$7)/VLOOKUP(B22,Operations!$A$2:$U$79,9,FALSE)*C22,2)))</f>
        <v>0.13</v>
      </c>
      <c r="G22" s="109">
        <f>IF(B22=0,0,IF(C22&gt;9999,"",ROUND(VLOOKUP(VLOOKUP(B22,Operations!$A$2:$U$79,11,FALSE),PowerUnits[],10,FALSE)/VLOOKUP(B22,Operations!$A$2:$U$79,9,FALSE)*C22,2)))</f>
        <v>0.01</v>
      </c>
      <c r="H22" s="109">
        <f>IF(B22=0,"",IF(C22&gt;9999,"",ROUND(VLOOKUP($B22,Operations!$A$2:$U$79,15,FALSE)*C22,2)))</f>
        <v>0.55000000000000004</v>
      </c>
      <c r="I22" s="109">
        <f>IF(B22=0,0,IF(C22&gt;9999,"",ROUND(VLOOKUP(VLOOKUP(B22,Operations!$A$2:$U$79,11,FALSE),PowerUnits[],16,FALSE)/VLOOKUP(B22,Operations!$A$2:$U$79,9,FALSE)*C22,2)))</f>
        <v>0.66</v>
      </c>
      <c r="J22" s="109">
        <f>IF(B22=0,"",IF(C22&gt;9999,"",ROUND(VLOOKUP($B22,Operations!$A$2:$U$79,21,FALSE)*$C22,2)))</f>
        <v>1.01</v>
      </c>
      <c r="K22" s="109">
        <f>IF(C22&gt;9999,"",ROUND(SUM(E22:J22),2))</f>
        <v>2.87</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40.599999999999994</v>
      </c>
      <c r="F33" s="109">
        <f t="shared" ref="F33:K33" si="1">SUM(F12:F31)</f>
        <v>76.910000000000011</v>
      </c>
      <c r="G33" s="109">
        <f t="shared" si="1"/>
        <v>9.57</v>
      </c>
      <c r="H33" s="109">
        <f t="shared" si="1"/>
        <v>23.180000000000003</v>
      </c>
      <c r="I33" s="109">
        <f t="shared" si="1"/>
        <v>73.64</v>
      </c>
      <c r="J33" s="109">
        <f t="shared" si="1"/>
        <v>69.650000000000006</v>
      </c>
      <c r="K33" s="109">
        <f t="shared" si="1"/>
        <v>293.55</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306</v>
      </c>
      <c r="C38" s="388" t="str">
        <f>IF(B38=0,"",VLOOKUP($B38,Table2[],2,FALSE))</f>
        <v>Rental</v>
      </c>
      <c r="D38" s="388"/>
      <c r="E38" s="388"/>
      <c r="F38" s="174">
        <v>4</v>
      </c>
      <c r="G38" s="175">
        <v>1</v>
      </c>
      <c r="H38" s="176">
        <v>1</v>
      </c>
      <c r="I38" s="120" t="str">
        <f>IF($B38=0,"",VLOOKUP($B38,Table2[],5,FALSE))</f>
        <v>acre</v>
      </c>
      <c r="J38" s="109">
        <f>IF($B38=0,"",VLOOKUP($B38,Table2[],7,FALSE))</f>
        <v>20</v>
      </c>
      <c r="K38" s="109">
        <f t="shared" ref="K38:K61" si="2">IF(B38=0,0,ROUND(G38*H38*J38,2))</f>
        <v>20</v>
      </c>
      <c r="L38" s="110"/>
    </row>
    <row r="39" spans="2:12" x14ac:dyDescent="0.2">
      <c r="B39" s="180" t="s">
        <v>319</v>
      </c>
      <c r="C39" s="388" t="str">
        <f>IF(B39=0,"",VLOOKUP($B39,Table2[],2,FALSE))</f>
        <v>Seed</v>
      </c>
      <c r="D39" s="388"/>
      <c r="E39" s="388"/>
      <c r="F39" s="174">
        <v>4</v>
      </c>
      <c r="G39" s="175">
        <v>1</v>
      </c>
      <c r="H39" s="176">
        <v>12</v>
      </c>
      <c r="I39" s="120" t="str">
        <f>IF($B39=0,"",VLOOKUP($B39,Table2[],5,FALSE))</f>
        <v>pound</v>
      </c>
      <c r="J39" s="109">
        <f>IF($B39=0,"",VLOOKUP($B39,Table2[],7,FALSE))</f>
        <v>6.25</v>
      </c>
      <c r="K39" s="109">
        <f t="shared" si="2"/>
        <v>75</v>
      </c>
      <c r="L39" s="110"/>
    </row>
    <row r="40" spans="2:12" x14ac:dyDescent="0.2">
      <c r="B40" s="213" t="s">
        <v>245</v>
      </c>
      <c r="C40" s="387" t="str">
        <f>IF(B40=0,"",VLOOKUP($B40,Table2[],2,FALSE))</f>
        <v>Herbicide</v>
      </c>
      <c r="D40" s="387"/>
      <c r="E40" s="387"/>
      <c r="F40" s="214">
        <v>5</v>
      </c>
      <c r="G40" s="221">
        <v>1</v>
      </c>
      <c r="H40" s="222">
        <v>1</v>
      </c>
      <c r="I40" s="223" t="str">
        <f>IF($B40=0,"",VLOOKUP($B40,Table2[],5,FALSE))</f>
        <v>pint</v>
      </c>
      <c r="J40" s="215">
        <f>IF($B40=0,"",VLOOKUP($B40,Table2[],7,FALSE))</f>
        <v>6.625</v>
      </c>
      <c r="K40" s="215">
        <f t="shared" si="2"/>
        <v>6.63</v>
      </c>
      <c r="L40" s="216"/>
    </row>
    <row r="41" spans="2:12" x14ac:dyDescent="0.2">
      <c r="B41" s="180" t="s">
        <v>267</v>
      </c>
      <c r="C41" s="388" t="str">
        <f>IF(B41=0,"",VLOOKUP($B41,Table2[],2,FALSE))</f>
        <v>Herbicide</v>
      </c>
      <c r="D41" s="388"/>
      <c r="E41" s="388"/>
      <c r="F41" s="174">
        <v>5</v>
      </c>
      <c r="G41" s="175">
        <v>1</v>
      </c>
      <c r="H41" s="176">
        <v>3</v>
      </c>
      <c r="I41" s="120" t="str">
        <f>IF($B41=0,"",VLOOKUP($B41,Table2[],5,FALSE))</f>
        <v>ounce</v>
      </c>
      <c r="J41" s="109">
        <f>IF($B41=0,"",VLOOKUP($B41,Table2[],7,FALSE))</f>
        <v>3.90625</v>
      </c>
      <c r="K41" s="109">
        <f t="shared" si="2"/>
        <v>11.72</v>
      </c>
      <c r="L41" s="110"/>
    </row>
    <row r="42" spans="2:12" x14ac:dyDescent="0.2">
      <c r="B42" s="180" t="s">
        <v>301</v>
      </c>
      <c r="C42" s="388" t="str">
        <f>IF(B42=0,"",VLOOKUP($B42,Table2[],2,FALSE))</f>
        <v>Other</v>
      </c>
      <c r="D42" s="388"/>
      <c r="E42" s="388"/>
      <c r="F42" s="174">
        <v>9</v>
      </c>
      <c r="G42" s="175">
        <v>1</v>
      </c>
      <c r="H42" s="184">
        <v>3.8</v>
      </c>
      <c r="I42" s="120" t="str">
        <f>IF($B42=0,"",VLOOKUP($B42,Table2[],5,FALSE))</f>
        <v>ton</v>
      </c>
      <c r="J42" s="109">
        <f>IF($B42=0,"",VLOOKUP($B42,Table2[],7,FALSE))</f>
        <v>1.9823788546255507</v>
      </c>
      <c r="K42" s="109">
        <f t="shared" si="2"/>
        <v>7.53</v>
      </c>
      <c r="L42" s="110"/>
    </row>
    <row r="43" spans="2:12" x14ac:dyDescent="0.2">
      <c r="B43" s="180" t="s">
        <v>288</v>
      </c>
      <c r="C43" s="388" t="str">
        <f>IF(B43=0,"",VLOOKUP($B43,Table2[],2,FALSE))</f>
        <v>Insecticide</v>
      </c>
      <c r="D43" s="388"/>
      <c r="E43" s="388"/>
      <c r="F43" s="174">
        <v>11</v>
      </c>
      <c r="G43" s="175">
        <v>0.5</v>
      </c>
      <c r="H43" s="176">
        <v>3</v>
      </c>
      <c r="I43" s="120" t="str">
        <f>IF($B43=0,"",VLOOKUP($B43,Table2[],5,FALSE))</f>
        <v>ounce</v>
      </c>
      <c r="J43" s="109">
        <f>IF($B43=0,"",VLOOKUP($B43,Table2[],7,FALSE))</f>
        <v>1.25</v>
      </c>
      <c r="K43" s="109">
        <f t="shared" si="2"/>
        <v>1.88</v>
      </c>
      <c r="L43" s="110"/>
    </row>
    <row r="44" spans="2:12" ht="12.75" hidden="1" customHeight="1" x14ac:dyDescent="0.2">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2:12" ht="12.75" hidden="1" customHeight="1" x14ac:dyDescent="0.2">
      <c r="B45" s="111"/>
      <c r="C45" s="388" t="str">
        <f>IF(B45=0,"",VLOOKUP($B45,Table2[],2,FALSE))</f>
        <v/>
      </c>
      <c r="D45" s="388"/>
      <c r="E45" s="388"/>
      <c r="F45" s="112"/>
      <c r="G45" s="177"/>
      <c r="H45" s="178"/>
      <c r="I45" s="120" t="str">
        <f>IF($B45=0,"",VLOOKUP($B45,Table2[],5,FALSE))</f>
        <v/>
      </c>
      <c r="J45" s="109" t="str">
        <f>IF($B45=0,"",VLOOKUP($B45,Table2[],7,FALSE))</f>
        <v/>
      </c>
      <c r="K45" s="109">
        <f t="shared" si="2"/>
        <v>0</v>
      </c>
      <c r="L45" s="110"/>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217"/>
      <c r="C48" s="387" t="str">
        <f>IF(B48=0,"",VLOOKUP($B48,Table2[],2,FALSE))</f>
        <v/>
      </c>
      <c r="D48" s="387"/>
      <c r="E48" s="387"/>
      <c r="F48" s="218"/>
      <c r="G48" s="224"/>
      <c r="H48" s="225"/>
      <c r="I48" s="223" t="str">
        <f>IF($B48=0,"",VLOOKUP($B48,Table2[],5,FALSE))</f>
        <v/>
      </c>
      <c r="J48" s="215" t="str">
        <f>IF($B48=0,"",VLOOKUP($B48,Table2[],7,FALSE))</f>
        <v/>
      </c>
      <c r="K48" s="215">
        <f t="shared" si="2"/>
        <v>0</v>
      </c>
      <c r="L48" s="216"/>
    </row>
    <row r="49" spans="2:12" ht="12.75" hidden="1" customHeight="1" x14ac:dyDescent="0.2">
      <c r="B49" s="111"/>
      <c r="C49" s="388" t="str">
        <f>IF(B49=0,"",VLOOKUP($B49,Table2[],2,FALSE))</f>
        <v/>
      </c>
      <c r="D49" s="388"/>
      <c r="E49" s="388"/>
      <c r="F49" s="112"/>
      <c r="G49" s="177"/>
      <c r="H49" s="178"/>
      <c r="I49" s="120" t="str">
        <f>IF($B49=0,"",VLOOKUP($B49,Table2[],5,FALSE))</f>
        <v/>
      </c>
      <c r="J49" s="109" t="str">
        <f>IF($B49=0,"",VLOOKUP($B49,Table2[],7,FALSE))</f>
        <v/>
      </c>
      <c r="K49" s="109">
        <f t="shared" si="2"/>
        <v>0</v>
      </c>
      <c r="L49" s="110"/>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hidden="1" x14ac:dyDescent="0.2">
      <c r="C61" s="388" t="s">
        <v>655</v>
      </c>
      <c r="D61" s="388"/>
      <c r="E61" s="388"/>
      <c r="F61" s="112"/>
      <c r="G61" s="177"/>
      <c r="H61" s="178"/>
      <c r="I61" s="170"/>
      <c r="J61" s="109" t="e">
        <f ca="1">IF(F5=0,E5,F5)</f>
        <v>#N/A</v>
      </c>
      <c r="K61" s="109">
        <f t="shared" si="2"/>
        <v>0</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J63" s="126"/>
      <c r="K63" s="127">
        <f>SUM(K37:K61)</f>
        <v>162.76</v>
      </c>
      <c r="L63" s="110"/>
    </row>
    <row r="64" spans="2:12" x14ac:dyDescent="0.2">
      <c r="K64" s="127"/>
    </row>
    <row r="65" spans="2:12" x14ac:dyDescent="0.2">
      <c r="B65" s="107" t="s">
        <v>672</v>
      </c>
      <c r="K65" s="127">
        <f>K33+K63</f>
        <v>456.31</v>
      </c>
      <c r="L65" s="110"/>
    </row>
    <row r="66" spans="2:12" ht="13.5" thickBot="1" x14ac:dyDescent="0.25">
      <c r="D66" s="128" t="s">
        <v>673</v>
      </c>
      <c r="E66" s="129">
        <f>ROUND(SUM($E$33:$H$33)+$K$63,2)</f>
        <v>313.02</v>
      </c>
      <c r="F66" s="388" t="s">
        <v>674</v>
      </c>
      <c r="G66" s="388"/>
      <c r="H66" s="130">
        <f>'General Variables'!$B$11</f>
        <v>7.4999999999999997E-2</v>
      </c>
      <c r="I66" s="131" t="str">
        <f>CONCATENATE("for ",TEXT('General Variables'!$B$12,"0.0")," mo.")</f>
        <v>for 6.0 mo.</v>
      </c>
      <c r="K66" s="132">
        <f>E66*H66*'General Variables'!$B$12/12</f>
        <v>11.738249999999999</v>
      </c>
      <c r="L66" s="133"/>
    </row>
    <row r="67" spans="2:12" ht="13.5" thickTop="1" x14ac:dyDescent="0.2">
      <c r="B67" s="107" t="s">
        <v>675</v>
      </c>
      <c r="K67" s="127">
        <f>SUM(K65:K66)</f>
        <v>468.04825</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40</v>
      </c>
      <c r="D70" s="399"/>
      <c r="E70" s="400"/>
      <c r="F70" s="136">
        <f>IF(C70=0,0,VLOOKUP(C70,RETable,2,FALSE))</f>
        <v>9115</v>
      </c>
      <c r="G70" s="388" t="s">
        <v>678</v>
      </c>
      <c r="H70" s="388"/>
      <c r="I70" s="130">
        <f>'General Variables'!$B$10</f>
        <v>0.03</v>
      </c>
      <c r="K70" s="137">
        <f>ROUND(F70*I70,2)</f>
        <v>273.45</v>
      </c>
      <c r="L70" s="110"/>
    </row>
    <row r="71" spans="2:12" ht="13.5" thickBot="1" x14ac:dyDescent="0.25">
      <c r="B71" s="103" t="s">
        <v>679</v>
      </c>
      <c r="F71" s="138">
        <f>IF(C70=0,0,VLOOKUP(C70,RETable,2,FALSE))</f>
        <v>9115</v>
      </c>
      <c r="G71" s="397" t="s">
        <v>678</v>
      </c>
      <c r="H71" s="397"/>
      <c r="I71" s="139">
        <f>'General Variables'!$B$13</f>
        <v>1.2999999999999999E-2</v>
      </c>
      <c r="J71" s="105"/>
      <c r="K71" s="140">
        <f>ROUND(F71*I71,2)</f>
        <v>118.5</v>
      </c>
      <c r="L71" s="133"/>
    </row>
    <row r="72" spans="2:12" ht="13.5" thickTop="1" x14ac:dyDescent="0.2">
      <c r="B72" s="107" t="s">
        <v>680</v>
      </c>
      <c r="K72" s="127">
        <f>SUM(K67:K71)</f>
        <v>894.99824999999998</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IF(G4=0,0,(E66+K66+K69+K71)/G4)</f>
        <v>125.85743421052632</v>
      </c>
      <c r="L74" s="148"/>
    </row>
    <row r="75" spans="2:12" x14ac:dyDescent="0.2">
      <c r="B75" s="107" t="str">
        <f>IF(G4="","","Cost of production per "&amp;H4)</f>
        <v>Cost of production per ton</v>
      </c>
      <c r="K75" s="141">
        <f>IF(G4="","",K72/G4)</f>
        <v>235.52585526315789</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row>
    <row r="112" spans="2:11" x14ac:dyDescent="0.2">
      <c r="B112" s="105"/>
      <c r="C112" s="105"/>
      <c r="D112" s="105"/>
      <c r="K112" s="103" t="s">
        <v>681</v>
      </c>
    </row>
    <row r="113" spans="2:11" x14ac:dyDescent="0.2">
      <c r="B113" s="105"/>
      <c r="C113" s="105"/>
      <c r="D113" s="105"/>
      <c r="K113" s="103" t="s">
        <v>654</v>
      </c>
    </row>
    <row r="114" spans="2:11" x14ac:dyDescent="0.2">
      <c r="B114" s="105"/>
      <c r="C114" s="105"/>
      <c r="D114" s="105"/>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4:E44"/>
    <mergeCell ref="C45:E45"/>
    <mergeCell ref="C46:E46"/>
    <mergeCell ref="C47:E47"/>
    <mergeCell ref="A6:M6"/>
    <mergeCell ref="C3:E3"/>
    <mergeCell ref="K2:L2"/>
    <mergeCell ref="G2:H2"/>
    <mergeCell ref="C4:E4"/>
  </mergeCells>
  <dataValidations count="9">
    <dataValidation type="list" allowBlank="1" showInputMessage="1" showErrorMessage="1" sqref="B62" xr:uid="{00000000-0002-0000-0C00-000000000000}">
      <formula1>$C$111:$C$210</formula1>
    </dataValidation>
    <dataValidation type="list" allowBlank="1" showInputMessage="1" showErrorMessage="1" sqref="B32" xr:uid="{00000000-0002-0000-0C00-000001000000}">
      <formula1>$B$111:$B$210</formula1>
    </dataValidation>
    <dataValidation type="list" allowBlank="1" showInputMessage="1" showErrorMessage="1" sqref="K4" xr:uid="{00000000-0002-0000-0C00-000002000000}">
      <formula1>$K$111:$K$113</formula1>
    </dataValidation>
    <dataValidation type="list" allowBlank="1" showInputMessage="1" showErrorMessage="1" sqref="B37:B60" xr:uid="{00000000-0002-0000-0C00-000003000000}">
      <formula1>MaterialList</formula1>
    </dataValidation>
    <dataValidation type="list" allowBlank="1" showInputMessage="1" showErrorMessage="1" sqref="C70:E70" xr:uid="{00000000-0002-0000-0C00-000004000000}">
      <formula1>RealEstateList</formula1>
    </dataValidation>
    <dataValidation type="list" allowBlank="1" showInputMessage="1" showErrorMessage="1" sqref="B12:B31" xr:uid="{00000000-0002-0000-0C00-000005000000}">
      <formula1>OperationList</formula1>
    </dataValidation>
    <dataValidation type="list" allowBlank="1" showInputMessage="1" showErrorMessage="1" sqref="D12:D32" xr:uid="{00000000-0002-0000-0C00-000006000000}">
      <formula1>#REF!</formula1>
    </dataValidation>
    <dataValidation type="list" allowBlank="1" showInputMessage="1" showErrorMessage="1" sqref="K2" xr:uid="{00000000-0002-0000-0C00-000007000000}">
      <formula1>watersource</formula1>
    </dataValidation>
    <dataValidation type="list" allowBlank="1" showInputMessage="1" showErrorMessage="1" sqref="C3" xr:uid="{00000000-0002-0000-0C00-000008000000}">
      <formula1>TillageSystem</formula1>
    </dataValidation>
  </dataValidations>
  <pageMargins left="0.7" right="0.7" top="0.75" bottom="0.75" header="0.3" footer="0.3"/>
  <pageSetup scale="7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7">
    <pageSetUpPr fitToPage="1"/>
  </sheetPr>
  <dimension ref="A2:M257"/>
  <sheetViews>
    <sheetView topLeftCell="A15" zoomScaleNormal="100" workbookViewId="0">
      <selection activeCell="K71" sqref="K7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694</v>
      </c>
      <c r="H2" s="392"/>
      <c r="J2" s="128" t="s">
        <v>649</v>
      </c>
      <c r="K2" s="401" t="s">
        <v>69</v>
      </c>
      <c r="L2" s="401"/>
    </row>
    <row r="3" spans="1:13" hidden="1" x14ac:dyDescent="0.2">
      <c r="B3" s="103" t="s">
        <v>38</v>
      </c>
      <c r="C3" s="391" t="s">
        <v>43</v>
      </c>
      <c r="D3" s="391"/>
      <c r="E3" s="391"/>
      <c r="G3" s="128" t="s">
        <v>650</v>
      </c>
      <c r="H3" s="187" t="s">
        <v>695</v>
      </c>
      <c r="J3" s="128" t="s">
        <v>651</v>
      </c>
      <c r="K3" s="187">
        <v>12</v>
      </c>
    </row>
    <row r="4" spans="1:13" hidden="1" x14ac:dyDescent="0.2">
      <c r="B4" s="103" t="s">
        <v>652</v>
      </c>
      <c r="C4" s="392" t="s">
        <v>690</v>
      </c>
      <c r="D4" s="392"/>
      <c r="E4" s="392"/>
      <c r="G4" s="103">
        <f>IFERROR(VALUE(LEFT($H$3,FIND(" ",$H$3))),"")</f>
        <v>4</v>
      </c>
      <c r="H4" s="103" t="str">
        <f>IFERROR(RIGHT(H3,LEN(H3)-LEN(G4)-1),"")</f>
        <v>ton</v>
      </c>
      <c r="J4" s="128" t="s">
        <v>653</v>
      </c>
      <c r="K4" s="188" t="s">
        <v>654</v>
      </c>
    </row>
    <row r="5" spans="1:13" ht="15.75" hidden="1" customHeight="1" x14ac:dyDescent="0.2">
      <c r="B5" s="103" t="s">
        <v>655</v>
      </c>
      <c r="C5" s="238" t="str">
        <f ca="1">MID(CELL("filename",C5),FIND("]",CELL("filename",C5))+1,255)</f>
        <v>7-Alfalfa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7-Alfalfa, Roundup Ready®, Large Square Bales, Conventional Tillage, Establish Spring Seed, 4 ton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7-Alfalfa, Roundup Ready®, Large Square Bales, Conventional Tillage, Establish Spring Seed, 4 ton Yield</v>
      </c>
      <c r="C7" s="393"/>
      <c r="D7" s="393"/>
      <c r="E7" s="393"/>
      <c r="F7" s="393"/>
      <c r="G7" s="393"/>
      <c r="H7" s="393"/>
      <c r="I7" s="393"/>
      <c r="J7" s="393"/>
      <c r="K7" s="393"/>
      <c r="L7" s="393"/>
      <c r="M7" s="186"/>
    </row>
    <row r="8" spans="1:13" ht="15.75" x14ac:dyDescent="0.25">
      <c r="B8" s="189" t="str">
        <f>IF(K2="","",K2)&amp;IF(LEFT(K2,5)="Pivot",", 800 GPM 35 PSI","") &amp; IF(K3="","",", "&amp; K3&amp;" "&amp;J3)</f>
        <v>Pivot Irrigated Diesel, 800 GPM 35 PSI, 12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IF(C13&gt;9999,"",ROUND(SUM(E13:J13),2))</f>
        <v>18.059999999999999</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306</v>
      </c>
      <c r="C15" s="214">
        <v>1</v>
      </c>
      <c r="D15" s="214"/>
      <c r="E15" s="215">
        <f>IF(B15=0,"",IF(C15&gt;9999,"",ROUND('General Variables'!$B$4*VLOOKUP(B15,Operations!$A$2:$U$79,10,FALSE)/VLOOKUP(B15,Operations!$A$2:$U$79,9,FALSE)*C15,2)))</f>
        <v>4.05</v>
      </c>
      <c r="F15" s="215">
        <f>IF(B15=0,0,IF(C15&gt;9999,"",ROUND(IF(VLOOKUP(B15,Operations!$A$2:$U$79,12,FALSE)=0,VLOOKUP(B15,Operations!$A$2:$U$79,13,FALSE)*'General Variables'!$B$8,VLOOKUP(B15,Operations!$A$2:$U$79,12,FALSE)*'General Variables'!$B$7)/VLOOKUP(B15,Operations!$A$2:$U$79,9,FALSE)*C15,2)))</f>
        <v>1.72</v>
      </c>
      <c r="G15" s="215">
        <f>IF(B15=0,0,IF(C15&gt;9999,"",ROUND(VLOOKUP(VLOOKUP(B15,Operations!$A$2:$U$79,11,FALSE),PowerUnits[],10,FALSE)/VLOOKUP(B15,Operations!$A$2:$U$79,9,FALSE)*C15,2)))</f>
        <v>0.1</v>
      </c>
      <c r="H15" s="215">
        <f>IF(B15=0,"",IF(C15&gt;9999,"",ROUND(VLOOKUP($B15,Operations!$A$2:$U$79,15,FALSE)*C15,2)))</f>
        <v>4.17</v>
      </c>
      <c r="I15" s="215">
        <f>IF(B15=0,0,IF(C15&gt;9999,"",ROUND(VLOOKUP(VLOOKUP(B15,Operations!$A$2:$U$79,11,FALSE),PowerUnits[],16,FALSE)/VLOOKUP(B15,Operations!$A$2:$U$79,9,FALSE)*C15,2)))</f>
        <v>5.41</v>
      </c>
      <c r="J15" s="215">
        <f>IF(B15=0,"",IF(C15&gt;9999,"",ROUND(VLOOKUP($B15,Operations!$A$2:$U$79,21,FALSE)*$C15,2)))</f>
        <v>3.63</v>
      </c>
      <c r="K15" s="215">
        <f t="shared" si="0"/>
        <v>19.079999999999998</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522</v>
      </c>
      <c r="C17" s="174">
        <v>10</v>
      </c>
      <c r="D17" s="174" t="s">
        <v>693</v>
      </c>
      <c r="E17" s="109">
        <f>IF(B17=0,"",IF(C17&gt;9999,"",ROUND('General Variables'!$B$4*VLOOKUP(B17,Operations!$A$2:$U$79,10,FALSE)/VLOOKUP(B17,Operations!$A$2:$U$79,9,FALSE)*C17,2)))</f>
        <v>9.3800000000000008</v>
      </c>
      <c r="F17" s="109">
        <f>IF(B17=0,0,IF(C17&gt;9999,"",ROUND(IF(VLOOKUP(B17,Operations!$A$2:$U$79,12,FALSE)=0,VLOOKUP(B17,Operations!$A$2:$U$79,13,FALSE)*'General Variables'!$B$8,VLOOKUP(B17,Operations!$A$2:$U$79,12,FALSE)*'General Variables'!$B$7)/VLOOKUP(B17,Operations!$A$2:$U$79,9,FALSE)*C17,2)))</f>
        <v>59.32</v>
      </c>
      <c r="G17" s="109">
        <f>IF(B17=0,0,IF(C17&gt;9999,"",ROUND(VLOOKUP(VLOOKUP(B17,Operations!$A$2:$U$79,11,FALSE),PowerUnits[],10,FALSE)/VLOOKUP(B17,Operations!$A$2:$U$79,9,FALSE)*C17,2)))</f>
        <v>5.44</v>
      </c>
      <c r="H17" s="109">
        <v>8</v>
      </c>
      <c r="I17" s="109">
        <f>IF(B17=0,0,IF(C17&gt;9999,"",ROUND(VLOOKUP(VLOOKUP(B17,Operations!$A$2:$U$79,11,FALSE),PowerUnits[],16,FALSE)/VLOOKUP(B17,Operations!$A$2:$U$79,9,FALSE)*C17,2)))</f>
        <v>10.34</v>
      </c>
      <c r="J17" s="109">
        <f>IF(B17=0,"",IF(C17&gt;9999,"",ROUND(VLOOKUP($B17,Operations!$A$2:$U$79,21,FALSE)*$C17,2)))</f>
        <v>14.55</v>
      </c>
      <c r="K17" s="109">
        <f t="shared" si="0"/>
        <v>107.03</v>
      </c>
      <c r="L17" s="110"/>
    </row>
    <row r="18" spans="1:12" x14ac:dyDescent="0.2">
      <c r="A18" s="170">
        <v>7</v>
      </c>
      <c r="B18" s="180" t="s">
        <v>559</v>
      </c>
      <c r="C18" s="174">
        <v>2</v>
      </c>
      <c r="D18" s="174"/>
      <c r="E18" s="109">
        <f>IF(B18=0,"",IF(C18&gt;9999,"",ROUND('General Variables'!$B$4*VLOOKUP(B18,Operations!$A$2:$U$79,10,FALSE)/VLOOKUP(B18,Operations!$A$2:$U$79,9,FALSE)*C18,2)))</f>
        <v>5.4</v>
      </c>
      <c r="F18" s="109">
        <f>IF(B18=0,0,IF(C18&gt;9999,"",ROUND(IF(VLOOKUP(B18,Operations!$A$2:$U$79,12,FALSE)=0,VLOOKUP(B18,Operations!$A$2:$U$79,13,FALSE)*'General Variables'!$B$8,VLOOKUP(B18,Operations!$A$2:$U$79,12,FALSE)*'General Variables'!$B$7)/VLOOKUP(B18,Operations!$A$2:$U$79,9,FALSE)*C18,2)))</f>
        <v>3.2</v>
      </c>
      <c r="G18" s="109">
        <f>IF(B18=0,0,IF(C18&gt;9999,"",ROUND(VLOOKUP(VLOOKUP(B18,Operations!$A$2:$U$79,11,FALSE),PowerUnits[],10,FALSE)/VLOOKUP(B18,Operations!$A$2:$U$79,9,FALSE)*C18,2)))</f>
        <v>2.04</v>
      </c>
      <c r="H18" s="109">
        <f>IF(B18=0,"",IF(C18&gt;9999,"",ROUND(VLOOKUP($B18,Operations!$A$2:$U$79,15,FALSE)*C18,2)))</f>
        <v>2.0299999999999998</v>
      </c>
      <c r="I18" s="109">
        <f>IF(B18=0,0,IF(C18&gt;9999,"",ROUND(VLOOKUP(VLOOKUP(B18,Operations!$A$2:$U$79,11,FALSE),PowerUnits[],16,FALSE)/VLOOKUP(B18,Operations!$A$2:$U$79,9,FALSE)*C18,2)))</f>
        <v>7.49</v>
      </c>
      <c r="J18" s="109">
        <f>IF(B18=0,"",IF(C18&gt;9999,"",ROUND(VLOOKUP($B18,Operations!$A$2:$U$79,21,FALSE)*$C18,2)))</f>
        <v>10.15</v>
      </c>
      <c r="K18" s="109">
        <f>IF(C18&gt;9999,"",ROUND(SUM(E18:J18),2))</f>
        <v>30.31</v>
      </c>
      <c r="L18" s="110"/>
    </row>
    <row r="19" spans="1:12" x14ac:dyDescent="0.2">
      <c r="A19" s="170">
        <v>8</v>
      </c>
      <c r="B19" s="213" t="s">
        <v>566</v>
      </c>
      <c r="C19" s="214">
        <v>0.5</v>
      </c>
      <c r="D19" s="218"/>
      <c r="E19" s="215">
        <f>IF(B19=0,"",IF(C19&gt;9999,"",ROUND('General Variables'!$B$4*VLOOKUP(B19,Operations!$A$2:$U$79,10,FALSE)/VLOOKUP(B19,Operations!$A$2:$U$79,9,FALSE)*C19,2)))</f>
        <v>1.1299999999999999</v>
      </c>
      <c r="F19" s="215">
        <f>IF(B19=0,0,IF(C19&gt;9999,"",ROUND(IF(VLOOKUP(B19,Operations!$A$2:$U$79,12,FALSE)=0,VLOOKUP(B19,Operations!$A$2:$U$79,13,FALSE)*'General Variables'!$B$8,VLOOKUP(B19,Operations!$A$2:$U$79,12,FALSE)*'General Variables'!$B$7)/VLOOKUP(B19,Operations!$A$2:$U$79,9,FALSE)*C19,2)))</f>
        <v>0.28000000000000003</v>
      </c>
      <c r="G19" s="215">
        <f>IF(B19=0,0,IF(C19&gt;9999,"",ROUND(VLOOKUP(VLOOKUP(B19,Operations!$A$2:$U$79,11,FALSE),PowerUnits[],10,FALSE)/VLOOKUP(B19,Operations!$A$2:$U$79,9,FALSE)*C19,2)))</f>
        <v>0.42</v>
      </c>
      <c r="H19" s="215">
        <f>IF(B19=0,"",IF(C19&gt;9999,"",ROUND(VLOOKUP($B19,Operations!$A$2:$U$79,15,FALSE)*C19,2)))</f>
        <v>0.12</v>
      </c>
      <c r="I19" s="215">
        <f>IF(B19=0,0,IF(C19&gt;9999,"",ROUND(VLOOKUP(VLOOKUP(B19,Operations!$A$2:$U$79,11,FALSE),PowerUnits[],16,FALSE)/VLOOKUP(B19,Operations!$A$2:$U$79,9,FALSE)*C19,2)))</f>
        <v>1.56</v>
      </c>
      <c r="J19" s="215">
        <f>IF(B19=0,"",IF(C19&gt;9999,"",ROUND(VLOOKUP($B19,Operations!$A$2:$U$79,21,FALSE)*$C19,2)))</f>
        <v>0.26</v>
      </c>
      <c r="K19" s="215">
        <f>IF(C19&gt;9999,"",ROUND(SUM(E19:J19),2))</f>
        <v>3.77</v>
      </c>
      <c r="L19" s="216"/>
    </row>
    <row r="20" spans="1:12" x14ac:dyDescent="0.2">
      <c r="A20" s="170">
        <v>9</v>
      </c>
      <c r="B20" s="180" t="s">
        <v>396</v>
      </c>
      <c r="C20" s="295">
        <f>$G$4</f>
        <v>4</v>
      </c>
      <c r="D20" s="112" t="s">
        <v>187</v>
      </c>
      <c r="E20" s="109">
        <f>IF(B20=0,"",IF(C20&gt;9999,"",ROUND('General Variables'!$B$4*VLOOKUP(B20,Operations!$A$2:$U$79,10,FALSE)/VLOOKUP(B20,Operations!$A$2:$U$79,9,FALSE)*C20,2)))</f>
        <v>6.99</v>
      </c>
      <c r="F20" s="109">
        <f>IF(B20=0,0,IF(C20&gt;9999,"",ROUND(IF(VLOOKUP(B20,Operations!$A$2:$U$79,12,FALSE)=0,VLOOKUP(B20,Operations!$A$2:$U$79,13,FALSE)*'General Variables'!$B$8,VLOOKUP(B20,Operations!$A$2:$U$79,12,FALSE)*'General Variables'!$B$7)/VLOOKUP(B20,Operations!$A$2:$U$79,9,FALSE)*C20,2)))</f>
        <v>4.6500000000000004</v>
      </c>
      <c r="G20" s="109">
        <f>IF(B20=0,0,IF(C20&gt;9999,"",ROUND(VLOOKUP(VLOOKUP(B20,Operations!$A$2:$U$79,11,FALSE),PowerUnits[],10,FALSE)/VLOOKUP(B20,Operations!$A$2:$U$79,9,FALSE)*C20,2)))</f>
        <v>0.8</v>
      </c>
      <c r="H20" s="109">
        <f>IF(B20=0,"",IF(C20&gt;9999,"",ROUND(VLOOKUP($B20,Operations!$A$2:$U$79,15,FALSE)*C20,2)))</f>
        <v>2.92</v>
      </c>
      <c r="I20" s="109">
        <f>IF(B20=0,0,IF(C20&gt;9999,"",ROUND(VLOOKUP(VLOOKUP(B20,Operations!$A$2:$U$79,11,FALSE),PowerUnits[],16,FALSE)/VLOOKUP(B20,Operations!$A$2:$U$79,9,FALSE)*C20,2)))</f>
        <v>21.72</v>
      </c>
      <c r="J20" s="109">
        <f>IF(B20=0,"",IF(C20&gt;9999,"",ROUND(VLOOKUP($B20,Operations!$A$2:$U$79,21,FALSE)*$C20,2)))</f>
        <v>31.37</v>
      </c>
      <c r="K20" s="109">
        <f>IF(C20&gt;9999,"",ROUND(SUM(E20:J20),2))</f>
        <v>68.45</v>
      </c>
      <c r="L20" s="110"/>
    </row>
    <row r="21" spans="1:12" x14ac:dyDescent="0.2">
      <c r="A21" s="170">
        <v>10</v>
      </c>
      <c r="B21" s="180" t="s">
        <v>508</v>
      </c>
      <c r="C21" s="295">
        <f>$G$4</f>
        <v>4</v>
      </c>
      <c r="D21" s="112" t="s">
        <v>187</v>
      </c>
      <c r="E21" s="109">
        <f>IF(B21=0,"",IF(C21&gt;9999,"",ROUND('General Variables'!$B$4*VLOOKUP(B21,Operations!$A$2:$U$79,10,FALSE)/VLOOKUP(B21,Operations!$A$2:$U$79,9,FALSE)*C21,2)))</f>
        <v>5.94</v>
      </c>
      <c r="F21" s="109">
        <f>IF(B21=0,0,IF(C21&gt;9999,"",ROUND(IF(VLOOKUP(B21,Operations!$A$2:$U$79,12,FALSE)=0,VLOOKUP(B21,Operations!$A$2:$U$79,13,FALSE)*'General Variables'!$B$8,VLOOKUP(B21,Operations!$A$2:$U$79,12,FALSE)*'General Variables'!$B$7)/VLOOKUP(B21,Operations!$A$2:$U$79,9,FALSE)*C21,2)))</f>
        <v>2.56</v>
      </c>
      <c r="G21" s="109">
        <f>IF(B21=0,0,IF(C21&gt;9999,"",ROUND(VLOOKUP(VLOOKUP(B21,Operations!$A$2:$U$79,11,FALSE),PowerUnits[],10,FALSE)/VLOOKUP(B21,Operations!$A$2:$U$79,9,FALSE)*C21,2)))</f>
        <v>0.17</v>
      </c>
      <c r="H21" s="109">
        <f>IF(B21=0,"",IF(C21&gt;9999,"",ROUND(VLOOKUP($B21,Operations!$A$2:$U$79,15,FALSE)*C21,2)))</f>
        <v>0.64</v>
      </c>
      <c r="I21" s="109">
        <f>IF(B21=0,0,IF(C21&gt;9999,"",ROUND(VLOOKUP(VLOOKUP(B21,Operations!$A$2:$U$79,11,FALSE),PowerUnits[],16,FALSE)/VLOOKUP(B21,Operations!$A$2:$U$79,9,FALSE)*C21,2)))</f>
        <v>8.66</v>
      </c>
      <c r="J21" s="109">
        <f>IF(B21=0,"",IF(C21&gt;9999,"",ROUND(VLOOKUP($B21,Operations!$A$2:$U$79,21,FALSE)*$C21,2)))</f>
        <v>0.74</v>
      </c>
      <c r="K21" s="109">
        <f>IF(C21&gt;9999,"",ROUND(SUM(E21:J21),2))</f>
        <v>18.71</v>
      </c>
      <c r="L21" s="110"/>
    </row>
    <row r="22" spans="1:12" x14ac:dyDescent="0.2">
      <c r="A22" s="170">
        <v>11</v>
      </c>
      <c r="B22" s="180" t="s">
        <v>552</v>
      </c>
      <c r="C22" s="174">
        <v>0.5</v>
      </c>
      <c r="D22" s="112"/>
      <c r="E22" s="109">
        <f>IF(B22=0,"",IF(C22&gt;9999,"",ROUND('General Variables'!$B$4*VLOOKUP(B22,Operations!$A$2:$U$79,10,FALSE)/VLOOKUP(B22,Operations!$A$2:$U$79,9,FALSE)*C22,2)))</f>
        <v>0.51</v>
      </c>
      <c r="F22" s="109">
        <f>IF(B22=0,0,IF(C22&gt;9999,"",ROUND(IF(VLOOKUP(B22,Operations!$A$2:$U$79,12,FALSE)=0,VLOOKUP(B22,Operations!$A$2:$U$79,13,FALSE)*'General Variables'!$B$8,VLOOKUP(B22,Operations!$A$2:$U$79,12,FALSE)*'General Variables'!$B$7)/VLOOKUP(B22,Operations!$A$2:$U$79,9,FALSE)*C22,2)))</f>
        <v>0.13</v>
      </c>
      <c r="G22" s="109">
        <f>IF(B22=0,0,IF(C22&gt;9999,"",ROUND(VLOOKUP(VLOOKUP(B22,Operations!$A$2:$U$79,11,FALSE),PowerUnits[],10,FALSE)/VLOOKUP(B22,Operations!$A$2:$U$79,9,FALSE)*C22,2)))</f>
        <v>0.01</v>
      </c>
      <c r="H22" s="109">
        <f>IF(B22=0,"",IF(C22&gt;9999,"",ROUND(VLOOKUP($B22,Operations!$A$2:$U$79,15,FALSE)*C22,2)))</f>
        <v>0.55000000000000004</v>
      </c>
      <c r="I22" s="109">
        <f>IF(B22=0,0,IF(C22&gt;9999,"",ROUND(VLOOKUP(VLOOKUP(B22,Operations!$A$2:$U$79,11,FALSE),PowerUnits[],16,FALSE)/VLOOKUP(B22,Operations!$A$2:$U$79,9,FALSE)*C22,2)))</f>
        <v>0.66</v>
      </c>
      <c r="J22" s="109">
        <f>IF(B22=0,"",IF(C22&gt;9999,"",ROUND(VLOOKUP($B22,Operations!$A$2:$U$79,21,FALSE)*$C22,2)))</f>
        <v>1.01</v>
      </c>
      <c r="K22" s="109">
        <f>IF(C22&gt;9999,"",ROUND(SUM(E22:J22),2))</f>
        <v>2.87</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41.249999999999993</v>
      </c>
      <c r="F33" s="109">
        <f t="shared" ref="F33:K33" si="1">SUM(F12:F31)</f>
        <v>77.27000000000001</v>
      </c>
      <c r="G33" s="109">
        <f t="shared" si="1"/>
        <v>9.620000000000001</v>
      </c>
      <c r="H33" s="109">
        <f t="shared" si="1"/>
        <v>23.360000000000003</v>
      </c>
      <c r="I33" s="109">
        <f t="shared" si="1"/>
        <v>75.169999999999987</v>
      </c>
      <c r="J33" s="109">
        <f t="shared" si="1"/>
        <v>71.260000000000005</v>
      </c>
      <c r="K33" s="109">
        <f t="shared" si="1"/>
        <v>297.93</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306</v>
      </c>
      <c r="C38" s="388" t="str">
        <f>IF(B38=0,"",VLOOKUP($B38,Table2[],2,FALSE))</f>
        <v>Rental</v>
      </c>
      <c r="D38" s="388"/>
      <c r="E38" s="388"/>
      <c r="F38" s="174">
        <v>4</v>
      </c>
      <c r="G38" s="175">
        <v>1</v>
      </c>
      <c r="H38" s="176">
        <v>1</v>
      </c>
      <c r="I38" s="120" t="str">
        <f>IF($B38=0,"",VLOOKUP($B38,Table2[],5,FALSE))</f>
        <v>acre</v>
      </c>
      <c r="J38" s="109">
        <f>IF($B38=0,"",VLOOKUP($B38,Table2[],7,FALSE))</f>
        <v>20</v>
      </c>
      <c r="K38" s="109">
        <f t="shared" ref="K38:K62" si="2">IF(B38=0,0,ROUND(G38*H38*J38,2))</f>
        <v>20</v>
      </c>
      <c r="L38" s="110"/>
    </row>
    <row r="39" spans="2:12" x14ac:dyDescent="0.2">
      <c r="B39" s="180" t="s">
        <v>317</v>
      </c>
      <c r="C39" s="388" t="str">
        <f>IF(B39=0,"",VLOOKUP($B39,Table2[],2,FALSE))</f>
        <v>Seed</v>
      </c>
      <c r="D39" s="388"/>
      <c r="E39" s="388"/>
      <c r="F39" s="174">
        <v>4</v>
      </c>
      <c r="G39" s="175">
        <v>1</v>
      </c>
      <c r="H39" s="176">
        <v>12</v>
      </c>
      <c r="I39" s="120" t="str">
        <f>IF($B39=0,"",VLOOKUP($B39,Table2[],5,FALSE))</f>
        <v>pound</v>
      </c>
      <c r="J39" s="109">
        <f>IF($B39=0,"",VLOOKUP($B39,Table2[],7,FALSE))</f>
        <v>10.5</v>
      </c>
      <c r="K39" s="109">
        <f t="shared" si="2"/>
        <v>126</v>
      </c>
      <c r="L39" s="110"/>
    </row>
    <row r="40" spans="2:12" x14ac:dyDescent="0.2">
      <c r="B40" s="213" t="s">
        <v>889</v>
      </c>
      <c r="C40" s="387" t="str">
        <f>IF(B40=0,"",VLOOKUP($B40,Table2[],2,FALSE))</f>
        <v>Herbicide</v>
      </c>
      <c r="D40" s="387"/>
      <c r="E40" s="387"/>
      <c r="F40" s="214">
        <v>5</v>
      </c>
      <c r="G40" s="221">
        <v>1</v>
      </c>
      <c r="H40" s="222">
        <v>32</v>
      </c>
      <c r="I40" s="223" t="str">
        <f>IF($B40=0,"",VLOOKUP($B40,Table2[],5,FALSE))</f>
        <v>ounce</v>
      </c>
      <c r="J40" s="215">
        <f>IF($B40=0,"",VLOOKUP($B40,Table2[],7,FALSE))</f>
        <v>0.1953125</v>
      </c>
      <c r="K40" s="215">
        <f t="shared" si="2"/>
        <v>6.25</v>
      </c>
      <c r="L40" s="216"/>
    </row>
    <row r="41" spans="2:12" x14ac:dyDescent="0.2">
      <c r="B41" s="180" t="s">
        <v>245</v>
      </c>
      <c r="C41" s="388" t="str">
        <f>IF(B41=0,"",VLOOKUP($B41,Table2[],2,FALSE))</f>
        <v>Herbicide</v>
      </c>
      <c r="D41" s="388"/>
      <c r="E41" s="388"/>
      <c r="F41" s="174">
        <v>5</v>
      </c>
      <c r="G41" s="175">
        <v>1</v>
      </c>
      <c r="H41" s="176">
        <v>1</v>
      </c>
      <c r="I41" s="120" t="str">
        <f>IF($B41=0,"",VLOOKUP($B41,Table2[],5,FALSE))</f>
        <v>pint</v>
      </c>
      <c r="J41" s="109">
        <f>IF($B41=0,"",VLOOKUP($B41,Table2[],7,FALSE))</f>
        <v>6.625</v>
      </c>
      <c r="K41" s="109">
        <f t="shared" ref="K41" si="3">IF(B41=0,0,ROUND(G41*H41*J41,2))</f>
        <v>6.63</v>
      </c>
      <c r="L41" s="110"/>
    </row>
    <row r="42" spans="2:12" x14ac:dyDescent="0.2">
      <c r="B42" s="180" t="s">
        <v>170</v>
      </c>
      <c r="C42" s="388" t="str">
        <f>IF(B42=0,"",VLOOKUP($B42,Table2[],2,FALSE))</f>
        <v>Additive</v>
      </c>
      <c r="D42" s="388"/>
      <c r="E42" s="388"/>
      <c r="F42" s="174">
        <v>5</v>
      </c>
      <c r="G42" s="175">
        <v>1</v>
      </c>
      <c r="H42" s="176">
        <v>1.7</v>
      </c>
      <c r="I42" s="120" t="str">
        <f>IF($B42=0,"",VLOOKUP($B42,Table2[],5,FALSE))</f>
        <v>pound</v>
      </c>
      <c r="J42" s="109">
        <f>IF($B42=0,"",VLOOKUP($B42,Table2[],7,FALSE))</f>
        <v>0.4</v>
      </c>
      <c r="K42" s="109">
        <f t="shared" si="2"/>
        <v>0.68</v>
      </c>
      <c r="L42" s="110"/>
    </row>
    <row r="43" spans="2:12" x14ac:dyDescent="0.2">
      <c r="B43" s="180" t="s">
        <v>301</v>
      </c>
      <c r="C43" s="388" t="str">
        <f>IF(B43=0,"",VLOOKUP($B43,Table2[],2,FALSE))</f>
        <v>Other</v>
      </c>
      <c r="D43" s="388"/>
      <c r="E43" s="388"/>
      <c r="F43" s="174">
        <v>9</v>
      </c>
      <c r="G43" s="175">
        <v>1</v>
      </c>
      <c r="H43" s="176">
        <f>$G$4</f>
        <v>4</v>
      </c>
      <c r="I43" s="120" t="str">
        <f>IF($B43=0,"",VLOOKUP($B43,Table2[],5,FALSE))</f>
        <v>ton</v>
      </c>
      <c r="J43" s="109">
        <f>IF($B43=0,"",VLOOKUP($B43,Table2[],7,FALSE))</f>
        <v>1.9823788546255507</v>
      </c>
      <c r="K43" s="109">
        <f t="shared" si="2"/>
        <v>7.93</v>
      </c>
      <c r="L43" s="110"/>
    </row>
    <row r="44" spans="2:12" x14ac:dyDescent="0.2">
      <c r="B44" s="213" t="s">
        <v>288</v>
      </c>
      <c r="C44" s="387" t="str">
        <f>IF(B44=0,"",VLOOKUP($B44,Table2[],2,FALSE))</f>
        <v>Insecticide</v>
      </c>
      <c r="D44" s="387"/>
      <c r="E44" s="387"/>
      <c r="F44" s="214">
        <v>11</v>
      </c>
      <c r="G44" s="221">
        <v>0.5</v>
      </c>
      <c r="H44" s="222">
        <v>3</v>
      </c>
      <c r="I44" s="223" t="str">
        <f>IF($B44=0,"",VLOOKUP($B44,Table2[],5,FALSE))</f>
        <v>ounce</v>
      </c>
      <c r="J44" s="215">
        <f>IF($B44=0,"",VLOOKUP($B44,Table2[],7,FALSE))</f>
        <v>1.25</v>
      </c>
      <c r="K44" s="215">
        <f t="shared" si="2"/>
        <v>1.88</v>
      </c>
      <c r="L44" s="216"/>
    </row>
    <row r="45" spans="2:12" ht="12.75" hidden="1" customHeight="1" x14ac:dyDescent="0.2">
      <c r="B45" s="213"/>
      <c r="C45" s="387" t="str">
        <f>IF(B45=0,"",VLOOKUP($B45,Table2[],2,FALSE))</f>
        <v/>
      </c>
      <c r="D45" s="387"/>
      <c r="E45" s="387"/>
      <c r="F45" s="214"/>
      <c r="G45" s="221"/>
      <c r="H45" s="222"/>
      <c r="I45" s="223" t="str">
        <f>IF($B45=0,"",VLOOKUP($B45,Table2[],5,FALSE))</f>
        <v/>
      </c>
      <c r="J45" s="215" t="str">
        <f>IF($B45=0,"",VLOOKUP($B45,Table2[],7,FALSE))</f>
        <v/>
      </c>
      <c r="K45" s="215">
        <f t="shared" si="2"/>
        <v>0</v>
      </c>
      <c r="L45" s="216"/>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2"/>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2"/>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2"/>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2"/>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209.37</v>
      </c>
      <c r="L64" s="110"/>
    </row>
    <row r="65" spans="2:12" x14ac:dyDescent="0.2">
      <c r="K65" s="127"/>
    </row>
    <row r="66" spans="2:12" x14ac:dyDescent="0.2">
      <c r="B66" s="107" t="s">
        <v>672</v>
      </c>
      <c r="K66" s="127">
        <f>K33+K64</f>
        <v>507.3</v>
      </c>
      <c r="L66" s="110"/>
    </row>
    <row r="67" spans="2:12" ht="13.5" thickBot="1" x14ac:dyDescent="0.25">
      <c r="D67" s="128" t="s">
        <v>673</v>
      </c>
      <c r="E67" s="129">
        <f>ROUND(SUM($E$33:$H$33)+$K$64,2)</f>
        <v>360.87</v>
      </c>
      <c r="F67" s="388" t="s">
        <v>674</v>
      </c>
      <c r="G67" s="388"/>
      <c r="H67" s="130">
        <f>'General Variables'!$B$11</f>
        <v>7.4999999999999997E-2</v>
      </c>
      <c r="I67" s="131" t="str">
        <f>CONCATENATE("for ",TEXT('General Variables'!$B$12,"0.0")," mo.")</f>
        <v>for 6.0 mo.</v>
      </c>
      <c r="K67" s="132">
        <f>E67*H67*'General Variables'!$B$12/12</f>
        <v>13.532625000000001</v>
      </c>
      <c r="L67" s="133"/>
    </row>
    <row r="68" spans="2:12" ht="13.5" thickTop="1" x14ac:dyDescent="0.2">
      <c r="B68" s="107" t="s">
        <v>675</v>
      </c>
      <c r="K68" s="127">
        <f>SUM(K66:K67)</f>
        <v>520.83262500000001</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37">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0">
        <f>ROUND(F72*I72,2)</f>
        <v>118.5</v>
      </c>
      <c r="L72" s="133"/>
    </row>
    <row r="73" spans="2:12" ht="13.5" thickTop="1" x14ac:dyDescent="0.2">
      <c r="B73" s="107" t="s">
        <v>680</v>
      </c>
      <c r="K73" s="127">
        <f>SUM(K68:K72)</f>
        <v>947.78262500000005</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IF(G4=0,0,(E67+K67+K70+K72)/G4)</f>
        <v>131.97565624999999</v>
      </c>
      <c r="L75" s="148"/>
    </row>
    <row r="76" spans="2:12" x14ac:dyDescent="0.2">
      <c r="B76" s="107" t="str">
        <f>IF(G4="","","Cost of production per "&amp;H4)</f>
        <v>Cost of production per ton</v>
      </c>
      <c r="K76" s="141">
        <f>IF(G4="","",K73/G4)</f>
        <v>236.94565625000001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67:G67"/>
    <mergeCell ref="C71:E71"/>
    <mergeCell ref="G71:H71"/>
    <mergeCell ref="G72:H72"/>
    <mergeCell ref="C57:E57"/>
    <mergeCell ref="C58:E58"/>
    <mergeCell ref="C59:E59"/>
    <mergeCell ref="C60:E60"/>
    <mergeCell ref="C61:E61"/>
    <mergeCell ref="C62:E62"/>
    <mergeCell ref="C56:E56"/>
    <mergeCell ref="C45:E45"/>
    <mergeCell ref="C46:E46"/>
    <mergeCell ref="C47:E47"/>
    <mergeCell ref="C48:E48"/>
    <mergeCell ref="C49:E49"/>
    <mergeCell ref="C50:E50"/>
    <mergeCell ref="C51:E51"/>
    <mergeCell ref="C52:E52"/>
    <mergeCell ref="C53:E53"/>
    <mergeCell ref="C54:E54"/>
    <mergeCell ref="C55:E55"/>
    <mergeCell ref="C44:E44"/>
    <mergeCell ref="F35:F36"/>
    <mergeCell ref="G35:G36"/>
    <mergeCell ref="H35:I35"/>
    <mergeCell ref="J35:J36"/>
    <mergeCell ref="C38:E38"/>
    <mergeCell ref="C39:E39"/>
    <mergeCell ref="C40:E40"/>
    <mergeCell ref="C42:E42"/>
    <mergeCell ref="C43:E43"/>
    <mergeCell ref="C37:E37"/>
    <mergeCell ref="C41:E41"/>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0D00-000000000000}">
      <formula1>$B$112:$B$211</formula1>
    </dataValidation>
    <dataValidation type="list" allowBlank="1" showInputMessage="1" showErrorMessage="1" sqref="B63" xr:uid="{00000000-0002-0000-0D00-000001000000}">
      <formula1>$C$112:$C$211</formula1>
    </dataValidation>
    <dataValidation type="list" allowBlank="1" showInputMessage="1" showErrorMessage="1" sqref="K4" xr:uid="{00000000-0002-0000-0D00-000002000000}">
      <formula1>$K$112:$K$114</formula1>
    </dataValidation>
    <dataValidation type="list" allowBlank="1" showInputMessage="1" showErrorMessage="1" sqref="B37:B61" xr:uid="{00000000-0002-0000-0D00-000003000000}">
      <formula1>MaterialList</formula1>
    </dataValidation>
    <dataValidation type="list" allowBlank="1" showInputMessage="1" showErrorMessage="1" sqref="C71:E71" xr:uid="{00000000-0002-0000-0D00-000004000000}">
      <formula1>RealEstateList</formula1>
    </dataValidation>
    <dataValidation type="list" allowBlank="1" showInputMessage="1" showErrorMessage="1" sqref="B12:B31" xr:uid="{00000000-0002-0000-0D00-000005000000}">
      <formula1>OperationList</formula1>
    </dataValidation>
    <dataValidation type="list" allowBlank="1" showInputMessage="1" showErrorMessage="1" sqref="D12:D32" xr:uid="{00000000-0002-0000-0D00-000006000000}">
      <formula1>#REF!</formula1>
    </dataValidation>
    <dataValidation type="list" allowBlank="1" showInputMessage="1" showErrorMessage="1" sqref="K2" xr:uid="{00000000-0002-0000-0D00-000007000000}">
      <formula1>watersource</formula1>
    </dataValidation>
    <dataValidation type="list" allowBlank="1" showInputMessage="1" showErrorMessage="1" sqref="C3" xr:uid="{00000000-0002-0000-0D00-000008000000}">
      <formula1>TillageSystem</formula1>
    </dataValidation>
  </dataValidations>
  <pageMargins left="0.7" right="0.7" top="0.75" bottom="0.75" header="0.3" footer="0.3"/>
  <pageSetup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8">
    <pageSetUpPr fitToPage="1"/>
  </sheetPr>
  <dimension ref="A2:M257"/>
  <sheetViews>
    <sheetView topLeftCell="A8" zoomScaleNormal="100" workbookViewId="0">
      <selection activeCell="H42" sqref="H4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697</v>
      </c>
      <c r="H2" s="392"/>
      <c r="J2" s="128" t="s">
        <v>649</v>
      </c>
      <c r="K2" s="401" t="s">
        <v>73</v>
      </c>
      <c r="L2" s="401"/>
    </row>
    <row r="3" spans="1:13" hidden="1" x14ac:dyDescent="0.2">
      <c r="B3" s="103" t="s">
        <v>38</v>
      </c>
      <c r="C3" s="391" t="s">
        <v>43</v>
      </c>
      <c r="D3" s="391"/>
      <c r="E3" s="391"/>
      <c r="G3" s="128" t="s">
        <v>650</v>
      </c>
      <c r="H3" s="187" t="s">
        <v>698</v>
      </c>
      <c r="J3" s="128" t="s">
        <v>651</v>
      </c>
      <c r="K3" s="187">
        <v>18</v>
      </c>
    </row>
    <row r="4" spans="1:13" hidden="1" x14ac:dyDescent="0.2">
      <c r="B4" s="103" t="s">
        <v>652</v>
      </c>
      <c r="C4" s="392" t="s">
        <v>699</v>
      </c>
      <c r="D4" s="392"/>
      <c r="E4" s="392"/>
      <c r="G4" s="103">
        <f>IFERROR(VALUE(LEFT($H$3,FIND(" ",$H$3))),"")</f>
        <v>2.5</v>
      </c>
      <c r="H4" s="103" t="str">
        <f>IFERROR(RIGHT(H3,LEN(H3)-LEN(G4)-1),"")</f>
        <v>ton</v>
      </c>
      <c r="J4" s="128" t="s">
        <v>653</v>
      </c>
      <c r="K4" s="188" t="s">
        <v>654</v>
      </c>
    </row>
    <row r="5" spans="1:13" ht="15.75" hidden="1" customHeight="1" x14ac:dyDescent="0.2">
      <c r="B5" s="103" t="s">
        <v>655</v>
      </c>
      <c r="C5" s="238" t="str">
        <f ca="1">MID(CELL("filename",C5),FIND("]",CELL("filename",C5))+1,255)</f>
        <v>8-Alfalfa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8-Alfalfa, Large Round Bales, Panhandle, Conventional Tillage, Fall Seeded with Subsequent Year Production, 2.5 ton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8-Alfalfa, Large Round Bales, Panhandle, Conventional Tillage, Fall Seeded with Subsequent Year Production, 2.5 ton Yield</v>
      </c>
      <c r="C7" s="393"/>
      <c r="D7" s="393"/>
      <c r="E7" s="393"/>
      <c r="F7" s="393"/>
      <c r="G7" s="393"/>
      <c r="H7" s="393"/>
      <c r="I7" s="393"/>
      <c r="J7" s="393"/>
      <c r="K7" s="393"/>
      <c r="L7" s="393"/>
      <c r="M7" s="186"/>
    </row>
    <row r="8" spans="1:13" ht="15.75" x14ac:dyDescent="0.25">
      <c r="B8" s="189" t="str">
        <f>IF(K2="","",K2)&amp;IF(LEFT(K2,5)="Pivot",", 800 GPM 35 PSI","") &amp; IF(K3="","",", "&amp; K3&amp;" "&amp;J3)</f>
        <v>Gravity Irrigated, fed by canal, 18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556</v>
      </c>
      <c r="C13" s="174">
        <v>1</v>
      </c>
      <c r="D13" s="174"/>
      <c r="E13" s="109">
        <f>IF(B13=0,"",IF(C13&gt;9999,"",ROUND('General Variables'!$B$4*VLOOKUP(B13,Operations!$A$2:$U$79,10,FALSE)/VLOOKUP(B13,Operations!$A$2:$U$79,9,FALSE)*C13,2)))</f>
        <v>2.13</v>
      </c>
      <c r="F13" s="109">
        <f>IF(B13=0,0,IF(C13&gt;9999,"",ROUND(IF(VLOOKUP(B13,Operations!$A$2:$U$79,12,FALSE)=0,VLOOKUP(B13,Operations!$A$2:$U$79,13,FALSE)*'General Variables'!$B$8,VLOOKUP(B13,Operations!$A$2:$U$79,12,FALSE)*'General Variables'!$B$7)/VLOOKUP(B13,Operations!$A$2:$U$79,9,FALSE)*C13,2)))</f>
        <v>0.97</v>
      </c>
      <c r="G13" s="109">
        <f>IF(B13=0,0,IF(C13&gt;9999,"",ROUND(VLOOKUP(VLOOKUP(B13,Operations!$A$2:$U$79,11,FALSE),PowerUnits[],10,FALSE)/VLOOKUP(B13,Operations!$A$2:$U$79,9,FALSE)*C13,2)))</f>
        <v>7.0000000000000007E-2</v>
      </c>
      <c r="H13" s="109">
        <f>IF(B13=0,"",IF(C13&gt;9999,"",ROUND(VLOOKUP($B13,Operations!$A$2:$U$79,15,FALSE)*C13,2)))</f>
        <v>0</v>
      </c>
      <c r="I13" s="109">
        <f>IF(B13=0,0,IF(C13&gt;9999,"",ROUND(VLOOKUP(VLOOKUP(B13,Operations!$A$2:$U$79,11,FALSE),PowerUnits[],16,FALSE)/VLOOKUP(B13,Operations!$A$2:$U$79,9,FALSE)*C13,2)))</f>
        <v>3.41</v>
      </c>
      <c r="J13" s="109">
        <f>IF(B13=0,"",IF(C13&gt;9999,"",ROUND(VLOOKUP($B13,Operations!$A$2:$U$79,21,FALSE)*$C13,2)))</f>
        <v>2.64</v>
      </c>
      <c r="K13" s="109">
        <f t="shared" ref="K13:K31" si="0">IF(C13&gt;9999,"",ROUND(SUM(E13:J13),2))</f>
        <v>9.2200000000000006</v>
      </c>
      <c r="L13" s="110"/>
    </row>
    <row r="14" spans="1:13" x14ac:dyDescent="0.2">
      <c r="A14" s="170">
        <v>3</v>
      </c>
      <c r="B14" s="180" t="s">
        <v>488</v>
      </c>
      <c r="C14" s="174">
        <v>1</v>
      </c>
      <c r="D14" s="174"/>
      <c r="E14" s="109">
        <f>IF(B14=0,"",IF(C14&gt;9999,"",ROUND('General Variables'!$B$4*VLOOKUP(B14,Operations!$A$2:$U$79,10,FALSE)/VLOOKUP(B14,Operations!$A$2:$U$79,9,FALSE)*C14,2)))</f>
        <v>2.38</v>
      </c>
      <c r="F14" s="109">
        <f>IF(B14=0,0,IF(C14&gt;9999,"",ROUND(IF(VLOOKUP(B14,Operations!$A$2:$U$79,12,FALSE)=0,VLOOKUP(B14,Operations!$A$2:$U$79,13,FALSE)*'General Variables'!$B$8,VLOOKUP(B14,Operations!$A$2:$U$79,12,FALSE)*'General Variables'!$B$7)/VLOOKUP(B14,Operations!$A$2:$U$79,9,FALSE)*C14,2)))</f>
        <v>1.28</v>
      </c>
      <c r="G14" s="109">
        <f>IF(B14=0,0,IF(C14&gt;9999,"",ROUND(VLOOKUP(VLOOKUP(B14,Operations!$A$2:$U$79,11,FALSE),PowerUnits[],10,FALSE)/VLOOKUP(B14,Operations!$A$2:$U$79,9,FALSE)*C14,2)))</f>
        <v>7.0000000000000007E-2</v>
      </c>
      <c r="H14" s="109">
        <f>IF(B14=0,"",IF(C14&gt;9999,"",ROUND(VLOOKUP($B14,Operations!$A$2:$U$79,15,FALSE)*C14,2)))</f>
        <v>7.18</v>
      </c>
      <c r="I14" s="109">
        <f>IF(B14=0,0,IF(C14&gt;9999,"",ROUND(VLOOKUP(VLOOKUP(B14,Operations!$A$2:$U$79,11,FALSE),PowerUnits[],16,FALSE)/VLOOKUP(B14,Operations!$A$2:$U$79,9,FALSE)*C14,2)))</f>
        <v>3.46</v>
      </c>
      <c r="J14" s="109">
        <f>IF(B14=0,"",IF(C14&gt;9999,"",ROUND(VLOOKUP($B14,Operations!$A$2:$U$79,21,FALSE)*$C14,2)))</f>
        <v>2.4500000000000002</v>
      </c>
      <c r="K14" s="109">
        <f t="shared" si="0"/>
        <v>16.82</v>
      </c>
      <c r="L14" s="110"/>
    </row>
    <row r="15" spans="1:13" x14ac:dyDescent="0.2">
      <c r="A15" s="170">
        <v>4</v>
      </c>
      <c r="B15" s="213" t="s">
        <v>540</v>
      </c>
      <c r="C15" s="214">
        <v>1</v>
      </c>
      <c r="D15" s="214"/>
      <c r="E15" s="215">
        <f>IF(B15=0,"",IF(C15&gt;9999,"",ROUND('General Variables'!$B$4*VLOOKUP(B15,Operations!$A$2:$U$79,10,FALSE)/VLOOKUP(B15,Operations!$A$2:$U$79,9,FALSE)*C15,2)))</f>
        <v>2.25</v>
      </c>
      <c r="F15" s="215">
        <f>IF(B15=0,0,IF(C15&gt;9999,"",ROUND(IF(VLOOKUP(B15,Operations!$A$2:$U$79,12,FALSE)=0,VLOOKUP(B15,Operations!$A$2:$U$79,13,FALSE)*'General Variables'!$B$8,VLOOKUP(B15,Operations!$A$2:$U$79,12,FALSE)*'General Variables'!$B$7)/VLOOKUP(B15,Operations!$A$2:$U$79,9,FALSE)*C15,2)))</f>
        <v>1.45</v>
      </c>
      <c r="G15" s="215">
        <f>IF(B15=0,0,IF(C15&gt;9999,"",ROUND(VLOOKUP(VLOOKUP(B15,Operations!$A$2:$U$79,11,FALSE),PowerUnits[],10,FALSE)/VLOOKUP(B15,Operations!$A$2:$U$79,9,FALSE)*C15,2)))</f>
        <v>7.0000000000000007E-2</v>
      </c>
      <c r="H15" s="215">
        <f>IF(B15=0,"",IF(C15&gt;9999,"",ROUND(VLOOKUP($B15,Operations!$A$2:$U$79,15,FALSE)*C15,2)))</f>
        <v>0.39</v>
      </c>
      <c r="I15" s="215">
        <f>IF(B15=0,0,IF(C15&gt;9999,"",ROUND(VLOOKUP(VLOOKUP(B15,Operations!$A$2:$U$79,11,FALSE),PowerUnits[],16,FALSE)/VLOOKUP(B15,Operations!$A$2:$U$79,9,FALSE)*C15,2)))</f>
        <v>3.61</v>
      </c>
      <c r="J15" s="215">
        <f>IF(B15=0,"",IF(C15&gt;9999,"",ROUND(VLOOKUP($B15,Operations!$A$2:$U$79,21,FALSE)*$C15,2)))</f>
        <v>2.78</v>
      </c>
      <c r="K15" s="215">
        <f t="shared" si="0"/>
        <v>10.55</v>
      </c>
      <c r="L15" s="216"/>
    </row>
    <row r="16" spans="1:13" x14ac:dyDescent="0.2">
      <c r="A16" s="170">
        <v>5</v>
      </c>
      <c r="B16" s="180" t="s">
        <v>552</v>
      </c>
      <c r="C16" s="174">
        <v>0.2</v>
      </c>
      <c r="D16" s="174"/>
      <c r="E16" s="109">
        <f>IF(B16=0,"",IF(C16&gt;9999,"",ROUND('General Variables'!$B$4*VLOOKUP(B16,Operations!$A$2:$U$79,10,FALSE)/VLOOKUP(B16,Operations!$A$2:$U$79,9,FALSE)*C16,2)))</f>
        <v>0.2</v>
      </c>
      <c r="F16" s="109">
        <f>IF(B16=0,0,IF(C16&gt;9999,"",ROUND(IF(VLOOKUP(B16,Operations!$A$2:$U$79,12,FALSE)=0,VLOOKUP(B16,Operations!$A$2:$U$79,13,FALSE)*'General Variables'!$B$8,VLOOKUP(B16,Operations!$A$2:$U$79,12,FALSE)*'General Variables'!$B$7)/VLOOKUP(B16,Operations!$A$2:$U$79,9,FALSE)*C16,2)))</f>
        <v>0.05</v>
      </c>
      <c r="G16" s="109">
        <f>IF(B16=0,0,IF(C16&gt;9999,"",ROUND(VLOOKUP(VLOOKUP(B16,Operations!$A$2:$U$79,11,FALSE),PowerUnits[],10,FALSE)/VLOOKUP(B16,Operations!$A$2:$U$79,9,FALSE)*C16,2)))</f>
        <v>0.01</v>
      </c>
      <c r="H16" s="109">
        <f>IF(B16=0,"",IF(C16&gt;9999,"",ROUND(VLOOKUP($B16,Operations!$A$2:$U$79,15,FALSE)*C16,2)))</f>
        <v>0.22</v>
      </c>
      <c r="I16" s="109">
        <f>IF(B16=0,0,IF(C16&gt;9999,"",ROUND(VLOOKUP(VLOOKUP(B16,Operations!$A$2:$U$79,11,FALSE),PowerUnits[],16,FALSE)/VLOOKUP(B16,Operations!$A$2:$U$79,9,FALSE)*C16,2)))</f>
        <v>0.26</v>
      </c>
      <c r="J16" s="109">
        <f>IF(B16=0,"",IF(C16&gt;9999,"",ROUND(VLOOKUP($B16,Operations!$A$2:$U$79,21,FALSE)*$C16,2)))</f>
        <v>0.4</v>
      </c>
      <c r="K16" s="109">
        <f t="shared" si="0"/>
        <v>1.1399999999999999</v>
      </c>
      <c r="L16" s="110"/>
    </row>
    <row r="17" spans="1:12" x14ac:dyDescent="0.2">
      <c r="A17" s="170">
        <v>6</v>
      </c>
      <c r="B17" s="180" t="s">
        <v>475</v>
      </c>
      <c r="C17" s="174">
        <v>1</v>
      </c>
      <c r="D17" s="174"/>
      <c r="E17" s="109">
        <f>IF(B17=0,"",IF(C17&gt;9999,"",ROUND('General Variables'!$B$4*VLOOKUP(B17,Operations!$A$2:$U$79,10,FALSE)/VLOOKUP(B17,Operations!$A$2:$U$79,9,FALSE)*C17,2)))</f>
        <v>4.2300000000000004</v>
      </c>
      <c r="F17" s="109">
        <f>IF(B17=0,0,IF(C17&gt;9999,"",ROUND(IF(VLOOKUP(B17,Operations!$A$2:$U$79,12,FALSE)=0,VLOOKUP(B17,Operations!$A$2:$U$79,13,FALSE)*'General Variables'!$B$8,VLOOKUP(B17,Operations!$A$2:$U$79,12,FALSE)*'General Variables'!$B$7)/VLOOKUP(B17,Operations!$A$2:$U$79,9,FALSE)*C17,2)))</f>
        <v>2</v>
      </c>
      <c r="G17" s="109">
        <f>IF(B17=0,0,IF(C17&gt;9999,"",ROUND(VLOOKUP(VLOOKUP(B17,Operations!$A$2:$U$79,11,FALSE),PowerUnits[],10,FALSE)/VLOOKUP(B17,Operations!$A$2:$U$79,9,FALSE)*C17,2)))</f>
        <v>0.48</v>
      </c>
      <c r="H17" s="109">
        <f>IF(B17=0,"",IF(C17&gt;9999,"",ROUND(VLOOKUP($B17,Operations!$A$2:$U$79,15,FALSE)*C17,2)))</f>
        <v>2.2000000000000002</v>
      </c>
      <c r="I17" s="109">
        <f>IF(B17=0,0,IF(C17&gt;9999,"",ROUND(VLOOKUP(VLOOKUP(B17,Operations!$A$2:$U$79,11,FALSE),PowerUnits[],16,FALSE)/VLOOKUP(B17,Operations!$A$2:$U$79,9,FALSE)*C17,2)))</f>
        <v>13.15</v>
      </c>
      <c r="J17" s="109">
        <f>IF(B17=0,"",IF(C17&gt;9999,"",ROUND(VLOOKUP($B17,Operations!$A$2:$U$79,21,FALSE)*$C17,2)))</f>
        <v>12.28</v>
      </c>
      <c r="K17" s="109">
        <f t="shared" si="0"/>
        <v>34.340000000000003</v>
      </c>
      <c r="L17" s="110"/>
    </row>
    <row r="18" spans="1:12" x14ac:dyDescent="0.2">
      <c r="A18" s="170">
        <v>7</v>
      </c>
      <c r="B18" s="180" t="s">
        <v>559</v>
      </c>
      <c r="C18" s="174">
        <v>2</v>
      </c>
      <c r="D18" s="174"/>
      <c r="E18" s="109">
        <f>IF(B18=0,"",IF(C18&gt;9999,"",ROUND('General Variables'!$B$4*VLOOKUP(B18,Operations!$A$2:$U$79,10,FALSE)/VLOOKUP(B18,Operations!$A$2:$U$79,9,FALSE)*C18,2)))</f>
        <v>5.4</v>
      </c>
      <c r="F18" s="109">
        <f>IF(B18=0,0,IF(C18&gt;9999,"",ROUND(IF(VLOOKUP(B18,Operations!$A$2:$U$79,12,FALSE)=0,VLOOKUP(B18,Operations!$A$2:$U$79,13,FALSE)*'General Variables'!$B$8,VLOOKUP(B18,Operations!$A$2:$U$79,12,FALSE)*'General Variables'!$B$7)/VLOOKUP(B18,Operations!$A$2:$U$79,9,FALSE)*C18,2)))</f>
        <v>3.2</v>
      </c>
      <c r="G18" s="109">
        <f>IF(B18=0,0,IF(C18&gt;9999,"",ROUND(VLOOKUP(VLOOKUP(B18,Operations!$A$2:$U$79,11,FALSE),PowerUnits[],10,FALSE)/VLOOKUP(B18,Operations!$A$2:$U$79,9,FALSE)*C18,2)))</f>
        <v>2.04</v>
      </c>
      <c r="H18" s="109">
        <f>IF(B18=0,"",IF(C18&gt;9999,"",ROUND(VLOOKUP($B18,Operations!$A$2:$U$79,15,FALSE)*C18,2)))</f>
        <v>2.0299999999999998</v>
      </c>
      <c r="I18" s="109">
        <f>IF(B18=0,0,IF(C18&gt;9999,"",ROUND(VLOOKUP(VLOOKUP(B18,Operations!$A$2:$U$79,11,FALSE),PowerUnits[],16,FALSE)/VLOOKUP(B18,Operations!$A$2:$U$79,9,FALSE)*C18,2)))</f>
        <v>7.49</v>
      </c>
      <c r="J18" s="109">
        <f>IF(B18=0,"",IF(C18&gt;9999,"",ROUND(VLOOKUP($B18,Operations!$A$2:$U$79,21,FALSE)*$C18,2)))</f>
        <v>10.15</v>
      </c>
      <c r="K18" s="109">
        <f t="shared" si="0"/>
        <v>30.31</v>
      </c>
      <c r="L18" s="110"/>
    </row>
    <row r="19" spans="1:12" x14ac:dyDescent="0.2">
      <c r="A19" s="170">
        <v>8</v>
      </c>
      <c r="B19" s="213" t="s">
        <v>566</v>
      </c>
      <c r="C19" s="214">
        <v>0.5</v>
      </c>
      <c r="D19" s="214"/>
      <c r="E19" s="215">
        <f>IF(B19=0,"",IF(C19&gt;9999,"",ROUND('General Variables'!$B$4*VLOOKUP(B19,Operations!$A$2:$U$79,10,FALSE)/VLOOKUP(B19,Operations!$A$2:$U$79,9,FALSE)*C19,2)))</f>
        <v>1.1299999999999999</v>
      </c>
      <c r="F19" s="215">
        <f>IF(B19=0,0,IF(C19&gt;9999,"",ROUND(IF(VLOOKUP(B19,Operations!$A$2:$U$79,12,FALSE)=0,VLOOKUP(B19,Operations!$A$2:$U$79,13,FALSE)*'General Variables'!$B$8,VLOOKUP(B19,Operations!$A$2:$U$79,12,FALSE)*'General Variables'!$B$7)/VLOOKUP(B19,Operations!$A$2:$U$79,9,FALSE)*C19,2)))</f>
        <v>0.28000000000000003</v>
      </c>
      <c r="G19" s="215">
        <f>IF(B19=0,0,IF(C19&gt;9999,"",ROUND(VLOOKUP(VLOOKUP(B19,Operations!$A$2:$U$79,11,FALSE),PowerUnits[],10,FALSE)/VLOOKUP(B19,Operations!$A$2:$U$79,9,FALSE)*C19,2)))</f>
        <v>0.42</v>
      </c>
      <c r="H19" s="215">
        <f>IF(B19=0,"",IF(C19&gt;9999,"",ROUND(VLOOKUP($B19,Operations!$A$2:$U$79,15,FALSE)*C19,2)))</f>
        <v>0.12</v>
      </c>
      <c r="I19" s="215">
        <f>IF(B19=0,0,IF(C19&gt;9999,"",ROUND(VLOOKUP(VLOOKUP(B19,Operations!$A$2:$U$79,11,FALSE),PowerUnits[],16,FALSE)/VLOOKUP(B19,Operations!$A$2:$U$79,9,FALSE)*C19,2)))</f>
        <v>1.56</v>
      </c>
      <c r="J19" s="215">
        <f>IF(B19=0,"",IF(C19&gt;9999,"",ROUND(VLOOKUP($B19,Operations!$A$2:$U$79,21,FALSE)*$C19,2)))</f>
        <v>0.26</v>
      </c>
      <c r="K19" s="215">
        <f t="shared" si="0"/>
        <v>3.77</v>
      </c>
      <c r="L19" s="216"/>
    </row>
    <row r="20" spans="1:12" x14ac:dyDescent="0.2">
      <c r="A20" s="170">
        <v>9</v>
      </c>
      <c r="B20" s="180" t="s">
        <v>387</v>
      </c>
      <c r="C20" s="293">
        <f>$G$4</f>
        <v>2.5</v>
      </c>
      <c r="D20" s="112" t="s">
        <v>187</v>
      </c>
      <c r="E20" s="109">
        <f>IF(B20=0,"",IF(C20&gt;9999,"",ROUND('General Variables'!$B$4*VLOOKUP(B20,Operations!$A$2:$U$79,10,FALSE)/VLOOKUP(B20,Operations!$A$2:$U$79,9,FALSE)*C20,2)))</f>
        <v>6.19</v>
      </c>
      <c r="F20" s="109">
        <f>IF(B20=0,0,IF(C20&gt;9999,"",ROUND(IF(VLOOKUP(B20,Operations!$A$2:$U$79,12,FALSE)=0,VLOOKUP(B20,Operations!$A$2:$U$79,13,FALSE)*'General Variables'!$B$8,VLOOKUP(B20,Operations!$A$2:$U$79,12,FALSE)*'General Variables'!$B$7)/VLOOKUP(B20,Operations!$A$2:$U$79,9,FALSE)*C20,2)))</f>
        <v>1.92</v>
      </c>
      <c r="G20" s="109">
        <f>IF(B20=0,0,IF(C20&gt;9999,"",ROUND(VLOOKUP(VLOOKUP(B20,Operations!$A$2:$U$79,11,FALSE),PowerUnits[],10,FALSE)/VLOOKUP(B20,Operations!$A$2:$U$79,9,FALSE)*C20,2)))</f>
        <v>0.17</v>
      </c>
      <c r="H20" s="109">
        <f>IF(B20=0,"",IF(C20&gt;9999,"",ROUND(VLOOKUP($B20,Operations!$A$2:$U$79,15,FALSE)*C20,2)))</f>
        <v>7.25</v>
      </c>
      <c r="I20" s="109">
        <f>IF(B20=0,0,IF(C20&gt;9999,"",ROUND(VLOOKUP(VLOOKUP(B20,Operations!$A$2:$U$79,11,FALSE),PowerUnits[],16,FALSE)/VLOOKUP(B20,Operations!$A$2:$U$79,9,FALSE)*C20,2)))</f>
        <v>9.02</v>
      </c>
      <c r="J20" s="109">
        <f>IF(B20=0,"",IF(C20&gt;9999,"",ROUND(VLOOKUP($B20,Operations!$A$2:$U$79,21,FALSE)*$C20,2)))</f>
        <v>9.68</v>
      </c>
      <c r="K20" s="109">
        <f>IF(C20&gt;9999,"",ROUND(SUM(E20:J20),2))</f>
        <v>34.229999999999997</v>
      </c>
      <c r="L20" s="110"/>
    </row>
    <row r="21" spans="1:12" x14ac:dyDescent="0.2">
      <c r="A21" s="170">
        <v>10</v>
      </c>
      <c r="B21" s="180" t="s">
        <v>514</v>
      </c>
      <c r="C21" s="293">
        <f>$G$4</f>
        <v>2.5</v>
      </c>
      <c r="D21" s="112" t="s">
        <v>187</v>
      </c>
      <c r="E21" s="109">
        <f>IF(B21=0,"",IF(C21&gt;9999,"",ROUND('General Variables'!$B$4*VLOOKUP(B21,Operations!$A$2:$U$79,10,FALSE)/VLOOKUP(B21,Operations!$A$2:$U$79,9,FALSE)*C21,2)))</f>
        <v>3.54</v>
      </c>
      <c r="F21" s="109">
        <f>IF(B21=0,0,IF(C21&gt;9999,"",ROUND(IF(VLOOKUP(B21,Operations!$A$2:$U$79,12,FALSE)=0,VLOOKUP(B21,Operations!$A$2:$U$79,13,FALSE)*'General Variables'!$B$8,VLOOKUP(B21,Operations!$A$2:$U$79,12,FALSE)*'General Variables'!$B$7)/VLOOKUP(B21,Operations!$A$2:$U$79,9,FALSE)*C21,2)))</f>
        <v>1.52</v>
      </c>
      <c r="G21" s="109">
        <f>IF(B21=0,0,IF(C21&gt;9999,"",ROUND(VLOOKUP(VLOOKUP(B21,Operations!$A$2:$U$79,11,FALSE),PowerUnits[],10,FALSE)/VLOOKUP(B21,Operations!$A$2:$U$79,9,FALSE)*C21,2)))</f>
        <v>0.1</v>
      </c>
      <c r="H21" s="109">
        <f>IF(B21=0,"",IF(C21&gt;9999,"",ROUND(VLOOKUP($B21,Operations!$A$2:$U$79,15,FALSE)*C21,2)))</f>
        <v>0</v>
      </c>
      <c r="I21" s="109">
        <f>IF(B21=0,0,IF(C21&gt;9999,"",ROUND(VLOOKUP(VLOOKUP(B21,Operations!$A$2:$U$79,11,FALSE),PowerUnits[],16,FALSE)/VLOOKUP(B21,Operations!$A$2:$U$79,9,FALSE)*C21,2)))</f>
        <v>5.15</v>
      </c>
      <c r="J21" s="109">
        <f>IF(B21=0,"",IF(C21&gt;9999,"",ROUND(VLOOKUP($B21,Operations!$A$2:$U$79,21,FALSE)*$C21,2)))</f>
        <v>0.46</v>
      </c>
      <c r="K21" s="109">
        <f>IF(C21&gt;9999,"",ROUND(SUM(E21:J21),2))</f>
        <v>10.77</v>
      </c>
      <c r="L21" s="110"/>
    </row>
    <row r="22" spans="1:12" x14ac:dyDescent="0.2">
      <c r="A22" s="170">
        <v>11</v>
      </c>
      <c r="B22" s="180" t="s">
        <v>482</v>
      </c>
      <c r="C22" s="174">
        <f>$K$3</f>
        <v>18</v>
      </c>
      <c r="D22" s="112" t="s">
        <v>693</v>
      </c>
      <c r="E22" s="109">
        <f>IF(B22=0,"",IF(C22&gt;9999,"",ROUND('General Variables'!$B$4*VLOOKUP(B22,Operations!$A$2:$U$79,10,FALSE)/VLOOKUP(B22,Operations!$A$2:$U$79,9,FALSE)*C22,2)))</f>
        <v>27</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8.6199999999999992</v>
      </c>
      <c r="H22" s="109">
        <f>IF(B22=0,"",IF(C22&gt;9999,"",ROUND(VLOOKUP($B22,Operations!$A$2:$U$79,15,FALSE)*C22,2)))</f>
        <v>0</v>
      </c>
      <c r="I22" s="109">
        <f>IF(B22=0,0,IF(C22&gt;9999,"",ROUND(VLOOKUP(VLOOKUP(B22,Operations!$A$2:$U$79,11,FALSE),PowerUnits[],16,FALSE)/VLOOKUP(B22,Operations!$A$2:$U$79,9,FALSE)*C22,2)))</f>
        <v>19.32</v>
      </c>
      <c r="J22" s="109">
        <f>IF(B22=0,"",IF(C22&gt;9999,"",ROUND(VLOOKUP($B22,Operations!$A$2:$U$79,21,FALSE)*$C22,2)))</f>
        <v>0</v>
      </c>
      <c r="K22" s="109">
        <f>IF(C22&gt;9999,"",ROUND(SUM(E22:J22),2))</f>
        <v>54.94</v>
      </c>
      <c r="L22" s="110"/>
    </row>
    <row r="23" spans="1:12" x14ac:dyDescent="0.2">
      <c r="A23" s="170">
        <v>12</v>
      </c>
      <c r="B23" s="217" t="s">
        <v>551</v>
      </c>
      <c r="C23" s="218">
        <v>1</v>
      </c>
      <c r="D23" s="218"/>
      <c r="E23" s="215">
        <f>IF(B23=0,"",IF(C23&gt;9999,"",ROUND('General Variables'!$B$4*VLOOKUP(B23,Operations!$A$2:$U$79,10,FALSE)/VLOOKUP(B23,Operations!$A$2:$U$79,9,FALSE)*C23,2)))</f>
        <v>1.02</v>
      </c>
      <c r="F23" s="215">
        <f>IF(B23=0,0,IF(C23&gt;9999,"",ROUND(IF(VLOOKUP(B23,Operations!$A$2:$U$79,12,FALSE)=0,VLOOKUP(B23,Operations!$A$2:$U$79,13,FALSE)*'General Variables'!$B$8,VLOOKUP(B23,Operations!$A$2:$U$79,12,FALSE)*'General Variables'!$B$7)/VLOOKUP(B23,Operations!$A$2:$U$79,9,FALSE)*C23,2)))</f>
        <v>0.26</v>
      </c>
      <c r="G23" s="215">
        <f>IF(B23=0,0,IF(C23&gt;9999,"",ROUND(VLOOKUP(VLOOKUP(B23,Operations!$A$2:$U$79,11,FALSE),PowerUnits[],10,FALSE)/VLOOKUP(B23,Operations!$A$2:$U$79,9,FALSE)*C23,2)))</f>
        <v>0.03</v>
      </c>
      <c r="H23" s="215">
        <f>IF(B23=0,"",IF(C23&gt;9999,"",ROUND(VLOOKUP($B23,Operations!$A$2:$U$79,15,FALSE)*C23,2)))</f>
        <v>1.1100000000000001</v>
      </c>
      <c r="I23" s="215">
        <f>IF(B23=0,0,IF(C23&gt;9999,"",ROUND(VLOOKUP(VLOOKUP(B23,Operations!$A$2:$U$79,11,FALSE),PowerUnits[],16,FALSE)/VLOOKUP(B23,Operations!$A$2:$U$79,9,FALSE)*C23,2)))</f>
        <v>1.31</v>
      </c>
      <c r="J23" s="215">
        <f>IF(B23=0,"",IF(C23&gt;9999,"",ROUND(VLOOKUP($B23,Operations!$A$2:$U$79,21,FALSE)*$C23,2)))</f>
        <v>2.02</v>
      </c>
      <c r="K23" s="215">
        <f t="shared" si="0"/>
        <v>5.75</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58.190000000000005</v>
      </c>
      <c r="F33" s="109">
        <f t="shared" ref="F33:K33" si="1">SUM(F12:F31)</f>
        <v>15.359999999999998</v>
      </c>
      <c r="G33" s="109">
        <f t="shared" si="1"/>
        <v>12.389999999999999</v>
      </c>
      <c r="H33" s="109">
        <f t="shared" si="1"/>
        <v>22.18</v>
      </c>
      <c r="I33" s="109">
        <f t="shared" si="1"/>
        <v>76.2</v>
      </c>
      <c r="J33" s="109">
        <f t="shared" si="1"/>
        <v>45.58</v>
      </c>
      <c r="K33" s="109">
        <f t="shared" si="1"/>
        <v>229.9</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2</v>
      </c>
      <c r="G37" s="175">
        <v>1</v>
      </c>
      <c r="H37" s="176">
        <v>100</v>
      </c>
      <c r="I37" s="120" t="str">
        <f>IF($B37=0,"",VLOOKUP($B37,Table2[],5,FALSE))</f>
        <v>pound</v>
      </c>
      <c r="J37" s="109">
        <f>IF($B37=0,"",VLOOKUP($B37,Table2[],7,FALSE))</f>
        <v>0.4</v>
      </c>
      <c r="K37" s="109">
        <f>IF(B37=0,0,ROUND(G37*H37*J37,2))</f>
        <v>40</v>
      </c>
      <c r="L37" s="110"/>
    </row>
    <row r="38" spans="2:12" x14ac:dyDescent="0.2">
      <c r="B38" s="180" t="s">
        <v>319</v>
      </c>
      <c r="C38" s="388" t="str">
        <f>IF(B38=0,"",VLOOKUP($B38,Table2[],2,FALSE))</f>
        <v>Seed</v>
      </c>
      <c r="D38" s="388"/>
      <c r="E38" s="388"/>
      <c r="F38" s="174">
        <v>3</v>
      </c>
      <c r="G38" s="175">
        <v>1</v>
      </c>
      <c r="H38" s="176">
        <v>12</v>
      </c>
      <c r="I38" s="120" t="str">
        <f>IF($B38=0,"",VLOOKUP($B38,Table2[],5,FALSE))</f>
        <v>pound</v>
      </c>
      <c r="J38" s="109">
        <f>IF($B38=0,"",VLOOKUP($B38,Table2[],7,FALSE))</f>
        <v>6.25</v>
      </c>
      <c r="K38" s="109">
        <f t="shared" ref="K38:K62" si="2">IF(B38=0,0,ROUND(G38*H38*J38,2))</f>
        <v>75</v>
      </c>
      <c r="L38" s="110"/>
    </row>
    <row r="39" spans="2:12" x14ac:dyDescent="0.2">
      <c r="B39" s="180" t="s">
        <v>335</v>
      </c>
      <c r="C39" s="388" t="str">
        <f>IF(B39=0,"",VLOOKUP($B39,Table2[],2,FALSE))</f>
        <v>Seed</v>
      </c>
      <c r="D39" s="388"/>
      <c r="E39" s="388"/>
      <c r="F39" s="174">
        <v>3</v>
      </c>
      <c r="G39" s="175">
        <v>1</v>
      </c>
      <c r="H39" s="176">
        <v>0.5</v>
      </c>
      <c r="I39" s="120" t="str">
        <f>IF($B39=0,"",VLOOKUP($B39,Table2[],5,FALSE))</f>
        <v>bushel</v>
      </c>
      <c r="J39" s="109">
        <f>IF($B39=0,"",VLOOKUP($B39,Table2[],7,FALSE))</f>
        <v>12</v>
      </c>
      <c r="K39" s="109">
        <f t="shared" si="2"/>
        <v>6</v>
      </c>
      <c r="L39" s="110"/>
    </row>
    <row r="40" spans="2:12" x14ac:dyDescent="0.2">
      <c r="B40" s="213" t="s">
        <v>288</v>
      </c>
      <c r="C40" s="387" t="str">
        <f>IF(B40=0,"",VLOOKUP($B40,Table2[],2,FALSE))</f>
        <v>Insecticide</v>
      </c>
      <c r="D40" s="387"/>
      <c r="E40" s="387"/>
      <c r="F40" s="214">
        <v>5</v>
      </c>
      <c r="G40" s="221">
        <v>0.2</v>
      </c>
      <c r="H40" s="222">
        <v>3</v>
      </c>
      <c r="I40" s="223" t="str">
        <f>IF($B40=0,"",VLOOKUP($B40,Table2[],5,FALSE))</f>
        <v>ounce</v>
      </c>
      <c r="J40" s="215">
        <f>IF($B40=0,"",VLOOKUP($B40,Table2[],7,FALSE))</f>
        <v>1.25</v>
      </c>
      <c r="K40" s="215">
        <f t="shared" si="2"/>
        <v>0.75</v>
      </c>
      <c r="L40" s="216"/>
    </row>
    <row r="41" spans="2:12" x14ac:dyDescent="0.2">
      <c r="B41" s="180" t="s">
        <v>300</v>
      </c>
      <c r="C41" s="388" t="str">
        <f>IF(B41=0,"",VLOOKUP($B41,Table2[],2,FALSE))</f>
        <v>Other</v>
      </c>
      <c r="D41" s="388"/>
      <c r="E41" s="388"/>
      <c r="F41" s="174">
        <v>9</v>
      </c>
      <c r="G41" s="175">
        <v>1</v>
      </c>
      <c r="H41" s="176">
        <v>2.5</v>
      </c>
      <c r="I41" s="120" t="str">
        <f>IF($B41=0,"",VLOOKUP($B41,Table2[],5,FALSE))</f>
        <v>ton</v>
      </c>
      <c r="J41" s="109">
        <f>IF($B41=0,"",VLOOKUP($B41,Table2[],7,FALSE))</f>
        <v>2.2092267706302793</v>
      </c>
      <c r="K41" s="109">
        <f t="shared" si="2"/>
        <v>5.52</v>
      </c>
      <c r="L41" s="110"/>
    </row>
    <row r="42" spans="2:12" x14ac:dyDescent="0.2">
      <c r="B42" s="180" t="s">
        <v>297</v>
      </c>
      <c r="C42" s="388" t="str">
        <f>IF(B42=0,"",VLOOKUP($B42,Table2[],2,FALSE))</f>
        <v>Other</v>
      </c>
      <c r="D42" s="388"/>
      <c r="E42" s="388"/>
      <c r="F42" s="174">
        <v>11</v>
      </c>
      <c r="G42" s="175">
        <v>1</v>
      </c>
      <c r="H42" s="176">
        <v>1</v>
      </c>
      <c r="I42" s="120" t="str">
        <f>IF($B42=0,"",VLOOKUP($B42,Table2[],5,FALSE))</f>
        <v>acre</v>
      </c>
      <c r="J42" s="109">
        <f>IF($B42=0,"",VLOOKUP($B42,Table2[],7,FALSE))</f>
        <v>40</v>
      </c>
      <c r="K42" s="109">
        <f t="shared" si="2"/>
        <v>40</v>
      </c>
      <c r="L42" s="110"/>
    </row>
    <row r="43" spans="2:12" x14ac:dyDescent="0.2">
      <c r="B43" s="180" t="s">
        <v>245</v>
      </c>
      <c r="C43" s="388" t="s">
        <v>228</v>
      </c>
      <c r="D43" s="388"/>
      <c r="E43" s="388"/>
      <c r="F43" s="174">
        <v>12</v>
      </c>
      <c r="G43" s="175">
        <v>1</v>
      </c>
      <c r="H43" s="176">
        <v>1</v>
      </c>
      <c r="I43" s="120" t="s">
        <v>179</v>
      </c>
      <c r="J43" s="109">
        <f>IF($B43=0,"",VLOOKUP($B43,Table2[],7,FALSE))</f>
        <v>6.625</v>
      </c>
      <c r="K43" s="109">
        <f t="shared" ref="K43" si="3">IF(B43=0,0,ROUND(G43*H43*J43,2))</f>
        <v>6.63</v>
      </c>
      <c r="L43" s="110"/>
    </row>
    <row r="44" spans="2:12" x14ac:dyDescent="0.2">
      <c r="B44" s="217" t="s">
        <v>268</v>
      </c>
      <c r="C44" s="387" t="str">
        <f>IF(B44=0,"",VLOOKUP($B44,Table2[],2,FALSE))</f>
        <v>Herbicide</v>
      </c>
      <c r="D44" s="387"/>
      <c r="E44" s="387"/>
      <c r="F44" s="218">
        <v>12</v>
      </c>
      <c r="G44" s="224">
        <v>1</v>
      </c>
      <c r="H44" s="225">
        <v>4</v>
      </c>
      <c r="I44" s="223" t="str">
        <f>IF($B44=0,"",VLOOKUP($B44,Table2[],5,FALSE))</f>
        <v>ounce</v>
      </c>
      <c r="J44" s="215">
        <f>IF($B44=0,"",VLOOKUP($B44,Table2[],7,FALSE))</f>
        <v>3.671875</v>
      </c>
      <c r="K44" s="215">
        <f t="shared" si="2"/>
        <v>14.69</v>
      </c>
      <c r="L44" s="216"/>
    </row>
    <row r="45" spans="2:12" x14ac:dyDescent="0.2">
      <c r="B45" s="111" t="s">
        <v>177</v>
      </c>
      <c r="C45" s="388" t="str">
        <f>IF(B45=0,"",VLOOKUP($B45,Table2[],2,FALSE))</f>
        <v>Additive</v>
      </c>
      <c r="D45" s="388"/>
      <c r="E45" s="388"/>
      <c r="F45" s="112">
        <v>12</v>
      </c>
      <c r="G45" s="177">
        <v>1</v>
      </c>
      <c r="H45" s="178">
        <v>1.6</v>
      </c>
      <c r="I45" s="120" t="str">
        <f>IF($B45=0,"",VLOOKUP($B45,Table2[],5,FALSE))</f>
        <v>pint</v>
      </c>
      <c r="J45" s="109">
        <f>IF($B45=0,"",VLOOKUP($B45,Table2[],7,FALSE))</f>
        <v>1.875</v>
      </c>
      <c r="K45" s="109">
        <f t="shared" si="2"/>
        <v>3</v>
      </c>
      <c r="L45" s="110"/>
    </row>
    <row r="46" spans="2:12" x14ac:dyDescent="0.2">
      <c r="B46" s="111" t="s">
        <v>182</v>
      </c>
      <c r="C46" s="388" t="str">
        <f>IF(B46=0,"",VLOOKUP($B46,Table2[],2,FALSE))</f>
        <v>Additive</v>
      </c>
      <c r="D46" s="388"/>
      <c r="E46" s="388"/>
      <c r="F46" s="112">
        <v>12</v>
      </c>
      <c r="G46" s="177">
        <v>1</v>
      </c>
      <c r="H46" s="178">
        <v>2</v>
      </c>
      <c r="I46" s="120" t="str">
        <f>IF($B46=0,"",VLOOKUP($B46,Table2[],5,FALSE))</f>
        <v>pint</v>
      </c>
      <c r="J46" s="109">
        <f>IF($B46=0,"",VLOOKUP($B46,Table2[],7,FALSE))</f>
        <v>0.22500000000000001</v>
      </c>
      <c r="K46" s="109">
        <f t="shared" si="2"/>
        <v>0.45</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2"/>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2"/>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2"/>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2"/>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192.03999999999996</v>
      </c>
      <c r="L64" s="110"/>
    </row>
    <row r="65" spans="2:12" x14ac:dyDescent="0.2">
      <c r="K65" s="127"/>
    </row>
    <row r="66" spans="2:12" x14ac:dyDescent="0.2">
      <c r="B66" s="107" t="s">
        <v>672</v>
      </c>
      <c r="K66" s="127">
        <f>K33+K64</f>
        <v>421.93999999999994</v>
      </c>
      <c r="L66" s="110"/>
    </row>
    <row r="67" spans="2:12" ht="13.5" thickBot="1" x14ac:dyDescent="0.25">
      <c r="D67" s="128" t="s">
        <v>673</v>
      </c>
      <c r="E67" s="129">
        <f>ROUND(SUM($E$33:$H$33)+$K$64,2)</f>
        <v>300.16000000000003</v>
      </c>
      <c r="F67" s="388" t="s">
        <v>674</v>
      </c>
      <c r="G67" s="388"/>
      <c r="H67" s="130">
        <f>'General Variables'!$B$11</f>
        <v>7.4999999999999997E-2</v>
      </c>
      <c r="I67" s="131" t="str">
        <f>CONCATENATE("for ",TEXT('General Variables'!$B$12,"0.0")," mo.")</f>
        <v>for 6.0 mo.</v>
      </c>
      <c r="K67" s="132">
        <f>E67*H67*'General Variables'!$B$12/12</f>
        <v>11.256</v>
      </c>
      <c r="L67" s="133"/>
    </row>
    <row r="68" spans="2:12" ht="13.5" thickTop="1" x14ac:dyDescent="0.2">
      <c r="B68" s="107" t="s">
        <v>675</v>
      </c>
      <c r="K68" s="127">
        <f>SUM(K66:K67)</f>
        <v>433.19599999999991</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37</v>
      </c>
      <c r="D71" s="399"/>
      <c r="E71" s="400"/>
      <c r="F71" s="136">
        <f>IF(C71=0,0,VLOOKUP(C71,RETable,2,FALSE))</f>
        <v>3565</v>
      </c>
      <c r="G71" s="388" t="s">
        <v>678</v>
      </c>
      <c r="H71" s="388"/>
      <c r="I71" s="130">
        <f>'General Variables'!$B$10</f>
        <v>0.03</v>
      </c>
      <c r="K71" s="137">
        <f>ROUND(F71*I71,2)</f>
        <v>106.95</v>
      </c>
      <c r="L71" s="110"/>
    </row>
    <row r="72" spans="2:12" ht="13.5" thickBot="1" x14ac:dyDescent="0.25">
      <c r="B72" s="103" t="s">
        <v>679</v>
      </c>
      <c r="F72" s="138">
        <f>IF(C71=0,0,VLOOKUP(C71,RETable,2,FALSE))</f>
        <v>3565</v>
      </c>
      <c r="G72" s="397" t="s">
        <v>678</v>
      </c>
      <c r="H72" s="397"/>
      <c r="I72" s="139">
        <f>'General Variables'!$B$13</f>
        <v>1.2999999999999999E-2</v>
      </c>
      <c r="J72" s="105"/>
      <c r="K72" s="140">
        <f>ROUND(F72*I72,2)</f>
        <v>46.35</v>
      </c>
      <c r="L72" s="133"/>
    </row>
    <row r="73" spans="2:12" ht="13.5" thickTop="1" x14ac:dyDescent="0.2">
      <c r="B73" s="107" t="s">
        <v>680</v>
      </c>
      <c r="K73" s="127">
        <f>SUM(K68:K72)</f>
        <v>621.49599999999998</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IF(G4=0,0,(E67+K67+K70+K72)/G4)</f>
        <v>157.10640000000004</v>
      </c>
      <c r="L75" s="148"/>
    </row>
    <row r="76" spans="2:12" x14ac:dyDescent="0.2">
      <c r="B76" s="107" t="str">
        <f>IF(G4="","","Cost of production per "&amp;H4)</f>
        <v>Cost of production per ton</v>
      </c>
      <c r="K76" s="141">
        <f>IF(G4="","",K73/G4)</f>
        <v>248.5984</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9:E49"/>
    <mergeCell ref="C37:E37"/>
    <mergeCell ref="C38:E38"/>
    <mergeCell ref="C39:E39"/>
    <mergeCell ref="C40:E40"/>
    <mergeCell ref="C41:E41"/>
    <mergeCell ref="C42:E42"/>
    <mergeCell ref="C44:E44"/>
    <mergeCell ref="C45:E45"/>
    <mergeCell ref="C46:E46"/>
    <mergeCell ref="C47:E47"/>
    <mergeCell ref="C48:E48"/>
    <mergeCell ref="C43:E43"/>
    <mergeCell ref="A6:M6"/>
    <mergeCell ref="C3:E3"/>
    <mergeCell ref="K2:L2"/>
    <mergeCell ref="G2:H2"/>
    <mergeCell ref="C4:E4"/>
  </mergeCells>
  <dataValidations count="9">
    <dataValidation type="list" allowBlank="1" showInputMessage="1" showErrorMessage="1" sqref="B63" xr:uid="{00000000-0002-0000-0E00-000000000000}">
      <formula1>$C$112:$C$211</formula1>
    </dataValidation>
    <dataValidation type="list" allowBlank="1" showInputMessage="1" showErrorMessage="1" sqref="B32" xr:uid="{00000000-0002-0000-0E00-000001000000}">
      <formula1>$B$112:$B$211</formula1>
    </dataValidation>
    <dataValidation type="list" allowBlank="1" showInputMessage="1" showErrorMessage="1" sqref="K4" xr:uid="{00000000-0002-0000-0E00-000002000000}">
      <formula1>$K$112:$K$114</formula1>
    </dataValidation>
    <dataValidation type="list" allowBlank="1" showInputMessage="1" showErrorMessage="1" sqref="B37:B61" xr:uid="{00000000-0002-0000-0E00-000003000000}">
      <formula1>MaterialList</formula1>
    </dataValidation>
    <dataValidation type="list" allowBlank="1" showInputMessage="1" showErrorMessage="1" sqref="C71:E71" xr:uid="{00000000-0002-0000-0E00-000004000000}">
      <formula1>RealEstateList</formula1>
    </dataValidation>
    <dataValidation type="list" allowBlank="1" showInputMessage="1" showErrorMessage="1" sqref="B12:B31" xr:uid="{00000000-0002-0000-0E00-000005000000}">
      <formula1>OperationList</formula1>
    </dataValidation>
    <dataValidation type="list" allowBlank="1" showInputMessage="1" showErrorMessage="1" sqref="D12:D32" xr:uid="{00000000-0002-0000-0E00-000006000000}">
      <formula1>#REF!</formula1>
    </dataValidation>
    <dataValidation type="list" allowBlank="1" showInputMessage="1" showErrorMessage="1" sqref="K2" xr:uid="{00000000-0002-0000-0E00-000007000000}">
      <formula1>watersource</formula1>
    </dataValidation>
    <dataValidation type="list" allowBlank="1" showInputMessage="1" showErrorMessage="1" sqref="C3" xr:uid="{00000000-0002-0000-0E00-000008000000}">
      <formula1>TillageSystem</formula1>
    </dataValidation>
  </dataValidations>
  <pageMargins left="0.7" right="0.7" top="0.75" bottom="0.75" header="0.3" footer="0.3"/>
  <pageSetup scale="7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9">
    <pageSetUpPr fitToPage="1"/>
  </sheetPr>
  <dimension ref="A2:M256"/>
  <sheetViews>
    <sheetView zoomScaleNormal="100" workbookViewId="0">
      <selection activeCell="H38" sqref="H3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74</v>
      </c>
      <c r="L2" s="401"/>
    </row>
    <row r="3" spans="1:13" hidden="1" x14ac:dyDescent="0.2">
      <c r="B3" s="103" t="s">
        <v>38</v>
      </c>
      <c r="C3" s="391"/>
      <c r="D3" s="391"/>
      <c r="E3" s="391"/>
      <c r="G3" s="128" t="s">
        <v>650</v>
      </c>
      <c r="H3" s="187" t="s">
        <v>700</v>
      </c>
      <c r="J3" s="128" t="s">
        <v>651</v>
      </c>
      <c r="K3" s="187"/>
    </row>
    <row r="4" spans="1:13" hidden="1" x14ac:dyDescent="0.2">
      <c r="B4" s="103" t="s">
        <v>652</v>
      </c>
      <c r="C4" s="392" t="s">
        <v>697</v>
      </c>
      <c r="D4" s="392"/>
      <c r="E4" s="392"/>
      <c r="G4" s="103">
        <f>IFERROR(VALUE(LEFT($H$3,FIND(" ",$H$3))),"")</f>
        <v>4.4000000000000004</v>
      </c>
      <c r="H4" s="103" t="str">
        <f>IFERROR(RIGHT(H3,LEN(H3)-LEN(G4)-1),"")</f>
        <v>ton</v>
      </c>
      <c r="J4" s="128" t="s">
        <v>653</v>
      </c>
      <c r="K4" s="188" t="s">
        <v>654</v>
      </c>
    </row>
    <row r="5" spans="1:13" ht="15.75" hidden="1" customHeight="1" x14ac:dyDescent="0.2">
      <c r="B5" s="103" t="s">
        <v>655</v>
      </c>
      <c r="C5" s="238" t="str">
        <f ca="1">MID(CELL("filename",C5),FIND("]",CELL("filename",C5))+1,255)</f>
        <v>9-Alfalfa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9-Alfalfa, Large Round Bales, 4.4 ton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9-Alfalfa, Large Round Bales, 4.4 ton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566</v>
      </c>
      <c r="C14" s="174">
        <v>1</v>
      </c>
      <c r="D14" s="174"/>
      <c r="E14" s="109">
        <f>IF(B14=0,"",IF(C14&gt;9999,"",ROUND('General Variables'!$B$4*VLOOKUP(B14,Operations!$A$2:$U$79,10,FALSE)/VLOOKUP(B14,Operations!$A$2:$U$79,9,FALSE)*C14,2)))</f>
        <v>2.25</v>
      </c>
      <c r="F14" s="109">
        <f>IF(B14=0,0,IF(C14&gt;9999,"",ROUND(IF(VLOOKUP(B14,Operations!$A$2:$U$79,12,FALSE)=0,VLOOKUP(B14,Operations!$A$2:$U$79,13,FALSE)*'General Variables'!$B$8,VLOOKUP(B14,Operations!$A$2:$U$79,12,FALSE)*'General Variables'!$B$7)/VLOOKUP(B14,Operations!$A$2:$U$79,9,FALSE)*C14,2)))</f>
        <v>0.56000000000000005</v>
      </c>
      <c r="G14" s="109">
        <f>IF(B14=0,0,IF(C14&gt;9999,"",ROUND(VLOOKUP(VLOOKUP(B14,Operations!$A$2:$U$79,11,FALSE),PowerUnits[],10,FALSE)/VLOOKUP(B14,Operations!$A$2:$U$79,9,FALSE)*C14,2)))</f>
        <v>0.85</v>
      </c>
      <c r="H14" s="109">
        <f>IF(B14=0,"",IF(C14&gt;9999,"",ROUND(VLOOKUP($B14,Operations!$A$2:$U$79,15,FALSE)*C14,2)))</f>
        <v>0.25</v>
      </c>
      <c r="I14" s="109">
        <f>IF(B14=0,0,IF(C14&gt;9999,"",ROUND(VLOOKUP(VLOOKUP(B14,Operations!$A$2:$U$79,11,FALSE),PowerUnits[],16,FALSE)/VLOOKUP(B14,Operations!$A$2:$U$79,9,FALSE)*C14,2)))</f>
        <v>3.12</v>
      </c>
      <c r="J14" s="109">
        <f>IF(B14=0,"",IF(C14&gt;9999,"",ROUND(VLOOKUP($B14,Operations!$A$2:$U$79,21,FALSE)*$C14,2)))</f>
        <v>0.53</v>
      </c>
      <c r="K14" s="109">
        <f t="shared" si="0"/>
        <v>7.56</v>
      </c>
      <c r="L14" s="110"/>
    </row>
    <row r="15" spans="1:13" x14ac:dyDescent="0.2">
      <c r="A15" s="170">
        <v>4</v>
      </c>
      <c r="B15" s="213" t="s">
        <v>485</v>
      </c>
      <c r="C15" s="214">
        <v>3</v>
      </c>
      <c r="D15" s="214"/>
      <c r="E15" s="215">
        <f>IF(B15=0,"",IF(C15&gt;9999,"",ROUND('General Variables'!$B$4*VLOOKUP(B15,Operations!$A$2:$U$79,10,FALSE)/VLOOKUP(B15,Operations!$A$2:$U$79,9,FALSE)*C15,2)))</f>
        <v>4.46</v>
      </c>
      <c r="F15" s="215">
        <f>IF(B15=0,0,IF(C15&gt;9999,"",ROUND(IF(VLOOKUP(B15,Operations!$A$2:$U$79,12,FALSE)=0,VLOOKUP(B15,Operations!$A$2:$U$79,13,FALSE)*'General Variables'!$B$8,VLOOKUP(B15,Operations!$A$2:$U$79,12,FALSE)*'General Variables'!$B$7)/VLOOKUP(B15,Operations!$A$2:$U$79,9,FALSE)*C15,2)))</f>
        <v>1.01</v>
      </c>
      <c r="G15" s="215">
        <f>IF(B15=0,0,IF(C15&gt;9999,"",ROUND(VLOOKUP(VLOOKUP(B15,Operations!$A$2:$U$79,11,FALSE),PowerUnits[],10,FALSE)/VLOOKUP(B15,Operations!$A$2:$U$79,9,FALSE)*C15,2)))</f>
        <v>0.13</v>
      </c>
      <c r="H15" s="215">
        <f>IF(B15=0,"",IF(C15&gt;9999,"",ROUND(VLOOKUP($B15,Operations!$A$2:$U$79,15,FALSE)*C15,2)))</f>
        <v>1.2</v>
      </c>
      <c r="I15" s="215">
        <f>IF(B15=0,0,IF(C15&gt;9999,"",ROUND(VLOOKUP(VLOOKUP(B15,Operations!$A$2:$U$79,11,FALSE),PowerUnits[],16,FALSE)/VLOOKUP(B15,Operations!$A$2:$U$79,9,FALSE)*C15,2)))</f>
        <v>6.49</v>
      </c>
      <c r="J15" s="215">
        <f>IF(B15=0,"",IF(C15&gt;9999,"",ROUND(VLOOKUP($B15,Operations!$A$2:$U$79,21,FALSE)*$C15,2)))</f>
        <v>8.1</v>
      </c>
      <c r="K15" s="215">
        <f>IF(C15&gt;9999,"",ROUND(SUM(E15:J15),2))</f>
        <v>21.39</v>
      </c>
      <c r="L15" s="216"/>
    </row>
    <row r="16" spans="1:13" x14ac:dyDescent="0.2">
      <c r="A16" s="170">
        <v>5</v>
      </c>
      <c r="B16" s="180" t="s">
        <v>387</v>
      </c>
      <c r="C16" s="174">
        <f>$G$4</f>
        <v>4.4000000000000004</v>
      </c>
      <c r="D16" s="174" t="s">
        <v>187</v>
      </c>
      <c r="E16" s="109">
        <f>IF(B16=0,"",IF(C16&gt;9999,"",ROUND('General Variables'!$B$4*VLOOKUP(B16,Operations!$A$2:$U$79,10,FALSE)/VLOOKUP(B16,Operations!$A$2:$U$79,9,FALSE)*C16,2)))</f>
        <v>10.89</v>
      </c>
      <c r="F16" s="109">
        <f>IF(B16=0,0,IF(C16&gt;9999,"",ROUND(IF(VLOOKUP(B16,Operations!$A$2:$U$79,12,FALSE)=0,VLOOKUP(B16,Operations!$A$2:$U$79,13,FALSE)*'General Variables'!$B$8,VLOOKUP(B16,Operations!$A$2:$U$79,12,FALSE)*'General Variables'!$B$7)/VLOOKUP(B16,Operations!$A$2:$U$79,9,FALSE)*C16,2)))</f>
        <v>3.37</v>
      </c>
      <c r="G16" s="109">
        <f>IF(B16=0,0,IF(C16&gt;9999,"",ROUND(VLOOKUP(VLOOKUP(B16,Operations!$A$2:$U$79,11,FALSE),PowerUnits[],10,FALSE)/VLOOKUP(B16,Operations!$A$2:$U$79,9,FALSE)*C16,2)))</f>
        <v>0.31</v>
      </c>
      <c r="H16" s="109">
        <f>IF(B16=0,"",IF(C16&gt;9999,"",ROUND(VLOOKUP($B16,Operations!$A$2:$U$79,15,FALSE)*C16,2)))</f>
        <v>12.76</v>
      </c>
      <c r="I16" s="109">
        <f>IF(B16=0,0,IF(C16&gt;9999,"",ROUND(VLOOKUP(VLOOKUP(B16,Operations!$A$2:$U$79,11,FALSE),PowerUnits[],16,FALSE)/VLOOKUP(B16,Operations!$A$2:$U$79,9,FALSE)*C16,2)))</f>
        <v>15.87</v>
      </c>
      <c r="J16" s="109">
        <f>IF(B16=0,"",IF(C16&gt;9999,"",ROUND(VLOOKUP($B16,Operations!$A$2:$U$79,21,FALSE)*$C16,2)))</f>
        <v>17.04</v>
      </c>
      <c r="K16" s="109">
        <f>IF(C16&gt;9999,"",ROUND(SUM(E16:J16),2))</f>
        <v>60.24</v>
      </c>
      <c r="L16" s="110"/>
    </row>
    <row r="17" spans="1:12" x14ac:dyDescent="0.2">
      <c r="A17" s="170">
        <v>6</v>
      </c>
      <c r="B17" s="180" t="s">
        <v>514</v>
      </c>
      <c r="C17" s="174">
        <f>$G$4</f>
        <v>4.4000000000000004</v>
      </c>
      <c r="D17" s="174" t="s">
        <v>187</v>
      </c>
      <c r="E17" s="109">
        <f>IF(B17=0,"",IF(C17&gt;9999,"",ROUND('General Variables'!$B$4*VLOOKUP(B17,Operations!$A$2:$U$79,10,FALSE)/VLOOKUP(B17,Operations!$A$2:$U$79,9,FALSE)*C17,2)))</f>
        <v>6.22</v>
      </c>
      <c r="F17" s="109">
        <f>IF(B17=0,0,IF(C17&gt;9999,"",ROUND(IF(VLOOKUP(B17,Operations!$A$2:$U$79,12,FALSE)=0,VLOOKUP(B17,Operations!$A$2:$U$79,13,FALSE)*'General Variables'!$B$8,VLOOKUP(B17,Operations!$A$2:$U$79,12,FALSE)*'General Variables'!$B$7)/VLOOKUP(B17,Operations!$A$2:$U$79,9,FALSE)*C17,2)))</f>
        <v>2.68</v>
      </c>
      <c r="G17" s="109">
        <f>IF(B17=0,0,IF(C17&gt;9999,"",ROUND(VLOOKUP(VLOOKUP(B17,Operations!$A$2:$U$79,11,FALSE),PowerUnits[],10,FALSE)/VLOOKUP(B17,Operations!$A$2:$U$79,9,FALSE)*C17,2)))</f>
        <v>0.18</v>
      </c>
      <c r="H17" s="109">
        <f>IF(B17=0,"",IF(C17&gt;9999,"",ROUND(VLOOKUP($B17,Operations!$A$2:$U$79,15,FALSE)*C17,2)))</f>
        <v>0</v>
      </c>
      <c r="I17" s="109">
        <f>IF(B17=0,0,IF(C17&gt;9999,"",ROUND(VLOOKUP(VLOOKUP(B17,Operations!$A$2:$U$79,11,FALSE),PowerUnits[],16,FALSE)/VLOOKUP(B17,Operations!$A$2:$U$79,9,FALSE)*C17,2)))</f>
        <v>9.07</v>
      </c>
      <c r="J17" s="109">
        <f>IF(B17=0,"",IF(C17&gt;9999,"",ROUND(VLOOKUP($B17,Operations!$A$2:$U$79,21,FALSE)*$C17,2)))</f>
        <v>0.82</v>
      </c>
      <c r="K17" s="109">
        <f t="shared" si="0"/>
        <v>18.97</v>
      </c>
      <c r="L17" s="110"/>
    </row>
    <row r="18" spans="1:12" x14ac:dyDescent="0.2">
      <c r="A18" s="170">
        <v>7</v>
      </c>
      <c r="B18" s="180" t="s">
        <v>552</v>
      </c>
      <c r="C18" s="174">
        <v>0.2</v>
      </c>
      <c r="D18" s="174"/>
      <c r="E18" s="109">
        <f>IF(B18=0,"",IF(C18&gt;9999,"",ROUND('General Variables'!$B$4*VLOOKUP(B18,Operations!$A$2:$U$79,10,FALSE)/VLOOKUP(B18,Operations!$A$2:$U$79,9,FALSE)*C18,2)))</f>
        <v>0.2</v>
      </c>
      <c r="F18" s="109">
        <f>IF(B18=0,0,IF(C18&gt;9999,"",ROUND(IF(VLOOKUP(B18,Operations!$A$2:$U$79,12,FALSE)=0,VLOOKUP(B18,Operations!$A$2:$U$79,13,FALSE)*'General Variables'!$B$8,VLOOKUP(B18,Operations!$A$2:$U$79,12,FALSE)*'General Variables'!$B$7)/VLOOKUP(B18,Operations!$A$2:$U$79,9,FALSE)*C18,2)))</f>
        <v>0.05</v>
      </c>
      <c r="G18" s="109">
        <f>IF(B18=0,0,IF(C18&gt;9999,"",ROUND(VLOOKUP(VLOOKUP(B18,Operations!$A$2:$U$79,11,FALSE),PowerUnits[],10,FALSE)/VLOOKUP(B18,Operations!$A$2:$U$79,9,FALSE)*C18,2)))</f>
        <v>0.01</v>
      </c>
      <c r="H18" s="109">
        <f>IF(B18=0,"",IF(C18&gt;9999,"",ROUND(VLOOKUP($B18,Operations!$A$2:$U$79,15,FALSE)*C18,2)))</f>
        <v>0.22</v>
      </c>
      <c r="I18" s="109">
        <f>IF(B18=0,0,IF(C18&gt;9999,"",ROUND(VLOOKUP(VLOOKUP(B18,Operations!$A$2:$U$79,11,FALSE),PowerUnits[],16,FALSE)/VLOOKUP(B18,Operations!$A$2:$U$79,9,FALSE)*C18,2)))</f>
        <v>0.26</v>
      </c>
      <c r="J18" s="109">
        <f>IF(B18=0,"",IF(C18&gt;9999,"",ROUND(VLOOKUP($B18,Operations!$A$2:$U$79,21,FALSE)*$C18,2)))</f>
        <v>0.4</v>
      </c>
      <c r="K18" s="109">
        <f t="shared" si="0"/>
        <v>1.1399999999999999</v>
      </c>
      <c r="L18" s="110"/>
    </row>
    <row r="19" spans="1:12" hidden="1" x14ac:dyDescent="0.2">
      <c r="A19" s="170">
        <v>8</v>
      </c>
      <c r="B19" s="217"/>
      <c r="C19" s="218"/>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11"/>
      <c r="C20" s="112"/>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36.950000000000003</v>
      </c>
      <c r="F33" s="109">
        <f t="shared" ref="F33:K33" si="1">SUM(F12:F31)</f>
        <v>15.030000000000001</v>
      </c>
      <c r="G33" s="109">
        <f t="shared" si="1"/>
        <v>5.6199999999999992</v>
      </c>
      <c r="H33" s="109">
        <f t="shared" si="1"/>
        <v>18.5</v>
      </c>
      <c r="I33" s="109">
        <f t="shared" si="1"/>
        <v>53.19</v>
      </c>
      <c r="J33" s="109">
        <f t="shared" si="1"/>
        <v>49.83</v>
      </c>
      <c r="K33" s="109">
        <f t="shared" si="1"/>
        <v>179.12</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50</v>
      </c>
      <c r="I37" s="120" t="str">
        <f>IF($B37=0,"",VLOOKUP($B37,Table2[],5,FALSE))</f>
        <v>pound</v>
      </c>
      <c r="J37" s="109">
        <f>IF($B37=0,"",VLOOKUP($B37,Table2[],7,FALSE))</f>
        <v>0.4</v>
      </c>
      <c r="K37" s="109">
        <f>IF(B37=0,0,ROUND(G37*H37*J37,2))</f>
        <v>20</v>
      </c>
      <c r="L37" s="110"/>
    </row>
    <row r="38" spans="2:12" x14ac:dyDescent="0.2">
      <c r="B38" s="180" t="s">
        <v>300</v>
      </c>
      <c r="C38" s="388" t="str">
        <f>IF(B38=0,"",VLOOKUP($B38,Table2[],2,FALSE))</f>
        <v>Other</v>
      </c>
      <c r="D38" s="388"/>
      <c r="E38" s="388"/>
      <c r="F38" s="174">
        <v>5</v>
      </c>
      <c r="G38" s="175">
        <v>1</v>
      </c>
      <c r="H38" s="176">
        <v>4.4000000000000004</v>
      </c>
      <c r="I38" s="120" t="str">
        <f>IF($B38=0,"",VLOOKUP($B38,Table2[],5,FALSE))</f>
        <v>ton</v>
      </c>
      <c r="J38" s="109">
        <f>IF($B38=0,"",VLOOKUP($B38,Table2[],7,FALSE))</f>
        <v>2.2092267706302793</v>
      </c>
      <c r="K38" s="109">
        <f t="shared" ref="K38:K61" si="2">IF(B38=0,0,ROUND(G38*H38*J38,2))</f>
        <v>9.7200000000000006</v>
      </c>
      <c r="L38" s="110"/>
    </row>
    <row r="39" spans="2:12" x14ac:dyDescent="0.2">
      <c r="B39" s="180" t="s">
        <v>288</v>
      </c>
      <c r="C39" s="388" t="str">
        <f>IF(B39=0,"",VLOOKUP($B39,Table2[],2,FALSE))</f>
        <v>Insecticide</v>
      </c>
      <c r="D39" s="388"/>
      <c r="E39" s="388"/>
      <c r="F39" s="174">
        <v>7</v>
      </c>
      <c r="G39" s="175">
        <v>0.2</v>
      </c>
      <c r="H39" s="176">
        <v>3</v>
      </c>
      <c r="I39" s="120" t="str">
        <f>IF($B39=0,"",VLOOKUP($B39,Table2[],5,FALSE))</f>
        <v>ounce</v>
      </c>
      <c r="J39" s="109">
        <f>IF($B39=0,"",VLOOKUP($B39,Table2[],7,FALSE))</f>
        <v>1.25</v>
      </c>
      <c r="K39" s="109">
        <f t="shared" si="2"/>
        <v>0.75</v>
      </c>
      <c r="L39" s="110"/>
    </row>
    <row r="40" spans="2:12" ht="12.75" hidden="1" customHeight="1" x14ac:dyDescent="0.2">
      <c r="B40" s="217"/>
      <c r="C40" s="387" t="str">
        <f>IF(B40=0,"",VLOOKUP($B40,Table2[],2,FALSE))</f>
        <v/>
      </c>
      <c r="D40" s="387"/>
      <c r="E40" s="387"/>
      <c r="F40" s="218"/>
      <c r="G40" s="224"/>
      <c r="H40" s="225"/>
      <c r="I40" s="223" t="str">
        <f>IF($B40=0,"",VLOOKUP($B40,Table2[],5,FALSE))</f>
        <v/>
      </c>
      <c r="J40" s="215" t="str">
        <f>IF($B40=0,"",VLOOKUP($B40,Table2[],7,FALSE))</f>
        <v/>
      </c>
      <c r="K40" s="215">
        <f t="shared" si="2"/>
        <v>0</v>
      </c>
      <c r="L40" s="216"/>
    </row>
    <row r="41" spans="2:12" ht="12.75" hidden="1" customHeight="1" x14ac:dyDescent="0.2">
      <c r="B41" s="111"/>
      <c r="C41" s="388" t="str">
        <f>IF(B41=0,"",VLOOKUP($B41,Table2[],2,FALSE))</f>
        <v/>
      </c>
      <c r="D41" s="388"/>
      <c r="E41" s="388"/>
      <c r="F41" s="112"/>
      <c r="G41" s="177"/>
      <c r="H41" s="178"/>
      <c r="I41" s="120" t="str">
        <f>IF($B41=0,"",VLOOKUP($B41,Table2[],5,FALSE))</f>
        <v/>
      </c>
      <c r="J41" s="109" t="str">
        <f>IF($B41=0,"",VLOOKUP($B41,Table2[],7,FALSE))</f>
        <v/>
      </c>
      <c r="K41" s="109">
        <f t="shared" si="2"/>
        <v>0</v>
      </c>
      <c r="L41" s="110"/>
    </row>
    <row r="42" spans="2:12" ht="12.75" hidden="1" customHeight="1" x14ac:dyDescent="0.2">
      <c r="B42" s="111"/>
      <c r="C42" s="388" t="str">
        <f>IF(B42=0,"",VLOOKUP($B42,Table2[],2,FALSE))</f>
        <v/>
      </c>
      <c r="D42" s="388"/>
      <c r="E42" s="388"/>
      <c r="F42" s="112"/>
      <c r="G42" s="177"/>
      <c r="H42" s="178"/>
      <c r="I42" s="120" t="str">
        <f>IF($B42=0,"",VLOOKUP($B42,Table2[],5,FALSE))</f>
        <v/>
      </c>
      <c r="J42" s="109" t="str">
        <f>IF($B42=0,"",VLOOKUP($B42,Table2[],7,FALSE))</f>
        <v/>
      </c>
      <c r="K42" s="109">
        <f t="shared" si="2"/>
        <v>0</v>
      </c>
      <c r="L42" s="110"/>
    </row>
    <row r="43" spans="2:12" ht="12.75" hidden="1" customHeight="1" x14ac:dyDescent="0.2">
      <c r="B43" s="111"/>
      <c r="C43" s="388" t="str">
        <f>IF(B43=0,"",VLOOKUP($B43,Table2[],2,FALSE))</f>
        <v/>
      </c>
      <c r="D43" s="388"/>
      <c r="E43" s="388"/>
      <c r="F43" s="112"/>
      <c r="G43" s="177"/>
      <c r="H43" s="178"/>
      <c r="I43" s="120" t="str">
        <f>IF($B43=0,"",VLOOKUP($B43,Table2[],5,FALSE))</f>
        <v/>
      </c>
      <c r="J43" s="109" t="str">
        <f>IF($B43=0,"",VLOOKUP($B43,Table2[],7,FALSE))</f>
        <v/>
      </c>
      <c r="K43" s="109">
        <f t="shared" si="2"/>
        <v>0</v>
      </c>
      <c r="L43" s="110"/>
    </row>
    <row r="44" spans="2:12" ht="12.75" hidden="1" customHeight="1" x14ac:dyDescent="0.2">
      <c r="B44" s="217"/>
      <c r="C44" s="387" t="str">
        <f>IF(B44=0,"",VLOOKUP($B44,Table2[],2,FALSE))</f>
        <v/>
      </c>
      <c r="D44" s="387"/>
      <c r="E44" s="387"/>
      <c r="F44" s="218"/>
      <c r="G44" s="224"/>
      <c r="H44" s="225"/>
      <c r="I44" s="223" t="str">
        <f>IF($B44=0,"",VLOOKUP($B44,Table2[],5,FALSE))</f>
        <v/>
      </c>
      <c r="J44" s="215" t="str">
        <f>IF($B44=0,"",VLOOKUP($B44,Table2[],7,FALSE))</f>
        <v/>
      </c>
      <c r="K44" s="215">
        <f t="shared" si="2"/>
        <v>0</v>
      </c>
      <c r="L44" s="216"/>
    </row>
    <row r="45" spans="2:12" ht="12.75" hidden="1" customHeight="1" x14ac:dyDescent="0.2">
      <c r="B45" s="111"/>
      <c r="C45" s="388" t="str">
        <f>IF(B45=0,"",VLOOKUP($B45,Table2[],2,FALSE))</f>
        <v/>
      </c>
      <c r="D45" s="388"/>
      <c r="E45" s="388"/>
      <c r="F45" s="112"/>
      <c r="G45" s="177"/>
      <c r="H45" s="178"/>
      <c r="I45" s="120" t="str">
        <f>IF($B45=0,"",VLOOKUP($B45,Table2[],5,FALSE))</f>
        <v/>
      </c>
      <c r="J45" s="109" t="str">
        <f>IF($B45=0,"",VLOOKUP($B45,Table2[],7,FALSE))</f>
        <v/>
      </c>
      <c r="K45" s="109">
        <f t="shared" si="2"/>
        <v>0</v>
      </c>
      <c r="L45" s="110"/>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217"/>
      <c r="C48" s="387" t="str">
        <f>IF(B48=0,"",VLOOKUP($B48,Table2[],2,FALSE))</f>
        <v/>
      </c>
      <c r="D48" s="387"/>
      <c r="E48" s="387"/>
      <c r="F48" s="218"/>
      <c r="G48" s="224"/>
      <c r="H48" s="225"/>
      <c r="I48" s="223" t="str">
        <f>IF($B48=0,"",VLOOKUP($B48,Table2[],5,FALSE))</f>
        <v/>
      </c>
      <c r="J48" s="215" t="str">
        <f>IF($B48=0,"",VLOOKUP($B48,Table2[],7,FALSE))</f>
        <v/>
      </c>
      <c r="K48" s="215">
        <f t="shared" si="2"/>
        <v>0</v>
      </c>
      <c r="L48" s="216"/>
    </row>
    <row r="49" spans="2:12" ht="12.75" hidden="1" customHeight="1" x14ac:dyDescent="0.2">
      <c r="B49" s="111"/>
      <c r="C49" s="388" t="str">
        <f>IF(B49=0,"",VLOOKUP($B49,Table2[],2,FALSE))</f>
        <v/>
      </c>
      <c r="D49" s="388"/>
      <c r="E49" s="388"/>
      <c r="F49" s="112"/>
      <c r="G49" s="177"/>
      <c r="H49" s="178"/>
      <c r="I49" s="120" t="str">
        <f>IF($B49=0,"",VLOOKUP($B49,Table2[],5,FALSE))</f>
        <v/>
      </c>
      <c r="J49" s="109" t="str">
        <f>IF($B49=0,"",VLOOKUP($B49,Table2[],7,FALSE))</f>
        <v/>
      </c>
      <c r="K49" s="109">
        <f t="shared" si="2"/>
        <v>0</v>
      </c>
      <c r="L49" s="110"/>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hidden="1" x14ac:dyDescent="0.2">
      <c r="C61" s="388" t="s">
        <v>655</v>
      </c>
      <c r="D61" s="388"/>
      <c r="E61" s="388"/>
      <c r="F61" s="112"/>
      <c r="G61" s="177"/>
      <c r="H61" s="178"/>
      <c r="I61" s="170"/>
      <c r="J61" s="109" t="e">
        <f ca="1">IF(F5=0,E5,F5)</f>
        <v>#N/A</v>
      </c>
      <c r="K61" s="109">
        <f t="shared" si="2"/>
        <v>0</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J63" s="126"/>
      <c r="K63" s="127">
        <f>SUM(K37:K61)</f>
        <v>30.47</v>
      </c>
      <c r="L63" s="110"/>
    </row>
    <row r="64" spans="2:12" x14ac:dyDescent="0.2">
      <c r="K64" s="127"/>
    </row>
    <row r="65" spans="2:12" x14ac:dyDescent="0.2">
      <c r="B65" s="107" t="s">
        <v>672</v>
      </c>
      <c r="K65" s="127">
        <f>K33+K63</f>
        <v>209.59</v>
      </c>
      <c r="L65" s="110"/>
    </row>
    <row r="66" spans="2:12" ht="13.5" thickBot="1" x14ac:dyDescent="0.25">
      <c r="D66" s="128" t="s">
        <v>673</v>
      </c>
      <c r="E66" s="129">
        <f>ROUND(SUM($E$33:$H$33)+$K$63,2)</f>
        <v>106.57</v>
      </c>
      <c r="F66" s="388" t="s">
        <v>674</v>
      </c>
      <c r="G66" s="388"/>
      <c r="H66" s="130">
        <f>'General Variables'!$B$11</f>
        <v>7.4999999999999997E-2</v>
      </c>
      <c r="I66" s="131" t="str">
        <f>CONCATENATE("for ",TEXT('General Variables'!$B$12,"0.0")," mo.")</f>
        <v>for 6.0 mo.</v>
      </c>
      <c r="K66" s="132">
        <f>E66*H66*'General Variables'!$B$12/12</f>
        <v>3.9963749999999991</v>
      </c>
      <c r="L66" s="133"/>
    </row>
    <row r="67" spans="2:12" ht="13.5" thickTop="1" x14ac:dyDescent="0.2">
      <c r="B67" s="107" t="s">
        <v>675</v>
      </c>
      <c r="K67" s="127">
        <f>SUM(K65:K66)</f>
        <v>213.586375</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SUM(K67:K71)</f>
        <v>435.376375</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IF(G4=0,0,(E66+K66+K69+K71)/G4)</f>
        <v>44.649176136363629</v>
      </c>
      <c r="L74" s="148"/>
    </row>
    <row r="75" spans="2:12" x14ac:dyDescent="0.2">
      <c r="B75" s="107" t="str">
        <f>IF(G4="","","Cost of production per "&amp;H4)</f>
        <v>Cost of production per ton</v>
      </c>
      <c r="K75" s="141">
        <f>IF(G4="","",K72/G4)</f>
        <v>98.949176136363633</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row>
    <row r="112" spans="2:11" x14ac:dyDescent="0.2">
      <c r="B112" s="105"/>
      <c r="C112" s="105"/>
      <c r="D112" s="105"/>
      <c r="K112" s="103" t="s">
        <v>681</v>
      </c>
    </row>
    <row r="113" spans="2:11" x14ac:dyDescent="0.2">
      <c r="B113" s="105"/>
      <c r="C113" s="105"/>
      <c r="D113" s="105"/>
      <c r="K113" s="103" t="s">
        <v>654</v>
      </c>
    </row>
    <row r="114" spans="2:11" x14ac:dyDescent="0.2">
      <c r="B114" s="105"/>
      <c r="C114" s="105"/>
      <c r="D114" s="105"/>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4:E44"/>
    <mergeCell ref="C45:E45"/>
    <mergeCell ref="C46:E46"/>
    <mergeCell ref="C47:E47"/>
    <mergeCell ref="A6:M6"/>
    <mergeCell ref="C3:E3"/>
    <mergeCell ref="K2:L2"/>
    <mergeCell ref="G2:H2"/>
    <mergeCell ref="C4:E4"/>
  </mergeCells>
  <dataValidations count="9">
    <dataValidation type="list" allowBlank="1" showInputMessage="1" showErrorMessage="1" sqref="B62" xr:uid="{00000000-0002-0000-0F00-000000000000}">
      <formula1>$C$111:$C$210</formula1>
    </dataValidation>
    <dataValidation type="list" allowBlank="1" showInputMessage="1" showErrorMessage="1" sqref="B32" xr:uid="{00000000-0002-0000-0F00-000001000000}">
      <formula1>$B$111:$B$210</formula1>
    </dataValidation>
    <dataValidation type="list" allowBlank="1" showInputMessage="1" showErrorMessage="1" sqref="K4" xr:uid="{00000000-0002-0000-0F00-000002000000}">
      <formula1>$K$111:$K$113</formula1>
    </dataValidation>
    <dataValidation type="list" allowBlank="1" showInputMessage="1" showErrorMessage="1" sqref="B37:B60" xr:uid="{00000000-0002-0000-0F00-000003000000}">
      <formula1>MaterialList</formula1>
    </dataValidation>
    <dataValidation type="list" allowBlank="1" showInputMessage="1" showErrorMessage="1" sqref="C70:E70" xr:uid="{00000000-0002-0000-0F00-000004000000}">
      <formula1>RealEstateList</formula1>
    </dataValidation>
    <dataValidation type="list" allowBlank="1" showInputMessage="1" showErrorMessage="1" sqref="B12:B31" xr:uid="{00000000-0002-0000-0F00-000005000000}">
      <formula1>OperationList</formula1>
    </dataValidation>
    <dataValidation type="list" allowBlank="1" showInputMessage="1" showErrorMessage="1" sqref="D12:D32" xr:uid="{00000000-0002-0000-0F00-000006000000}">
      <formula1>#REF!</formula1>
    </dataValidation>
    <dataValidation type="list" allowBlank="1" showInputMessage="1" showErrorMessage="1" sqref="K2" xr:uid="{00000000-0002-0000-0F00-000007000000}">
      <formula1>watersource</formula1>
    </dataValidation>
    <dataValidation type="list" allowBlank="1" showInputMessage="1" showErrorMessage="1" sqref="C3" xr:uid="{00000000-0002-0000-0F00-000008000000}">
      <formula1>TillageSystem</formula1>
    </dataValidation>
  </dataValidations>
  <pageMargins left="0.7" right="0.7" top="0.75" bottom="0.75" header="0.3" footer="0.3"/>
  <pageSetup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0">
    <pageSetUpPr fitToPage="1"/>
  </sheetPr>
  <dimension ref="A2:O258"/>
  <sheetViews>
    <sheetView zoomScaleNormal="100" workbookViewId="0">
      <selection activeCell="H40" sqref="H4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70</v>
      </c>
      <c r="L2" s="401"/>
    </row>
    <row r="3" spans="1:13" hidden="1" x14ac:dyDescent="0.2">
      <c r="B3" s="103" t="s">
        <v>38</v>
      </c>
      <c r="C3" s="391"/>
      <c r="D3" s="391"/>
      <c r="E3" s="391"/>
      <c r="G3" s="128" t="s">
        <v>650</v>
      </c>
      <c r="H3" s="187" t="s">
        <v>701</v>
      </c>
      <c r="J3" s="128" t="s">
        <v>651</v>
      </c>
      <c r="K3" s="187">
        <v>16</v>
      </c>
    </row>
    <row r="4" spans="1:13" hidden="1" x14ac:dyDescent="0.2">
      <c r="B4" s="103" t="s">
        <v>652</v>
      </c>
      <c r="C4" s="392" t="s">
        <v>702</v>
      </c>
      <c r="D4" s="392"/>
      <c r="E4" s="392"/>
      <c r="G4" s="103">
        <f>IFERROR(VALUE(LEFT($H$3,FIND(" ",$H$3))),"")</f>
        <v>6.7</v>
      </c>
      <c r="H4" s="103" t="str">
        <f>IFERROR(RIGHT(H3,LEN(H3)-LEN(G4)-1),"")</f>
        <v>ton</v>
      </c>
      <c r="J4" s="128" t="s">
        <v>653</v>
      </c>
      <c r="K4" s="188"/>
    </row>
    <row r="5" spans="1:13" ht="15.75" hidden="1" customHeight="1" x14ac:dyDescent="0.2">
      <c r="B5" s="103" t="s">
        <v>655</v>
      </c>
      <c r="C5" s="238" t="str">
        <f ca="1">MID(CELL("filename",C5),FIND("]",CELL("filename",C5))+1,255)</f>
        <v>10-Alfalfa</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10-Alfalfa, Large and Small Square Bales, 6.7 ton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10-Alfalfa, Large and Small Square Bales, 6.7 ton Yield</v>
      </c>
      <c r="C7" s="393"/>
      <c r="D7" s="393"/>
      <c r="E7" s="393"/>
      <c r="F7" s="393"/>
      <c r="G7" s="393"/>
      <c r="H7" s="393"/>
      <c r="I7" s="393"/>
      <c r="J7" s="393"/>
      <c r="K7" s="393"/>
      <c r="L7" s="393"/>
      <c r="M7" s="186"/>
    </row>
    <row r="8" spans="1:13" ht="15.75" x14ac:dyDescent="0.25">
      <c r="B8" s="189" t="str">
        <f>IF(K2="","",K2)&amp;IF(LEFT(K2,5)="Pivot",", 800 GPM 35 PSI","") &amp; IF(K3="","",", "&amp; K3&amp;" "&amp;J3)</f>
        <v>Pivot Irrigated Electric, 800 GPM 35 PSI, 16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566</v>
      </c>
      <c r="C14" s="174">
        <v>1</v>
      </c>
      <c r="D14" s="174"/>
      <c r="E14" s="109">
        <f>IF(B14=0,"",IF(C14&gt;9999,"",ROUND('General Variables'!$B$4*VLOOKUP(B14,Operations!$A$2:$U$79,10,FALSE)/VLOOKUP(B14,Operations!$A$2:$U$79,9,FALSE)*C14,2)))</f>
        <v>2.25</v>
      </c>
      <c r="F14" s="109">
        <f>IF(B14=0,0,IF(C14&gt;9999,"",ROUND(IF(VLOOKUP(B14,Operations!$A$2:$U$79,12,FALSE)=0,VLOOKUP(B14,Operations!$A$2:$U$79,13,FALSE)*'General Variables'!$B$8,VLOOKUP(B14,Operations!$A$2:$U$79,12,FALSE)*'General Variables'!$B$7)/VLOOKUP(B14,Operations!$A$2:$U$79,9,FALSE)*C14,2)))</f>
        <v>0.56000000000000005</v>
      </c>
      <c r="G14" s="109">
        <f>IF(B14=0,0,IF(C14&gt;9999,"",ROUND(VLOOKUP(VLOOKUP(B14,Operations!$A$2:$U$79,11,FALSE),PowerUnits[],10,FALSE)/VLOOKUP(B14,Operations!$A$2:$U$79,9,FALSE)*C14,2)))</f>
        <v>0.85</v>
      </c>
      <c r="H14" s="109">
        <f>IF(B14=0,"",IF(C14&gt;9999,"",ROUND(VLOOKUP($B14,Operations!$A$2:$U$79,15,FALSE)*C14,2)))</f>
        <v>0.25</v>
      </c>
      <c r="I14" s="109">
        <f>IF(B14=0,0,IF(C14&gt;9999,"",ROUND(VLOOKUP(VLOOKUP(B14,Operations!$A$2:$U$79,11,FALSE),PowerUnits[],16,FALSE)/VLOOKUP(B14,Operations!$A$2:$U$79,9,FALSE)*C14,2)))</f>
        <v>3.12</v>
      </c>
      <c r="J14" s="109">
        <f>IF(B14=0,"",IF(C14&gt;9999,"",ROUND(VLOOKUP($B14,Operations!$A$2:$U$79,21,FALSE)*$C14,2)))</f>
        <v>0.53</v>
      </c>
      <c r="K14" s="109">
        <f t="shared" si="0"/>
        <v>7.56</v>
      </c>
      <c r="L14" s="110"/>
    </row>
    <row r="15" spans="1:13" x14ac:dyDescent="0.2">
      <c r="A15" s="170">
        <v>4</v>
      </c>
      <c r="B15" s="213" t="s">
        <v>485</v>
      </c>
      <c r="C15" s="214">
        <v>4</v>
      </c>
      <c r="D15" s="214"/>
      <c r="E15" s="215">
        <f>IF(B15=0,"",IF(C15&gt;9999,"",ROUND('General Variables'!$B$4*VLOOKUP(B15,Operations!$A$2:$U$79,10,FALSE)/VLOOKUP(B15,Operations!$A$2:$U$79,9,FALSE)*C15,2)))</f>
        <v>5.94</v>
      </c>
      <c r="F15" s="215">
        <f>IF(B15=0,0,IF(C15&gt;9999,"",ROUND(IF(VLOOKUP(B15,Operations!$A$2:$U$79,12,FALSE)=0,VLOOKUP(B15,Operations!$A$2:$U$79,13,FALSE)*'General Variables'!$B$8,VLOOKUP(B15,Operations!$A$2:$U$79,12,FALSE)*'General Variables'!$B$7)/VLOOKUP(B15,Operations!$A$2:$U$79,9,FALSE)*C15,2)))</f>
        <v>1.35</v>
      </c>
      <c r="G15" s="215">
        <f>IF(B15=0,0,IF(C15&gt;9999,"",ROUND(VLOOKUP(VLOOKUP(B15,Operations!$A$2:$U$79,11,FALSE),PowerUnits[],10,FALSE)/VLOOKUP(B15,Operations!$A$2:$U$79,9,FALSE)*C15,2)))</f>
        <v>0.17</v>
      </c>
      <c r="H15" s="215">
        <f>IF(B15=0,"",IF(C15&gt;9999,"",ROUND(VLOOKUP($B15,Operations!$A$2:$U$79,15,FALSE)*C15,2)))</f>
        <v>1.6</v>
      </c>
      <c r="I15" s="215">
        <f>IF(B15=0,0,IF(C15&gt;9999,"",ROUND(VLOOKUP(VLOOKUP(B15,Operations!$A$2:$U$79,11,FALSE),PowerUnits[],16,FALSE)/VLOOKUP(B15,Operations!$A$2:$U$79,9,FALSE)*C15,2)))</f>
        <v>8.66</v>
      </c>
      <c r="J15" s="215">
        <f>IF(B15=0,"",IF(C15&gt;9999,"",ROUND(VLOOKUP($B15,Operations!$A$2:$U$79,21,FALSE)*$C15,2)))</f>
        <v>10.79</v>
      </c>
      <c r="K15" s="215">
        <f t="shared" si="0"/>
        <v>28.51</v>
      </c>
      <c r="L15" s="216"/>
    </row>
    <row r="16" spans="1:13" x14ac:dyDescent="0.2">
      <c r="A16" s="170">
        <v>5</v>
      </c>
      <c r="B16" s="180" t="s">
        <v>396</v>
      </c>
      <c r="C16" s="293">
        <f>$G$4*2/3</f>
        <v>4.4666666666666668</v>
      </c>
      <c r="D16" s="174" t="s">
        <v>187</v>
      </c>
      <c r="E16" s="109">
        <f>IF(B16=0,"",IF(C16&gt;9999,"",ROUND('General Variables'!$B$4*VLOOKUP(B16,Operations!$A$2:$U$79,10,FALSE)/VLOOKUP(B16,Operations!$A$2:$U$79,9,FALSE)*C16,2)))</f>
        <v>7.8</v>
      </c>
      <c r="F16" s="109">
        <f>IF(B16=0,0,IF(C16&gt;9999,"",ROUND(IF(VLOOKUP(B16,Operations!$A$2:$U$79,12,FALSE)=0,VLOOKUP(B16,Operations!$A$2:$U$79,13,FALSE)*'General Variables'!$B$8,VLOOKUP(B16,Operations!$A$2:$U$79,12,FALSE)*'General Variables'!$B$7)/VLOOKUP(B16,Operations!$A$2:$U$79,9,FALSE)*C16,2)))</f>
        <v>5.2</v>
      </c>
      <c r="G16" s="109">
        <f>IF(B16=0,0,IF(C16&gt;9999,"",ROUND(VLOOKUP(VLOOKUP(B16,Operations!$A$2:$U$79,11,FALSE),PowerUnits[],10,FALSE)/VLOOKUP(B16,Operations!$A$2:$U$79,9,FALSE)*C16,2)))</f>
        <v>0.89</v>
      </c>
      <c r="H16" s="109">
        <f>IF(B16=0,"",IF(C16&gt;9999,"",ROUND(VLOOKUP($B16,Operations!$A$2:$U$79,15,FALSE)*C16,2)))</f>
        <v>3.26</v>
      </c>
      <c r="I16" s="109">
        <f>IF(B16=0,0,IF(C16&gt;9999,"",ROUND(VLOOKUP(VLOOKUP(B16,Operations!$A$2:$U$79,11,FALSE),PowerUnits[],16,FALSE)/VLOOKUP(B16,Operations!$A$2:$U$79,9,FALSE)*C16,2)))</f>
        <v>24.25</v>
      </c>
      <c r="J16" s="109">
        <f>IF(B16=0,"",IF(C16&gt;9999,"",ROUND(VLOOKUP($B16,Operations!$A$2:$U$79,21,FALSE)*$C16,2)))</f>
        <v>35.03</v>
      </c>
      <c r="K16" s="109">
        <f>IF(C16&gt;9999,"",ROUND(SUM(E16:J16),2))</f>
        <v>76.430000000000007</v>
      </c>
      <c r="L16" s="110"/>
    </row>
    <row r="17" spans="1:12" x14ac:dyDescent="0.2">
      <c r="A17" s="170">
        <v>6</v>
      </c>
      <c r="B17" s="180" t="s">
        <v>508</v>
      </c>
      <c r="C17" s="174" t="s">
        <v>184</v>
      </c>
      <c r="D17" s="174" t="s">
        <v>187</v>
      </c>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IF(C17&gt;9999,"",ROUND(SUM(E17:J17),2))</f>
        <v/>
      </c>
      <c r="L17" s="110"/>
    </row>
    <row r="18" spans="1:12" x14ac:dyDescent="0.2">
      <c r="A18" s="170">
        <v>7</v>
      </c>
      <c r="B18" s="180" t="s">
        <v>403</v>
      </c>
      <c r="C18" s="293">
        <f>$G$4/3</f>
        <v>2.2333333333333334</v>
      </c>
      <c r="D18" s="174" t="s">
        <v>187</v>
      </c>
      <c r="E18" s="109">
        <f>IF(B18=0,"",IF(C18&gt;9999,"",ROUND('General Variables'!$B$4*VLOOKUP(B18,Operations!$A$2:$U$79,10,FALSE)/VLOOKUP(B18,Operations!$A$2:$U$79,9,FALSE)*C18,2)))</f>
        <v>16.579999999999998</v>
      </c>
      <c r="F18" s="109">
        <f>IF(B18=0,0,IF(C18&gt;9999,"",ROUND(IF(VLOOKUP(B18,Operations!$A$2:$U$79,12,FALSE)=0,VLOOKUP(B18,Operations!$A$2:$U$79,13,FALSE)*'General Variables'!$B$8,VLOOKUP(B18,Operations!$A$2:$U$79,12,FALSE)*'General Variables'!$B$7)/VLOOKUP(B18,Operations!$A$2:$U$79,9,FALSE)*C18,2)))</f>
        <v>6.25</v>
      </c>
      <c r="G18" s="109">
        <f>IF(B18=0,0,IF(C18&gt;9999,"",ROUND(VLOOKUP(VLOOKUP(B18,Operations!$A$2:$U$79,11,FALSE),PowerUnits[],10,FALSE)/VLOOKUP(B18,Operations!$A$2:$U$79,9,FALSE)*C18,2)))</f>
        <v>0.47</v>
      </c>
      <c r="H18" s="109">
        <f>IF(B18=0,"",IF(C18&gt;9999,"",ROUND(VLOOKUP($B18,Operations!$A$2:$U$79,15,FALSE)*C18,2)))</f>
        <v>17.32</v>
      </c>
      <c r="I18" s="109">
        <f>IF(B18=0,0,IF(C18&gt;9999,"",ROUND(VLOOKUP(VLOOKUP(B18,Operations!$A$2:$U$79,11,FALSE),PowerUnits[],16,FALSE)/VLOOKUP(B18,Operations!$A$2:$U$79,9,FALSE)*C18,2)))</f>
        <v>24.17</v>
      </c>
      <c r="J18" s="109">
        <f>IF(B18=0,"",IF(C18&gt;9999,"",ROUND(VLOOKUP($B18,Operations!$A$2:$U$79,21,FALSE)*$C18,2)))</f>
        <v>4</v>
      </c>
      <c r="K18" s="109">
        <f>IF(C18&gt;9999,"",ROUND(SUM(E18:J18),2))</f>
        <v>68.790000000000006</v>
      </c>
      <c r="L18" s="110"/>
    </row>
    <row r="19" spans="1:12" x14ac:dyDescent="0.2">
      <c r="A19" s="170">
        <v>8</v>
      </c>
      <c r="B19" s="213" t="s">
        <v>511</v>
      </c>
      <c r="C19" s="294">
        <f>$G$4/3</f>
        <v>2.2333333333333334</v>
      </c>
      <c r="D19" s="214" t="s">
        <v>187</v>
      </c>
      <c r="E19" s="215">
        <f>IF(B19=0,"",IF(C19&gt;9999,"",ROUND('General Variables'!$B$4*VLOOKUP(B19,Operations!$A$2:$U$79,10,FALSE)/VLOOKUP(B19,Operations!$A$2:$U$79,9,FALSE)*C19,2)))</f>
        <v>6.03</v>
      </c>
      <c r="F19" s="215">
        <f>IF(B19=0,0,IF(C19&gt;9999,"",ROUND(IF(VLOOKUP(B19,Operations!$A$2:$U$79,12,FALSE)=0,VLOOKUP(B19,Operations!$A$2:$U$79,13,FALSE)*'General Variables'!$B$8,VLOOKUP(B19,Operations!$A$2:$U$79,12,FALSE)*'General Variables'!$B$7)/VLOOKUP(B19,Operations!$A$2:$U$79,9,FALSE)*C19,2)))</f>
        <v>1.43</v>
      </c>
      <c r="G19" s="215">
        <f>IF(B19=0,0,IF(C19&gt;9999,"",ROUND(VLOOKUP(VLOOKUP(B19,Operations!$A$2:$U$79,11,FALSE),PowerUnits[],10,FALSE)/VLOOKUP(B19,Operations!$A$2:$U$79,9,FALSE)*C19,2)))</f>
        <v>0.19</v>
      </c>
      <c r="H19" s="215">
        <f>IF(B19=0,"",IF(C19&gt;9999,"",ROUND(VLOOKUP($B19,Operations!$A$2:$U$79,15,FALSE)*C19,2)))</f>
        <v>0.69</v>
      </c>
      <c r="I19" s="215">
        <f>IF(B19=0,0,IF(C19&gt;9999,"",ROUND(VLOOKUP(VLOOKUP(B19,Operations!$A$2:$U$79,11,FALSE),PowerUnits[],16,FALSE)/VLOOKUP(B19,Operations!$A$2:$U$79,9,FALSE)*C19,2)))</f>
        <v>9.67</v>
      </c>
      <c r="J19" s="215">
        <f>IF(B19=0,"",IF(C19&gt;9999,"",ROUND(VLOOKUP($B19,Operations!$A$2:$U$79,21,FALSE)*$C19,2)))</f>
        <v>0.99</v>
      </c>
      <c r="K19" s="215">
        <f>IF(C19&gt;9999,"",ROUND(SUM(E19:J19),2))</f>
        <v>19</v>
      </c>
      <c r="L19" s="216"/>
    </row>
    <row r="20" spans="1:12" x14ac:dyDescent="0.2">
      <c r="A20" s="170">
        <v>9</v>
      </c>
      <c r="B20" s="180" t="s">
        <v>524</v>
      </c>
      <c r="C20" s="174">
        <f>$K$3</f>
        <v>16</v>
      </c>
      <c r="D20" s="112" t="s">
        <v>693</v>
      </c>
      <c r="E20" s="109">
        <f>IF(B20=0,"",IF(C20&gt;9999,"",ROUND('General Variables'!$B$4*VLOOKUP(B20,Operations!$A$2:$U$79,10,FALSE)/VLOOKUP(B20,Operations!$A$2:$U$79,9,FALSE)*C20,2)))</f>
        <v>15</v>
      </c>
      <c r="F20" s="109">
        <f>IF(B20=0,0,IF(C20&gt;9999,"",ROUND(IF(VLOOKUP(B20,Operations!$A$2:$U$79,12,FALSE)=0,VLOOKUP(B20,Operations!$A$2:$U$79,13,FALSE)*'General Variables'!$B$8,VLOOKUP(B20,Operations!$A$2:$U$79,12,FALSE)*'General Variables'!$B$7)/VLOOKUP(B20,Operations!$A$2:$U$79,9,FALSE)*C20,2)))</f>
        <v>33.979999999999997</v>
      </c>
      <c r="G20" s="109">
        <f>IF(B20=0,0,IF(C20&gt;9999,"",ROUND(VLOOKUP(VLOOKUP(B20,Operations!$A$2:$U$79,11,FALSE),PowerUnits[],10,FALSE)/VLOOKUP(B20,Operations!$A$2:$U$79,9,FALSE)*C20,2)))</f>
        <v>8.92</v>
      </c>
      <c r="H20" s="109">
        <v>8</v>
      </c>
      <c r="I20" s="109">
        <f>IF(B20=0,0,IF(C20&gt;9999,"",ROUND(VLOOKUP(VLOOKUP(B20,Operations!$A$2:$U$79,11,FALSE),PowerUnits[],16,FALSE)/VLOOKUP(B20,Operations!$A$2:$U$79,9,FALSE)*C20,2)))</f>
        <v>15.62</v>
      </c>
      <c r="J20" s="109">
        <f>IF(B20=0,"",IF(C20&gt;9999,"",ROUND(VLOOKUP($B20,Operations!$A$2:$U$79,21,FALSE)*$C20,2)))</f>
        <v>23.29</v>
      </c>
      <c r="K20" s="109">
        <f>IF(C20&gt;9999,"",ROUND(SUM(E20:J20),2))</f>
        <v>104.81</v>
      </c>
      <c r="L20" s="110"/>
    </row>
    <row r="21" spans="1:12" x14ac:dyDescent="0.2">
      <c r="A21" s="170">
        <v>10</v>
      </c>
      <c r="B21" s="180" t="s">
        <v>551</v>
      </c>
      <c r="C21" s="174">
        <v>0.25</v>
      </c>
      <c r="D21" s="112"/>
      <c r="E21" s="109">
        <f>IF(B21=0,"",IF(C21&gt;9999,"",ROUND('General Variables'!$B$4*VLOOKUP(B21,Operations!$A$2:$U$79,10,FALSE)/VLOOKUP(B21,Operations!$A$2:$U$79,9,FALSE)*C21,2)))</f>
        <v>0.26</v>
      </c>
      <c r="F21" s="109">
        <f>IF(B21=0,0,IF(C21&gt;9999,"",ROUND(IF(VLOOKUP(B21,Operations!$A$2:$U$79,12,FALSE)=0,VLOOKUP(B21,Operations!$A$2:$U$79,13,FALSE)*'General Variables'!$B$8,VLOOKUP(B21,Operations!$A$2:$U$79,12,FALSE)*'General Variables'!$B$7)/VLOOKUP(B21,Operations!$A$2:$U$79,9,FALSE)*C21,2)))</f>
        <v>0.06</v>
      </c>
      <c r="G21" s="109">
        <f>IF(B21=0,0,IF(C21&gt;9999,"",ROUND(VLOOKUP(VLOOKUP(B21,Operations!$A$2:$U$79,11,FALSE),PowerUnits[],10,FALSE)/VLOOKUP(B21,Operations!$A$2:$U$79,9,FALSE)*C21,2)))</f>
        <v>0.01</v>
      </c>
      <c r="H21" s="109">
        <f>IF(B21=0,"",IF(C21&gt;9999,"",ROUND(VLOOKUP($B21,Operations!$A$2:$U$79,15,FALSE)*C21,2)))</f>
        <v>0.28000000000000003</v>
      </c>
      <c r="I21" s="109">
        <f>IF(B21=0,0,IF(C21&gt;9999,"",ROUND(VLOOKUP(VLOOKUP(B21,Operations!$A$2:$U$79,11,FALSE),PowerUnits[],16,FALSE)/VLOOKUP(B21,Operations!$A$2:$U$79,9,FALSE)*C21,2)))</f>
        <v>0.33</v>
      </c>
      <c r="J21" s="109">
        <f>IF(B21=0,"",IF(C21&gt;9999,"",ROUND(VLOOKUP($B21,Operations!$A$2:$U$79,21,FALSE)*$C21,2)))</f>
        <v>0.5</v>
      </c>
      <c r="K21" s="109">
        <f t="shared" si="0"/>
        <v>1.44</v>
      </c>
      <c r="L21" s="110"/>
    </row>
    <row r="22" spans="1:12" x14ac:dyDescent="0.2">
      <c r="A22" s="170">
        <v>11</v>
      </c>
      <c r="B22" s="180" t="s">
        <v>552</v>
      </c>
      <c r="C22" s="356">
        <v>0.2</v>
      </c>
      <c r="D22" s="112"/>
      <c r="E22" s="109">
        <f>IF(B22=0,"",IF(C22&gt;9999,"",ROUND('General Variables'!$B$4*VLOOKUP(B22,Operations!$A$2:$U$79,10,FALSE)/VLOOKUP(B22,Operations!$A$2:$U$79,9,FALSE)*C22,2)))</f>
        <v>0.2</v>
      </c>
      <c r="F22" s="109">
        <f>IF(B22=0,0,IF(C22&gt;9999,"",ROUND(IF(VLOOKUP(B22,Operations!$A$2:$U$79,12,FALSE)=0,VLOOKUP(B22,Operations!$A$2:$U$79,13,FALSE)*'General Variables'!$B$8,VLOOKUP(B22,Operations!$A$2:$U$79,12,FALSE)*'General Variables'!$B$7)/VLOOKUP(B22,Operations!$A$2:$U$79,9,FALSE)*C22,2)))</f>
        <v>0.05</v>
      </c>
      <c r="G22" s="109">
        <f>IF(B22=0,0,IF(C22&gt;9999,"",ROUND(VLOOKUP(VLOOKUP(B22,Operations!$A$2:$U$79,11,FALSE),PowerUnits[],10,FALSE)/VLOOKUP(B22,Operations!$A$2:$U$79,9,FALSE)*C22,2)))</f>
        <v>0.01</v>
      </c>
      <c r="H22" s="109">
        <f>IF(B22=0,"",IF(C22&gt;9999,"",ROUND(VLOOKUP($B22,Operations!$A$2:$U$79,15,FALSE)*C22,2)))</f>
        <v>0.22</v>
      </c>
      <c r="I22" s="109">
        <f>IF(B22=0,0,IF(C22&gt;9999,"",ROUND(VLOOKUP(VLOOKUP(B22,Operations!$A$2:$U$79,11,FALSE),PowerUnits[],16,FALSE)/VLOOKUP(B22,Operations!$A$2:$U$79,9,FALSE)*C22,2)))</f>
        <v>0.26</v>
      </c>
      <c r="J22" s="109">
        <f>IF(B22=0,"",IF(C22&gt;9999,"",ROUND(VLOOKUP($B22,Operations!$A$2:$U$79,21,FALSE)*$C22,2)))</f>
        <v>0.4</v>
      </c>
      <c r="K22" s="109">
        <f t="shared" si="0"/>
        <v>1.1399999999999999</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5" ht="13.5" thickTop="1" x14ac:dyDescent="0.2">
      <c r="C33" s="108" t="s">
        <v>664</v>
      </c>
      <c r="D33" s="108"/>
      <c r="E33" s="109">
        <f>SUM(E12:E31)</f>
        <v>66.990000000000009</v>
      </c>
      <c r="F33" s="109">
        <f t="shared" ref="F33:K33" si="1">SUM(F12:F31)</f>
        <v>56.239999999999995</v>
      </c>
      <c r="G33" s="109">
        <f t="shared" si="1"/>
        <v>15.649999999999999</v>
      </c>
      <c r="H33" s="109">
        <f t="shared" si="1"/>
        <v>35.69</v>
      </c>
      <c r="I33" s="109">
        <f t="shared" si="1"/>
        <v>104.46000000000002</v>
      </c>
      <c r="J33" s="109">
        <f t="shared" si="1"/>
        <v>98.47</v>
      </c>
      <c r="K33" s="109">
        <f t="shared" si="1"/>
        <v>377.5</v>
      </c>
      <c r="L33" s="110"/>
    </row>
    <row r="35" spans="1:15" ht="24" customHeight="1" thickBot="1" x14ac:dyDescent="0.25">
      <c r="F35" s="386" t="s">
        <v>665</v>
      </c>
      <c r="G35" s="386" t="s">
        <v>666</v>
      </c>
      <c r="H35" s="385" t="s">
        <v>667</v>
      </c>
      <c r="I35" s="385"/>
      <c r="J35" s="386" t="s">
        <v>169</v>
      </c>
      <c r="L35" s="385" t="s">
        <v>661</v>
      </c>
    </row>
    <row r="36" spans="1:15" s="118" customFormat="1" ht="18.75" customHeight="1" thickTop="1" thickBot="1" x14ac:dyDescent="0.25">
      <c r="B36" s="119" t="s">
        <v>668</v>
      </c>
      <c r="C36" s="171"/>
      <c r="D36" s="171"/>
      <c r="E36" s="171"/>
      <c r="F36" s="386"/>
      <c r="G36" s="386"/>
      <c r="H36" s="152" t="s">
        <v>669</v>
      </c>
      <c r="I36" s="153" t="s">
        <v>352</v>
      </c>
      <c r="J36" s="386"/>
      <c r="K36" s="171" t="s">
        <v>670</v>
      </c>
      <c r="L36" s="386"/>
    </row>
    <row r="37" spans="1:15" ht="13.5" thickTop="1" x14ac:dyDescent="0.2">
      <c r="A37" s="105"/>
      <c r="B37" s="180" t="s">
        <v>204</v>
      </c>
      <c r="C37" s="388" t="str">
        <f>IF(B37=0,"",VLOOKUP($B37,Table2[],2,FALSE))</f>
        <v>Fertilizer</v>
      </c>
      <c r="D37" s="388"/>
      <c r="E37" s="388"/>
      <c r="F37" s="174">
        <v>1</v>
      </c>
      <c r="G37" s="175">
        <v>1</v>
      </c>
      <c r="H37" s="176">
        <v>75</v>
      </c>
      <c r="I37" s="120" t="str">
        <f>IF($B37=0,"",VLOOKUP($B37,Table2[],5,FALSE))</f>
        <v>pound</v>
      </c>
      <c r="J37" s="109">
        <f>IF($B37=0,"",VLOOKUP($B37,Table2[],7,FALSE))</f>
        <v>0.4</v>
      </c>
      <c r="K37" s="109">
        <f t="shared" ref="K37:K44" si="2">IF(B37=0,0,ROUND(G37*H37*J37,2))</f>
        <v>30</v>
      </c>
      <c r="L37" s="110"/>
    </row>
    <row r="38" spans="1:15" x14ac:dyDescent="0.2">
      <c r="A38" s="105"/>
      <c r="B38" s="180" t="s">
        <v>301</v>
      </c>
      <c r="C38" s="388" t="str">
        <f>IF(B38=0,"",VLOOKUP($B38,Table2[],2,FALSE))</f>
        <v>Other</v>
      </c>
      <c r="D38" s="388"/>
      <c r="E38" s="388"/>
      <c r="F38" s="174">
        <v>5</v>
      </c>
      <c r="G38" s="175">
        <v>1</v>
      </c>
      <c r="H38" s="299">
        <f>C15</f>
        <v>4</v>
      </c>
      <c r="I38" s="120" t="str">
        <f>IF($B38=0,"",VLOOKUP($B38,Table2[],5,FALSE))</f>
        <v>ton</v>
      </c>
      <c r="J38" s="109">
        <f>IF($B38=0,"",VLOOKUP($B38,Table2[],7,FALSE))</f>
        <v>1.9823788546255507</v>
      </c>
      <c r="K38" s="109">
        <f t="shared" ref="K38" si="3">IF(B38=0,0,ROUND(G38*H38*J38,2))</f>
        <v>7.93</v>
      </c>
      <c r="L38" s="110"/>
    </row>
    <row r="39" spans="1:15" x14ac:dyDescent="0.2">
      <c r="A39" s="105"/>
      <c r="B39" s="180" t="s">
        <v>199</v>
      </c>
      <c r="C39" s="388" t="str">
        <f>IF(B39=0,"",VLOOKUP($B39,Table2[],2,FALSE))</f>
        <v>Custom</v>
      </c>
      <c r="D39" s="388"/>
      <c r="E39" s="388"/>
      <c r="F39" s="174">
        <v>6</v>
      </c>
      <c r="G39" s="175">
        <v>1</v>
      </c>
      <c r="H39" s="297">
        <f>C16</f>
        <v>4.4666666666666668</v>
      </c>
      <c r="I39" s="120" t="str">
        <f>IF($B39=0,"",VLOOKUP($B39,Table2[],5,FALSE))</f>
        <v>ton</v>
      </c>
      <c r="J39" s="109">
        <f>IF($B39=0,"",VLOOKUP($B39,Table2[],7,FALSE))</f>
        <v>3.6710719530102787</v>
      </c>
      <c r="K39" s="109">
        <f t="shared" si="2"/>
        <v>16.399999999999999</v>
      </c>
      <c r="L39" s="110"/>
      <c r="O39" s="103" t="s">
        <v>892</v>
      </c>
    </row>
    <row r="40" spans="1:15" x14ac:dyDescent="0.2">
      <c r="A40" s="143"/>
      <c r="B40" s="213" t="s">
        <v>302</v>
      </c>
      <c r="C40" s="387" t="str">
        <f>IF(B40=0,"",VLOOKUP($B40,Table2[],2,FALSE))</f>
        <v>Other</v>
      </c>
      <c r="D40" s="387"/>
      <c r="E40" s="387"/>
      <c r="F40" s="214">
        <v>7</v>
      </c>
      <c r="G40" s="221">
        <v>1</v>
      </c>
      <c r="H40" s="298">
        <v>3</v>
      </c>
      <c r="I40" s="223" t="str">
        <f>IF($B40=0,"",VLOOKUP($B40,Table2[],5,FALSE))</f>
        <v>ton</v>
      </c>
      <c r="J40" s="215">
        <f>IF($B40=0,"",VLOOKUP($B40,Table2[],7,FALSE))</f>
        <v>15</v>
      </c>
      <c r="K40" s="215">
        <f t="shared" si="2"/>
        <v>45</v>
      </c>
      <c r="L40" s="216"/>
    </row>
    <row r="41" spans="1:15" x14ac:dyDescent="0.2">
      <c r="A41" s="105"/>
      <c r="B41" s="180" t="s">
        <v>291</v>
      </c>
      <c r="C41" s="388" t="str">
        <f>IF(B41=0,"",VLOOKUP($B41,Table2[],2,FALSE))</f>
        <v>Other</v>
      </c>
      <c r="D41" s="388"/>
      <c r="E41" s="388"/>
      <c r="F41" s="174">
        <v>9</v>
      </c>
      <c r="G41" s="175">
        <v>1</v>
      </c>
      <c r="H41" s="176">
        <v>1</v>
      </c>
      <c r="I41" s="120" t="str">
        <f>IF($B41=0,"",VLOOKUP($B41,Table2[],5,FALSE))</f>
        <v>acre</v>
      </c>
      <c r="J41" s="109">
        <f>IF($B41=0,"",VLOOKUP($B41,Table2[],7,FALSE))</f>
        <v>52</v>
      </c>
      <c r="K41" s="109">
        <f t="shared" si="2"/>
        <v>52</v>
      </c>
      <c r="L41" s="110"/>
    </row>
    <row r="42" spans="1:15" x14ac:dyDescent="0.2">
      <c r="A42" s="105"/>
      <c r="B42" s="180" t="s">
        <v>958</v>
      </c>
      <c r="C42" s="170"/>
      <c r="D42" s="170" t="s">
        <v>228</v>
      </c>
      <c r="E42" s="170"/>
      <c r="F42" s="174">
        <v>10</v>
      </c>
      <c r="G42" s="175">
        <v>0.25</v>
      </c>
      <c r="H42" s="176">
        <v>4</v>
      </c>
      <c r="I42" s="120" t="s">
        <v>174</v>
      </c>
      <c r="J42" s="109">
        <f>IF($B42=0,"",VLOOKUP($B42,Table2[],7,FALSE))</f>
        <v>3.125</v>
      </c>
      <c r="K42" s="109">
        <f t="shared" ref="K42" si="4">IF(B42=0,0,ROUND(G42*H42*J42,2))</f>
        <v>3.13</v>
      </c>
      <c r="L42" s="110"/>
    </row>
    <row r="43" spans="1:15" x14ac:dyDescent="0.2">
      <c r="A43" s="105"/>
      <c r="B43" s="180" t="s">
        <v>245</v>
      </c>
      <c r="C43" s="388" t="s">
        <v>228</v>
      </c>
      <c r="D43" s="388"/>
      <c r="E43" s="388"/>
      <c r="F43" s="174">
        <v>10</v>
      </c>
      <c r="G43" s="175">
        <v>0.25</v>
      </c>
      <c r="H43" s="176">
        <v>1</v>
      </c>
      <c r="I43" s="120" t="s">
        <v>179</v>
      </c>
      <c r="J43" s="109">
        <f>IF($B43=0,"",VLOOKUP($B43,Table2[],7,FALSE))</f>
        <v>6.625</v>
      </c>
      <c r="K43" s="109">
        <f t="shared" ref="K43" si="5">IF(B43=0,0,ROUND(G43*H43*J43,2))</f>
        <v>1.66</v>
      </c>
      <c r="L43" s="110"/>
    </row>
    <row r="44" spans="1:15" x14ac:dyDescent="0.2">
      <c r="A44" s="105"/>
      <c r="B44" s="213" t="s">
        <v>267</v>
      </c>
      <c r="C44" s="387" t="str">
        <f>IF(B44=0,"",VLOOKUP($B44,Table2[],2,FALSE))</f>
        <v>Herbicide</v>
      </c>
      <c r="D44" s="387"/>
      <c r="E44" s="387"/>
      <c r="F44" s="214">
        <v>10</v>
      </c>
      <c r="G44" s="221">
        <v>0.25</v>
      </c>
      <c r="H44" s="222">
        <v>3</v>
      </c>
      <c r="I44" s="223" t="str">
        <f>IF($B44=0,"",VLOOKUP($B44,Table2[],5,FALSE))</f>
        <v>ounce</v>
      </c>
      <c r="J44" s="215">
        <f>IF($B44=0,"",VLOOKUP($B44,Table2[],7,FALSE))</f>
        <v>3.90625</v>
      </c>
      <c r="K44" s="215">
        <f t="shared" si="2"/>
        <v>2.93</v>
      </c>
      <c r="L44" s="216"/>
    </row>
    <row r="45" spans="1:15" x14ac:dyDescent="0.2">
      <c r="A45" s="105"/>
      <c r="B45" s="254" t="s">
        <v>177</v>
      </c>
      <c r="C45" s="389" t="str">
        <f>IF(B45=0,"",VLOOKUP($B45,Table2[],2,FALSE))</f>
        <v>Additive</v>
      </c>
      <c r="D45" s="389"/>
      <c r="E45" s="389"/>
      <c r="F45" s="255">
        <v>10</v>
      </c>
      <c r="G45" s="337">
        <v>0.25</v>
      </c>
      <c r="H45" s="338">
        <v>1.6</v>
      </c>
      <c r="I45" s="339" t="str">
        <f>IF($B45=0,"",VLOOKUP($B45,Table2[],5,FALSE))</f>
        <v>pint</v>
      </c>
      <c r="J45" s="256">
        <f>IF($B45=0,"",VLOOKUP($B45,Table2[],7,FALSE))</f>
        <v>1.875</v>
      </c>
      <c r="K45" s="256">
        <f t="shared" ref="K45:K63" si="6">IF(B45=0,0,ROUND(G45*H45*J45,2))</f>
        <v>0.75</v>
      </c>
      <c r="L45" s="257"/>
    </row>
    <row r="46" spans="1:15" x14ac:dyDescent="0.2">
      <c r="A46" s="105"/>
      <c r="B46" s="180" t="s">
        <v>182</v>
      </c>
      <c r="C46" s="388" t="str">
        <f>IF(B46=0,"",VLOOKUP($B46,Table2[],2,FALSE))</f>
        <v>Additive</v>
      </c>
      <c r="D46" s="388"/>
      <c r="E46" s="388"/>
      <c r="F46" s="174">
        <v>10</v>
      </c>
      <c r="G46" s="175">
        <v>0.25</v>
      </c>
      <c r="H46" s="176">
        <v>2</v>
      </c>
      <c r="I46" s="120" t="str">
        <f>IF($B46=0,"",VLOOKUP($B46,Table2[],5,FALSE))</f>
        <v>pint</v>
      </c>
      <c r="J46" s="109">
        <f>IF($B46=0,"",VLOOKUP($B46,Table2[],7,FALSE))</f>
        <v>0.22500000000000001</v>
      </c>
      <c r="K46" s="109">
        <f t="shared" si="6"/>
        <v>0.11</v>
      </c>
      <c r="L46" s="110"/>
    </row>
    <row r="47" spans="1:15" x14ac:dyDescent="0.2">
      <c r="A47" s="105"/>
      <c r="B47" s="180" t="s">
        <v>288</v>
      </c>
      <c r="C47" s="388" t="str">
        <f>IF(B47=0,"",VLOOKUP($B47,Table2[],2,FALSE))</f>
        <v>Insecticide</v>
      </c>
      <c r="D47" s="388"/>
      <c r="E47" s="388"/>
      <c r="F47" s="174">
        <v>11</v>
      </c>
      <c r="G47" s="175">
        <v>0.2</v>
      </c>
      <c r="H47" s="176">
        <v>3</v>
      </c>
      <c r="I47" s="120" t="str">
        <f>IF($B47=0,"",VLOOKUP($B47,Table2[],5,FALSE))</f>
        <v>ounce</v>
      </c>
      <c r="J47" s="109">
        <f>IF($B47=0,"",VLOOKUP($B47,Table2[],7,FALSE))</f>
        <v>1.25</v>
      </c>
      <c r="K47" s="109">
        <f t="shared" si="6"/>
        <v>0.75</v>
      </c>
      <c r="L47" s="110"/>
    </row>
    <row r="48" spans="1:15" ht="12.75" hidden="1" customHeight="1" x14ac:dyDescent="0.2">
      <c r="A48" s="105"/>
      <c r="B48" s="180"/>
      <c r="C48" s="388" t="str">
        <f>IF(B48=0,"",VLOOKUP($B48,Table2[],2,FALSE))</f>
        <v/>
      </c>
      <c r="D48" s="388"/>
      <c r="E48" s="388"/>
      <c r="F48" s="174"/>
      <c r="G48" s="175"/>
      <c r="H48" s="176"/>
      <c r="I48" s="120" t="str">
        <f>IF($B48=0,"",VLOOKUP($B48,Table2[],5,FALSE))</f>
        <v/>
      </c>
      <c r="J48" s="109" t="str">
        <f>IF($B48=0,"",VLOOKUP($B48,Table2[],7,FALSE))</f>
        <v/>
      </c>
      <c r="K48" s="109">
        <f t="shared" si="6"/>
        <v>0</v>
      </c>
      <c r="L48" s="110"/>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6"/>
        <v>0</v>
      </c>
      <c r="L49" s="110"/>
    </row>
    <row r="50" spans="1:12" ht="12.75" hidden="1" customHeight="1" x14ac:dyDescent="0.2">
      <c r="A50" s="105"/>
      <c r="B50" s="213"/>
      <c r="C50" s="387" t="str">
        <f>IF(B50=0,"",VLOOKUP($B50,Table2[],2,FALSE))</f>
        <v/>
      </c>
      <c r="D50" s="387"/>
      <c r="E50" s="387"/>
      <c r="F50" s="214"/>
      <c r="G50" s="221"/>
      <c r="H50" s="222"/>
      <c r="I50" s="223" t="str">
        <f>IF($B50=0,"",VLOOKUP($B50,Table2[],5,FALSE))</f>
        <v/>
      </c>
      <c r="J50" s="215" t="str">
        <f>IF($B50=0,"",VLOOKUP($B50,Table2[],7,FALSE))</f>
        <v/>
      </c>
      <c r="K50" s="215">
        <f t="shared" si="6"/>
        <v>0</v>
      </c>
      <c r="L50" s="216"/>
    </row>
    <row r="51" spans="1:12" ht="12.75" hidden="1" customHeight="1" x14ac:dyDescent="0.2">
      <c r="A51" s="105"/>
      <c r="B51" s="180"/>
      <c r="C51" s="388" t="str">
        <f>IF(B51=0,"",VLOOKUP($B51,Table2[],2,FALSE))</f>
        <v/>
      </c>
      <c r="D51" s="388"/>
      <c r="E51" s="388"/>
      <c r="F51" s="174"/>
      <c r="G51" s="175"/>
      <c r="H51" s="176"/>
      <c r="I51" s="120" t="str">
        <f>IF($B51=0,"",VLOOKUP($B51,Table2[],5,FALSE))</f>
        <v/>
      </c>
      <c r="J51" s="109" t="str">
        <f>IF($B51=0,"",VLOOKUP($B51,Table2[],7,FALSE))</f>
        <v/>
      </c>
      <c r="K51" s="109">
        <f t="shared" si="6"/>
        <v>0</v>
      </c>
      <c r="L51" s="110"/>
    </row>
    <row r="52" spans="1:12" ht="12.75" hidden="1" customHeight="1" x14ac:dyDescent="0.2">
      <c r="A52" s="105"/>
      <c r="B52" s="180"/>
      <c r="C52" s="388" t="str">
        <f>IF(B52=0,"",VLOOKUP($B52,Table2[],2,FALSE))</f>
        <v/>
      </c>
      <c r="D52" s="388"/>
      <c r="E52" s="388"/>
      <c r="F52" s="174"/>
      <c r="G52" s="175"/>
      <c r="H52" s="176"/>
      <c r="I52" s="120" t="str">
        <f>IF($B52=0,"",VLOOKUP($B52,Table2[],5,FALSE))</f>
        <v/>
      </c>
      <c r="J52" s="109" t="str">
        <f>IF($B52=0,"",VLOOKUP($B52,Table2[],7,FALSE))</f>
        <v/>
      </c>
      <c r="K52" s="109">
        <f t="shared" si="6"/>
        <v>0</v>
      </c>
      <c r="L52" s="110"/>
    </row>
    <row r="53" spans="1:12" ht="12.75" hidden="1" customHeight="1" x14ac:dyDescent="0.2">
      <c r="A53" s="105"/>
      <c r="B53" s="180"/>
      <c r="C53" s="388" t="str">
        <f>IF(B53=0,"",VLOOKUP($B53,Table2[],2,FALSE))</f>
        <v/>
      </c>
      <c r="D53" s="388"/>
      <c r="E53" s="388"/>
      <c r="F53" s="174"/>
      <c r="G53" s="175"/>
      <c r="H53" s="176"/>
      <c r="I53" s="120" t="str">
        <f>IF($B53=0,"",VLOOKUP($B53,Table2[],5,FALSE))</f>
        <v/>
      </c>
      <c r="J53" s="109" t="str">
        <f>IF($B53=0,"",VLOOKUP($B53,Table2[],7,FALSE))</f>
        <v/>
      </c>
      <c r="K53" s="109">
        <f t="shared" si="6"/>
        <v>0</v>
      </c>
      <c r="L53" s="110"/>
    </row>
    <row r="54" spans="1:12" ht="12.75" hidden="1" customHeight="1" x14ac:dyDescent="0.2">
      <c r="A54" s="105"/>
      <c r="B54" s="213"/>
      <c r="C54" s="387" t="str">
        <f>IF(B54=0,"",VLOOKUP($B54,Table2[],2,FALSE))</f>
        <v/>
      </c>
      <c r="D54" s="387"/>
      <c r="E54" s="387"/>
      <c r="F54" s="214"/>
      <c r="G54" s="221">
        <v>0.1</v>
      </c>
      <c r="H54" s="222"/>
      <c r="I54" s="223" t="str">
        <f>IF($B54=0,"",VLOOKUP($B54,Table2[],5,FALSE))</f>
        <v/>
      </c>
      <c r="J54" s="215" t="str">
        <f>IF($B54=0,"",VLOOKUP($B54,Table2[],7,FALSE))</f>
        <v/>
      </c>
      <c r="K54" s="215">
        <f t="shared" si="6"/>
        <v>0</v>
      </c>
      <c r="L54" s="216"/>
    </row>
    <row r="55" spans="1:12" ht="12.75" hidden="1" customHeight="1" x14ac:dyDescent="0.2">
      <c r="A55" s="105"/>
      <c r="B55" s="180"/>
      <c r="C55" s="388" t="str">
        <f>IF(B55=0,"",VLOOKUP($B55,Table2[],2,FALSE))</f>
        <v/>
      </c>
      <c r="D55" s="388"/>
      <c r="E55" s="388"/>
      <c r="F55" s="174"/>
      <c r="G55" s="175">
        <v>0.2</v>
      </c>
      <c r="H55" s="176"/>
      <c r="I55" s="120" t="str">
        <f>IF($B55=0,"",VLOOKUP($B55,Table2[],5,FALSE))</f>
        <v/>
      </c>
      <c r="J55" s="109" t="str">
        <f>IF($B55=0,"",VLOOKUP($B55,Table2[],7,FALSE))</f>
        <v/>
      </c>
      <c r="K55" s="109">
        <f t="shared" si="6"/>
        <v>0</v>
      </c>
      <c r="L55" s="110"/>
    </row>
    <row r="56" spans="1:12" ht="12.75" hidden="1" customHeight="1" x14ac:dyDescent="0.2">
      <c r="A56" s="105"/>
      <c r="B56" s="180"/>
      <c r="C56" s="388" t="str">
        <f>IF(B56=0,"",VLOOKUP($B56,Table2[],2,FALSE))</f>
        <v/>
      </c>
      <c r="D56" s="388"/>
      <c r="E56" s="388"/>
      <c r="F56" s="174"/>
      <c r="G56" s="175">
        <v>0.3</v>
      </c>
      <c r="H56" s="176"/>
      <c r="I56" s="120" t="str">
        <f>IF($B56=0,"",VLOOKUP($B56,Table2[],5,FALSE))</f>
        <v/>
      </c>
      <c r="J56" s="109" t="str">
        <f>IF($B56=0,"",VLOOKUP($B56,Table2[],7,FALSE))</f>
        <v/>
      </c>
      <c r="K56" s="109">
        <f t="shared" si="6"/>
        <v>0</v>
      </c>
      <c r="L56" s="110"/>
    </row>
    <row r="57" spans="1:12" ht="12.75" hidden="1" customHeight="1" x14ac:dyDescent="0.2">
      <c r="A57" s="105"/>
      <c r="B57" s="180"/>
      <c r="C57" s="388" t="str">
        <f>IF(B57=0,"",VLOOKUP($B57,Table2[],2,FALSE))</f>
        <v/>
      </c>
      <c r="D57" s="388"/>
      <c r="E57" s="388"/>
      <c r="F57" s="174"/>
      <c r="G57" s="175"/>
      <c r="H57" s="176"/>
      <c r="I57" s="120" t="str">
        <f>IF($B57=0,"",VLOOKUP($B57,Table2[],5,FALSE))</f>
        <v/>
      </c>
      <c r="J57" s="109" t="str">
        <f>IF($B57=0,"",VLOOKUP($B57,Table2[],7,FALSE))</f>
        <v/>
      </c>
      <c r="K57" s="109">
        <f t="shared" si="6"/>
        <v>0</v>
      </c>
      <c r="L57" s="110"/>
    </row>
    <row r="58" spans="1:12" ht="12.75" hidden="1" customHeight="1" x14ac:dyDescent="0.2">
      <c r="A58" s="105"/>
      <c r="B58" s="213"/>
      <c r="C58" s="387" t="str">
        <f>IF(B58=0,"",VLOOKUP($B58,Table2[],2,FALSE))</f>
        <v/>
      </c>
      <c r="D58" s="387"/>
      <c r="E58" s="387"/>
      <c r="F58" s="214"/>
      <c r="G58" s="221"/>
      <c r="H58" s="222"/>
      <c r="I58" s="223" t="str">
        <f>IF($B58=0,"",VLOOKUP($B58,Table2[],5,FALSE))</f>
        <v/>
      </c>
      <c r="J58" s="215" t="str">
        <f>IF($B58=0,"",VLOOKUP($B58,Table2[],7,FALSE))</f>
        <v/>
      </c>
      <c r="K58" s="215">
        <f t="shared" si="6"/>
        <v>0</v>
      </c>
      <c r="L58" s="216"/>
    </row>
    <row r="59" spans="1:12" ht="12.75" hidden="1" customHeight="1" x14ac:dyDescent="0.2">
      <c r="A59" s="105"/>
      <c r="B59" s="180"/>
      <c r="C59" s="388" t="str">
        <f>IF(B59=0,"",VLOOKUP($B59,Table2[],2,FALSE))</f>
        <v/>
      </c>
      <c r="D59" s="388"/>
      <c r="E59" s="388"/>
      <c r="F59" s="174"/>
      <c r="G59" s="175"/>
      <c r="H59" s="176"/>
      <c r="I59" s="120" t="str">
        <f>IF($B59=0,"",VLOOKUP($B59,Table2[],5,FALSE))</f>
        <v/>
      </c>
      <c r="J59" s="109" t="str">
        <f>IF($B59=0,"",VLOOKUP($B59,Table2[],7,FALSE))</f>
        <v/>
      </c>
      <c r="K59" s="109">
        <f t="shared" si="6"/>
        <v>0</v>
      </c>
      <c r="L59" s="110"/>
    </row>
    <row r="60" spans="1:12" ht="12.75" hidden="1" customHeight="1" x14ac:dyDescent="0.2">
      <c r="A60" s="105"/>
      <c r="B60" s="180"/>
      <c r="C60" s="388" t="str">
        <f>IF(B60=0,"",VLOOKUP($B60,Table2[],2,FALSE))</f>
        <v/>
      </c>
      <c r="D60" s="388"/>
      <c r="E60" s="388"/>
      <c r="F60" s="174"/>
      <c r="G60" s="175"/>
      <c r="H60" s="176"/>
      <c r="I60" s="120" t="str">
        <f>IF($B60=0,"",VLOOKUP($B60,Table2[],5,FALSE))</f>
        <v/>
      </c>
      <c r="J60" s="109" t="str">
        <f>IF($B60=0,"",VLOOKUP($B60,Table2[],7,FALSE))</f>
        <v/>
      </c>
      <c r="K60" s="109">
        <f t="shared" si="6"/>
        <v>0</v>
      </c>
      <c r="L60" s="110"/>
    </row>
    <row r="61" spans="1:12" ht="12.75" hidden="1" customHeight="1" x14ac:dyDescent="0.2">
      <c r="A61" s="105"/>
      <c r="B61" s="180"/>
      <c r="C61" s="388" t="str">
        <f>IF(B61=0,"",VLOOKUP($B61,Table2[],2,FALSE))</f>
        <v/>
      </c>
      <c r="D61" s="388"/>
      <c r="E61" s="388"/>
      <c r="F61" s="174"/>
      <c r="G61" s="175"/>
      <c r="H61" s="176"/>
      <c r="I61" s="120" t="str">
        <f>IF($B61=0,"",VLOOKUP($B61,Table2[],5,FALSE))</f>
        <v/>
      </c>
      <c r="J61" s="109" t="str">
        <f>IF($B61=0,"",VLOOKUP($B61,Table2[],7,FALSE))</f>
        <v/>
      </c>
      <c r="K61" s="109">
        <f t="shared" si="6"/>
        <v>0</v>
      </c>
      <c r="L61" s="110"/>
    </row>
    <row r="62" spans="1:12" ht="12.75" hidden="1" customHeight="1" x14ac:dyDescent="0.2">
      <c r="A62" s="105"/>
      <c r="B62" s="213"/>
      <c r="C62" s="387" t="str">
        <f>IF(B62=0,"",VLOOKUP($B62,Table2[],2,FALSE))</f>
        <v/>
      </c>
      <c r="D62" s="387"/>
      <c r="E62" s="387"/>
      <c r="F62" s="214"/>
      <c r="G62" s="221"/>
      <c r="H62" s="222"/>
      <c r="I62" s="223" t="str">
        <f>IF($B62=0,"",VLOOKUP($B62,Table2[],5,FALSE))</f>
        <v/>
      </c>
      <c r="J62" s="215" t="str">
        <f>IF($B62=0,"",VLOOKUP($B62,Table2[],7,FALSE))</f>
        <v/>
      </c>
      <c r="K62" s="215">
        <f t="shared" si="6"/>
        <v>0</v>
      </c>
      <c r="L62" s="216"/>
    </row>
    <row r="63" spans="1:12" hidden="1" x14ac:dyDescent="0.2">
      <c r="A63" s="105"/>
      <c r="C63" s="388" t="s">
        <v>655</v>
      </c>
      <c r="D63" s="388"/>
      <c r="E63" s="388"/>
      <c r="F63" s="174"/>
      <c r="G63" s="175"/>
      <c r="H63" s="176"/>
      <c r="I63" s="170"/>
      <c r="J63" s="109" t="str">
        <f ca="1">IF(F5=0,E5,F5)</f>
        <v>N/A</v>
      </c>
      <c r="K63" s="109">
        <f t="shared" si="6"/>
        <v>0</v>
      </c>
      <c r="L63" s="110"/>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J65" s="126"/>
      <c r="K65" s="141">
        <f>SUM(K37:K63)</f>
        <v>160.66</v>
      </c>
      <c r="L65" s="110"/>
    </row>
    <row r="66" spans="2:12" x14ac:dyDescent="0.2">
      <c r="K66" s="128"/>
    </row>
    <row r="67" spans="2:12" x14ac:dyDescent="0.2">
      <c r="B67" s="107" t="s">
        <v>672</v>
      </c>
      <c r="K67" s="141">
        <f>K33+K65</f>
        <v>538.16</v>
      </c>
      <c r="L67" s="110"/>
    </row>
    <row r="68" spans="2:12" ht="13.5" thickBot="1" x14ac:dyDescent="0.25">
      <c r="D68" s="128" t="s">
        <v>673</v>
      </c>
      <c r="E68" s="129">
        <f>ROUND(SUM($E$33:$H$33)+$K$65,2)</f>
        <v>335.23</v>
      </c>
      <c r="F68" s="388" t="s">
        <v>674</v>
      </c>
      <c r="G68" s="388"/>
      <c r="H68" s="130">
        <f>'General Variables'!$B$11</f>
        <v>7.4999999999999997E-2</v>
      </c>
      <c r="I68" s="131" t="str">
        <f>CONCATENATE("for ",TEXT('General Variables'!$B$12,"0.0")," mo.")</f>
        <v>for 6.0 mo.</v>
      </c>
      <c r="K68" s="145">
        <f>E68*H68*'General Variables'!$B$12/12</f>
        <v>12.571125</v>
      </c>
      <c r="L68" s="133"/>
    </row>
    <row r="69" spans="2:12" ht="13.5" thickTop="1" x14ac:dyDescent="0.2">
      <c r="B69" s="107" t="s">
        <v>675</v>
      </c>
      <c r="K69" s="141">
        <f>SUM(K67:K68)</f>
        <v>550.73112500000002</v>
      </c>
      <c r="L69" s="110"/>
    </row>
    <row r="70" spans="2:12" x14ac:dyDescent="0.2">
      <c r="K70" s="128"/>
    </row>
    <row r="71" spans="2:12" x14ac:dyDescent="0.2">
      <c r="B71" s="104" t="s">
        <v>676</v>
      </c>
      <c r="C71" s="134"/>
      <c r="D71" s="134"/>
      <c r="E71" s="134"/>
      <c r="F71" s="134"/>
      <c r="G71" s="134"/>
      <c r="H71" s="134"/>
      <c r="I71" s="134"/>
      <c r="J71" s="134"/>
      <c r="K71" s="142">
        <f>'General Variables'!B14</f>
        <v>35</v>
      </c>
      <c r="L71" s="110"/>
    </row>
    <row r="72" spans="2:12" x14ac:dyDescent="0.2">
      <c r="B72" s="103" t="s">
        <v>687</v>
      </c>
      <c r="C72" s="398" t="s">
        <v>40</v>
      </c>
      <c r="D72" s="399"/>
      <c r="E72" s="400"/>
      <c r="F72" s="136">
        <f>IF(C72=0,0,VLOOKUP(C72,RETable,2,FALSE))</f>
        <v>9115</v>
      </c>
      <c r="G72" s="388" t="s">
        <v>678</v>
      </c>
      <c r="H72" s="388"/>
      <c r="I72" s="130">
        <f>'General Variables'!$B$10</f>
        <v>0.03</v>
      </c>
      <c r="K72" s="146">
        <f>ROUND(F72*I72,2)</f>
        <v>273.45</v>
      </c>
      <c r="L72" s="110"/>
    </row>
    <row r="73" spans="2:12" ht="13.5" thickBot="1" x14ac:dyDescent="0.25">
      <c r="B73" s="103" t="s">
        <v>679</v>
      </c>
      <c r="F73" s="138">
        <f>IF(C72=0,0,VLOOKUP(C72,RETable,2,FALSE))</f>
        <v>9115</v>
      </c>
      <c r="G73" s="397" t="s">
        <v>678</v>
      </c>
      <c r="H73" s="397"/>
      <c r="I73" s="139">
        <f>'General Variables'!$B$13</f>
        <v>1.2999999999999999E-2</v>
      </c>
      <c r="J73" s="105"/>
      <c r="K73" s="147">
        <f>ROUND(F73*I73,2)</f>
        <v>118.5</v>
      </c>
      <c r="L73" s="133"/>
    </row>
    <row r="74" spans="2:12" ht="13.5" thickTop="1" x14ac:dyDescent="0.2">
      <c r="B74" s="107" t="s">
        <v>680</v>
      </c>
      <c r="K74" s="141">
        <f>SUM(K69:K73)</f>
        <v>977.68112500000007</v>
      </c>
      <c r="L74" s="110"/>
    </row>
    <row r="75" spans="2:12" x14ac:dyDescent="0.2">
      <c r="K75" s="128"/>
    </row>
    <row r="76" spans="2:12" x14ac:dyDescent="0.2">
      <c r="B76" s="104" t="str">
        <f>IF(G4="","","Cash Cost per "&amp;H4)</f>
        <v>Cash Cost per ton</v>
      </c>
      <c r="C76" s="261" t="s">
        <v>688</v>
      </c>
      <c r="D76" s="105"/>
      <c r="E76" s="105"/>
      <c r="F76" s="105"/>
      <c r="G76" s="105"/>
      <c r="H76" s="105"/>
      <c r="I76" s="105"/>
      <c r="J76" s="105"/>
      <c r="K76" s="142">
        <f>IF(G4=0,0,(E68+K68+K71+K73)/G4)</f>
        <v>74.821063432835814</v>
      </c>
      <c r="L76" s="148"/>
    </row>
    <row r="77" spans="2:12" x14ac:dyDescent="0.2">
      <c r="B77" s="107" t="str">
        <f>IF(G4="","","Cost of production per "&amp;H4)</f>
        <v>Cost of production per ton</v>
      </c>
      <c r="K77" s="141">
        <f>IF(G4="","",K74/G4)</f>
        <v>145.92255597014926</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row>
    <row r="114" spans="2:11" x14ac:dyDescent="0.2">
      <c r="B114" s="105"/>
      <c r="C114" s="105"/>
      <c r="D114" s="105"/>
      <c r="K114" s="103" t="s">
        <v>681</v>
      </c>
    </row>
    <row r="115" spans="2:11" x14ac:dyDescent="0.2">
      <c r="B115" s="105"/>
      <c r="C115" s="105"/>
      <c r="D115" s="105"/>
      <c r="K115" s="103" t="s">
        <v>654</v>
      </c>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9">
    <mergeCell ref="G73:H73"/>
    <mergeCell ref="F68:G68"/>
    <mergeCell ref="C72:E72"/>
    <mergeCell ref="G72:H72"/>
    <mergeCell ref="C52:E52"/>
    <mergeCell ref="C53:E53"/>
    <mergeCell ref="C54:E54"/>
    <mergeCell ref="C55:E55"/>
    <mergeCell ref="C56:E56"/>
    <mergeCell ref="C57:E57"/>
    <mergeCell ref="C63:E63"/>
    <mergeCell ref="C58:E58"/>
    <mergeCell ref="C62:E62"/>
    <mergeCell ref="C61:E61"/>
    <mergeCell ref="C60:E60"/>
    <mergeCell ref="A6:M6"/>
    <mergeCell ref="C3:E3"/>
    <mergeCell ref="C46:E46"/>
    <mergeCell ref="C47:E47"/>
    <mergeCell ref="C48:E48"/>
    <mergeCell ref="J35:J36"/>
    <mergeCell ref="F35:F36"/>
    <mergeCell ref="L35:L36"/>
    <mergeCell ref="C49:E49"/>
    <mergeCell ref="C50:E50"/>
    <mergeCell ref="C45:E45"/>
    <mergeCell ref="B10:B11"/>
    <mergeCell ref="C10:C11"/>
    <mergeCell ref="E10:E11"/>
    <mergeCell ref="C41:E41"/>
    <mergeCell ref="C44:E44"/>
    <mergeCell ref="C40:E40"/>
    <mergeCell ref="C43:E43"/>
    <mergeCell ref="K2:L2"/>
    <mergeCell ref="G2:H2"/>
    <mergeCell ref="C4:E4"/>
    <mergeCell ref="C51:E51"/>
    <mergeCell ref="C59:E59"/>
    <mergeCell ref="G35:G36"/>
    <mergeCell ref="H35:I35"/>
    <mergeCell ref="C37:E37"/>
    <mergeCell ref="C38:E38"/>
    <mergeCell ref="C39:E39"/>
    <mergeCell ref="B7:L7"/>
    <mergeCell ref="F10:F11"/>
    <mergeCell ref="G10:H10"/>
    <mergeCell ref="K10:K11"/>
    <mergeCell ref="L10:L11"/>
    <mergeCell ref="I10:J10"/>
  </mergeCells>
  <dataValidations count="9">
    <dataValidation type="list" allowBlank="1" showInputMessage="1" showErrorMessage="1" sqref="B64" xr:uid="{00000000-0002-0000-1000-000000000000}">
      <formula1>$C$113:$C$212</formula1>
    </dataValidation>
    <dataValidation type="list" allowBlank="1" showInputMessage="1" showErrorMessage="1" sqref="B32" xr:uid="{00000000-0002-0000-1000-000001000000}">
      <formula1>$B$113:$B$212</formula1>
    </dataValidation>
    <dataValidation type="list" allowBlank="1" showInputMessage="1" showErrorMessage="1" sqref="B37:B62" xr:uid="{00000000-0002-0000-1000-000002000000}">
      <formula1>MaterialList</formula1>
    </dataValidation>
    <dataValidation type="list" allowBlank="1" showInputMessage="1" showErrorMessage="1" sqref="C72:E72" xr:uid="{00000000-0002-0000-1000-000003000000}">
      <formula1>RealEstateList</formula1>
    </dataValidation>
    <dataValidation type="list" allowBlank="1" showInputMessage="1" showErrorMessage="1" sqref="B12:B31" xr:uid="{00000000-0002-0000-1000-000004000000}">
      <formula1>OperationList</formula1>
    </dataValidation>
    <dataValidation type="list" allowBlank="1" showInputMessage="1" showErrorMessage="1" sqref="D12:D32" xr:uid="{00000000-0002-0000-1000-000005000000}">
      <formula1>#REF!</formula1>
    </dataValidation>
    <dataValidation type="list" allowBlank="1" showInputMessage="1" showErrorMessage="1" sqref="K2" xr:uid="{00000000-0002-0000-1000-000006000000}">
      <formula1>watersource</formula1>
    </dataValidation>
    <dataValidation type="list" allowBlank="1" showInputMessage="1" showErrorMessage="1" sqref="C3" xr:uid="{00000000-0002-0000-1000-000007000000}">
      <formula1>TillageSystem</formula1>
    </dataValidation>
    <dataValidation type="list" allowBlank="1" showInputMessage="1" showErrorMessage="1" sqref="K4" xr:uid="{00000000-0002-0000-1000-000008000000}">
      <formula1>$K$113:$K$115</formula1>
    </dataValidation>
  </dataValidations>
  <pageMargins left="0.7" right="0.7" top="0.75" bottom="0.75" header="0.3" footer="0.3"/>
  <pageSetup scale="71" orientation="portrait" r:id="rId1"/>
  <ignoredErrors>
    <ignoredError sqref="H38"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1">
    <pageSetUpPr fitToPage="1"/>
  </sheetPr>
  <dimension ref="A2:M257"/>
  <sheetViews>
    <sheetView topLeftCell="A17" zoomScaleNormal="100" workbookViewId="0">
      <selection activeCell="H41" sqref="H4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682</v>
      </c>
      <c r="H2" s="392"/>
      <c r="J2" s="128" t="s">
        <v>649</v>
      </c>
      <c r="K2" s="401" t="s">
        <v>70</v>
      </c>
      <c r="L2" s="401"/>
    </row>
    <row r="3" spans="1:13" hidden="1" x14ac:dyDescent="0.2">
      <c r="B3" s="103" t="s">
        <v>38</v>
      </c>
      <c r="C3" s="391"/>
      <c r="D3" s="391"/>
      <c r="E3" s="391"/>
      <c r="G3" s="128" t="s">
        <v>650</v>
      </c>
      <c r="H3" s="187" t="s">
        <v>703</v>
      </c>
      <c r="J3" s="128" t="s">
        <v>651</v>
      </c>
      <c r="K3" s="187">
        <v>16</v>
      </c>
    </row>
    <row r="4" spans="1:13" hidden="1" x14ac:dyDescent="0.2">
      <c r="B4" s="103" t="s">
        <v>652</v>
      </c>
      <c r="C4" s="392" t="s">
        <v>702</v>
      </c>
      <c r="D4" s="392"/>
      <c r="E4" s="392"/>
      <c r="G4" s="103">
        <f>IFERROR(VALUE(LEFT($H$3,FIND(" ",$H$3))),"")</f>
        <v>6.8</v>
      </c>
      <c r="H4" s="103" t="str">
        <f>IFERROR(RIGHT(H3,LEN(H3)-LEN(G4)-1),"")</f>
        <v>ton</v>
      </c>
      <c r="J4" s="128" t="s">
        <v>653</v>
      </c>
      <c r="K4" s="188"/>
    </row>
    <row r="5" spans="1:13" ht="15.75" hidden="1" customHeight="1" x14ac:dyDescent="0.2">
      <c r="B5" s="103" t="s">
        <v>655</v>
      </c>
      <c r="C5" s="103" t="str">
        <f ca="1">MID(CELL("filename",C5),FIND("]",CELL("filename",C5))+1,255)</f>
        <v>11-Alfalfa</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11-Alfalfa, Roundup Ready®, Large and Small Square Bales, 6.8 ton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11-Alfalfa, Roundup Ready®, Large and Small Square Bales, 6.8 ton Yield</v>
      </c>
      <c r="C7" s="393"/>
      <c r="D7" s="393"/>
      <c r="E7" s="393"/>
      <c r="F7" s="393"/>
      <c r="G7" s="393"/>
      <c r="H7" s="393"/>
      <c r="I7" s="393"/>
      <c r="J7" s="393"/>
      <c r="K7" s="393"/>
      <c r="L7" s="393"/>
      <c r="M7" s="186"/>
    </row>
    <row r="8" spans="1:13" ht="15.75" x14ac:dyDescent="0.25">
      <c r="B8" s="189" t="str">
        <f>IF(K2="","",K2)&amp;IF(LEFT(K2,5)="Pivot",", 800 GPM 35 PSI","") &amp; IF(K3="","",", "&amp; K3&amp;" "&amp;J3)</f>
        <v>Pivot Irrigated Electric, 800 GPM 35 PSI, 16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566</v>
      </c>
      <c r="C14" s="174">
        <v>1</v>
      </c>
      <c r="D14" s="174"/>
      <c r="E14" s="109">
        <f>IF(B14=0,"",IF(C14&gt;9999,"",ROUND('General Variables'!$B$4*VLOOKUP(B14,Operations!$A$2:$U$79,10,FALSE)/VLOOKUP(B14,Operations!$A$2:$U$79,9,FALSE)*C14,2)))</f>
        <v>2.25</v>
      </c>
      <c r="F14" s="109">
        <f>IF(B14=0,0,IF(C14&gt;9999,"",ROUND(IF(VLOOKUP(B14,Operations!$A$2:$U$79,12,FALSE)=0,VLOOKUP(B14,Operations!$A$2:$U$79,13,FALSE)*'General Variables'!$B$8,VLOOKUP(B14,Operations!$A$2:$U$79,12,FALSE)*'General Variables'!$B$7)/VLOOKUP(B14,Operations!$A$2:$U$79,9,FALSE)*C14,2)))</f>
        <v>0.56000000000000005</v>
      </c>
      <c r="G14" s="109">
        <f>IF(B14=0,0,IF(C14&gt;9999,"",ROUND(VLOOKUP(VLOOKUP(B14,Operations!$A$2:$U$79,11,FALSE),PowerUnits[],10,FALSE)/VLOOKUP(B14,Operations!$A$2:$U$79,9,FALSE)*C14,2)))</f>
        <v>0.85</v>
      </c>
      <c r="H14" s="109">
        <f>IF(B14=0,"",IF(C14&gt;9999,"",ROUND(VLOOKUP($B14,Operations!$A$2:$U$79,15,FALSE)*C14,2)))</f>
        <v>0.25</v>
      </c>
      <c r="I14" s="109">
        <f>IF(B14=0,0,IF(C14&gt;9999,"",ROUND(VLOOKUP(VLOOKUP(B14,Operations!$A$2:$U$79,11,FALSE),PowerUnits[],16,FALSE)/VLOOKUP(B14,Operations!$A$2:$U$79,9,FALSE)*C14,2)))</f>
        <v>3.12</v>
      </c>
      <c r="J14" s="109">
        <f>IF(B14=0,"",IF(C14&gt;9999,"",ROUND(VLOOKUP($B14,Operations!$A$2:$U$79,21,FALSE)*$C14,2)))</f>
        <v>0.53</v>
      </c>
      <c r="K14" s="109">
        <f t="shared" si="0"/>
        <v>7.56</v>
      </c>
      <c r="L14" s="110"/>
    </row>
    <row r="15" spans="1:13" x14ac:dyDescent="0.2">
      <c r="A15" s="170">
        <v>4</v>
      </c>
      <c r="B15" s="213" t="s">
        <v>485</v>
      </c>
      <c r="C15" s="214">
        <v>4</v>
      </c>
      <c r="D15" s="214"/>
      <c r="E15" s="215">
        <f>IF(B15=0,"",IF(C15&gt;9999,"",ROUND('General Variables'!$B$4*VLOOKUP(B15,Operations!$A$2:$U$79,10,FALSE)/VLOOKUP(B15,Operations!$A$2:$U$79,9,FALSE)*C15,2)))</f>
        <v>5.94</v>
      </c>
      <c r="F15" s="215">
        <f>IF(B15=0,0,IF(C15&gt;9999,"",ROUND(IF(VLOOKUP(B15,Operations!$A$2:$U$79,12,FALSE)=0,VLOOKUP(B15,Operations!$A$2:$U$79,13,FALSE)*'General Variables'!$B$8,VLOOKUP(B15,Operations!$A$2:$U$79,12,FALSE)*'General Variables'!$B$7)/VLOOKUP(B15,Operations!$A$2:$U$79,9,FALSE)*C15,2)))</f>
        <v>1.35</v>
      </c>
      <c r="G15" s="215">
        <f>IF(B15=0,0,IF(C15&gt;9999,"",ROUND(VLOOKUP(VLOOKUP(B15,Operations!$A$2:$U$79,11,FALSE),PowerUnits[],10,FALSE)/VLOOKUP(B15,Operations!$A$2:$U$79,9,FALSE)*C15,2)))</f>
        <v>0.17</v>
      </c>
      <c r="H15" s="215">
        <f>IF(B15=0,"",IF(C15&gt;9999,"",ROUND(VLOOKUP($B15,Operations!$A$2:$U$79,15,FALSE)*C15,2)))</f>
        <v>1.6</v>
      </c>
      <c r="I15" s="215">
        <f>IF(B15=0,0,IF(C15&gt;9999,"",ROUND(VLOOKUP(VLOOKUP(B15,Operations!$A$2:$U$79,11,FALSE),PowerUnits[],16,FALSE)/VLOOKUP(B15,Operations!$A$2:$U$79,9,FALSE)*C15,2)))</f>
        <v>8.66</v>
      </c>
      <c r="J15" s="215">
        <f>IF(B15=0,"",IF(C15&gt;9999,"",ROUND(VLOOKUP($B15,Operations!$A$2:$U$79,21,FALSE)*$C15,2)))</f>
        <v>10.79</v>
      </c>
      <c r="K15" s="215">
        <f t="shared" si="0"/>
        <v>28.51</v>
      </c>
      <c r="L15" s="216"/>
    </row>
    <row r="16" spans="1:13" x14ac:dyDescent="0.2">
      <c r="A16" s="170">
        <v>5</v>
      </c>
      <c r="B16" s="180" t="s">
        <v>396</v>
      </c>
      <c r="C16" s="293">
        <f>G4*2/3</f>
        <v>4.5333333333333332</v>
      </c>
      <c r="D16" s="174" t="s">
        <v>187</v>
      </c>
      <c r="E16" s="109">
        <f>IF(B16=0,"",IF(C16&gt;9999,"",ROUND('General Variables'!$B$4*VLOOKUP(B16,Operations!$A$2:$U$79,10,FALSE)/VLOOKUP(B16,Operations!$A$2:$U$79,9,FALSE)*C16,2)))</f>
        <v>7.92</v>
      </c>
      <c r="F16" s="109">
        <f>IF(B16=0,0,IF(C16&gt;9999,"",ROUND(IF(VLOOKUP(B16,Operations!$A$2:$U$79,12,FALSE)=0,VLOOKUP(B16,Operations!$A$2:$U$79,13,FALSE)*'General Variables'!$B$8,VLOOKUP(B16,Operations!$A$2:$U$79,12,FALSE)*'General Variables'!$B$7)/VLOOKUP(B16,Operations!$A$2:$U$79,9,FALSE)*C16,2)))</f>
        <v>5.27</v>
      </c>
      <c r="G16" s="109">
        <f>IF(B16=0,0,IF(C16&gt;9999,"",ROUND(VLOOKUP(VLOOKUP(B16,Operations!$A$2:$U$79,11,FALSE),PowerUnits[],10,FALSE)/VLOOKUP(B16,Operations!$A$2:$U$79,9,FALSE)*C16,2)))</f>
        <v>0.9</v>
      </c>
      <c r="H16" s="109">
        <f>IF(B16=0,"",IF(C16&gt;9999,"",ROUND(VLOOKUP($B16,Operations!$A$2:$U$79,15,FALSE)*C16,2)))</f>
        <v>3.31</v>
      </c>
      <c r="I16" s="109">
        <f>IF(B16=0,0,IF(C16&gt;9999,"",ROUND(VLOOKUP(VLOOKUP(B16,Operations!$A$2:$U$79,11,FALSE),PowerUnits[],16,FALSE)/VLOOKUP(B16,Operations!$A$2:$U$79,9,FALSE)*C16,2)))</f>
        <v>24.61</v>
      </c>
      <c r="J16" s="109">
        <f>IF(B16=0,"",IF(C16&gt;9999,"",ROUND(VLOOKUP($B16,Operations!$A$2:$U$79,21,FALSE)*$C16,2)))</f>
        <v>35.549999999999997</v>
      </c>
      <c r="K16" s="109">
        <f>IF(C16&gt;9999,"",ROUND(SUM(E16:J16),2))</f>
        <v>77.56</v>
      </c>
      <c r="L16" s="110"/>
    </row>
    <row r="17" spans="1:12" x14ac:dyDescent="0.2">
      <c r="A17" s="170">
        <v>6</v>
      </c>
      <c r="B17" s="180" t="s">
        <v>508</v>
      </c>
      <c r="C17" s="293" t="s">
        <v>184</v>
      </c>
      <c r="D17" s="174" t="s">
        <v>187</v>
      </c>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IF(C17&gt;9999,"",ROUND(SUM(E17:J17),2))</f>
        <v/>
      </c>
      <c r="L17" s="110"/>
    </row>
    <row r="18" spans="1:12" x14ac:dyDescent="0.2">
      <c r="A18" s="170">
        <v>7</v>
      </c>
      <c r="B18" s="180" t="s">
        <v>403</v>
      </c>
      <c r="C18" s="293">
        <f>G4/3</f>
        <v>2.2666666666666666</v>
      </c>
      <c r="D18" s="174" t="s">
        <v>187</v>
      </c>
      <c r="E18" s="109">
        <f>IF(B18=0,"",IF(C18&gt;9999,"",ROUND('General Variables'!$B$4*VLOOKUP(B18,Operations!$A$2:$U$79,10,FALSE)/VLOOKUP(B18,Operations!$A$2:$U$79,9,FALSE)*C18,2)))</f>
        <v>16.829999999999998</v>
      </c>
      <c r="F18" s="109">
        <f>IF(B18=0,0,IF(C18&gt;9999,"",ROUND(IF(VLOOKUP(B18,Operations!$A$2:$U$79,12,FALSE)=0,VLOOKUP(B18,Operations!$A$2:$U$79,13,FALSE)*'General Variables'!$B$8,VLOOKUP(B18,Operations!$A$2:$U$79,12,FALSE)*'General Variables'!$B$7)/VLOOKUP(B18,Operations!$A$2:$U$79,9,FALSE)*C18,2)))</f>
        <v>6.34</v>
      </c>
      <c r="G18" s="109">
        <f>IF(B18=0,0,IF(C18&gt;9999,"",ROUND(VLOOKUP(VLOOKUP(B18,Operations!$A$2:$U$79,11,FALSE),PowerUnits[],10,FALSE)/VLOOKUP(B18,Operations!$A$2:$U$79,9,FALSE)*C18,2)))</f>
        <v>0.48</v>
      </c>
      <c r="H18" s="109">
        <f>IF(B18=0,"",IF(C18&gt;9999,"",ROUND(VLOOKUP($B18,Operations!$A$2:$U$79,15,FALSE)*C18,2)))</f>
        <v>17.57</v>
      </c>
      <c r="I18" s="109">
        <f>IF(B18=0,0,IF(C18&gt;9999,"",ROUND(VLOOKUP(VLOOKUP(B18,Operations!$A$2:$U$79,11,FALSE),PowerUnits[],16,FALSE)/VLOOKUP(B18,Operations!$A$2:$U$79,9,FALSE)*C18,2)))</f>
        <v>24.53</v>
      </c>
      <c r="J18" s="109">
        <f>IF(B18=0,"",IF(C18&gt;9999,"",ROUND(VLOOKUP($B18,Operations!$A$2:$U$79,21,FALSE)*$C18,2)))</f>
        <v>4.0599999999999996</v>
      </c>
      <c r="K18" s="109">
        <f>IF(C18&gt;9999,"",ROUND(SUM(E18:J18),2))</f>
        <v>69.81</v>
      </c>
      <c r="L18" s="110"/>
    </row>
    <row r="19" spans="1:12" x14ac:dyDescent="0.2">
      <c r="A19" s="170">
        <v>8</v>
      </c>
      <c r="B19" s="213" t="s">
        <v>511</v>
      </c>
      <c r="C19" s="294">
        <f>G4/3</f>
        <v>2.2666666666666666</v>
      </c>
      <c r="D19" s="214" t="s">
        <v>187</v>
      </c>
      <c r="E19" s="219">
        <f>IF(B19=0,"",IF(C19&gt;9999,"",ROUND('General Variables'!$B$4*VLOOKUP(B19,Operations!$A$2:$U$79,10,FALSE)/VLOOKUP(B19,Operations!$A$2:$U$79,9,FALSE)*C19,2)))</f>
        <v>6.12</v>
      </c>
      <c r="F19" s="219">
        <f>IF(B19=0,0,IF(C19&gt;9999,"",ROUND(IF(VLOOKUP(B19,Operations!$A$2:$U$79,12,FALSE)=0,VLOOKUP(B19,Operations!$A$2:$U$79,13,FALSE)*'General Variables'!$B$8,VLOOKUP(B19,Operations!$A$2:$U$79,12,FALSE)*'General Variables'!$B$7)/VLOOKUP(B19,Operations!$A$2:$U$79,9,FALSE)*C19,2)))</f>
        <v>1.45</v>
      </c>
      <c r="G19" s="219">
        <f>IF(B19=0,0,IF(C19&gt;9999,"",ROUND(VLOOKUP(VLOOKUP(B19,Operations!$A$2:$U$79,11,FALSE),PowerUnits[],10,FALSE)/VLOOKUP(B19,Operations!$A$2:$U$79,9,FALSE)*C19,2)))</f>
        <v>0.19</v>
      </c>
      <c r="H19" s="219">
        <f>IF(B19=0,"",IF(C19&gt;9999,"",ROUND(VLOOKUP($B19,Operations!$A$2:$U$79,15,FALSE)*C19,2)))</f>
        <v>0.7</v>
      </c>
      <c r="I19" s="219">
        <f>IF(B19=0,0,IF(C19&gt;9999,"",ROUND(VLOOKUP(VLOOKUP(B19,Operations!$A$2:$U$79,11,FALSE),PowerUnits[],16,FALSE)/VLOOKUP(B19,Operations!$A$2:$U$79,9,FALSE)*C19,2)))</f>
        <v>9.81</v>
      </c>
      <c r="J19" s="219">
        <f>IF(B19=0,"",IF(C19&gt;9999,"",ROUND(VLOOKUP($B19,Operations!$A$2:$U$79,21,FALSE)*$C19,2)))</f>
        <v>1.01</v>
      </c>
      <c r="K19" s="219">
        <f>IF(C19&gt;9999,"",ROUND(SUM(E19:J19),2))</f>
        <v>19.28</v>
      </c>
      <c r="L19" s="216"/>
    </row>
    <row r="20" spans="1:12" x14ac:dyDescent="0.2">
      <c r="A20" s="170">
        <v>9</v>
      </c>
      <c r="B20" s="180" t="s">
        <v>524</v>
      </c>
      <c r="C20" s="174">
        <f>$K$3</f>
        <v>16</v>
      </c>
      <c r="D20" s="112" t="s">
        <v>693</v>
      </c>
      <c r="E20" s="109">
        <f>IF(B20=0,"",IF(C20&gt;9999,"",ROUND('General Variables'!$B$4*VLOOKUP(B20,Operations!$A$2:$U$79,10,FALSE)/VLOOKUP(B20,Operations!$A$2:$U$79,9,FALSE)*C20,2)))</f>
        <v>15</v>
      </c>
      <c r="F20" s="109">
        <f>IF(B20=0,0,IF(C20&gt;9999,"",ROUND(IF(VLOOKUP(B20,Operations!$A$2:$U$79,12,FALSE)=0,VLOOKUP(B20,Operations!$A$2:$U$79,13,FALSE)*'General Variables'!$B$8,VLOOKUP(B20,Operations!$A$2:$U$79,12,FALSE)*'General Variables'!$B$7)/VLOOKUP(B20,Operations!$A$2:$U$79,9,FALSE)*C20,2)))</f>
        <v>33.979999999999997</v>
      </c>
      <c r="G20" s="109">
        <f>IF(B20=0,0,IF(C20&gt;9999,"",ROUND(VLOOKUP(VLOOKUP(B20,Operations!$A$2:$U$79,11,FALSE),PowerUnits[],10,FALSE)/VLOOKUP(B20,Operations!$A$2:$U$79,9,FALSE)*C20,2)))</f>
        <v>8.92</v>
      </c>
      <c r="H20" s="109">
        <v>8</v>
      </c>
      <c r="I20" s="109">
        <f>IF(B20=0,0,IF(C20&gt;9999,"",ROUND(VLOOKUP(VLOOKUP(B20,Operations!$A$2:$U$79,11,FALSE),PowerUnits[],16,FALSE)/VLOOKUP(B20,Operations!$A$2:$U$79,9,FALSE)*C20,2)))</f>
        <v>15.62</v>
      </c>
      <c r="J20" s="109">
        <f>IF(B20=0,"",IF(C20&gt;9999,"",ROUND(VLOOKUP($B20,Operations!$A$2:$U$79,21,FALSE)*$C20,2)))</f>
        <v>23.29</v>
      </c>
      <c r="K20" s="109">
        <f>IF(C20&gt;9999,"",ROUND(SUM(E20:J20),2))</f>
        <v>104.81</v>
      </c>
      <c r="L20" s="110"/>
    </row>
    <row r="21" spans="1:12" x14ac:dyDescent="0.2">
      <c r="A21" s="170">
        <v>10</v>
      </c>
      <c r="B21" s="180" t="s">
        <v>551</v>
      </c>
      <c r="C21" s="174">
        <v>1</v>
      </c>
      <c r="D21" s="174"/>
      <c r="E21" s="109">
        <f>IF(B21=0,"",IF(C21&gt;9999,"",ROUND('General Variables'!$B$4*VLOOKUP(B21,Operations!$A$2:$U$79,10,FALSE)/VLOOKUP(B21,Operations!$A$2:$U$79,9,FALSE)*C21,2)))</f>
        <v>1.02</v>
      </c>
      <c r="F21" s="109">
        <f>IF(B21=0,0,IF(C21&gt;9999,"",ROUND(IF(VLOOKUP(B21,Operations!$A$2:$U$79,12,FALSE)=0,VLOOKUP(B21,Operations!$A$2:$U$79,13,FALSE)*'General Variables'!$B$8,VLOOKUP(B21,Operations!$A$2:$U$79,12,FALSE)*'General Variables'!$B$7)/VLOOKUP(B21,Operations!$A$2:$U$79,9,FALSE)*C21,2)))</f>
        <v>0.26</v>
      </c>
      <c r="G21" s="109">
        <f>IF(B21=0,0,IF(C21&gt;9999,"",ROUND(VLOOKUP(VLOOKUP(B21,Operations!$A$2:$U$79,11,FALSE),PowerUnits[],10,FALSE)/VLOOKUP(B21,Operations!$A$2:$U$79,9,FALSE)*C21,2)))</f>
        <v>0.03</v>
      </c>
      <c r="H21" s="109">
        <f>IF(B21=0,"",IF(C21&gt;9999,"",ROUND(VLOOKUP($B21,Operations!$A$2:$U$79,15,FALSE)*C21,2)))</f>
        <v>1.1100000000000001</v>
      </c>
      <c r="I21" s="109">
        <f>IF(B21=0,0,IF(C21&gt;9999,"",ROUND(VLOOKUP(VLOOKUP(B21,Operations!$A$2:$U$79,11,FALSE),PowerUnits[],16,FALSE)/VLOOKUP(B21,Operations!$A$2:$U$79,9,FALSE)*C21,2)))</f>
        <v>1.31</v>
      </c>
      <c r="J21" s="109">
        <f>IF(B21=0,"",IF(C21&gt;9999,"",ROUND(VLOOKUP($B21,Operations!$A$2:$U$79,21,FALSE)*$C21,2)))</f>
        <v>2.02</v>
      </c>
      <c r="K21" s="109">
        <f t="shared" si="0"/>
        <v>5.75</v>
      </c>
      <c r="L21" s="110"/>
    </row>
    <row r="22" spans="1:12" x14ac:dyDescent="0.2">
      <c r="A22" s="170">
        <v>11</v>
      </c>
      <c r="B22" s="180" t="s">
        <v>552</v>
      </c>
      <c r="C22" s="174">
        <v>0.2</v>
      </c>
      <c r="D22" s="174"/>
      <c r="E22" s="109">
        <f>IF(B22=0,"",IF(C22&gt;9999,"",ROUND('General Variables'!$B$4*VLOOKUP(B22,Operations!$A$2:$U$79,10,FALSE)/VLOOKUP(B22,Operations!$A$2:$U$79,9,FALSE)*C22,2)))</f>
        <v>0.2</v>
      </c>
      <c r="F22" s="109">
        <f>IF(B22=0,0,IF(C22&gt;9999,"",ROUND(IF(VLOOKUP(B22,Operations!$A$2:$U$79,12,FALSE)=0,VLOOKUP(B22,Operations!$A$2:$U$79,13,FALSE)*'General Variables'!$B$8,VLOOKUP(B22,Operations!$A$2:$U$79,12,FALSE)*'General Variables'!$B$7)/VLOOKUP(B22,Operations!$A$2:$U$79,9,FALSE)*C22,2)))</f>
        <v>0.05</v>
      </c>
      <c r="G22" s="109">
        <f>IF(B22=0,0,IF(C22&gt;9999,"",ROUND(VLOOKUP(VLOOKUP(B22,Operations!$A$2:$U$79,11,FALSE),PowerUnits[],10,FALSE)/VLOOKUP(B22,Operations!$A$2:$U$79,9,FALSE)*C22,2)))</f>
        <v>0.01</v>
      </c>
      <c r="H22" s="109">
        <f>IF(B22=0,"",IF(C22&gt;9999,"",ROUND(VLOOKUP($B22,Operations!$A$2:$U$79,15,FALSE)*C22,2)))</f>
        <v>0.22</v>
      </c>
      <c r="I22" s="109">
        <f>IF(B22=0,0,IF(C22&gt;9999,"",ROUND(VLOOKUP(VLOOKUP(B22,Operations!$A$2:$U$79,11,FALSE),PowerUnits[],16,FALSE)/VLOOKUP(B22,Operations!$A$2:$U$79,9,FALSE)*C22,2)))</f>
        <v>0.26</v>
      </c>
      <c r="J22" s="109">
        <f>IF(B22=0,"",IF(C22&gt;9999,"",ROUND(VLOOKUP($B22,Operations!$A$2:$U$79,21,FALSE)*$C22,2)))</f>
        <v>0.4</v>
      </c>
      <c r="K22" s="109">
        <f t="shared" si="0"/>
        <v>1.1399999999999999</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68.209999999999994</v>
      </c>
      <c r="F33" s="109">
        <f t="shared" ref="F33:K33" si="1">SUM(F12:F31)</f>
        <v>56.61999999999999</v>
      </c>
      <c r="G33" s="109">
        <f t="shared" si="1"/>
        <v>15.690000000000001</v>
      </c>
      <c r="H33" s="109">
        <f t="shared" si="1"/>
        <v>36.83</v>
      </c>
      <c r="I33" s="109">
        <f t="shared" si="1"/>
        <v>106.30000000000003</v>
      </c>
      <c r="J33" s="109">
        <f t="shared" si="1"/>
        <v>100.59000000000002</v>
      </c>
      <c r="K33" s="109">
        <f t="shared" si="1"/>
        <v>384.24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204</v>
      </c>
      <c r="C37" s="388" t="str">
        <f>IF(B37=0,"",VLOOKUP($B37,Table2[],2,FALSE))</f>
        <v>Fertilizer</v>
      </c>
      <c r="D37" s="388"/>
      <c r="E37" s="388"/>
      <c r="F37" s="174">
        <v>1</v>
      </c>
      <c r="G37" s="175">
        <v>1</v>
      </c>
      <c r="H37" s="176">
        <v>80</v>
      </c>
      <c r="I37" s="120" t="str">
        <f>IF($B37=0,"",VLOOKUP($B37,Table2[],5,FALSE))</f>
        <v>pound</v>
      </c>
      <c r="J37" s="109">
        <f>IF($B37=0,"",VLOOKUP($B37,Table2[],7,FALSE))</f>
        <v>0.4</v>
      </c>
      <c r="K37" s="109">
        <f>IF(B37=0,0,ROUND(G37*H37*J37,2))</f>
        <v>32</v>
      </c>
      <c r="L37" s="110"/>
    </row>
    <row r="38" spans="1:12" x14ac:dyDescent="0.2">
      <c r="A38" s="105"/>
      <c r="B38" s="180" t="s">
        <v>301</v>
      </c>
      <c r="C38" s="388" t="str">
        <f>IF(B38=0,"",VLOOKUP($B38,Table2[],2,FALSE))</f>
        <v>Other</v>
      </c>
      <c r="D38" s="388"/>
      <c r="E38" s="388"/>
      <c r="F38" s="174">
        <v>5</v>
      </c>
      <c r="G38" s="175">
        <v>1</v>
      </c>
      <c r="H38" s="184">
        <f>C16</f>
        <v>4.5333333333333332</v>
      </c>
      <c r="I38" s="120" t="str">
        <f>IF($B38=0,"",VLOOKUP($B38,Table2[],5,FALSE))</f>
        <v>ton</v>
      </c>
      <c r="J38" s="109">
        <f>IF($B38=0,"",VLOOKUP($B38,Table2[],7,FALSE))</f>
        <v>1.9823788546255507</v>
      </c>
      <c r="K38" s="109">
        <f t="shared" ref="K38:K62" si="2">IF(B38=0,0,ROUND(G38*H38*J38,2))</f>
        <v>8.99</v>
      </c>
      <c r="L38" s="110"/>
    </row>
    <row r="39" spans="1:12" x14ac:dyDescent="0.2">
      <c r="A39" s="105"/>
      <c r="B39" s="180" t="s">
        <v>199</v>
      </c>
      <c r="C39" s="388" t="str">
        <f>IF(B39=0,"",VLOOKUP($B39,Table2[],2,FALSE))</f>
        <v>Custom</v>
      </c>
      <c r="D39" s="388"/>
      <c r="E39" s="388"/>
      <c r="F39" s="174">
        <v>6</v>
      </c>
      <c r="G39" s="175">
        <v>1</v>
      </c>
      <c r="H39" s="184">
        <f>H38</f>
        <v>4.5333333333333332</v>
      </c>
      <c r="I39" s="120" t="str">
        <f>IF($B39=0,"",VLOOKUP($B39,Table2[],5,FALSE))</f>
        <v>ton</v>
      </c>
      <c r="J39" s="109">
        <f>IF($B39=0,"",VLOOKUP($B39,Table2[],7,FALSE))</f>
        <v>3.6710719530102787</v>
      </c>
      <c r="K39" s="109">
        <f t="shared" si="2"/>
        <v>16.64</v>
      </c>
      <c r="L39" s="110"/>
    </row>
    <row r="40" spans="1:12" x14ac:dyDescent="0.2">
      <c r="A40" s="143"/>
      <c r="B40" s="213" t="s">
        <v>302</v>
      </c>
      <c r="C40" s="387" t="str">
        <f>IF(B40=0,"",VLOOKUP($B40,Table2[],2,FALSE))</f>
        <v>Other</v>
      </c>
      <c r="D40" s="387"/>
      <c r="E40" s="387"/>
      <c r="F40" s="214">
        <v>7</v>
      </c>
      <c r="G40" s="221">
        <v>1</v>
      </c>
      <c r="H40" s="296">
        <v>2.27</v>
      </c>
      <c r="I40" s="223" t="str">
        <f>IF($B40=0,"",VLOOKUP($B40,Table2[],5,FALSE))</f>
        <v>ton</v>
      </c>
      <c r="J40" s="215">
        <f>IF($B40=0,"",VLOOKUP($B40,Table2[],7,FALSE))</f>
        <v>15</v>
      </c>
      <c r="K40" s="215">
        <f t="shared" si="2"/>
        <v>34.049999999999997</v>
      </c>
      <c r="L40" s="216"/>
    </row>
    <row r="41" spans="1:12" x14ac:dyDescent="0.2">
      <c r="A41" s="105"/>
      <c r="B41" s="180" t="s">
        <v>291</v>
      </c>
      <c r="C41" s="388" t="str">
        <f>IF(B41=0,"",VLOOKUP($B41,Table2[],2,FALSE))</f>
        <v>Other</v>
      </c>
      <c r="D41" s="388"/>
      <c r="E41" s="388"/>
      <c r="F41" s="174">
        <v>9</v>
      </c>
      <c r="G41" s="175">
        <v>1</v>
      </c>
      <c r="H41" s="176">
        <v>1</v>
      </c>
      <c r="I41" s="120" t="str">
        <f>IF($B41=0,"",VLOOKUP($B41,Table2[],5,FALSE))</f>
        <v>acre</v>
      </c>
      <c r="J41" s="109">
        <f>IF($B41=0,"",VLOOKUP($B41,Table2[],7,FALSE))</f>
        <v>52</v>
      </c>
      <c r="K41" s="109">
        <f t="shared" si="2"/>
        <v>52</v>
      </c>
      <c r="L41" s="110"/>
    </row>
    <row r="42" spans="1:12" x14ac:dyDescent="0.2">
      <c r="A42" s="105"/>
      <c r="B42" s="180" t="s">
        <v>245</v>
      </c>
      <c r="C42" s="388" t="s">
        <v>228</v>
      </c>
      <c r="D42" s="388"/>
      <c r="E42" s="388"/>
      <c r="F42" s="174">
        <v>10</v>
      </c>
      <c r="G42" s="175">
        <v>1</v>
      </c>
      <c r="H42" s="176">
        <v>1</v>
      </c>
      <c r="I42" s="120" t="s">
        <v>179</v>
      </c>
      <c r="J42" s="109">
        <f>IF($B42=0,"",VLOOKUP($B42,Table2[],7,FALSE))</f>
        <v>6.625</v>
      </c>
      <c r="K42" s="109">
        <f t="shared" ref="K42" si="3">IF(B42=0,0,ROUND(G42*H42*J42,2))</f>
        <v>6.63</v>
      </c>
      <c r="L42" s="110"/>
    </row>
    <row r="43" spans="1:12" x14ac:dyDescent="0.2">
      <c r="A43" s="105"/>
      <c r="B43" s="180" t="s">
        <v>889</v>
      </c>
      <c r="C43" s="388" t="str">
        <f>IF(B43=0,"",VLOOKUP($B43,Table2[],2,FALSE))</f>
        <v>Herbicide</v>
      </c>
      <c r="D43" s="388"/>
      <c r="E43" s="388"/>
      <c r="F43" s="174">
        <v>10</v>
      </c>
      <c r="G43" s="175">
        <v>1</v>
      </c>
      <c r="H43" s="176">
        <v>32</v>
      </c>
      <c r="I43" s="120" t="str">
        <f>IF($B43=0,"",VLOOKUP($B43,Table2[],5,FALSE))</f>
        <v>ounce</v>
      </c>
      <c r="J43" s="109">
        <f>IF($B43=0,"",VLOOKUP($B43,Table2[],7,FALSE))</f>
        <v>0.1953125</v>
      </c>
      <c r="K43" s="109">
        <f t="shared" si="2"/>
        <v>6.25</v>
      </c>
      <c r="L43" s="110"/>
    </row>
    <row r="44" spans="1:12" x14ac:dyDescent="0.2">
      <c r="A44" s="105"/>
      <c r="B44" s="213" t="s">
        <v>170</v>
      </c>
      <c r="C44" s="387" t="str">
        <f>IF(B44=0,"",VLOOKUP($B44,Table2[],2,FALSE))</f>
        <v>Additive</v>
      </c>
      <c r="D44" s="387"/>
      <c r="E44" s="387"/>
      <c r="F44" s="214">
        <v>10</v>
      </c>
      <c r="G44" s="221">
        <v>1</v>
      </c>
      <c r="H44" s="222">
        <v>1.7</v>
      </c>
      <c r="I44" s="223" t="str">
        <f>IF($B44=0,"",VLOOKUP($B44,Table2[],5,FALSE))</f>
        <v>pound</v>
      </c>
      <c r="J44" s="215">
        <f>IF($B44=0,"",VLOOKUP($B44,Table2[],7,FALSE))</f>
        <v>0.4</v>
      </c>
      <c r="K44" s="215">
        <f t="shared" si="2"/>
        <v>0.68</v>
      </c>
      <c r="L44" s="216"/>
    </row>
    <row r="45" spans="1:12" x14ac:dyDescent="0.2">
      <c r="A45" s="105"/>
      <c r="B45" s="180" t="s">
        <v>288</v>
      </c>
      <c r="C45" s="388" t="str">
        <f>IF(B45=0,"",VLOOKUP($B45,Table2[],2,FALSE))</f>
        <v>Insecticide</v>
      </c>
      <c r="D45" s="388"/>
      <c r="E45" s="388"/>
      <c r="F45" s="174">
        <v>11</v>
      </c>
      <c r="G45" s="175">
        <v>0.2</v>
      </c>
      <c r="H45" s="176">
        <v>3</v>
      </c>
      <c r="I45" s="120" t="str">
        <f>IF($B45=0,"",VLOOKUP($B45,Table2[],5,FALSE))</f>
        <v>ounce</v>
      </c>
      <c r="J45" s="109">
        <f>IF($B45=0,"",VLOOKUP($B45,Table2[],7,FALSE))</f>
        <v>1.25</v>
      </c>
      <c r="K45" s="109">
        <f t="shared" si="2"/>
        <v>0.75</v>
      </c>
      <c r="L45" s="110"/>
    </row>
    <row r="46" spans="1:12" ht="12.75" hidden="1" customHeight="1" x14ac:dyDescent="0.2">
      <c r="A46" s="105"/>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05"/>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180"/>
      <c r="C48" s="388" t="str">
        <f>IF(B48=0,"",VLOOKUP($B48,Table2[],2,FALSE))</f>
        <v/>
      </c>
      <c r="D48" s="388"/>
      <c r="E48" s="388"/>
      <c r="F48" s="174"/>
      <c r="G48" s="175"/>
      <c r="H48" s="176"/>
      <c r="I48" s="120" t="str">
        <f>IF($B48=0,"",VLOOKUP($B48,Table2[],5,FALSE))</f>
        <v/>
      </c>
      <c r="J48" s="109" t="str">
        <f>IF($B48=0,"",VLOOKUP($B48,Table2[],7,FALSE))</f>
        <v/>
      </c>
      <c r="K48" s="109">
        <f t="shared" si="2"/>
        <v>0</v>
      </c>
      <c r="L48" s="110"/>
    </row>
    <row r="49" spans="1:12" ht="12.75" hidden="1" customHeight="1" x14ac:dyDescent="0.2">
      <c r="A49" s="105"/>
      <c r="B49" s="213"/>
      <c r="C49" s="387" t="str">
        <f>IF(B49=0,"",VLOOKUP($B49,Table2[],2,FALSE))</f>
        <v/>
      </c>
      <c r="D49" s="387"/>
      <c r="E49" s="387"/>
      <c r="F49" s="214"/>
      <c r="G49" s="221"/>
      <c r="H49" s="222"/>
      <c r="I49" s="223" t="str">
        <f>IF($B49=0,"",VLOOKUP($B49,Table2[],5,FALSE))</f>
        <v/>
      </c>
      <c r="J49" s="215" t="str">
        <f>IF($B49=0,"",VLOOKUP($B49,Table2[],7,FALSE))</f>
        <v/>
      </c>
      <c r="K49" s="215">
        <f t="shared" si="2"/>
        <v>0</v>
      </c>
      <c r="L49" s="216"/>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A51" s="105"/>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A52" s="105"/>
      <c r="B52" s="180"/>
      <c r="C52" s="388" t="str">
        <f>IF(B52=0,"",VLOOKUP($B52,Table2[],2,FALSE))</f>
        <v/>
      </c>
      <c r="D52" s="388"/>
      <c r="E52" s="388"/>
      <c r="F52" s="174"/>
      <c r="G52" s="175"/>
      <c r="H52" s="176"/>
      <c r="I52" s="120" t="str">
        <f>IF($B52=0,"",VLOOKUP($B52,Table2[],5,FALSE))</f>
        <v/>
      </c>
      <c r="J52" s="109" t="str">
        <f>IF($B52=0,"",VLOOKUP($B52,Table2[],7,FALSE))</f>
        <v/>
      </c>
      <c r="K52" s="109">
        <f t="shared" si="2"/>
        <v>0</v>
      </c>
      <c r="L52" s="110"/>
    </row>
    <row r="53" spans="1:12" ht="12.75" hidden="1" customHeight="1" x14ac:dyDescent="0.2">
      <c r="A53" s="105"/>
      <c r="B53" s="213"/>
      <c r="C53" s="387" t="str">
        <f>IF(B53=0,"",VLOOKUP($B53,Table2[],2,FALSE))</f>
        <v/>
      </c>
      <c r="D53" s="387"/>
      <c r="E53" s="387"/>
      <c r="F53" s="214"/>
      <c r="G53" s="221">
        <v>0.1</v>
      </c>
      <c r="H53" s="222"/>
      <c r="I53" s="223" t="str">
        <f>IF($B53=0,"",VLOOKUP($B53,Table2[],5,FALSE))</f>
        <v/>
      </c>
      <c r="J53" s="215" t="str">
        <f>IF($B53=0,"",VLOOKUP($B53,Table2[],7,FALSE))</f>
        <v/>
      </c>
      <c r="K53" s="215">
        <f t="shared" si="2"/>
        <v>0</v>
      </c>
      <c r="L53" s="216"/>
    </row>
    <row r="54" spans="1:12" ht="12.75" hidden="1" customHeight="1" x14ac:dyDescent="0.2">
      <c r="A54" s="105"/>
      <c r="B54" s="180"/>
      <c r="C54" s="388" t="str">
        <f>IF(B54=0,"",VLOOKUP($B54,Table2[],2,FALSE))</f>
        <v/>
      </c>
      <c r="D54" s="388"/>
      <c r="E54" s="388"/>
      <c r="F54" s="174"/>
      <c r="G54" s="175">
        <v>0.2</v>
      </c>
      <c r="H54" s="176"/>
      <c r="I54" s="120" t="str">
        <f>IF($B54=0,"",VLOOKUP($B54,Table2[],5,FALSE))</f>
        <v/>
      </c>
      <c r="J54" s="109" t="str">
        <f>IF($B54=0,"",VLOOKUP($B54,Table2[],7,FALSE))</f>
        <v/>
      </c>
      <c r="K54" s="109">
        <f t="shared" si="2"/>
        <v>0</v>
      </c>
      <c r="L54" s="110"/>
    </row>
    <row r="55" spans="1:12" ht="12.75" hidden="1" customHeight="1" x14ac:dyDescent="0.2">
      <c r="A55" s="105"/>
      <c r="B55" s="180"/>
      <c r="C55" s="388" t="str">
        <f>IF(B55=0,"",VLOOKUP($B55,Table2[],2,FALSE))</f>
        <v/>
      </c>
      <c r="D55" s="388"/>
      <c r="E55" s="388"/>
      <c r="F55" s="174"/>
      <c r="G55" s="175">
        <v>0.3</v>
      </c>
      <c r="H55" s="176"/>
      <c r="I55" s="120" t="str">
        <f>IF($B55=0,"",VLOOKUP($B55,Table2[],5,FALSE))</f>
        <v/>
      </c>
      <c r="J55" s="109" t="str">
        <f>IF($B55=0,"",VLOOKUP($B55,Table2[],7,FALSE))</f>
        <v/>
      </c>
      <c r="K55" s="109">
        <f t="shared" si="2"/>
        <v>0</v>
      </c>
      <c r="L55" s="110"/>
    </row>
    <row r="56" spans="1:12" ht="12.75" hidden="1" customHeight="1" x14ac:dyDescent="0.2">
      <c r="A56" s="105"/>
      <c r="B56" s="180"/>
      <c r="C56" s="388" t="str">
        <f>IF(B56=0,"",VLOOKUP($B56,Table2[],2,FALSE))</f>
        <v/>
      </c>
      <c r="D56" s="388"/>
      <c r="E56" s="388"/>
      <c r="F56" s="174"/>
      <c r="G56" s="175"/>
      <c r="H56" s="176"/>
      <c r="I56" s="120" t="str">
        <f>IF($B56=0,"",VLOOKUP($B56,Table2[],5,FALSE))</f>
        <v/>
      </c>
      <c r="J56" s="109" t="str">
        <f>IF($B56=0,"",VLOOKUP($B56,Table2[],7,FALSE))</f>
        <v/>
      </c>
      <c r="K56" s="109">
        <f t="shared" si="2"/>
        <v>0</v>
      </c>
      <c r="L56" s="110"/>
    </row>
    <row r="57" spans="1:12" ht="12.75" hidden="1" customHeight="1" x14ac:dyDescent="0.2">
      <c r="A57" s="105"/>
      <c r="B57" s="213"/>
      <c r="C57" s="387" t="str">
        <f>IF(B57=0,"",VLOOKUP($B57,Table2[],2,FALSE))</f>
        <v/>
      </c>
      <c r="D57" s="387"/>
      <c r="E57" s="387"/>
      <c r="F57" s="214"/>
      <c r="G57" s="221"/>
      <c r="H57" s="222"/>
      <c r="I57" s="223" t="str">
        <f>IF($B57=0,"",VLOOKUP($B57,Table2[],5,FALSE))</f>
        <v/>
      </c>
      <c r="J57" s="215" t="str">
        <f>IF($B57=0,"",VLOOKUP($B57,Table2[],7,FALSE))</f>
        <v/>
      </c>
      <c r="K57" s="215">
        <f t="shared" si="2"/>
        <v>0</v>
      </c>
      <c r="L57" s="216"/>
    </row>
    <row r="58" spans="1:12" ht="12.75" hidden="1" customHeight="1" x14ac:dyDescent="0.2">
      <c r="A58" s="105"/>
      <c r="B58" s="180"/>
      <c r="C58" s="388" t="str">
        <f>IF(B58=0,"",VLOOKUP($B58,Table2[],2,FALSE))</f>
        <v/>
      </c>
      <c r="D58" s="388"/>
      <c r="E58" s="388"/>
      <c r="F58" s="174"/>
      <c r="G58" s="175"/>
      <c r="H58" s="176"/>
      <c r="I58" s="120" t="str">
        <f>IF($B58=0,"",VLOOKUP($B58,Table2[],5,FALSE))</f>
        <v/>
      </c>
      <c r="J58" s="109" t="str">
        <f>IF($B58=0,"",VLOOKUP($B58,Table2[],7,FALSE))</f>
        <v/>
      </c>
      <c r="K58" s="109">
        <f t="shared" si="2"/>
        <v>0</v>
      </c>
      <c r="L58" s="110"/>
    </row>
    <row r="59" spans="1:12" ht="12.75" hidden="1" customHeight="1" x14ac:dyDescent="0.2">
      <c r="A59" s="105"/>
      <c r="B59" s="180"/>
      <c r="C59" s="388" t="str">
        <f>IF(B59=0,"",VLOOKUP($B59,Table2[],2,FALSE))</f>
        <v/>
      </c>
      <c r="D59" s="388"/>
      <c r="E59" s="388"/>
      <c r="F59" s="174"/>
      <c r="G59" s="175"/>
      <c r="H59" s="176"/>
      <c r="I59" s="120" t="str">
        <f>IF($B59=0,"",VLOOKUP($B59,Table2[],5,FALSE))</f>
        <v/>
      </c>
      <c r="J59" s="109" t="str">
        <f>IF($B59=0,"",VLOOKUP($B59,Table2[],7,FALSE))</f>
        <v/>
      </c>
      <c r="K59" s="109">
        <f t="shared" si="2"/>
        <v>0</v>
      </c>
      <c r="L59" s="110"/>
    </row>
    <row r="60" spans="1:12" ht="12.75" hidden="1" customHeight="1" x14ac:dyDescent="0.2">
      <c r="A60" s="105"/>
      <c r="B60" s="180"/>
      <c r="C60" s="388" t="str">
        <f>IF(B60=0,"",VLOOKUP($B60,Table2[],2,FALSE))</f>
        <v/>
      </c>
      <c r="D60" s="388"/>
      <c r="E60" s="388"/>
      <c r="F60" s="174"/>
      <c r="G60" s="175"/>
      <c r="H60" s="176"/>
      <c r="I60" s="120" t="str">
        <f>IF($B60=0,"",VLOOKUP($B60,Table2[],5,FALSE))</f>
        <v/>
      </c>
      <c r="J60" s="109" t="str">
        <f>IF($B60=0,"",VLOOKUP($B60,Table2[],7,FALSE))</f>
        <v/>
      </c>
      <c r="K60" s="109">
        <f t="shared" si="2"/>
        <v>0</v>
      </c>
      <c r="L60" s="110"/>
    </row>
    <row r="61" spans="1:12" ht="12.75" hidden="1" customHeight="1" x14ac:dyDescent="0.2">
      <c r="A61" s="105"/>
      <c r="B61" s="213"/>
      <c r="C61" s="387" t="str">
        <f>IF(B61=0,"",VLOOKUP($B61,Table2[],2,FALSE))</f>
        <v/>
      </c>
      <c r="D61" s="387"/>
      <c r="E61" s="387"/>
      <c r="F61" s="214"/>
      <c r="G61" s="221"/>
      <c r="H61" s="222"/>
      <c r="I61" s="223" t="str">
        <f>IF($B61=0,"",VLOOKUP($B61,Table2[],5,FALSE))</f>
        <v/>
      </c>
      <c r="J61" s="215" t="str">
        <f>IF($B61=0,"",VLOOKUP($B61,Table2[],7,FALSE))</f>
        <v/>
      </c>
      <c r="K61" s="215">
        <f t="shared" si="2"/>
        <v>0</v>
      </c>
      <c r="L61" s="216"/>
    </row>
    <row r="62" spans="1:12" hidden="1" x14ac:dyDescent="0.2">
      <c r="A62" s="105"/>
      <c r="C62" s="388" t="s">
        <v>655</v>
      </c>
      <c r="D62" s="388"/>
      <c r="E62" s="388"/>
      <c r="F62" s="174"/>
      <c r="G62" s="175"/>
      <c r="H62" s="176"/>
      <c r="I62" s="170"/>
      <c r="J62" s="109" t="str">
        <f ca="1">IF(F5=0,E5,F5)</f>
        <v>N/A</v>
      </c>
      <c r="K62" s="109">
        <f t="shared" si="2"/>
        <v>0</v>
      </c>
      <c r="L62" s="110"/>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SUM(K37:K62)</f>
        <v>157.99</v>
      </c>
      <c r="L64" s="110"/>
    </row>
    <row r="65" spans="2:12" x14ac:dyDescent="0.2">
      <c r="K65" s="128"/>
    </row>
    <row r="66" spans="2:12" x14ac:dyDescent="0.2">
      <c r="B66" s="107" t="s">
        <v>672</v>
      </c>
      <c r="K66" s="141">
        <f>K33+K64</f>
        <v>542.23</v>
      </c>
      <c r="L66" s="110"/>
    </row>
    <row r="67" spans="2:12" ht="13.5" thickBot="1" x14ac:dyDescent="0.25">
      <c r="D67" s="128" t="s">
        <v>673</v>
      </c>
      <c r="E67" s="129">
        <f>ROUND(SUM($E$33:$H$33)+$K$64,2)</f>
        <v>335.34</v>
      </c>
      <c r="F67" s="388" t="s">
        <v>674</v>
      </c>
      <c r="G67" s="388"/>
      <c r="H67" s="130">
        <f>'General Variables'!$B$11</f>
        <v>7.4999999999999997E-2</v>
      </c>
      <c r="I67" s="131" t="str">
        <f>CONCATENATE("for ",TEXT('General Variables'!$B$12,"0.0")," mo.")</f>
        <v>for 6.0 mo.</v>
      </c>
      <c r="K67" s="145">
        <f>E67*H67*'General Variables'!$B$12/12</f>
        <v>12.575249999999999</v>
      </c>
      <c r="L67" s="133"/>
    </row>
    <row r="68" spans="2:12" ht="13.5" thickTop="1" x14ac:dyDescent="0.2">
      <c r="B68" s="107" t="s">
        <v>675</v>
      </c>
      <c r="K68" s="141">
        <f>SUM(K66:K67)</f>
        <v>554.80525</v>
      </c>
      <c r="L68" s="110"/>
    </row>
    <row r="69" spans="2:12" x14ac:dyDescent="0.2">
      <c r="K69" s="128"/>
    </row>
    <row r="70" spans="2:12" x14ac:dyDescent="0.2">
      <c r="B70" s="104" t="s">
        <v>676</v>
      </c>
      <c r="C70" s="134"/>
      <c r="D70" s="134"/>
      <c r="E70" s="134"/>
      <c r="F70" s="134"/>
      <c r="G70" s="134"/>
      <c r="H70" s="134"/>
      <c r="I70" s="134"/>
      <c r="J70" s="134"/>
      <c r="K70" s="142">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46">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7">
        <f>ROUND(F72*I72,2)</f>
        <v>118.5</v>
      </c>
      <c r="L72" s="133"/>
    </row>
    <row r="73" spans="2:12" ht="13.5" thickTop="1" x14ac:dyDescent="0.2">
      <c r="B73" s="107" t="s">
        <v>680</v>
      </c>
      <c r="K73" s="141">
        <f>SUM(K68:K72)</f>
        <v>981.75524999999993</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IF(G4=0,0,(E67+K67+K70+K72)/G4)</f>
        <v>73.737536764705879</v>
      </c>
      <c r="L75" s="148"/>
    </row>
    <row r="76" spans="2:12" x14ac:dyDescent="0.2">
      <c r="B76" s="107" t="str">
        <f>IF(G4="","","Cost of production per "&amp;H4)</f>
        <v>Cost of production per ton</v>
      </c>
      <c r="K76" s="141">
        <f>IF(G4="","",K73/G4)</f>
        <v>144.37577205882351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C62:E62"/>
    <mergeCell ref="G72:H72"/>
    <mergeCell ref="F67:G67"/>
    <mergeCell ref="C71:E71"/>
    <mergeCell ref="G71:H71"/>
    <mergeCell ref="C57:E57"/>
    <mergeCell ref="C58:E58"/>
    <mergeCell ref="C59:E59"/>
    <mergeCell ref="C60:E60"/>
    <mergeCell ref="C61:E61"/>
    <mergeCell ref="C56:E56"/>
    <mergeCell ref="C45:E45"/>
    <mergeCell ref="C46:E46"/>
    <mergeCell ref="C47:E47"/>
    <mergeCell ref="C48:E48"/>
    <mergeCell ref="C49:E49"/>
    <mergeCell ref="C50:E50"/>
    <mergeCell ref="C51:E51"/>
    <mergeCell ref="C52:E52"/>
    <mergeCell ref="C53:E53"/>
    <mergeCell ref="C54:E54"/>
    <mergeCell ref="C55:E55"/>
    <mergeCell ref="C44:E44"/>
    <mergeCell ref="F35:F36"/>
    <mergeCell ref="G35:G36"/>
    <mergeCell ref="H35:I35"/>
    <mergeCell ref="J35:J36"/>
    <mergeCell ref="C38:E38"/>
    <mergeCell ref="C39:E39"/>
    <mergeCell ref="C40:E40"/>
    <mergeCell ref="C41:E41"/>
    <mergeCell ref="C43:E43"/>
    <mergeCell ref="C37:E37"/>
    <mergeCell ref="C42:E42"/>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1100-000000000000}">
      <formula1>$B$112:$B$211</formula1>
    </dataValidation>
    <dataValidation type="list" allowBlank="1" showInputMessage="1" showErrorMessage="1" sqref="B63" xr:uid="{00000000-0002-0000-1100-000001000000}">
      <formula1>$C$112:$C$211</formula1>
    </dataValidation>
    <dataValidation type="list" allowBlank="1" showInputMessage="1" showErrorMessage="1" sqref="K4" xr:uid="{00000000-0002-0000-1100-000002000000}">
      <formula1>$K$112:$K$114</formula1>
    </dataValidation>
    <dataValidation type="list" allowBlank="1" showInputMessage="1" showErrorMessage="1" sqref="B37:B61" xr:uid="{00000000-0002-0000-1100-000003000000}">
      <formula1>MaterialList</formula1>
    </dataValidation>
    <dataValidation type="list" allowBlank="1" showInputMessage="1" showErrorMessage="1" sqref="C71:E71" xr:uid="{00000000-0002-0000-1100-000004000000}">
      <formula1>RealEstateList</formula1>
    </dataValidation>
    <dataValidation type="list" allowBlank="1" showInputMessage="1" showErrorMessage="1" sqref="B12:B31" xr:uid="{00000000-0002-0000-1100-000005000000}">
      <formula1>OperationList</formula1>
    </dataValidation>
    <dataValidation type="list" allowBlank="1" showInputMessage="1" showErrorMessage="1" sqref="D12:D32" xr:uid="{00000000-0002-0000-1100-000006000000}">
      <formula1>#REF!</formula1>
    </dataValidation>
    <dataValidation type="list" allowBlank="1" showInputMessage="1" showErrorMessage="1" sqref="K2" xr:uid="{00000000-0002-0000-1100-000007000000}">
      <formula1>watersource</formula1>
    </dataValidation>
    <dataValidation type="list" allowBlank="1" showInputMessage="1" showErrorMessage="1" sqref="C3" xr:uid="{00000000-0002-0000-1100-000008000000}">
      <formula1>TillageSystem</formula1>
    </dataValidation>
  </dataValidations>
  <pageMargins left="0.7" right="0.7" top="0.75" bottom="0.75" header="0.3" footer="0.3"/>
  <pageSetup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2">
    <pageSetUpPr fitToPage="1"/>
  </sheetPr>
  <dimension ref="A2:M256"/>
  <sheetViews>
    <sheetView zoomScaleNormal="100" workbookViewId="0">
      <selection activeCell="H41" sqref="H4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70</v>
      </c>
      <c r="L2" s="401"/>
    </row>
    <row r="3" spans="1:13" hidden="1" x14ac:dyDescent="0.2">
      <c r="B3" s="103" t="s">
        <v>38</v>
      </c>
      <c r="C3" s="391"/>
      <c r="D3" s="391"/>
      <c r="E3" s="391"/>
      <c r="G3" s="128" t="s">
        <v>650</v>
      </c>
      <c r="H3" s="187" t="s">
        <v>704</v>
      </c>
      <c r="J3" s="128" t="s">
        <v>651</v>
      </c>
      <c r="K3" s="187">
        <v>16</v>
      </c>
    </row>
    <row r="4" spans="1:13" hidden="1" x14ac:dyDescent="0.2">
      <c r="B4" s="103" t="s">
        <v>652</v>
      </c>
      <c r="C4" s="392" t="s">
        <v>702</v>
      </c>
      <c r="D4" s="392"/>
      <c r="E4" s="392"/>
      <c r="G4" s="103">
        <f>IFERROR(VALUE(LEFT($H$3,FIND(" ",$H$3))),"")</f>
        <v>6.6</v>
      </c>
      <c r="H4" s="103" t="str">
        <f>IFERROR(RIGHT(H3,LEN(H3)-LEN(G4)-1),"")</f>
        <v>ton</v>
      </c>
      <c r="J4" s="128" t="s">
        <v>653</v>
      </c>
      <c r="K4" s="188" t="s">
        <v>654</v>
      </c>
    </row>
    <row r="5" spans="1:13" ht="15.75" hidden="1" customHeight="1" x14ac:dyDescent="0.2">
      <c r="B5" s="103" t="s">
        <v>655</v>
      </c>
      <c r="C5" s="103" t="str">
        <f ca="1">MID(CELL("filename",C5),FIND("]",CELL("filename",C5))+1,255)</f>
        <v>12-Alfalfa</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12-Alfalfa, Panhandle, Large and Small Square Bales, 6.6 ton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12-Alfalfa, Panhandle, Large and Small Square Bales, 6.6 ton Yield</v>
      </c>
      <c r="C7" s="393"/>
      <c r="D7" s="393"/>
      <c r="E7" s="393"/>
      <c r="F7" s="393"/>
      <c r="G7" s="393"/>
      <c r="H7" s="393"/>
      <c r="I7" s="393"/>
      <c r="J7" s="393"/>
      <c r="K7" s="393"/>
      <c r="L7" s="393"/>
      <c r="M7" s="186"/>
    </row>
    <row r="8" spans="1:13" ht="15.75" x14ac:dyDescent="0.25">
      <c r="B8" s="189" t="str">
        <f>IF(K2="","",K2)&amp;IF(LEFT(K2,5)="Pivot",", 800 GPM 35 PSI","") &amp; IF(K3="","",", "&amp; K3&amp;" "&amp;J3)</f>
        <v>Pivot Irrigated Electric, 800 GPM 35 PSI, 16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396</v>
      </c>
      <c r="C14" s="174">
        <f>$G$4/3*2</f>
        <v>4.3999999999999995</v>
      </c>
      <c r="D14" s="174" t="s">
        <v>187</v>
      </c>
      <c r="E14" s="109">
        <f>IF(B14=0,"",IF(C14&gt;9999,"",ROUND('General Variables'!$B$4*VLOOKUP(B14,Operations!$A$2:$U$79,10,FALSE)/VLOOKUP(B14,Operations!$A$2:$U$79,9,FALSE)*C14,2)))</f>
        <v>7.69</v>
      </c>
      <c r="F14" s="109">
        <f>IF(B14=0,0,IF(C14&gt;9999,"",ROUND(IF(VLOOKUP(B14,Operations!$A$2:$U$79,12,FALSE)=0,VLOOKUP(B14,Operations!$A$2:$U$79,13,FALSE)*'General Variables'!$B$8,VLOOKUP(B14,Operations!$A$2:$U$79,12,FALSE)*'General Variables'!$B$7)/VLOOKUP(B14,Operations!$A$2:$U$79,9,FALSE)*C14,2)))</f>
        <v>5.12</v>
      </c>
      <c r="G14" s="109">
        <f>IF(B14=0,0,IF(C14&gt;9999,"",ROUND(VLOOKUP(VLOOKUP(B14,Operations!$A$2:$U$79,11,FALSE),PowerUnits[],10,FALSE)/VLOOKUP(B14,Operations!$A$2:$U$79,9,FALSE)*C14,2)))</f>
        <v>0.88</v>
      </c>
      <c r="H14" s="109">
        <f>IF(B14=0,"",IF(C14&gt;9999,"",ROUND(VLOOKUP($B14,Operations!$A$2:$U$79,15,FALSE)*C14,2)))</f>
        <v>3.21</v>
      </c>
      <c r="I14" s="109">
        <f>IF(B14=0,0,IF(C14&gt;9999,"",ROUND(VLOOKUP(VLOOKUP(B14,Operations!$A$2:$U$79,11,FALSE),PowerUnits[],16,FALSE)/VLOOKUP(B14,Operations!$A$2:$U$79,9,FALSE)*C14,2)))</f>
        <v>23.89</v>
      </c>
      <c r="J14" s="109">
        <f>IF(B14=0,"",IF(C14&gt;9999,"",ROUND(VLOOKUP($B14,Operations!$A$2:$U$79,21,FALSE)*$C14,2)))</f>
        <v>34.51</v>
      </c>
      <c r="K14" s="109">
        <f t="shared" si="0"/>
        <v>75.3</v>
      </c>
      <c r="L14" s="110"/>
    </row>
    <row r="15" spans="1:13" x14ac:dyDescent="0.2">
      <c r="A15" s="170">
        <v>4</v>
      </c>
      <c r="B15" s="213" t="s">
        <v>508</v>
      </c>
      <c r="C15" s="214" t="s">
        <v>184</v>
      </c>
      <c r="D15" s="214" t="s">
        <v>187</v>
      </c>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403</v>
      </c>
      <c r="C16" s="174">
        <f>$G$4/3</f>
        <v>2.1999999999999997</v>
      </c>
      <c r="D16" s="174" t="s">
        <v>187</v>
      </c>
      <c r="E16" s="109">
        <f>IF(B16=0,"",IF(C16&gt;9999,"",ROUND('General Variables'!$B$4*VLOOKUP(B16,Operations!$A$2:$U$79,10,FALSE)/VLOOKUP(B16,Operations!$A$2:$U$79,9,FALSE)*C16,2)))</f>
        <v>16.34</v>
      </c>
      <c r="F16" s="109">
        <f>IF(B16=0,0,IF(C16&gt;9999,"",ROUND(IF(VLOOKUP(B16,Operations!$A$2:$U$79,12,FALSE)=0,VLOOKUP(B16,Operations!$A$2:$U$79,13,FALSE)*'General Variables'!$B$8,VLOOKUP(B16,Operations!$A$2:$U$79,12,FALSE)*'General Variables'!$B$7)/VLOOKUP(B16,Operations!$A$2:$U$79,9,FALSE)*C16,2)))</f>
        <v>6.15</v>
      </c>
      <c r="G16" s="109">
        <f>IF(B16=0,0,IF(C16&gt;9999,"",ROUND(VLOOKUP(VLOOKUP(B16,Operations!$A$2:$U$79,11,FALSE),PowerUnits[],10,FALSE)/VLOOKUP(B16,Operations!$A$2:$U$79,9,FALSE)*C16,2)))</f>
        <v>0.46</v>
      </c>
      <c r="H16" s="109">
        <f>IF(B16=0,"",IF(C16&gt;9999,"",ROUND(VLOOKUP($B16,Operations!$A$2:$U$79,15,FALSE)*C16,2)))</f>
        <v>17.059999999999999</v>
      </c>
      <c r="I16" s="109">
        <f>IF(B16=0,0,IF(C16&gt;9999,"",ROUND(VLOOKUP(VLOOKUP(B16,Operations!$A$2:$U$79,11,FALSE),PowerUnits[],16,FALSE)/VLOOKUP(B16,Operations!$A$2:$U$79,9,FALSE)*C16,2)))</f>
        <v>23.81</v>
      </c>
      <c r="J16" s="109">
        <f>IF(B16=0,"",IF(C16&gt;9999,"",ROUND(VLOOKUP($B16,Operations!$A$2:$U$79,21,FALSE)*$C16,2)))</f>
        <v>3.94</v>
      </c>
      <c r="K16" s="109">
        <f t="shared" si="0"/>
        <v>67.760000000000005</v>
      </c>
      <c r="L16" s="110"/>
    </row>
    <row r="17" spans="1:12" x14ac:dyDescent="0.2">
      <c r="A17" s="170">
        <v>6</v>
      </c>
      <c r="B17" s="180" t="s">
        <v>511</v>
      </c>
      <c r="C17" s="174">
        <f>$G$4/3</f>
        <v>2.1999999999999997</v>
      </c>
      <c r="D17" s="174" t="s">
        <v>187</v>
      </c>
      <c r="E17" s="109">
        <f>IF(B17=0,"",IF(C17&gt;9999,"",ROUND('General Variables'!$B$4*VLOOKUP(B17,Operations!$A$2:$U$79,10,FALSE)/VLOOKUP(B17,Operations!$A$2:$U$79,9,FALSE)*C17,2)))</f>
        <v>5.94</v>
      </c>
      <c r="F17" s="109">
        <f>IF(B17=0,0,IF(C17&gt;9999,"",ROUND(IF(VLOOKUP(B17,Operations!$A$2:$U$79,12,FALSE)=0,VLOOKUP(B17,Operations!$A$2:$U$79,13,FALSE)*'General Variables'!$B$8,VLOOKUP(B17,Operations!$A$2:$U$79,12,FALSE)*'General Variables'!$B$7)/VLOOKUP(B17,Operations!$A$2:$U$79,9,FALSE)*C17,2)))</f>
        <v>1.41</v>
      </c>
      <c r="G17" s="109">
        <f>IF(B17=0,0,IF(C17&gt;9999,"",ROUND(VLOOKUP(VLOOKUP(B17,Operations!$A$2:$U$79,11,FALSE),PowerUnits[],10,FALSE)/VLOOKUP(B17,Operations!$A$2:$U$79,9,FALSE)*C17,2)))</f>
        <v>0.18</v>
      </c>
      <c r="H17" s="109">
        <f>IF(B17=0,"",IF(C17&gt;9999,"",ROUND(VLOOKUP($B17,Operations!$A$2:$U$79,15,FALSE)*C17,2)))</f>
        <v>0.68</v>
      </c>
      <c r="I17" s="109">
        <f>IF(B17=0,0,IF(C17&gt;9999,"",ROUND(VLOOKUP(VLOOKUP(B17,Operations!$A$2:$U$79,11,FALSE),PowerUnits[],16,FALSE)/VLOOKUP(B17,Operations!$A$2:$U$79,9,FALSE)*C17,2)))</f>
        <v>9.52</v>
      </c>
      <c r="J17" s="109">
        <f>IF(B17=0,"",IF(C17&gt;9999,"",ROUND(VLOOKUP($B17,Operations!$A$2:$U$79,21,FALSE)*$C17,2)))</f>
        <v>0.98</v>
      </c>
      <c r="K17" s="109">
        <f t="shared" si="0"/>
        <v>18.71</v>
      </c>
      <c r="L17" s="110"/>
    </row>
    <row r="18" spans="1:12" x14ac:dyDescent="0.2">
      <c r="A18" s="170">
        <v>7</v>
      </c>
      <c r="B18" s="180" t="s">
        <v>524</v>
      </c>
      <c r="C18" s="174">
        <f>$K$3</f>
        <v>16</v>
      </c>
      <c r="D18" s="174" t="s">
        <v>693</v>
      </c>
      <c r="E18" s="109">
        <f>IF(B18=0,"",IF(C18&gt;9999,"",ROUND('General Variables'!$B$4*VLOOKUP(B18,Operations!$A$2:$U$79,10,FALSE)/VLOOKUP(B18,Operations!$A$2:$U$79,9,FALSE)*C18,2)))</f>
        <v>15</v>
      </c>
      <c r="F18" s="109">
        <f>IF(B18=0,0,IF(C18&gt;9999,"",ROUND(IF(VLOOKUP(B18,Operations!$A$2:$U$79,12,FALSE)=0,VLOOKUP(B18,Operations!$A$2:$U$79,13,FALSE)*'General Variables'!$B$8,VLOOKUP(B18,Operations!$A$2:$U$79,12,FALSE)*'General Variables'!$B$7)/VLOOKUP(B18,Operations!$A$2:$U$79,9,FALSE)*C18,2)))</f>
        <v>33.979999999999997</v>
      </c>
      <c r="G18" s="109">
        <f>IF(B18=0,0,IF(C18&gt;9999,"",ROUND(VLOOKUP(VLOOKUP(B18,Operations!$A$2:$U$79,11,FALSE),PowerUnits[],10,FALSE)/VLOOKUP(B18,Operations!$A$2:$U$79,9,FALSE)*C18,2)))</f>
        <v>8.92</v>
      </c>
      <c r="H18" s="109">
        <v>8</v>
      </c>
      <c r="I18" s="109">
        <f>IF(B18=0,0,IF(C18&gt;9999,"",ROUND(VLOOKUP(VLOOKUP(B18,Operations!$A$2:$U$79,11,FALSE),PowerUnits[],16,FALSE)/VLOOKUP(B18,Operations!$A$2:$U$79,9,FALSE)*C18,2)))</f>
        <v>15.62</v>
      </c>
      <c r="J18" s="109">
        <f>IF(B18=0,"",IF(C18&gt;9999,"",ROUND(VLOOKUP($B18,Operations!$A$2:$U$79,21,FALSE)*$C18,2)))</f>
        <v>23.29</v>
      </c>
      <c r="K18" s="109">
        <f t="shared" si="0"/>
        <v>104.81</v>
      </c>
      <c r="L18" s="110"/>
    </row>
    <row r="19" spans="1:12" x14ac:dyDescent="0.2">
      <c r="A19" s="170">
        <v>8</v>
      </c>
      <c r="B19" s="213" t="s">
        <v>551</v>
      </c>
      <c r="C19" s="214">
        <v>0.25</v>
      </c>
      <c r="D19" s="214"/>
      <c r="E19" s="219">
        <f>IF(B19=0,"",IF(C19&gt;9999,"",ROUND('General Variables'!$B$4*VLOOKUP(B19,Operations!$A$2:$U$79,10,FALSE)/VLOOKUP(B19,Operations!$A$2:$U$79,9,FALSE)*C19,2)))</f>
        <v>0.26</v>
      </c>
      <c r="F19" s="219">
        <f>IF(B19=0,0,IF(C19&gt;9999,"",ROUND(IF(VLOOKUP(B19,Operations!$A$2:$U$79,12,FALSE)=0,VLOOKUP(B19,Operations!$A$2:$U$79,13,FALSE)*'General Variables'!$B$8,VLOOKUP(B19,Operations!$A$2:$U$79,12,FALSE)*'General Variables'!$B$7)/VLOOKUP(B19,Operations!$A$2:$U$79,9,FALSE)*C19,2)))</f>
        <v>0.06</v>
      </c>
      <c r="G19" s="219">
        <f>IF(B19=0,0,IF(C19&gt;9999,"",ROUND(VLOOKUP(VLOOKUP(B19,Operations!$A$2:$U$79,11,FALSE),PowerUnits[],10,FALSE)/VLOOKUP(B19,Operations!$A$2:$U$79,9,FALSE)*C19,2)))</f>
        <v>0.01</v>
      </c>
      <c r="H19" s="219">
        <f>IF(B19=0,"",IF(C19&gt;9999,"",ROUND(VLOOKUP($B19,Operations!$A$2:$U$79,15,FALSE)*C19,2)))</f>
        <v>0.28000000000000003</v>
      </c>
      <c r="I19" s="219">
        <f>IF(B19=0,0,IF(C19&gt;9999,"",ROUND(VLOOKUP(VLOOKUP(B19,Operations!$A$2:$U$79,11,FALSE),PowerUnits[],16,FALSE)/VLOOKUP(B19,Operations!$A$2:$U$79,9,FALSE)*C19,2)))</f>
        <v>0.33</v>
      </c>
      <c r="J19" s="219">
        <f>IF(B19=0,"",IF(C19&gt;9999,"",ROUND(VLOOKUP($B19,Operations!$A$2:$U$79,21,FALSE)*$C19,2)))</f>
        <v>0.5</v>
      </c>
      <c r="K19" s="219">
        <f>IF(C19&gt;9999,"",ROUND(SUM(E19:J19),2))</f>
        <v>1.44</v>
      </c>
      <c r="L19" s="216"/>
    </row>
    <row r="20" spans="1:12" x14ac:dyDescent="0.2">
      <c r="A20" s="170">
        <v>9</v>
      </c>
      <c r="B20" s="180" t="s">
        <v>552</v>
      </c>
      <c r="C20" s="174">
        <v>0.2</v>
      </c>
      <c r="D20" s="112"/>
      <c r="E20" s="109">
        <f>IF(B20=0,"",IF(C20&gt;9999,"",ROUND('General Variables'!$B$4*VLOOKUP(B20,Operations!$A$2:$U$79,10,FALSE)/VLOOKUP(B20,Operations!$A$2:$U$79,9,FALSE)*C20,2)))</f>
        <v>0.2</v>
      </c>
      <c r="F20" s="109">
        <f>IF(B20=0,0,IF(C20&gt;9999,"",ROUND(IF(VLOOKUP(B20,Operations!$A$2:$U$79,12,FALSE)=0,VLOOKUP(B20,Operations!$A$2:$U$79,13,FALSE)*'General Variables'!$B$8,VLOOKUP(B20,Operations!$A$2:$U$79,12,FALSE)*'General Variables'!$B$7)/VLOOKUP(B20,Operations!$A$2:$U$79,9,FALSE)*C20,2)))</f>
        <v>0.05</v>
      </c>
      <c r="G20" s="109">
        <f>IF(B20=0,0,IF(C20&gt;9999,"",ROUND(VLOOKUP(VLOOKUP(B20,Operations!$A$2:$U$79,11,FALSE),PowerUnits[],10,FALSE)/VLOOKUP(B20,Operations!$A$2:$U$79,9,FALSE)*C20,2)))</f>
        <v>0.01</v>
      </c>
      <c r="H20" s="109">
        <f>IF(B20=0,"",IF(C20&gt;9999,"",ROUND(VLOOKUP($B20,Operations!$A$2:$U$79,15,FALSE)*C20,2)))</f>
        <v>0.22</v>
      </c>
      <c r="I20" s="109">
        <f>IF(B20=0,0,IF(C20&gt;9999,"",ROUND(VLOOKUP(VLOOKUP(B20,Operations!$A$2:$U$79,11,FALSE),PowerUnits[],16,FALSE)/VLOOKUP(B20,Operations!$A$2:$U$79,9,FALSE)*C20,2)))</f>
        <v>0.26</v>
      </c>
      <c r="J20" s="109">
        <f>IF(B20=0,"",IF(C20&gt;9999,"",ROUND(VLOOKUP($B20,Operations!$A$2:$U$79,21,FALSE)*$C20,2)))</f>
        <v>0.4</v>
      </c>
      <c r="K20" s="109">
        <f t="shared" si="0"/>
        <v>1.1399999999999999</v>
      </c>
      <c r="L20" s="110"/>
    </row>
    <row r="21" spans="1:12" hidden="1" x14ac:dyDescent="0.2">
      <c r="A21" s="170">
        <v>10</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58.36</v>
      </c>
      <c r="F33" s="109">
        <f t="shared" ref="F33:K33" si="1">SUM(F12:F31)</f>
        <v>54.129999999999995</v>
      </c>
      <c r="G33" s="109">
        <f t="shared" si="1"/>
        <v>14.6</v>
      </c>
      <c r="H33" s="109">
        <f t="shared" si="1"/>
        <v>33.519999999999996</v>
      </c>
      <c r="I33" s="109">
        <f t="shared" si="1"/>
        <v>91.81</v>
      </c>
      <c r="J33" s="109">
        <f t="shared" si="1"/>
        <v>86.56</v>
      </c>
      <c r="K33" s="109">
        <f t="shared" si="1"/>
        <v>338.97999999999996</v>
      </c>
      <c r="L33" s="110"/>
    </row>
    <row r="35" spans="1:12" ht="24" customHeight="1" x14ac:dyDescent="0.2">
      <c r="F35" s="385" t="s">
        <v>665</v>
      </c>
      <c r="G35" s="385" t="s">
        <v>666</v>
      </c>
      <c r="H35" s="385" t="s">
        <v>667</v>
      </c>
      <c r="I35" s="385"/>
      <c r="J35" s="385" t="s">
        <v>169</v>
      </c>
      <c r="L35" s="385" t="s">
        <v>661</v>
      </c>
    </row>
    <row r="36" spans="1:12" s="118" customFormat="1" ht="18.75" customHeight="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204</v>
      </c>
      <c r="C37" s="388" t="str">
        <f>IF(B37=0,"",VLOOKUP($B37,Table2[],2,FALSE))</f>
        <v>Fertilizer</v>
      </c>
      <c r="D37" s="388"/>
      <c r="E37" s="388"/>
      <c r="F37" s="174">
        <v>1</v>
      </c>
      <c r="G37" s="175">
        <v>1</v>
      </c>
      <c r="H37" s="176">
        <v>75</v>
      </c>
      <c r="I37" s="120" t="str">
        <f>IF($B37=0,"",VLOOKUP($B37,Table2[],5,FALSE))</f>
        <v>pound</v>
      </c>
      <c r="J37" s="109">
        <f>IF($B37=0,"",VLOOKUP($B37,Table2[],7,FALSE))</f>
        <v>0.4</v>
      </c>
      <c r="K37" s="109">
        <f>IF(B37=0,0,ROUND(G37*H37*J37,2))</f>
        <v>30</v>
      </c>
      <c r="L37" s="110"/>
    </row>
    <row r="38" spans="1:12" x14ac:dyDescent="0.2">
      <c r="A38" s="105"/>
      <c r="B38" s="180" t="s">
        <v>301</v>
      </c>
      <c r="C38" s="388" t="str">
        <f>IF(B38=0,"",VLOOKUP($B38,Table2[],2,FALSE))</f>
        <v>Other</v>
      </c>
      <c r="D38" s="388"/>
      <c r="E38" s="388"/>
      <c r="F38" s="174">
        <v>3</v>
      </c>
      <c r="G38" s="175">
        <v>1</v>
      </c>
      <c r="H38" s="103">
        <f>$C$14</f>
        <v>4.3999999999999995</v>
      </c>
      <c r="I38" s="103" t="str">
        <f>IF($B38=0,"",VLOOKUP($B38,Table2[],5,FALSE))</f>
        <v>ton</v>
      </c>
      <c r="J38" s="109">
        <f>IF($B38=0,"",VLOOKUP($B38,Table2[],7,FALSE))</f>
        <v>1.9823788546255507</v>
      </c>
      <c r="K38" s="109">
        <f t="shared" ref="K38:K55" si="2">IF(B38=0,0,ROUND(G38*H38*J38,2))</f>
        <v>8.7200000000000006</v>
      </c>
      <c r="L38" s="110"/>
    </row>
    <row r="39" spans="1:12" x14ac:dyDescent="0.2">
      <c r="A39" s="105"/>
      <c r="B39" s="180" t="s">
        <v>199</v>
      </c>
      <c r="C39" s="388" t="str">
        <f>IF(B39=0,"",VLOOKUP($B39,Table2[],2,FALSE))</f>
        <v>Custom</v>
      </c>
      <c r="D39" s="388"/>
      <c r="E39" s="388"/>
      <c r="F39" s="174">
        <v>4</v>
      </c>
      <c r="G39" s="175">
        <v>1</v>
      </c>
      <c r="H39" s="176">
        <f>$C$14</f>
        <v>4.3999999999999995</v>
      </c>
      <c r="I39" s="120" t="str">
        <f>IF($B39=0,"",VLOOKUP($B39,Table2[],5,FALSE))</f>
        <v>ton</v>
      </c>
      <c r="J39" s="109">
        <f>IF($B39=0,"",VLOOKUP($B39,Table2[],7,FALSE))</f>
        <v>3.6710719530102787</v>
      </c>
      <c r="K39" s="109">
        <f t="shared" si="2"/>
        <v>16.149999999999999</v>
      </c>
      <c r="L39" s="110"/>
    </row>
    <row r="40" spans="1:12" x14ac:dyDescent="0.2">
      <c r="A40" s="105"/>
      <c r="B40" s="213" t="s">
        <v>302</v>
      </c>
      <c r="C40" s="387" t="str">
        <f>IF(B40=0,"",VLOOKUP($B40,Table2[],2,FALSE))</f>
        <v>Other</v>
      </c>
      <c r="D40" s="387"/>
      <c r="E40" s="387"/>
      <c r="F40" s="214">
        <v>5</v>
      </c>
      <c r="G40" s="221">
        <v>1</v>
      </c>
      <c r="H40" s="222">
        <v>2.2000000000000002</v>
      </c>
      <c r="I40" s="223" t="str">
        <f>IF($B40=0,"",VLOOKUP($B40,Table2[],5,FALSE))</f>
        <v>ton</v>
      </c>
      <c r="J40" s="215">
        <f>IF($B40=0,"",VLOOKUP($B40,Table2[],7,FALSE))</f>
        <v>15</v>
      </c>
      <c r="K40" s="215">
        <f t="shared" si="2"/>
        <v>33</v>
      </c>
      <c r="L40" s="216"/>
    </row>
    <row r="41" spans="1:12" x14ac:dyDescent="0.2">
      <c r="A41" s="105"/>
      <c r="B41" s="180" t="s">
        <v>291</v>
      </c>
      <c r="C41" s="388" t="str">
        <f>IF(B41=0,"",VLOOKUP($B41,Table2[],2,FALSE))</f>
        <v>Other</v>
      </c>
      <c r="D41" s="388"/>
      <c r="E41" s="388"/>
      <c r="F41" s="174">
        <v>7</v>
      </c>
      <c r="G41" s="175">
        <v>1</v>
      </c>
      <c r="H41" s="176">
        <v>1</v>
      </c>
      <c r="I41" s="120" t="str">
        <f>IF($B41=0,"",VLOOKUP($B41,Table2[],5,FALSE))</f>
        <v>acre</v>
      </c>
      <c r="J41" s="109">
        <f>IF($B41=0,"",VLOOKUP($B41,Table2[],7,FALSE))</f>
        <v>52</v>
      </c>
      <c r="K41" s="109">
        <f t="shared" si="2"/>
        <v>52</v>
      </c>
      <c r="L41" s="110"/>
    </row>
    <row r="42" spans="1:12" x14ac:dyDescent="0.2">
      <c r="A42" s="105"/>
      <c r="B42" s="180" t="s">
        <v>279</v>
      </c>
      <c r="C42" s="388" t="str">
        <f>IF(B42=0,"",VLOOKUP($B42,Table2[],2,FALSE))</f>
        <v>Herbicide</v>
      </c>
      <c r="D42" s="388"/>
      <c r="E42" s="388"/>
      <c r="F42" s="174">
        <v>8</v>
      </c>
      <c r="G42" s="175">
        <v>0.25</v>
      </c>
      <c r="H42" s="176">
        <v>3</v>
      </c>
      <c r="I42" s="312" t="str">
        <f>IF($B42=0,"",VLOOKUP($B42,Table2[],5,FALSE))</f>
        <v>pint</v>
      </c>
      <c r="J42" s="159">
        <f>IF($B42=0,"",VLOOKUP($B42,Table2[],7,FALSE))</f>
        <v>14.375</v>
      </c>
      <c r="K42" s="159">
        <f t="shared" si="2"/>
        <v>10.78</v>
      </c>
      <c r="L42" s="110"/>
    </row>
    <row r="43" spans="1:12" x14ac:dyDescent="0.2">
      <c r="A43" s="143"/>
      <c r="B43" s="180" t="s">
        <v>288</v>
      </c>
      <c r="C43" s="388" t="str">
        <f>IF(B43=0,"",VLOOKUP($B43,Table2[],2,FALSE))</f>
        <v>Insecticide</v>
      </c>
      <c r="D43" s="388"/>
      <c r="E43" s="388"/>
      <c r="F43" s="174">
        <v>9</v>
      </c>
      <c r="G43" s="175">
        <v>0.2</v>
      </c>
      <c r="H43" s="176">
        <v>3</v>
      </c>
      <c r="I43" s="120" t="str">
        <f>IF($B43=0,"",VLOOKUP($B43,Table2[],5,FALSE))</f>
        <v>ounce</v>
      </c>
      <c r="J43" s="109">
        <f>IF($B43=0,"",VLOOKUP($B43,Table2[],7,FALSE))</f>
        <v>1.25</v>
      </c>
      <c r="K43" s="109">
        <f t="shared" si="2"/>
        <v>0.75</v>
      </c>
      <c r="L43" s="110"/>
    </row>
    <row r="44" spans="1:12" ht="12.75" hidden="1" customHeight="1" x14ac:dyDescent="0.2">
      <c r="A44" s="143"/>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43"/>
      <c r="B45" s="111"/>
      <c r="C45" s="388" t="str">
        <f>IF(B45=0,"",VLOOKUP($B45,Table2[],2,FALSE))</f>
        <v/>
      </c>
      <c r="D45" s="388"/>
      <c r="E45" s="388"/>
      <c r="F45" s="112"/>
      <c r="G45" s="177"/>
      <c r="H45" s="178"/>
      <c r="I45" s="120" t="str">
        <f>IF($B45=0,"",VLOOKUP($B45,Table2[],5,FALSE))</f>
        <v/>
      </c>
      <c r="J45" s="109" t="str">
        <f>IF($B45=0,"",VLOOKUP($B45,Table2[],7,FALSE))</f>
        <v/>
      </c>
      <c r="K45" s="109">
        <f t="shared" si="2"/>
        <v>0</v>
      </c>
      <c r="L45" s="110"/>
    </row>
    <row r="46" spans="1:12" ht="12.75" hidden="1" customHeight="1" x14ac:dyDescent="0.2">
      <c r="A46" s="143"/>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1:12" ht="12.75" hidden="1" customHeight="1" x14ac:dyDescent="0.2">
      <c r="A47" s="143"/>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1:12" ht="12.75" hidden="1" customHeight="1" x14ac:dyDescent="0.2">
      <c r="A48" s="105"/>
      <c r="B48" s="217"/>
      <c r="C48" s="387" t="str">
        <f>IF(B48=0,"",VLOOKUP($B48,Table2[],2,FALSE))</f>
        <v/>
      </c>
      <c r="D48" s="387"/>
      <c r="E48" s="387"/>
      <c r="F48" s="218"/>
      <c r="G48" s="224"/>
      <c r="H48" s="225"/>
      <c r="I48" s="223" t="str">
        <f>IF($B48=0,"",VLOOKUP($B48,Table2[],5,FALSE))</f>
        <v/>
      </c>
      <c r="J48" s="215" t="str">
        <f>IF($B48=0,"",VLOOKUP($B48,Table2[],7,FALSE))</f>
        <v/>
      </c>
      <c r="K48" s="215">
        <f t="shared" si="2"/>
        <v>0</v>
      </c>
      <c r="L48" s="216"/>
    </row>
    <row r="49" spans="1:12" ht="12.75" hidden="1" customHeight="1" x14ac:dyDescent="0.2">
      <c r="A49" s="105"/>
      <c r="B49" s="111"/>
      <c r="C49" s="388" t="str">
        <f>IF(B49=0,"",VLOOKUP($B49,Table2[],2,FALSE))</f>
        <v/>
      </c>
      <c r="D49" s="388"/>
      <c r="E49" s="388"/>
      <c r="F49" s="112"/>
      <c r="G49" s="177"/>
      <c r="H49" s="178"/>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t="12.75" hidden="1" customHeight="1" x14ac:dyDescent="0.2">
      <c r="C61" s="388" t="s">
        <v>655</v>
      </c>
      <c r="D61" s="388"/>
      <c r="E61" s="388"/>
      <c r="F61" s="112"/>
      <c r="G61" s="177"/>
      <c r="H61" s="178"/>
      <c r="I61" s="170"/>
      <c r="J61" s="109" t="str">
        <f ca="1">IF(F5=0,E5,F5)</f>
        <v>N/A</v>
      </c>
      <c r="K61" s="109">
        <f>IF(B61=0,0,J61)</f>
        <v>0</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41">
        <f>SUM(K37:K61)</f>
        <v>151.4</v>
      </c>
      <c r="L63" s="110"/>
    </row>
    <row r="64" spans="1:12" x14ac:dyDescent="0.2">
      <c r="B64" s="144"/>
      <c r="K64" s="128"/>
    </row>
    <row r="65" spans="2:12" x14ac:dyDescent="0.2">
      <c r="B65" s="107" t="s">
        <v>672</v>
      </c>
      <c r="K65" s="141">
        <f>K33+K63</f>
        <v>490.38</v>
      </c>
      <c r="L65" s="110"/>
    </row>
    <row r="66" spans="2:12" ht="13.5" thickBot="1" x14ac:dyDescent="0.25">
      <c r="D66" s="128" t="s">
        <v>673</v>
      </c>
      <c r="E66" s="129">
        <f>ROUND(SUM($E$33:$H$33)+$K$63,2)</f>
        <v>312.01</v>
      </c>
      <c r="F66" s="388" t="s">
        <v>674</v>
      </c>
      <c r="G66" s="388"/>
      <c r="H66" s="130">
        <f>'General Variables'!$B$11</f>
        <v>7.4999999999999997E-2</v>
      </c>
      <c r="I66" s="131" t="str">
        <f>CONCATENATE("for ",TEXT('General Variables'!$B$12,"0.0")," mo.")</f>
        <v>for 6.0 mo.</v>
      </c>
      <c r="K66" s="145">
        <f>E66*H66*'General Variables'!$B$12/12</f>
        <v>11.700374999999999</v>
      </c>
      <c r="L66" s="113"/>
    </row>
    <row r="67" spans="2:12" ht="13.5" thickTop="1" x14ac:dyDescent="0.2">
      <c r="B67" s="107" t="s">
        <v>675</v>
      </c>
      <c r="K67" s="141">
        <f>SUM(K65:K66)</f>
        <v>502.080375</v>
      </c>
      <c r="L67" s="110"/>
    </row>
    <row r="68" spans="2:12" x14ac:dyDescent="0.2">
      <c r="K68" s="128"/>
    </row>
    <row r="69" spans="2:12" x14ac:dyDescent="0.2">
      <c r="B69" s="104" t="s">
        <v>676</v>
      </c>
      <c r="C69" s="134"/>
      <c r="D69" s="134"/>
      <c r="E69" s="134"/>
      <c r="F69" s="134"/>
      <c r="G69" s="134"/>
      <c r="H69" s="134"/>
      <c r="I69" s="134"/>
      <c r="J69" s="134"/>
      <c r="K69" s="142">
        <f>'General Variables'!B14</f>
        <v>35</v>
      </c>
      <c r="L69" s="110"/>
    </row>
    <row r="70" spans="2:12" x14ac:dyDescent="0.2">
      <c r="B70" s="103" t="s">
        <v>687</v>
      </c>
      <c r="C70" s="402" t="s">
        <v>42</v>
      </c>
      <c r="D70" s="403"/>
      <c r="E70" s="404"/>
      <c r="F70" s="136">
        <f>IF(C70=0,0,VLOOKUP(C70,RETable,2,FALSE))</f>
        <v>3970</v>
      </c>
      <c r="G70" s="388" t="s">
        <v>678</v>
      </c>
      <c r="H70" s="388"/>
      <c r="I70" s="130">
        <f>'General Variables'!$B$10</f>
        <v>0.03</v>
      </c>
      <c r="K70" s="146">
        <f>ROUND(F70*I70,2)</f>
        <v>119.1</v>
      </c>
      <c r="L70" s="110"/>
    </row>
    <row r="71" spans="2:12" ht="13.5" thickBot="1" x14ac:dyDescent="0.25">
      <c r="B71" s="103" t="s">
        <v>679</v>
      </c>
      <c r="F71" s="138">
        <f>IF(C70=0,0,VLOOKUP(C70,RETable,2,FALSE))</f>
        <v>3970</v>
      </c>
      <c r="G71" s="397" t="s">
        <v>678</v>
      </c>
      <c r="H71" s="397"/>
      <c r="I71" s="139">
        <f>'General Variables'!$B$13</f>
        <v>1.2999999999999999E-2</v>
      </c>
      <c r="J71" s="105"/>
      <c r="K71" s="147">
        <f>ROUND(F71*I71,2)</f>
        <v>51.61</v>
      </c>
      <c r="L71" s="133"/>
    </row>
    <row r="72" spans="2:12" ht="13.5" thickTop="1" x14ac:dyDescent="0.2">
      <c r="B72" s="107" t="s">
        <v>680</v>
      </c>
      <c r="K72" s="141">
        <f>SUM(K67:K71)</f>
        <v>707.79037500000004</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IF(G4=0,0,(E66+K66+K69+K71)/G4)</f>
        <v>62.16975378787879</v>
      </c>
      <c r="L74" s="148"/>
    </row>
    <row r="75" spans="2:12" x14ac:dyDescent="0.2">
      <c r="B75" s="107" t="str">
        <f>IF(G4="","","Cost of production per "&amp;H4)</f>
        <v>Cost of production per ton</v>
      </c>
      <c r="K75" s="141">
        <f>IF(G4="","",K72/G4)</f>
        <v>107.24096590909092</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66:G66"/>
    <mergeCell ref="C70:E70"/>
    <mergeCell ref="G70:H70"/>
    <mergeCell ref="G71:H71"/>
    <mergeCell ref="C56:E56"/>
    <mergeCell ref="C57:E57"/>
    <mergeCell ref="C58:E58"/>
    <mergeCell ref="C59:E59"/>
    <mergeCell ref="C60:E60"/>
    <mergeCell ref="C61:E61"/>
    <mergeCell ref="C55:E55"/>
    <mergeCell ref="C44:E44"/>
    <mergeCell ref="C45:E45"/>
    <mergeCell ref="C46:E46"/>
    <mergeCell ref="C47:E47"/>
    <mergeCell ref="C48:E48"/>
    <mergeCell ref="C49:E49"/>
    <mergeCell ref="C50:E50"/>
    <mergeCell ref="C51:E51"/>
    <mergeCell ref="C52:E52"/>
    <mergeCell ref="C53:E53"/>
    <mergeCell ref="C54:E54"/>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1200-000000000000}">
      <formula1>$B$111:$B$208</formula1>
    </dataValidation>
    <dataValidation type="list" allowBlank="1" showInputMessage="1" showErrorMessage="1" sqref="B62" xr:uid="{00000000-0002-0000-1200-000001000000}">
      <formula1>$C$111:$C$234</formula1>
    </dataValidation>
    <dataValidation type="list" allowBlank="1" showInputMessage="1" showErrorMessage="1" sqref="K4" xr:uid="{00000000-0002-0000-1200-000002000000}">
      <formula1>$K$111:$K$113</formula1>
    </dataValidation>
    <dataValidation type="list" allowBlank="1" showInputMessage="1" showErrorMessage="1" sqref="B37:B60" xr:uid="{00000000-0002-0000-1200-000003000000}">
      <formula1>MaterialList</formula1>
    </dataValidation>
    <dataValidation type="list" allowBlank="1" showInputMessage="1" showErrorMessage="1" sqref="C70:E70" xr:uid="{00000000-0002-0000-1200-000004000000}">
      <formula1>RealEstateList</formula1>
    </dataValidation>
    <dataValidation type="list" allowBlank="1" showInputMessage="1" showErrorMessage="1" sqref="B12:B31" xr:uid="{00000000-0002-0000-1200-000005000000}">
      <formula1>OperationList</formula1>
    </dataValidation>
    <dataValidation type="list" allowBlank="1" showInputMessage="1" showErrorMessage="1" sqref="D12:D32" xr:uid="{00000000-0002-0000-1200-000006000000}">
      <formula1>#REF!</formula1>
    </dataValidation>
    <dataValidation type="list" allowBlank="1" showInputMessage="1" showErrorMessage="1" sqref="K2" xr:uid="{00000000-0002-0000-1200-000007000000}">
      <formula1>watersource</formula1>
    </dataValidation>
    <dataValidation type="list" allowBlank="1" showInputMessage="1" showErrorMessage="1" sqref="C3" xr:uid="{00000000-0002-0000-1200-000008000000}">
      <formula1>TillageSystem</formula1>
    </dataValidation>
  </dataValidations>
  <pageMargins left="0.7" right="0.7" top="0.75" bottom="0.75" header="0.3" footer="0.3"/>
  <pageSetup scale="7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3">
    <pageSetUpPr fitToPage="1"/>
  </sheetPr>
  <dimension ref="A2:M257"/>
  <sheetViews>
    <sheetView topLeftCell="A14" zoomScaleNormal="100" workbookViewId="0">
      <selection activeCell="C45" sqref="C45:E4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73</v>
      </c>
      <c r="L2" s="401"/>
    </row>
    <row r="3" spans="1:13" hidden="1" x14ac:dyDescent="0.2">
      <c r="B3" s="103" t="s">
        <v>38</v>
      </c>
      <c r="C3" s="391"/>
      <c r="D3" s="391"/>
      <c r="E3" s="391"/>
      <c r="G3" s="128" t="s">
        <v>650</v>
      </c>
      <c r="H3" s="187" t="s">
        <v>704</v>
      </c>
      <c r="J3" s="128" t="s">
        <v>651</v>
      </c>
      <c r="K3" s="187">
        <v>22</v>
      </c>
    </row>
    <row r="4" spans="1:13" hidden="1" x14ac:dyDescent="0.2">
      <c r="B4" s="103" t="s">
        <v>652</v>
      </c>
      <c r="C4" s="392" t="s">
        <v>691</v>
      </c>
      <c r="D4" s="392"/>
      <c r="E4" s="392"/>
      <c r="G4" s="103">
        <f>IFERROR(VALUE(LEFT($H$3,FIND(" ",$H$3))),"")</f>
        <v>6.6</v>
      </c>
      <c r="H4" s="103" t="str">
        <f>IFERROR(RIGHT(H3,LEN(H3)-LEN(G4)-1),"")</f>
        <v>ton</v>
      </c>
      <c r="J4" s="128" t="s">
        <v>653</v>
      </c>
      <c r="K4" s="188"/>
    </row>
    <row r="5" spans="1:13" ht="15.75" hidden="1" customHeight="1" x14ac:dyDescent="0.2">
      <c r="B5" s="103" t="s">
        <v>655</v>
      </c>
      <c r="C5" s="103" t="str">
        <f ca="1">MID(CELL("filename",C5),FIND("]",CELL("filename",C5))+1,255)</f>
        <v>13-Alfalfa</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13-Alfalfa, Large Square Bales, 6.6 ton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13-Alfalfa, Large Square Bales, 6.6 ton Yield</v>
      </c>
      <c r="C7" s="393"/>
      <c r="D7" s="393"/>
      <c r="E7" s="393"/>
      <c r="F7" s="393"/>
      <c r="G7" s="393"/>
      <c r="H7" s="393"/>
      <c r="I7" s="393"/>
      <c r="J7" s="393"/>
      <c r="K7" s="393"/>
      <c r="L7" s="393"/>
      <c r="M7" s="186"/>
    </row>
    <row r="8" spans="1:13" ht="15.75" x14ac:dyDescent="0.25">
      <c r="B8" s="189" t="str">
        <f>IF(K2="","",K2)&amp;IF(LEFT(K2,5)="Pivot",", 800 GPM 35 PSI","") &amp; IF(K3="","",", "&amp; K3&amp;" "&amp;J3)</f>
        <v>Gravity Irrigated, fed by canal, 22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566</v>
      </c>
      <c r="C14" s="174">
        <v>1</v>
      </c>
      <c r="D14" s="174"/>
      <c r="E14" s="109">
        <f>IF(B14=0,"",IF(C14&gt;9999,"",ROUND('General Variables'!$B$4*VLOOKUP(B14,Operations!$A$2:$U$79,10,FALSE)/VLOOKUP(B14,Operations!$A$2:$U$79,9,FALSE)*C14,2)))</f>
        <v>2.25</v>
      </c>
      <c r="F14" s="109">
        <f>IF(B14=0,0,IF(C14&gt;9999,"",ROUND(IF(VLOOKUP(B14,Operations!$A$2:$U$79,12,FALSE)=0,VLOOKUP(B14,Operations!$A$2:$U$79,13,FALSE)*'General Variables'!$B$8,VLOOKUP(B14,Operations!$A$2:$U$79,12,FALSE)*'General Variables'!$B$7)/VLOOKUP(B14,Operations!$A$2:$U$79,9,FALSE)*C14,2)))</f>
        <v>0.56000000000000005</v>
      </c>
      <c r="G14" s="109">
        <f>IF(B14=0,0,IF(C14&gt;9999,"",ROUND(VLOOKUP(VLOOKUP(B14,Operations!$A$2:$U$79,11,FALSE),PowerUnits[],10,FALSE)/VLOOKUP(B14,Operations!$A$2:$U$79,9,FALSE)*C14,2)))</f>
        <v>0.85</v>
      </c>
      <c r="H14" s="109">
        <f>IF(B14=0,"",IF(C14&gt;9999,"",ROUND(VLOOKUP($B14,Operations!$A$2:$U$79,15,FALSE)*C14,2)))</f>
        <v>0.25</v>
      </c>
      <c r="I14" s="109">
        <f>IF(B14=0,0,IF(C14&gt;9999,"",ROUND(VLOOKUP(VLOOKUP(B14,Operations!$A$2:$U$79,11,FALSE),PowerUnits[],16,FALSE)/VLOOKUP(B14,Operations!$A$2:$U$79,9,FALSE)*C14,2)))</f>
        <v>3.12</v>
      </c>
      <c r="J14" s="109">
        <f>IF(B14=0,"",IF(C14&gt;9999,"",ROUND(VLOOKUP($B14,Operations!$A$2:$U$79,21,FALSE)*$C14,2)))</f>
        <v>0.53</v>
      </c>
      <c r="K14" s="109">
        <f t="shared" si="0"/>
        <v>7.56</v>
      </c>
      <c r="L14" s="110"/>
    </row>
    <row r="15" spans="1:13" x14ac:dyDescent="0.2">
      <c r="A15" s="170">
        <v>4</v>
      </c>
      <c r="B15" s="213" t="s">
        <v>485</v>
      </c>
      <c r="C15" s="214">
        <v>4</v>
      </c>
      <c r="D15" s="214"/>
      <c r="E15" s="215">
        <f>IF(B15=0,"",IF(C15&gt;9999,"",ROUND('General Variables'!$B$4*VLOOKUP(B15,Operations!$A$2:$U$79,10,FALSE)/VLOOKUP(B15,Operations!$A$2:$U$79,9,FALSE)*C15,2)))</f>
        <v>5.94</v>
      </c>
      <c r="F15" s="215">
        <f>IF(B15=0,0,IF(C15&gt;9999,"",ROUND(IF(VLOOKUP(B15,Operations!$A$2:$U$79,12,FALSE)=0,VLOOKUP(B15,Operations!$A$2:$U$79,13,FALSE)*'General Variables'!$B$8,VLOOKUP(B15,Operations!$A$2:$U$79,12,FALSE)*'General Variables'!$B$7)/VLOOKUP(B15,Operations!$A$2:$U$79,9,FALSE)*C15,2)))</f>
        <v>1.35</v>
      </c>
      <c r="G15" s="215">
        <f>IF(B15=0,0,IF(C15&gt;9999,"",ROUND(VLOOKUP(VLOOKUP(B15,Operations!$A$2:$U$79,11,FALSE),PowerUnits[],10,FALSE)/VLOOKUP(B15,Operations!$A$2:$U$79,9,FALSE)*C15,2)))</f>
        <v>0.17</v>
      </c>
      <c r="H15" s="215">
        <f>IF(B15=0,"",IF(C15&gt;9999,"",ROUND(VLOOKUP($B15,Operations!$A$2:$U$79,15,FALSE)*C15,2)))</f>
        <v>1.6</v>
      </c>
      <c r="I15" s="215">
        <f>IF(B15=0,0,IF(C15&gt;9999,"",ROUND(VLOOKUP(VLOOKUP(B15,Operations!$A$2:$U$79,11,FALSE),PowerUnits[],16,FALSE)/VLOOKUP(B15,Operations!$A$2:$U$79,9,FALSE)*C15,2)))</f>
        <v>8.66</v>
      </c>
      <c r="J15" s="215">
        <f>IF(B15=0,"",IF(C15&gt;9999,"",ROUND(VLOOKUP($B15,Operations!$A$2:$U$79,21,FALSE)*$C15,2)))</f>
        <v>10.79</v>
      </c>
      <c r="K15" s="215">
        <f t="shared" si="0"/>
        <v>28.51</v>
      </c>
      <c r="L15" s="216"/>
    </row>
    <row r="16" spans="1:13" x14ac:dyDescent="0.2">
      <c r="A16" s="170">
        <v>5</v>
      </c>
      <c r="B16" s="180" t="s">
        <v>396</v>
      </c>
      <c r="C16" s="174">
        <v>6.6</v>
      </c>
      <c r="D16" s="174"/>
      <c r="E16" s="109">
        <f>IF(B16=0,"",IF(C16&gt;9999,"",ROUND('General Variables'!$B$4*VLOOKUP(B16,Operations!$A$2:$U$79,10,FALSE)/VLOOKUP(B16,Operations!$A$2:$U$79,9,FALSE)*C16,2)))</f>
        <v>11.53</v>
      </c>
      <c r="F16" s="109">
        <f>IF(B16=0,0,IF(C16&gt;9999,"",ROUND(IF(VLOOKUP(B16,Operations!$A$2:$U$79,12,FALSE)=0,VLOOKUP(B16,Operations!$A$2:$U$79,13,FALSE)*'General Variables'!$B$8,VLOOKUP(B16,Operations!$A$2:$U$79,12,FALSE)*'General Variables'!$B$7)/VLOOKUP(B16,Operations!$A$2:$U$79,9,FALSE)*C16,2)))</f>
        <v>7.68</v>
      </c>
      <c r="G16" s="109">
        <f>IF(B16=0,0,IF(C16&gt;9999,"",ROUND(VLOOKUP(VLOOKUP(B16,Operations!$A$2:$U$79,11,FALSE),PowerUnits[],10,FALSE)/VLOOKUP(B16,Operations!$A$2:$U$79,9,FALSE)*C16,2)))</f>
        <v>1.31</v>
      </c>
      <c r="H16" s="109">
        <f>IF(B16=0,"",IF(C16&gt;9999,"",ROUND(VLOOKUP($B16,Operations!$A$2:$U$79,15,FALSE)*C16,2)))</f>
        <v>4.82</v>
      </c>
      <c r="I16" s="109">
        <f>IF(B16=0,0,IF(C16&gt;9999,"",ROUND(VLOOKUP(VLOOKUP(B16,Operations!$A$2:$U$79,11,FALSE),PowerUnits[],16,FALSE)/VLOOKUP(B16,Operations!$A$2:$U$79,9,FALSE)*C16,2)))</f>
        <v>35.840000000000003</v>
      </c>
      <c r="J16" s="109">
        <f>IF(B16=0,"",IF(C16&gt;9999,"",ROUND(VLOOKUP($B16,Operations!$A$2:$U$79,21,FALSE)*$C16,2)))</f>
        <v>51.76</v>
      </c>
      <c r="K16" s="109">
        <f>IF(C16&gt;9999,"",ROUND(SUM(E16:J16),2))</f>
        <v>112.94</v>
      </c>
      <c r="L16" s="110"/>
    </row>
    <row r="17" spans="1:12" x14ac:dyDescent="0.2">
      <c r="A17" s="170">
        <v>6</v>
      </c>
      <c r="B17" s="180" t="s">
        <v>508</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IF(C17&gt;9999,"",ROUND(SUM(E17:J17),2))</f>
        <v/>
      </c>
      <c r="L17" s="110"/>
    </row>
    <row r="18" spans="1:12" x14ac:dyDescent="0.2">
      <c r="A18" s="170">
        <v>7</v>
      </c>
      <c r="B18" s="180" t="s">
        <v>475</v>
      </c>
      <c r="C18" s="174">
        <v>1</v>
      </c>
      <c r="D18" s="174"/>
      <c r="E18" s="109">
        <f>IF(B18=0,"",IF(C18&gt;9999,"",ROUND('General Variables'!$B$4*VLOOKUP(B18,Operations!$A$2:$U$79,10,FALSE)/VLOOKUP(B18,Operations!$A$2:$U$79,9,FALSE)*C18,2)))</f>
        <v>4.2300000000000004</v>
      </c>
      <c r="F18" s="109">
        <f>IF(B18=0,0,IF(C18&gt;9999,"",ROUND(IF(VLOOKUP(B18,Operations!$A$2:$U$79,12,FALSE)=0,VLOOKUP(B18,Operations!$A$2:$U$79,13,FALSE)*'General Variables'!$B$8,VLOOKUP(B18,Operations!$A$2:$U$79,12,FALSE)*'General Variables'!$B$7)/VLOOKUP(B18,Operations!$A$2:$U$79,9,FALSE)*C18,2)))</f>
        <v>2</v>
      </c>
      <c r="G18" s="109">
        <f>IF(B18=0,0,IF(C18&gt;9999,"",ROUND(VLOOKUP(VLOOKUP(B18,Operations!$A$2:$U$79,11,FALSE),PowerUnits[],10,FALSE)/VLOOKUP(B18,Operations!$A$2:$U$79,9,FALSE)*C18,2)))</f>
        <v>0.48</v>
      </c>
      <c r="H18" s="109">
        <f>IF(B18=0,"",IF(C18&gt;9999,"",ROUND(VLOOKUP($B18,Operations!$A$2:$U$79,15,FALSE)*C18,2)))</f>
        <v>2.2000000000000002</v>
      </c>
      <c r="I18" s="109">
        <f>IF(B18=0,0,IF(C18&gt;9999,"",ROUND(VLOOKUP(VLOOKUP(B18,Operations!$A$2:$U$79,11,FALSE),PowerUnits[],16,FALSE)/VLOOKUP(B18,Operations!$A$2:$U$79,9,FALSE)*C18,2)))</f>
        <v>13.15</v>
      </c>
      <c r="J18" s="109">
        <f>IF(B18=0,"",IF(C18&gt;9999,"",ROUND(VLOOKUP($B18,Operations!$A$2:$U$79,21,FALSE)*$C18,2)))</f>
        <v>12.28</v>
      </c>
      <c r="K18" s="109">
        <f t="shared" si="0"/>
        <v>34.340000000000003</v>
      </c>
      <c r="L18" s="110"/>
    </row>
    <row r="19" spans="1:12" x14ac:dyDescent="0.2">
      <c r="A19" s="170">
        <v>8</v>
      </c>
      <c r="B19" s="213" t="s">
        <v>482</v>
      </c>
      <c r="C19" s="214">
        <f>$K$3</f>
        <v>22</v>
      </c>
      <c r="D19" s="214" t="s">
        <v>693</v>
      </c>
      <c r="E19" s="219">
        <f>IF(B19=0,"",IF(C19&gt;9999,"",ROUND('General Variables'!$B$4*VLOOKUP(B19,Operations!$A$2:$U$79,10,FALSE)/VLOOKUP(B19,Operations!$A$2:$U$79,9,FALSE)*C19,2)))</f>
        <v>33</v>
      </c>
      <c r="F19" s="219"/>
      <c r="G19" s="219"/>
      <c r="H19" s="219"/>
      <c r="I19" s="219"/>
      <c r="J19" s="219"/>
      <c r="K19" s="219">
        <f>SUM(E19:J19)</f>
        <v>33</v>
      </c>
      <c r="L19" s="216"/>
    </row>
    <row r="20" spans="1:12" x14ac:dyDescent="0.2">
      <c r="A20" s="170">
        <v>9</v>
      </c>
      <c r="B20" s="180" t="s">
        <v>551</v>
      </c>
      <c r="C20" s="174">
        <v>0.25</v>
      </c>
      <c r="D20" s="112"/>
      <c r="E20" s="109">
        <f>IF(B20=0,"",IF(C20&gt;9999,"",ROUND('General Variables'!$B$4*VLOOKUP(B20,Operations!$A$2:$U$79,10,FALSE)/VLOOKUP(B20,Operations!$A$2:$U$79,9,FALSE)*C20,2)))</f>
        <v>0.26</v>
      </c>
      <c r="F20" s="109">
        <f>IF(B20=0,0,IF(C20&gt;9999,"",ROUND(IF(VLOOKUP(B20,Operations!$A$2:$U$79,12,FALSE)=0,VLOOKUP(B20,Operations!$A$2:$U$79,13,FALSE)*'General Variables'!$B$8,VLOOKUP(B20,Operations!$A$2:$U$79,12,FALSE)*'General Variables'!$B$7)/VLOOKUP(B20,Operations!$A$2:$U$79,9,FALSE)*C20,2)))</f>
        <v>0.06</v>
      </c>
      <c r="G20" s="109">
        <f>IF(B20=0,0,IF(C20&gt;9999,"",ROUND(VLOOKUP(VLOOKUP(B20,Operations!$A$2:$U$79,11,FALSE),PowerUnits[],10,FALSE)/VLOOKUP(B20,Operations!$A$2:$U$79,9,FALSE)*C20,2)))</f>
        <v>0.01</v>
      </c>
      <c r="H20" s="109">
        <f>IF(B20=0,"",IF(C20&gt;9999,"",ROUND(VLOOKUP($B20,Operations!$A$2:$U$79,15,FALSE)*C20,2)))</f>
        <v>0.28000000000000003</v>
      </c>
      <c r="I20" s="109">
        <f>IF(B20=0,0,IF(C20&gt;9999,"",ROUND(VLOOKUP(VLOOKUP(B20,Operations!$A$2:$U$79,11,FALSE),PowerUnits[],16,FALSE)/VLOOKUP(B20,Operations!$A$2:$U$79,9,FALSE)*C20,2)))</f>
        <v>0.33</v>
      </c>
      <c r="J20" s="109">
        <f>IF(B20=0,"",IF(C20&gt;9999,"",ROUND(VLOOKUP($B20,Operations!$A$2:$U$79,21,FALSE)*$C20,2)))</f>
        <v>0.5</v>
      </c>
      <c r="K20" s="109">
        <f t="shared" si="0"/>
        <v>1.44</v>
      </c>
      <c r="L20" s="110"/>
    </row>
    <row r="21" spans="1:12" x14ac:dyDescent="0.2">
      <c r="A21" s="170">
        <v>10</v>
      </c>
      <c r="B21" s="180" t="s">
        <v>552</v>
      </c>
      <c r="C21" s="174">
        <v>0.2</v>
      </c>
      <c r="D21" s="112"/>
      <c r="E21" s="109">
        <f>IF(B21=0,"",IF(C21&gt;9999,"",ROUND('General Variables'!$B$4*VLOOKUP(B21,Operations!$A$2:$U$79,10,FALSE)/VLOOKUP(B21,Operations!$A$2:$U$79,9,FALSE)*C21,2)))</f>
        <v>0.2</v>
      </c>
      <c r="F21" s="109">
        <f>IF(B21=0,0,IF(C21&gt;9999,"",ROUND(IF(VLOOKUP(B21,Operations!$A$2:$U$79,12,FALSE)=0,VLOOKUP(B21,Operations!$A$2:$U$79,13,FALSE)*'General Variables'!$B$8,VLOOKUP(B21,Operations!$A$2:$U$79,12,FALSE)*'General Variables'!$B$7)/VLOOKUP(B21,Operations!$A$2:$U$79,9,FALSE)*C21,2)))</f>
        <v>0.05</v>
      </c>
      <c r="G21" s="109">
        <f>IF(B21=0,0,IF(C21&gt;9999,"",ROUND(VLOOKUP(VLOOKUP(B21,Operations!$A$2:$U$79,11,FALSE),PowerUnits[],10,FALSE)/VLOOKUP(B21,Operations!$A$2:$U$79,9,FALSE)*C21,2)))</f>
        <v>0.01</v>
      </c>
      <c r="H21" s="109">
        <f>IF(B21=0,"",IF(C21&gt;9999,"",ROUND(VLOOKUP($B21,Operations!$A$2:$U$79,15,FALSE)*C21,2)))</f>
        <v>0.22</v>
      </c>
      <c r="I21" s="109">
        <f>IF(B21=0,0,IF(C21&gt;9999,"",ROUND(VLOOKUP(VLOOKUP(B21,Operations!$A$2:$U$79,11,FALSE),PowerUnits[],16,FALSE)/VLOOKUP(B21,Operations!$A$2:$U$79,9,FALSE)*C21,2)))</f>
        <v>0.26</v>
      </c>
      <c r="J21" s="109">
        <f>IF(B21=0,"",IF(C21&gt;9999,"",ROUND(VLOOKUP($B21,Operations!$A$2:$U$79,21,FALSE)*$C21,2)))</f>
        <v>0.4</v>
      </c>
      <c r="K21" s="109">
        <f t="shared" si="0"/>
        <v>1.1399999999999999</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70.34</v>
      </c>
      <c r="F33" s="109">
        <f t="shared" ref="F33:K33" si="1">SUM(F12:F31)</f>
        <v>19.059999999999999</v>
      </c>
      <c r="G33" s="109">
        <f t="shared" si="1"/>
        <v>6.9700000000000006</v>
      </c>
      <c r="H33" s="109">
        <f t="shared" si="1"/>
        <v>13.440000000000001</v>
      </c>
      <c r="I33" s="109">
        <f t="shared" si="1"/>
        <v>79.740000000000009</v>
      </c>
      <c r="J33" s="109">
        <f t="shared" si="1"/>
        <v>99.200000000000017</v>
      </c>
      <c r="K33" s="109">
        <f t="shared" si="1"/>
        <v>288.75</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75</v>
      </c>
      <c r="I37" s="120" t="str">
        <f>IF($B37=0,"",VLOOKUP($B37,Table2[],5,FALSE))</f>
        <v>pound</v>
      </c>
      <c r="J37" s="109">
        <f>IF($B37=0,"",VLOOKUP($B37,Table2[],7,FALSE))</f>
        <v>0.4</v>
      </c>
      <c r="K37" s="109">
        <f t="shared" ref="K37:K38" si="2">IF(B37=0,0,ROUND(G37*H37*J37,2))</f>
        <v>30</v>
      </c>
      <c r="L37" s="110"/>
    </row>
    <row r="38" spans="2:12" x14ac:dyDescent="0.2">
      <c r="B38" s="180" t="s">
        <v>301</v>
      </c>
      <c r="C38" s="388" t="str">
        <f>IF(B38=0,"",VLOOKUP($B38,Table2[],2,FALSE))</f>
        <v>Other</v>
      </c>
      <c r="D38" s="388"/>
      <c r="E38" s="388"/>
      <c r="F38" s="174">
        <v>5</v>
      </c>
      <c r="G38" s="175">
        <v>1</v>
      </c>
      <c r="H38" s="103">
        <v>6.6</v>
      </c>
      <c r="I38" s="103" t="s">
        <v>187</v>
      </c>
      <c r="J38" s="109">
        <f>IF($B38=0,"",VLOOKUP($B38,Table2[],7,FALSE))</f>
        <v>1.9823788546255507</v>
      </c>
      <c r="K38" s="109">
        <f t="shared" si="2"/>
        <v>13.08</v>
      </c>
      <c r="L38" s="110"/>
    </row>
    <row r="39" spans="2:12" x14ac:dyDescent="0.2">
      <c r="B39" s="180" t="s">
        <v>199</v>
      </c>
      <c r="C39" s="388" t="str">
        <f>IF(B39=0,"",VLOOKUP($B39,Table2[],2,FALSE))</f>
        <v>Custom</v>
      </c>
      <c r="D39" s="388"/>
      <c r="E39" s="388"/>
      <c r="F39" s="174">
        <v>6</v>
      </c>
      <c r="G39" s="175">
        <v>1</v>
      </c>
      <c r="H39" s="176">
        <f>$G$4</f>
        <v>6.6</v>
      </c>
      <c r="I39" s="120" t="str">
        <f>IF($B39=0,"",VLOOKUP($B39,Table2[],5,FALSE))</f>
        <v>ton</v>
      </c>
      <c r="J39" s="109">
        <f>IF($B39=0,"",VLOOKUP($B39,Table2[],7,FALSE))</f>
        <v>3.6710719530102787</v>
      </c>
      <c r="K39" s="109">
        <f t="shared" ref="K39:K45" si="3">IF(B39=0,0,ROUND(G39*H39*J39,2))</f>
        <v>24.23</v>
      </c>
      <c r="L39" s="110"/>
    </row>
    <row r="40" spans="2:12" x14ac:dyDescent="0.2">
      <c r="B40" s="213" t="s">
        <v>297</v>
      </c>
      <c r="C40" s="387" t="str">
        <f>IF(B40=0,"",VLOOKUP($B40,Table2[],2,FALSE))</f>
        <v>Other</v>
      </c>
      <c r="D40" s="387"/>
      <c r="E40" s="387"/>
      <c r="F40" s="214">
        <v>8</v>
      </c>
      <c r="G40" s="221">
        <v>1</v>
      </c>
      <c r="H40" s="222">
        <v>1</v>
      </c>
      <c r="I40" s="223" t="str">
        <f>IF($B40=0,"",VLOOKUP($B40,Table2[],5,FALSE))</f>
        <v>acre</v>
      </c>
      <c r="J40" s="215">
        <f>IF($B40=0,"",VLOOKUP($B40,Table2[],7,FALSE))</f>
        <v>40</v>
      </c>
      <c r="K40" s="215">
        <f t="shared" si="3"/>
        <v>40</v>
      </c>
      <c r="L40" s="216"/>
    </row>
    <row r="41" spans="2:12" x14ac:dyDescent="0.2">
      <c r="B41" s="180" t="s">
        <v>245</v>
      </c>
      <c r="C41" s="388" t="s">
        <v>228</v>
      </c>
      <c r="D41" s="388"/>
      <c r="E41" s="388"/>
      <c r="F41" s="174">
        <v>9</v>
      </c>
      <c r="G41" s="175">
        <v>0.25</v>
      </c>
      <c r="H41" s="176">
        <v>1</v>
      </c>
      <c r="I41" s="120" t="s">
        <v>179</v>
      </c>
      <c r="J41" s="109">
        <f>IF($B41=0,"",VLOOKUP($B41,Table2[],7,FALSE))</f>
        <v>6.625</v>
      </c>
      <c r="K41" s="109">
        <f t="shared" ref="K41" si="4">IF(B41=0,0,ROUND(G41*H41*J41,2))</f>
        <v>1.66</v>
      </c>
      <c r="L41" s="110"/>
    </row>
    <row r="42" spans="2:12" x14ac:dyDescent="0.2">
      <c r="B42" s="180" t="s">
        <v>267</v>
      </c>
      <c r="C42" s="388" t="str">
        <f>IF(B42=0,"",VLOOKUP($B42,Table2[],2,FALSE))</f>
        <v>Herbicide</v>
      </c>
      <c r="D42" s="388"/>
      <c r="E42" s="388"/>
      <c r="F42" s="174">
        <v>9</v>
      </c>
      <c r="G42" s="175">
        <v>0.25</v>
      </c>
      <c r="H42" s="176">
        <v>3</v>
      </c>
      <c r="I42" s="120" t="str">
        <f>IF($B42=0,"",VLOOKUP($B42,Table2[],5,FALSE))</f>
        <v>ounce</v>
      </c>
      <c r="J42" s="109">
        <f>IF($B42=0,"",VLOOKUP($B42,Table2[],7,FALSE))</f>
        <v>3.90625</v>
      </c>
      <c r="K42" s="109">
        <f t="shared" si="3"/>
        <v>2.93</v>
      </c>
      <c r="L42" s="110"/>
    </row>
    <row r="43" spans="2:12" x14ac:dyDescent="0.2">
      <c r="B43" s="180" t="s">
        <v>177</v>
      </c>
      <c r="C43" s="388" t="str">
        <f>IF(B43=0,"",VLOOKUP($B43,Table2[],2,FALSE))</f>
        <v>Additive</v>
      </c>
      <c r="D43" s="388"/>
      <c r="E43" s="388"/>
      <c r="F43" s="174">
        <v>9</v>
      </c>
      <c r="G43" s="175">
        <v>0.25</v>
      </c>
      <c r="H43" s="176">
        <v>1.6</v>
      </c>
      <c r="I43" s="120" t="str">
        <f>IF($B43=0,"",VLOOKUP($B43,Table2[],5,FALSE))</f>
        <v>pint</v>
      </c>
      <c r="J43" s="109">
        <f>IF($B43=0,"",VLOOKUP($B43,Table2[],7,FALSE))</f>
        <v>1.875</v>
      </c>
      <c r="K43" s="109">
        <f t="shared" si="3"/>
        <v>0.75</v>
      </c>
      <c r="L43" s="110"/>
    </row>
    <row r="44" spans="2:12" x14ac:dyDescent="0.2">
      <c r="B44" s="213" t="s">
        <v>182</v>
      </c>
      <c r="C44" s="387" t="str">
        <f>IF(B44=0,"",VLOOKUP($B44,Table2[],2,FALSE))</f>
        <v>Additive</v>
      </c>
      <c r="D44" s="387"/>
      <c r="E44" s="387"/>
      <c r="F44" s="214">
        <v>9</v>
      </c>
      <c r="G44" s="221">
        <v>0.25</v>
      </c>
      <c r="H44" s="222">
        <v>2</v>
      </c>
      <c r="I44" s="223" t="str">
        <f>IF($B44=0,"",VLOOKUP($B44,Table2[],5,FALSE))</f>
        <v>pint</v>
      </c>
      <c r="J44" s="215">
        <f>IF($B44=0,"",VLOOKUP($B44,Table2[],7,FALSE))</f>
        <v>0.22500000000000001</v>
      </c>
      <c r="K44" s="215">
        <f t="shared" si="3"/>
        <v>0.11</v>
      </c>
      <c r="L44" s="216"/>
    </row>
    <row r="45" spans="2:12" x14ac:dyDescent="0.2">
      <c r="B45" s="180" t="s">
        <v>288</v>
      </c>
      <c r="C45" s="388" t="str">
        <f>IF(B45=0,"",VLOOKUP($B45,Table2[],2,FALSE))</f>
        <v>Insecticide</v>
      </c>
      <c r="D45" s="388"/>
      <c r="E45" s="388"/>
      <c r="F45" s="174">
        <v>10</v>
      </c>
      <c r="G45" s="175">
        <v>0.2</v>
      </c>
      <c r="H45" s="176">
        <v>3</v>
      </c>
      <c r="I45" s="120" t="str">
        <f>IF($B45=0,"",VLOOKUP($B45,Table2[],5,FALSE))</f>
        <v>ounce</v>
      </c>
      <c r="J45" s="109">
        <f>IF($B45=0,"",VLOOKUP($B45,Table2[],7,FALSE))</f>
        <v>1.25</v>
      </c>
      <c r="K45" s="109">
        <f t="shared" si="3"/>
        <v>0.75</v>
      </c>
      <c r="L45" s="110"/>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ref="K46:K62" si="5">IF(B46=0,0,ROUND(G46*H46*J46,2))</f>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5"/>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5"/>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5"/>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5"/>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5"/>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5"/>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5"/>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5"/>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5"/>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5"/>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x14ac:dyDescent="0.2">
      <c r="C62" s="388" t="s">
        <v>655</v>
      </c>
      <c r="D62" s="388"/>
      <c r="E62" s="388"/>
      <c r="F62" s="112"/>
      <c r="G62" s="177"/>
      <c r="H62" s="178"/>
      <c r="I62" s="170"/>
      <c r="J62" s="109" t="str">
        <f ca="1">IF(F5=0,E5,F5)</f>
        <v>N/A</v>
      </c>
      <c r="K62" s="109">
        <f t="shared" si="5"/>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113.51</v>
      </c>
      <c r="L64" s="110"/>
    </row>
    <row r="65" spans="2:12" x14ac:dyDescent="0.2">
      <c r="K65" s="127"/>
    </row>
    <row r="66" spans="2:12" x14ac:dyDescent="0.2">
      <c r="B66" s="107" t="s">
        <v>672</v>
      </c>
      <c r="K66" s="127">
        <f>K33+K64</f>
        <v>402.26</v>
      </c>
      <c r="L66" s="110"/>
    </row>
    <row r="67" spans="2:12" ht="13.5" thickBot="1" x14ac:dyDescent="0.25">
      <c r="D67" s="128" t="s">
        <v>673</v>
      </c>
      <c r="E67" s="129">
        <f>ROUND(SUM($E$33:$H$33)+$K$64,2)</f>
        <v>223.32</v>
      </c>
      <c r="F67" s="388" t="s">
        <v>674</v>
      </c>
      <c r="G67" s="388"/>
      <c r="H67" s="130">
        <f>'General Variables'!$B$11</f>
        <v>7.4999999999999997E-2</v>
      </c>
      <c r="I67" s="131" t="str">
        <f>CONCATENATE("for ",TEXT('General Variables'!$B$12,"0.0")," mo.")</f>
        <v>for 6.0 mo.</v>
      </c>
      <c r="K67" s="132">
        <f>E67*H67*'General Variables'!$B$12/12</f>
        <v>8.3744999999999994</v>
      </c>
      <c r="L67" s="133"/>
    </row>
    <row r="68" spans="2:12" ht="13.5" thickTop="1" x14ac:dyDescent="0.2">
      <c r="B68" s="107" t="s">
        <v>675</v>
      </c>
      <c r="K68" s="127">
        <f>SUM(K66:K67)</f>
        <v>410.6345</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34</v>
      </c>
      <c r="D71" s="399"/>
      <c r="E71" s="400"/>
      <c r="F71" s="136">
        <f>IF(C71=0,0,VLOOKUP(C71,RETable,2,FALSE))</f>
        <v>8145</v>
      </c>
      <c r="G71" s="388" t="s">
        <v>678</v>
      </c>
      <c r="H71" s="388"/>
      <c r="I71" s="130">
        <f>'General Variables'!$B$10</f>
        <v>0.03</v>
      </c>
      <c r="K71" s="137">
        <f>ROUND(F71*I71,2)</f>
        <v>244.35</v>
      </c>
      <c r="L71" s="110"/>
    </row>
    <row r="72" spans="2:12" ht="13.5" thickBot="1" x14ac:dyDescent="0.25">
      <c r="B72" s="103" t="s">
        <v>679</v>
      </c>
      <c r="F72" s="138">
        <f>IF(C71=0,0,VLOOKUP(C71,RETable,2,FALSE))</f>
        <v>8145</v>
      </c>
      <c r="G72" s="397" t="s">
        <v>678</v>
      </c>
      <c r="H72" s="397"/>
      <c r="I72" s="139">
        <f>'General Variables'!$B$13</f>
        <v>1.2999999999999999E-2</v>
      </c>
      <c r="J72" s="105"/>
      <c r="K72" s="140">
        <f>ROUND(F72*I72,2)</f>
        <v>105.89</v>
      </c>
      <c r="L72" s="133"/>
    </row>
    <row r="73" spans="2:12" ht="13.5" thickTop="1" x14ac:dyDescent="0.2">
      <c r="B73" s="107" t="s">
        <v>680</v>
      </c>
      <c r="K73" s="127">
        <f>SUM(K68:K72)</f>
        <v>795.87450000000001</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IF(G4=0,0,(E67+K67+K70+K72)/G4)</f>
        <v>56.452196969696971</v>
      </c>
      <c r="L75" s="148"/>
    </row>
    <row r="76" spans="2:12" x14ac:dyDescent="0.2">
      <c r="B76" s="107" t="str">
        <f>IF(G4="","","Cost of production per "&amp;H4)</f>
        <v>Cost of production per ton</v>
      </c>
      <c r="K76" s="141">
        <f>IF(G4="","",K73/G4)</f>
        <v>120.58704545454546</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B7:L7"/>
    <mergeCell ref="L35:L36"/>
    <mergeCell ref="B10:B11"/>
    <mergeCell ref="C10:C11"/>
    <mergeCell ref="E10:E11"/>
    <mergeCell ref="F10:F11"/>
    <mergeCell ref="G10:H10"/>
    <mergeCell ref="K10:K11"/>
    <mergeCell ref="L10:L11"/>
    <mergeCell ref="I10:J10"/>
    <mergeCell ref="F35:F36"/>
    <mergeCell ref="G35:G36"/>
    <mergeCell ref="H35:I35"/>
    <mergeCell ref="J35:J36"/>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9:E49"/>
    <mergeCell ref="C37:E37"/>
    <mergeCell ref="C39:E39"/>
    <mergeCell ref="C40:E40"/>
    <mergeCell ref="C42:E42"/>
    <mergeCell ref="C43:E43"/>
    <mergeCell ref="C44:E44"/>
    <mergeCell ref="C46:E46"/>
    <mergeCell ref="C47:E47"/>
    <mergeCell ref="C48:E48"/>
    <mergeCell ref="C45:E45"/>
    <mergeCell ref="C38:E38"/>
    <mergeCell ref="C41:E41"/>
    <mergeCell ref="A6:M6"/>
    <mergeCell ref="C3:E3"/>
    <mergeCell ref="K2:L2"/>
    <mergeCell ref="G2:H2"/>
    <mergeCell ref="C4:E4"/>
  </mergeCells>
  <dataValidations count="9">
    <dataValidation type="list" allowBlank="1" showInputMessage="1" showErrorMessage="1" sqref="B63" xr:uid="{00000000-0002-0000-1300-000000000000}">
      <formula1>$C$112:$C$211</formula1>
    </dataValidation>
    <dataValidation type="list" allowBlank="1" showInputMessage="1" showErrorMessage="1" sqref="B32" xr:uid="{00000000-0002-0000-1300-000001000000}">
      <formula1>$B$112:$B$211</formula1>
    </dataValidation>
    <dataValidation type="list" allowBlank="1" showInputMessage="1" showErrorMessage="1" sqref="K4" xr:uid="{00000000-0002-0000-1300-000002000000}">
      <formula1>$K$112:$K$114</formula1>
    </dataValidation>
    <dataValidation type="list" allowBlank="1" showInputMessage="1" showErrorMessage="1" sqref="B37:B61" xr:uid="{00000000-0002-0000-1300-000003000000}">
      <formula1>MaterialList</formula1>
    </dataValidation>
    <dataValidation type="list" allowBlank="1" showInputMessage="1" showErrorMessage="1" sqref="C71:E71" xr:uid="{00000000-0002-0000-1300-000004000000}">
      <formula1>RealEstateList</formula1>
    </dataValidation>
    <dataValidation type="list" allowBlank="1" showInputMessage="1" showErrorMessage="1" sqref="B12:B31" xr:uid="{00000000-0002-0000-1300-000005000000}">
      <formula1>OperationList</formula1>
    </dataValidation>
    <dataValidation type="list" allowBlank="1" showInputMessage="1" showErrorMessage="1" sqref="D12:D32" xr:uid="{00000000-0002-0000-1300-000006000000}">
      <formula1>#REF!</formula1>
    </dataValidation>
    <dataValidation type="list" allowBlank="1" showInputMessage="1" showErrorMessage="1" sqref="K2" xr:uid="{00000000-0002-0000-1300-000007000000}">
      <formula1>watersource</formula1>
    </dataValidation>
    <dataValidation type="list" allowBlank="1" showInputMessage="1" showErrorMessage="1" sqref="C3" xr:uid="{00000000-0002-0000-1300-000008000000}">
      <formula1>TillageSystem</formula1>
    </dataValidation>
  </dataValidations>
  <pageMargins left="0.7" right="0.7" top="0.75" bottom="0.75" header="0.3" footer="0.3"/>
  <pageSetup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pageSetUpPr fitToPage="1"/>
  </sheetPr>
  <dimension ref="A1:P35"/>
  <sheetViews>
    <sheetView topLeftCell="A2" zoomScaleNormal="100" workbookViewId="0">
      <selection activeCell="I13" sqref="I13"/>
    </sheetView>
  </sheetViews>
  <sheetFormatPr defaultColWidth="9.140625" defaultRowHeight="12.75" x14ac:dyDescent="0.2"/>
  <cols>
    <col min="1" max="1" width="33.85546875" style="17" customWidth="1"/>
    <col min="2" max="2" width="10.42578125" style="17" customWidth="1"/>
    <col min="3" max="3" width="8.140625" style="17" customWidth="1"/>
    <col min="4" max="4" width="9.140625" style="17"/>
    <col min="5" max="5" width="17.5703125" style="17" customWidth="1"/>
    <col min="6" max="6" width="9.42578125" style="17" customWidth="1"/>
    <col min="7" max="7" width="7" style="17" customWidth="1"/>
    <col min="8" max="8" width="17.5703125" style="17" customWidth="1"/>
    <col min="9" max="9" width="10.28515625" style="17" customWidth="1"/>
    <col min="10" max="10" width="4.7109375" style="17" customWidth="1"/>
    <col min="11" max="11" width="15.85546875" style="17" customWidth="1"/>
    <col min="12" max="12" width="9.140625" style="17"/>
    <col min="13" max="13" width="12.140625" style="17" hidden="1" customWidth="1"/>
    <col min="14" max="20" width="0" style="17" hidden="1" customWidth="1"/>
    <col min="21" max="16384" width="9.140625" style="17"/>
  </cols>
  <sheetData>
    <row r="1" spans="1:16" ht="33" x14ac:dyDescent="0.45">
      <c r="A1" s="381" t="s">
        <v>19</v>
      </c>
      <c r="B1" s="381"/>
      <c r="C1" s="381"/>
      <c r="D1" s="381"/>
      <c r="E1" s="381"/>
      <c r="F1" s="381"/>
      <c r="G1" s="381"/>
      <c r="H1" s="381"/>
      <c r="I1" s="381"/>
    </row>
    <row r="2" spans="1:16" x14ac:dyDescent="0.2">
      <c r="P2" s="72" t="s">
        <v>20</v>
      </c>
    </row>
    <row r="3" spans="1:16" ht="15.75" x14ac:dyDescent="0.25">
      <c r="A3" s="18" t="s">
        <v>21</v>
      </c>
      <c r="B3" s="379">
        <v>2025</v>
      </c>
      <c r="C3" s="30"/>
      <c r="E3" s="72" t="s">
        <v>22</v>
      </c>
      <c r="M3" s="21"/>
      <c r="N3" s="21"/>
    </row>
    <row r="4" spans="1:16" x14ac:dyDescent="0.2">
      <c r="A4" s="19" t="s">
        <v>23</v>
      </c>
      <c r="B4" s="25">
        <v>27</v>
      </c>
      <c r="C4" s="31" t="s">
        <v>24</v>
      </c>
      <c r="E4" s="17" t="s">
        <v>25</v>
      </c>
      <c r="F4" s="17" t="s">
        <v>26</v>
      </c>
      <c r="P4" s="17" t="s">
        <v>27</v>
      </c>
    </row>
    <row r="5" spans="1:16" x14ac:dyDescent="0.2">
      <c r="A5" s="19" t="s">
        <v>28</v>
      </c>
      <c r="B5" s="25">
        <v>2.78</v>
      </c>
      <c r="C5" s="32" t="s">
        <v>29</v>
      </c>
      <c r="E5" s="24" t="s">
        <v>30</v>
      </c>
      <c r="F5" s="73">
        <v>4530</v>
      </c>
    </row>
    <row r="6" spans="1:16" x14ac:dyDescent="0.2">
      <c r="A6" s="20" t="s">
        <v>31</v>
      </c>
      <c r="B6" s="27">
        <v>1.1499999999999999</v>
      </c>
      <c r="C6" s="32"/>
      <c r="E6" s="24" t="s">
        <v>32</v>
      </c>
      <c r="F6" s="73">
        <v>920</v>
      </c>
    </row>
    <row r="7" spans="1:16" x14ac:dyDescent="0.2">
      <c r="A7" s="20" t="s">
        <v>33</v>
      </c>
      <c r="B7" s="68">
        <f>B5*B6</f>
        <v>3.1969999999999996</v>
      </c>
      <c r="C7" s="31" t="s">
        <v>29</v>
      </c>
      <c r="E7" s="24" t="s">
        <v>34</v>
      </c>
      <c r="F7" s="73">
        <v>8145</v>
      </c>
    </row>
    <row r="8" spans="1:16" x14ac:dyDescent="0.2">
      <c r="A8" s="19" t="s">
        <v>35</v>
      </c>
      <c r="B8" s="26">
        <v>0.08</v>
      </c>
      <c r="C8" s="31" t="s">
        <v>36</v>
      </c>
      <c r="E8" s="24" t="s">
        <v>37</v>
      </c>
      <c r="F8" s="73">
        <v>3565</v>
      </c>
      <c r="P8" s="72" t="s">
        <v>38</v>
      </c>
    </row>
    <row r="9" spans="1:16" x14ac:dyDescent="0.2">
      <c r="A9" s="19" t="s">
        <v>39</v>
      </c>
      <c r="B9" s="28">
        <v>0.02</v>
      </c>
      <c r="C9" s="33"/>
      <c r="E9" s="24" t="s">
        <v>40</v>
      </c>
      <c r="F9" s="73">
        <v>9115</v>
      </c>
    </row>
    <row r="10" spans="1:16" x14ac:dyDescent="0.2">
      <c r="A10" s="19" t="s">
        <v>41</v>
      </c>
      <c r="B10" s="28">
        <v>0.03</v>
      </c>
      <c r="C10" s="33"/>
      <c r="E10" s="24" t="s">
        <v>42</v>
      </c>
      <c r="F10" s="73">
        <v>3970</v>
      </c>
      <c r="P10" s="17" t="s">
        <v>43</v>
      </c>
    </row>
    <row r="11" spans="1:16" x14ac:dyDescent="0.2">
      <c r="A11" s="19" t="s">
        <v>44</v>
      </c>
      <c r="B11" s="28">
        <v>7.4999999999999997E-2</v>
      </c>
      <c r="C11" s="32"/>
      <c r="E11" s="24" t="s">
        <v>45</v>
      </c>
      <c r="F11" s="74">
        <v>1825</v>
      </c>
      <c r="P11" s="17" t="s">
        <v>46</v>
      </c>
    </row>
    <row r="12" spans="1:16" x14ac:dyDescent="0.2">
      <c r="A12" s="19" t="s">
        <v>47</v>
      </c>
      <c r="B12" s="29">
        <v>6</v>
      </c>
      <c r="C12" s="32" t="s">
        <v>48</v>
      </c>
      <c r="E12" s="24" t="s">
        <v>49</v>
      </c>
      <c r="F12" s="74">
        <v>0</v>
      </c>
      <c r="P12" s="17" t="s">
        <v>50</v>
      </c>
    </row>
    <row r="13" spans="1:16" ht="13.5" customHeight="1" x14ac:dyDescent="0.2">
      <c r="A13" s="19" t="s">
        <v>51</v>
      </c>
      <c r="B13" s="28">
        <v>1.2999999999999999E-2</v>
      </c>
      <c r="C13" s="32"/>
      <c r="E13" s="24" t="s">
        <v>52</v>
      </c>
      <c r="F13" s="242">
        <v>6390</v>
      </c>
      <c r="P13" s="17" t="s">
        <v>53</v>
      </c>
    </row>
    <row r="14" spans="1:16" ht="12.75" customHeight="1" x14ac:dyDescent="0.2">
      <c r="A14" s="19" t="s">
        <v>935</v>
      </c>
      <c r="B14" s="25">
        <v>35</v>
      </c>
      <c r="C14" s="32"/>
      <c r="E14" s="24" t="s">
        <v>54</v>
      </c>
      <c r="F14" s="73">
        <v>8510</v>
      </c>
      <c r="P14" s="17" t="s">
        <v>55</v>
      </c>
    </row>
    <row r="15" spans="1:16" ht="12.75" customHeight="1" x14ac:dyDescent="0.2">
      <c r="A15" s="368" t="s">
        <v>934</v>
      </c>
      <c r="B15" s="25">
        <v>27</v>
      </c>
      <c r="C15" s="32"/>
      <c r="E15" s="24"/>
      <c r="F15" s="73"/>
    </row>
    <row r="16" spans="1:16" ht="12.75" customHeight="1" x14ac:dyDescent="0.2">
      <c r="A16" s="354" t="s">
        <v>937</v>
      </c>
      <c r="B16" s="25">
        <v>18</v>
      </c>
      <c r="C16" s="32"/>
      <c r="E16" s="24"/>
      <c r="F16" s="73"/>
      <c r="P16" s="17" t="s">
        <v>56</v>
      </c>
    </row>
    <row r="17" spans="1:16" ht="12.75" customHeight="1" x14ac:dyDescent="0.2">
      <c r="A17" s="72"/>
      <c r="P17" s="17" t="s">
        <v>57</v>
      </c>
    </row>
    <row r="18" spans="1:16" ht="12.75" customHeight="1" x14ac:dyDescent="0.2">
      <c r="P18" s="17" t="s">
        <v>58</v>
      </c>
    </row>
    <row r="19" spans="1:16" ht="12.75" customHeight="1" x14ac:dyDescent="0.2">
      <c r="B19" s="17" t="s">
        <v>902</v>
      </c>
      <c r="P19" s="17" t="s">
        <v>59</v>
      </c>
    </row>
    <row r="20" spans="1:16" ht="12.75" customHeight="1" x14ac:dyDescent="0.2"/>
    <row r="21" spans="1:16" ht="12.75" customHeight="1" x14ac:dyDescent="0.2">
      <c r="P21" s="17" t="s">
        <v>62</v>
      </c>
    </row>
    <row r="22" spans="1:16" ht="12.75" customHeight="1" x14ac:dyDescent="0.2">
      <c r="P22" s="17" t="s">
        <v>63</v>
      </c>
    </row>
    <row r="23" spans="1:16" ht="12.75" customHeight="1" x14ac:dyDescent="0.2">
      <c r="P23" s="17" t="s">
        <v>64</v>
      </c>
    </row>
    <row r="24" spans="1:16" x14ac:dyDescent="0.2">
      <c r="P24" s="17" t="s">
        <v>65</v>
      </c>
    </row>
    <row r="25" spans="1:16" x14ac:dyDescent="0.2">
      <c r="P25" s="17" t="s">
        <v>66</v>
      </c>
    </row>
    <row r="26" spans="1:16" x14ac:dyDescent="0.2">
      <c r="P26" s="17" t="s">
        <v>67</v>
      </c>
    </row>
    <row r="27" spans="1:16" x14ac:dyDescent="0.2">
      <c r="P27" s="17" t="s">
        <v>49</v>
      </c>
    </row>
    <row r="29" spans="1:16" x14ac:dyDescent="0.2">
      <c r="P29" s="72" t="s">
        <v>68</v>
      </c>
    </row>
    <row r="30" spans="1:16" x14ac:dyDescent="0.2">
      <c r="P30" s="17" t="s">
        <v>69</v>
      </c>
    </row>
    <row r="31" spans="1:16" x14ac:dyDescent="0.2">
      <c r="P31" s="17" t="s">
        <v>70</v>
      </c>
    </row>
    <row r="32" spans="1:16" ht="13.5" customHeight="1" x14ac:dyDescent="0.2">
      <c r="P32" s="17" t="s">
        <v>71</v>
      </c>
    </row>
    <row r="33" spans="16:16" x14ac:dyDescent="0.2">
      <c r="P33" s="17" t="s">
        <v>72</v>
      </c>
    </row>
    <row r="34" spans="16:16" x14ac:dyDescent="0.2">
      <c r="P34" s="17" t="s">
        <v>73</v>
      </c>
    </row>
    <row r="35" spans="16:16" x14ac:dyDescent="0.2">
      <c r="P35" s="17" t="s">
        <v>74</v>
      </c>
    </row>
  </sheetData>
  <sortState xmlns:xlrd2="http://schemas.microsoft.com/office/spreadsheetml/2017/richdata2" ref="A17:A26">
    <sortCondition ref="A3"/>
  </sortState>
  <mergeCells count="1">
    <mergeCell ref="A1:I1"/>
  </mergeCells>
  <pageMargins left="0.7" right="0.7" top="0.75" bottom="0.75" header="0.3" footer="0.3"/>
  <pageSetup scale="74"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4">
    <pageSetUpPr fitToPage="1"/>
  </sheetPr>
  <dimension ref="A2:M258"/>
  <sheetViews>
    <sheetView zoomScaleNormal="100" workbookViewId="0">
      <selection activeCell="H38" sqref="H3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682</v>
      </c>
      <c r="H2" s="392"/>
      <c r="J2" s="128" t="s">
        <v>649</v>
      </c>
      <c r="K2" s="401" t="s">
        <v>73</v>
      </c>
      <c r="L2" s="401"/>
    </row>
    <row r="3" spans="1:13" hidden="1" x14ac:dyDescent="0.2">
      <c r="B3" s="103" t="s">
        <v>38</v>
      </c>
      <c r="C3" s="391"/>
      <c r="D3" s="391"/>
      <c r="E3" s="391"/>
      <c r="G3" s="128" t="s">
        <v>650</v>
      </c>
      <c r="H3" s="187" t="s">
        <v>703</v>
      </c>
      <c r="J3" s="128" t="s">
        <v>651</v>
      </c>
      <c r="K3" s="187">
        <v>14</v>
      </c>
    </row>
    <row r="4" spans="1:13" hidden="1" x14ac:dyDescent="0.2">
      <c r="B4" s="103" t="s">
        <v>652</v>
      </c>
      <c r="C4" s="392" t="s">
        <v>691</v>
      </c>
      <c r="D4" s="392"/>
      <c r="E4" s="392"/>
      <c r="G4" s="103">
        <f>IFERROR(VALUE(LEFT($H$3,FIND(" ",$H$3))),"")</f>
        <v>6.8</v>
      </c>
      <c r="H4" s="103" t="str">
        <f>IFERROR(RIGHT(H3,LEN(H3)-LEN(G4)-1),"")</f>
        <v>ton</v>
      </c>
      <c r="J4" s="128" t="s">
        <v>653</v>
      </c>
      <c r="K4" s="188" t="s">
        <v>654</v>
      </c>
    </row>
    <row r="5" spans="1:13" ht="15.75" hidden="1" customHeight="1" x14ac:dyDescent="0.2">
      <c r="B5" s="103" t="s">
        <v>655</v>
      </c>
      <c r="C5" s="103" t="str">
        <f ca="1">MID(CELL("filename",C5),FIND("]",CELL("filename",C5))+1,255)</f>
        <v>14-Alfalfa</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14-Alfalfa, Roundup Ready®, Large Square Bales, 6.8 ton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14-Alfalfa, Roundup Ready®, Large Square Bales, 6.8 ton Yield</v>
      </c>
      <c r="C7" s="393"/>
      <c r="D7" s="393"/>
      <c r="E7" s="393"/>
      <c r="F7" s="393"/>
      <c r="G7" s="393"/>
      <c r="H7" s="393"/>
      <c r="I7" s="393"/>
      <c r="J7" s="393"/>
      <c r="K7" s="393"/>
      <c r="L7" s="393"/>
      <c r="M7" s="186"/>
    </row>
    <row r="8" spans="1:13" ht="15.75" x14ac:dyDescent="0.25">
      <c r="B8" s="189" t="str">
        <f>IF(K2="","",K2)&amp;IF(LEFT(K2,5)="Pivot",", 800 GPM 35 PSI","") &amp; IF(K3="","",", "&amp; K3&amp;" "&amp;J3)</f>
        <v>Gravity Irrigated, fed by canal, 14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80" t="s">
        <v>559</v>
      </c>
      <c r="C13" s="174">
        <v>4</v>
      </c>
      <c r="D13" s="174"/>
      <c r="E13" s="109">
        <f>IF(B13=0,"",IF(C13&gt;9999,"",ROUND('General Variables'!$B$4*VLOOKUP(B13,Operations!$A$2:$U$79,10,FALSE)/VLOOKUP(B13,Operations!$A$2:$U$79,9,FALSE)*C13,2)))</f>
        <v>10.8</v>
      </c>
      <c r="F13" s="109">
        <f>IF(B13=0,0,IF(C13&gt;9999,"",ROUND(IF(VLOOKUP(B13,Operations!$A$2:$U$79,12,FALSE)=0,VLOOKUP(B13,Operations!$A$2:$U$79,13,FALSE)*'General Variables'!$B$8,VLOOKUP(B13,Operations!$A$2:$U$79,12,FALSE)*'General Variables'!$B$7)/VLOOKUP(B13,Operations!$A$2:$U$79,9,FALSE)*C13,2)))</f>
        <v>6.39</v>
      </c>
      <c r="G13" s="109">
        <f>IF(B13=0,0,IF(C13&gt;9999,"",ROUND(VLOOKUP(VLOOKUP(B13,Operations!$A$2:$U$79,11,FALSE),PowerUnits[],10,FALSE)/VLOOKUP(B13,Operations!$A$2:$U$79,9,FALSE)*C13,2)))</f>
        <v>4.07</v>
      </c>
      <c r="H13" s="109">
        <f>IF(B13=0,"",IF(C13&gt;9999,"",ROUND(VLOOKUP($B13,Operations!$A$2:$U$79,15,FALSE)*C13,2)))</f>
        <v>4.07</v>
      </c>
      <c r="I13" s="109">
        <f>IF(B13=0,0,IF(C13&gt;9999,"",ROUND(VLOOKUP(VLOOKUP(B13,Operations!$A$2:$U$79,11,FALSE),PowerUnits[],16,FALSE)/VLOOKUP(B13,Operations!$A$2:$U$79,9,FALSE)*C13,2)))</f>
        <v>14.97</v>
      </c>
      <c r="J13" s="109">
        <f>IF(B13=0,"",IF(C13&gt;9999,"",ROUND(VLOOKUP($B13,Operations!$A$2:$U$79,21,FALSE)*$C13,2)))</f>
        <v>20.3</v>
      </c>
      <c r="K13" s="109">
        <f t="shared" ref="K13:K31" si="0">IF(C13&gt;9999,"",ROUND(SUM(E13:J13),2))</f>
        <v>60.6</v>
      </c>
      <c r="L13" s="110"/>
    </row>
    <row r="14" spans="1:13" x14ac:dyDescent="0.2">
      <c r="A14" s="170">
        <v>3</v>
      </c>
      <c r="B14" s="180" t="s">
        <v>566</v>
      </c>
      <c r="C14" s="174">
        <v>1</v>
      </c>
      <c r="D14" s="174"/>
      <c r="E14" s="109">
        <f>IF(B14=0,"",IF(C14&gt;9999,"",ROUND('General Variables'!$B$4*VLOOKUP(B14,Operations!$A$2:$U$79,10,FALSE)/VLOOKUP(B14,Operations!$A$2:$U$79,9,FALSE)*C14,2)))</f>
        <v>2.25</v>
      </c>
      <c r="F14" s="109">
        <f>IF(B14=0,0,IF(C14&gt;9999,"",ROUND(IF(VLOOKUP(B14,Operations!$A$2:$U$79,12,FALSE)=0,VLOOKUP(B14,Operations!$A$2:$U$79,13,FALSE)*'General Variables'!$B$8,VLOOKUP(B14,Operations!$A$2:$U$79,12,FALSE)*'General Variables'!$B$7)/VLOOKUP(B14,Operations!$A$2:$U$79,9,FALSE)*C14,2)))</f>
        <v>0.56000000000000005</v>
      </c>
      <c r="G14" s="109">
        <f>IF(B14=0,0,IF(C14&gt;9999,"",ROUND(VLOOKUP(VLOOKUP(B14,Operations!$A$2:$U$79,11,FALSE),PowerUnits[],10,FALSE)/VLOOKUP(B14,Operations!$A$2:$U$79,9,FALSE)*C14,2)))</f>
        <v>0.85</v>
      </c>
      <c r="H14" s="109">
        <f>IF(B14=0,"",IF(C14&gt;9999,"",ROUND(VLOOKUP($B14,Operations!$A$2:$U$79,15,FALSE)*C14,2)))</f>
        <v>0.25</v>
      </c>
      <c r="I14" s="109">
        <f>IF(B14=0,0,IF(C14&gt;9999,"",ROUND(VLOOKUP(VLOOKUP(B14,Operations!$A$2:$U$79,11,FALSE),PowerUnits[],16,FALSE)/VLOOKUP(B14,Operations!$A$2:$U$79,9,FALSE)*C14,2)))</f>
        <v>3.12</v>
      </c>
      <c r="J14" s="109">
        <f>IF(B14=0,"",IF(C14&gt;9999,"",ROUND(VLOOKUP($B14,Operations!$A$2:$U$79,21,FALSE)*$C14,2)))</f>
        <v>0.53</v>
      </c>
      <c r="K14" s="109">
        <f t="shared" si="0"/>
        <v>7.56</v>
      </c>
      <c r="L14" s="110"/>
    </row>
    <row r="15" spans="1:13" x14ac:dyDescent="0.2">
      <c r="A15" s="170">
        <v>4</v>
      </c>
      <c r="B15" s="213" t="s">
        <v>485</v>
      </c>
      <c r="C15" s="214">
        <v>4</v>
      </c>
      <c r="D15" s="214"/>
      <c r="E15" s="215">
        <f>IF(B15=0,"",IF(C15&gt;9999,"",ROUND('General Variables'!$B$4*VLOOKUP(B15,Operations!$A$2:$U$79,10,FALSE)/VLOOKUP(B15,Operations!$A$2:$U$79,9,FALSE)*C15,2)))</f>
        <v>5.94</v>
      </c>
      <c r="F15" s="215">
        <f>IF(B15=0,0,IF(C15&gt;9999,"",ROUND(IF(VLOOKUP(B15,Operations!$A$2:$U$79,12,FALSE)=0,VLOOKUP(B15,Operations!$A$2:$U$79,13,FALSE)*'General Variables'!$B$8,VLOOKUP(B15,Operations!$A$2:$U$79,12,FALSE)*'General Variables'!$B$7)/VLOOKUP(B15,Operations!$A$2:$U$79,9,FALSE)*C15,2)))</f>
        <v>1.35</v>
      </c>
      <c r="G15" s="215">
        <f>IF(B15=0,0,IF(C15&gt;9999,"",ROUND(VLOOKUP(VLOOKUP(B15,Operations!$A$2:$U$79,11,FALSE),PowerUnits[],10,FALSE)/VLOOKUP(B15,Operations!$A$2:$U$79,9,FALSE)*C15,2)))</f>
        <v>0.17</v>
      </c>
      <c r="H15" s="215">
        <f>IF(B15=0,"",IF(C15&gt;9999,"",ROUND(VLOOKUP($B15,Operations!$A$2:$U$79,15,FALSE)*C15,2)))</f>
        <v>1.6</v>
      </c>
      <c r="I15" s="215">
        <f>IF(B15=0,0,IF(C15&gt;9999,"",ROUND(VLOOKUP(VLOOKUP(B15,Operations!$A$2:$U$79,11,FALSE),PowerUnits[],16,FALSE)/VLOOKUP(B15,Operations!$A$2:$U$79,9,FALSE)*C15,2)))</f>
        <v>8.66</v>
      </c>
      <c r="J15" s="215">
        <f>IF(B15=0,"",IF(C15&gt;9999,"",ROUND(VLOOKUP($B15,Operations!$A$2:$U$79,21,FALSE)*$C15,2)))</f>
        <v>10.79</v>
      </c>
      <c r="K15" s="215">
        <f t="shared" si="0"/>
        <v>28.51</v>
      </c>
      <c r="L15" s="216"/>
    </row>
    <row r="16" spans="1:13" x14ac:dyDescent="0.2">
      <c r="A16" s="170">
        <v>5</v>
      </c>
      <c r="B16" s="180" t="s">
        <v>396</v>
      </c>
      <c r="C16" s="174">
        <v>6.8</v>
      </c>
      <c r="D16" s="174"/>
      <c r="E16" s="109">
        <f>IF(B16=0,"",IF(C16&gt;9999,"",ROUND('General Variables'!$B$4*VLOOKUP(B16,Operations!$A$2:$U$79,10,FALSE)/VLOOKUP(B16,Operations!$A$2:$U$79,9,FALSE)*C16,2)))</f>
        <v>11.88</v>
      </c>
      <c r="F16" s="109">
        <f>IF(B16=0,0,IF(C16&gt;9999,"",ROUND(IF(VLOOKUP(B16,Operations!$A$2:$U$79,12,FALSE)=0,VLOOKUP(B16,Operations!$A$2:$U$79,13,FALSE)*'General Variables'!$B$8,VLOOKUP(B16,Operations!$A$2:$U$79,12,FALSE)*'General Variables'!$B$7)/VLOOKUP(B16,Operations!$A$2:$U$79,9,FALSE)*C16,2)))</f>
        <v>7.91</v>
      </c>
      <c r="G16" s="109">
        <f>IF(B16=0,0,IF(C16&gt;9999,"",ROUND(VLOOKUP(VLOOKUP(B16,Operations!$A$2:$U$79,11,FALSE),PowerUnits[],10,FALSE)/VLOOKUP(B16,Operations!$A$2:$U$79,9,FALSE)*C16,2)))</f>
        <v>1.35</v>
      </c>
      <c r="H16" s="109">
        <f>IF(B16=0,"",IF(C16&gt;9999,"",ROUND(VLOOKUP($B16,Operations!$A$2:$U$79,15,FALSE)*C16,2)))</f>
        <v>4.96</v>
      </c>
      <c r="I16" s="109">
        <f>IF(B16=0,0,IF(C16&gt;9999,"",ROUND(VLOOKUP(VLOOKUP(B16,Operations!$A$2:$U$79,11,FALSE),PowerUnits[],16,FALSE)/VLOOKUP(B16,Operations!$A$2:$U$79,9,FALSE)*C16,2)))</f>
        <v>36.92</v>
      </c>
      <c r="J16" s="109">
        <f>IF(B16=0,"",IF(C16&gt;9999,"",ROUND(VLOOKUP($B16,Operations!$A$2:$U$79,21,FALSE)*$C16,2)))</f>
        <v>53.33</v>
      </c>
      <c r="K16" s="109">
        <f t="shared" si="0"/>
        <v>116.35</v>
      </c>
      <c r="L16" s="110"/>
    </row>
    <row r="17" spans="1:12" x14ac:dyDescent="0.2">
      <c r="A17" s="170">
        <v>6</v>
      </c>
      <c r="B17" s="180" t="s">
        <v>508</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475</v>
      </c>
      <c r="C18" s="174">
        <v>1</v>
      </c>
      <c r="D18" s="174"/>
      <c r="E18" s="109">
        <f>IF(B18=0,"",IF(C18&gt;9999,"",ROUND('General Variables'!$B$4*VLOOKUP(B18,Operations!$A$2:$U$79,10,FALSE)/VLOOKUP(B18,Operations!$A$2:$U$79,9,FALSE)*C18,2)))</f>
        <v>4.2300000000000004</v>
      </c>
      <c r="F18" s="109">
        <f>IF(B18=0,0,IF(C18&gt;9999,"",ROUND(IF(VLOOKUP(B18,Operations!$A$2:$U$79,12,FALSE)=0,VLOOKUP(B18,Operations!$A$2:$U$79,13,FALSE)*'General Variables'!$B$8,VLOOKUP(B18,Operations!$A$2:$U$79,12,FALSE)*'General Variables'!$B$7)/VLOOKUP(B18,Operations!$A$2:$U$79,9,FALSE)*C18,2)))</f>
        <v>2</v>
      </c>
      <c r="G18" s="109">
        <f>IF(B18=0,0,IF(C18&gt;9999,"",ROUND(VLOOKUP(VLOOKUP(B18,Operations!$A$2:$U$79,11,FALSE),PowerUnits[],10,FALSE)/VLOOKUP(B18,Operations!$A$2:$U$79,9,FALSE)*C18,2)))</f>
        <v>0.48</v>
      </c>
      <c r="H18" s="109">
        <f>IF(B18=0,"",IF(C18&gt;9999,"",ROUND(VLOOKUP($B18,Operations!$A$2:$U$79,15,FALSE)*C18,2)))</f>
        <v>2.2000000000000002</v>
      </c>
      <c r="I18" s="109">
        <f>IF(B18=0,0,IF(C18&gt;9999,"",ROUND(VLOOKUP(VLOOKUP(B18,Operations!$A$2:$U$79,11,FALSE),PowerUnits[],16,FALSE)/VLOOKUP(B18,Operations!$A$2:$U$79,9,FALSE)*C18,2)))</f>
        <v>13.15</v>
      </c>
      <c r="J18" s="109">
        <f>IF(B18=0,"",IF(C18&gt;9999,"",ROUND(VLOOKUP($B18,Operations!$A$2:$U$79,21,FALSE)*$C18,2)))</f>
        <v>12.28</v>
      </c>
      <c r="K18" s="109">
        <f t="shared" si="0"/>
        <v>34.340000000000003</v>
      </c>
      <c r="L18" s="110"/>
    </row>
    <row r="19" spans="1:12" x14ac:dyDescent="0.2">
      <c r="A19" s="170">
        <v>8</v>
      </c>
      <c r="B19" s="213" t="s">
        <v>482</v>
      </c>
      <c r="C19" s="214">
        <f>$K$3</f>
        <v>14</v>
      </c>
      <c r="D19" s="214" t="s">
        <v>693</v>
      </c>
      <c r="E19" s="219">
        <f>IF(B19=0,"",IF(C19&gt;9999,"",ROUND('General Variables'!$B$4*VLOOKUP(B19,Operations!$A$2:$U$79,10,FALSE)/VLOOKUP(B19,Operations!$A$2:$U$79,9,FALSE)*C19,2)))</f>
        <v>21</v>
      </c>
      <c r="F19" s="219"/>
      <c r="G19" s="219"/>
      <c r="H19" s="219"/>
      <c r="I19" s="219"/>
      <c r="J19" s="219"/>
      <c r="K19" s="219">
        <f>SUM(E19:J19)</f>
        <v>21</v>
      </c>
      <c r="L19" s="216"/>
    </row>
    <row r="20" spans="1:12" x14ac:dyDescent="0.2">
      <c r="A20" s="170">
        <v>9</v>
      </c>
      <c r="B20" s="180" t="s">
        <v>551</v>
      </c>
      <c r="C20" s="174">
        <v>1</v>
      </c>
      <c r="D20" s="112"/>
      <c r="E20" s="109">
        <f>IF(B20=0,"",IF(C20&gt;9999,"",ROUND('General Variables'!$B$4*VLOOKUP(B20,Operations!$A$2:$U$79,10,FALSE)/VLOOKUP(B20,Operations!$A$2:$U$79,9,FALSE)*C20,2)))</f>
        <v>1.02</v>
      </c>
      <c r="F20" s="109">
        <f>IF(B20=0,0,IF(C20&gt;9999,"",ROUND(IF(VLOOKUP(B20,Operations!$A$2:$U$79,12,FALSE)=0,VLOOKUP(B20,Operations!$A$2:$U$79,13,FALSE)*'General Variables'!$B$8,VLOOKUP(B20,Operations!$A$2:$U$79,12,FALSE)*'General Variables'!$B$7)/VLOOKUP(B20,Operations!$A$2:$U$79,9,FALSE)*C20,2)))</f>
        <v>0.26</v>
      </c>
      <c r="G20" s="109">
        <f>IF(B20=0,0,IF(C20&gt;9999,"",ROUND(VLOOKUP(VLOOKUP(B20,Operations!$A$2:$U$79,11,FALSE),PowerUnits[],10,FALSE)/VLOOKUP(B20,Operations!$A$2:$U$79,9,FALSE)*C20,2)))</f>
        <v>0.03</v>
      </c>
      <c r="H20" s="109">
        <f>IF(B20=0,"",IF(C20&gt;9999,"",ROUND(VLOOKUP($B20,Operations!$A$2:$U$79,15,FALSE)*C20,2)))</f>
        <v>1.1100000000000001</v>
      </c>
      <c r="I20" s="109">
        <f>IF(B20=0,0,IF(C20&gt;9999,"",ROUND(VLOOKUP(VLOOKUP(B20,Operations!$A$2:$U$79,11,FALSE),PowerUnits[],16,FALSE)/VLOOKUP(B20,Operations!$A$2:$U$79,9,FALSE)*C20,2)))</f>
        <v>1.31</v>
      </c>
      <c r="J20" s="109">
        <f>IF(B20=0,"",IF(C20&gt;9999,"",ROUND(VLOOKUP($B20,Operations!$A$2:$U$79,21,FALSE)*$C20,2)))</f>
        <v>2.02</v>
      </c>
      <c r="K20" s="109">
        <f t="shared" si="0"/>
        <v>5.75</v>
      </c>
      <c r="L20" s="110"/>
    </row>
    <row r="21" spans="1:12" x14ac:dyDescent="0.2">
      <c r="A21" s="170">
        <v>10</v>
      </c>
      <c r="B21" s="180" t="s">
        <v>552</v>
      </c>
      <c r="C21" s="174">
        <v>0.2</v>
      </c>
      <c r="D21" s="112"/>
      <c r="E21" s="109">
        <f>IF(B21=0,"",IF(C21&gt;9999,"",ROUND('General Variables'!$B$4*VLOOKUP(B21,Operations!$A$2:$U$79,10,FALSE)/VLOOKUP(B21,Operations!$A$2:$U$79,9,FALSE)*C21,2)))</f>
        <v>0.2</v>
      </c>
      <c r="F21" s="109">
        <f>IF(B21=0,0,IF(C21&gt;9999,"",ROUND(IF(VLOOKUP(B21,Operations!$A$2:$U$79,12,FALSE)=0,VLOOKUP(B21,Operations!$A$2:$U$79,13,FALSE)*'General Variables'!$B$8,VLOOKUP(B21,Operations!$A$2:$U$79,12,FALSE)*'General Variables'!$B$7)/VLOOKUP(B21,Operations!$A$2:$U$79,9,FALSE)*C21,2)))</f>
        <v>0.05</v>
      </c>
      <c r="G21" s="109">
        <f>IF(B21=0,0,IF(C21&gt;9999,"",ROUND(VLOOKUP(VLOOKUP(B21,Operations!$A$2:$U$79,11,FALSE),PowerUnits[],10,FALSE)/VLOOKUP(B21,Operations!$A$2:$U$79,9,FALSE)*C21,2)))</f>
        <v>0.01</v>
      </c>
      <c r="H21" s="109">
        <f>IF(B21=0,"",IF(C21&gt;9999,"",ROUND(VLOOKUP($B21,Operations!$A$2:$U$79,15,FALSE)*C21,2)))</f>
        <v>0.22</v>
      </c>
      <c r="I21" s="109">
        <f>IF(B21=0,0,IF(C21&gt;9999,"",ROUND(VLOOKUP(VLOOKUP(B21,Operations!$A$2:$U$79,11,FALSE),PowerUnits[],16,FALSE)/VLOOKUP(B21,Operations!$A$2:$U$79,9,FALSE)*C21,2)))</f>
        <v>0.26</v>
      </c>
      <c r="J21" s="109">
        <f>IF(B21=0,"",IF(C21&gt;9999,"",ROUND(VLOOKUP($B21,Operations!$A$2:$U$79,21,FALSE)*$C21,2)))</f>
        <v>0.4</v>
      </c>
      <c r="K21" s="109">
        <f t="shared" si="0"/>
        <v>1.1399999999999999</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59.45000000000001</v>
      </c>
      <c r="F33" s="109">
        <f t="shared" ref="F33:K33" si="1">SUM(F12:F31)</f>
        <v>19.490000000000002</v>
      </c>
      <c r="G33" s="109">
        <f t="shared" si="1"/>
        <v>7.03</v>
      </c>
      <c r="H33" s="109">
        <f t="shared" si="1"/>
        <v>14.409999999999998</v>
      </c>
      <c r="I33" s="109">
        <f t="shared" si="1"/>
        <v>81.800000000000026</v>
      </c>
      <c r="J33" s="109">
        <f t="shared" si="1"/>
        <v>102.29</v>
      </c>
      <c r="K33" s="109">
        <f t="shared" si="1"/>
        <v>284.47000000000003</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80</v>
      </c>
      <c r="I37" s="120" t="str">
        <f>IF($B37=0,"",VLOOKUP($B37,Table2[],5,FALSE))</f>
        <v>pound</v>
      </c>
      <c r="J37" s="109">
        <f>IF($B37=0,"",VLOOKUP($B37,Table2[],7,FALSE))</f>
        <v>0.4</v>
      </c>
      <c r="K37" s="109">
        <f t="shared" ref="K37:K38" si="2">IF(B37=0,0,ROUND(G37*H37*J37,2))</f>
        <v>32</v>
      </c>
      <c r="L37" s="110"/>
    </row>
    <row r="38" spans="2:12" x14ac:dyDescent="0.2">
      <c r="B38" s="180" t="s">
        <v>301</v>
      </c>
      <c r="C38" s="388" t="str">
        <f>IF(B38=0,"",VLOOKUP($B38,Table2[],2,FALSE))</f>
        <v>Other</v>
      </c>
      <c r="D38" s="388"/>
      <c r="E38" s="388"/>
      <c r="F38" s="170">
        <v>5</v>
      </c>
      <c r="G38" s="175">
        <v>1</v>
      </c>
      <c r="H38" s="103">
        <v>6.8</v>
      </c>
      <c r="I38" s="103" t="s">
        <v>187</v>
      </c>
      <c r="J38" s="109">
        <f>IF($B38=0,"",VLOOKUP($B38,Table2[],7,FALSE))</f>
        <v>1.9823788546255507</v>
      </c>
      <c r="K38" s="109">
        <f t="shared" si="2"/>
        <v>13.48</v>
      </c>
      <c r="L38" s="110"/>
    </row>
    <row r="39" spans="2:12" x14ac:dyDescent="0.2">
      <c r="B39" s="180" t="s">
        <v>199</v>
      </c>
      <c r="C39" s="388" t="str">
        <f>IF(B39=0,"",VLOOKUP($B39,Table2[],2,FALSE))</f>
        <v>Custom</v>
      </c>
      <c r="D39" s="388"/>
      <c r="E39" s="388"/>
      <c r="F39" s="174">
        <v>6</v>
      </c>
      <c r="G39" s="175">
        <v>1</v>
      </c>
      <c r="H39" s="176">
        <v>6.8</v>
      </c>
      <c r="I39" s="120" t="str">
        <f>IF($B39=0,"",VLOOKUP($B39,Table2[],5,FALSE))</f>
        <v>ton</v>
      </c>
      <c r="J39" s="109">
        <f>IF($B39=0,"",VLOOKUP($B39,Table2[],7,FALSE))</f>
        <v>3.6710719530102787</v>
      </c>
      <c r="K39" s="109">
        <f t="shared" ref="K39:K45" si="3">IF(B39=0,0,ROUND(G39*H39*J39,2))</f>
        <v>24.96</v>
      </c>
      <c r="L39" s="110"/>
    </row>
    <row r="40" spans="2:12" x14ac:dyDescent="0.2">
      <c r="B40" s="213" t="s">
        <v>297</v>
      </c>
      <c r="C40" s="387" t="str">
        <f>IF(B40=0,"",VLOOKUP($B40,Table2[],2,FALSE))</f>
        <v>Other</v>
      </c>
      <c r="D40" s="387"/>
      <c r="E40" s="387"/>
      <c r="F40" s="214">
        <v>8</v>
      </c>
      <c r="G40" s="221">
        <v>1</v>
      </c>
      <c r="H40" s="222">
        <v>1</v>
      </c>
      <c r="I40" s="223" t="str">
        <f>IF($B40=0,"",VLOOKUP($B40,Table2[],5,FALSE))</f>
        <v>acre</v>
      </c>
      <c r="J40" s="215">
        <f>IF($B40=0,"",VLOOKUP($B40,Table2[],7,FALSE))</f>
        <v>40</v>
      </c>
      <c r="K40" s="215">
        <f t="shared" si="3"/>
        <v>40</v>
      </c>
      <c r="L40" s="216"/>
    </row>
    <row r="41" spans="2:12" x14ac:dyDescent="0.2">
      <c r="B41" s="180" t="s">
        <v>268</v>
      </c>
      <c r="C41" s="388" t="s">
        <v>228</v>
      </c>
      <c r="D41" s="388"/>
      <c r="E41" s="388"/>
      <c r="F41" s="174">
        <v>9</v>
      </c>
      <c r="G41" s="175">
        <v>1</v>
      </c>
      <c r="H41" s="176">
        <v>4</v>
      </c>
      <c r="I41" s="120" t="str">
        <f>IF($B41=0,"",VLOOKUP($B41,Table2[],5,FALSE))</f>
        <v>ounce</v>
      </c>
      <c r="J41" s="109">
        <f>IF($B41=0,"",VLOOKUP($B41,Table2[],7,FALSE))</f>
        <v>3.671875</v>
      </c>
      <c r="K41" s="109">
        <f t="shared" ref="K41" si="4">IF(B41=0,0,ROUND(G41*H41*J41,2))</f>
        <v>14.69</v>
      </c>
      <c r="L41" s="110"/>
    </row>
    <row r="42" spans="2:12" x14ac:dyDescent="0.2">
      <c r="B42" s="180" t="s">
        <v>245</v>
      </c>
      <c r="C42" s="388" t="s">
        <v>228</v>
      </c>
      <c r="D42" s="388"/>
      <c r="E42" s="388"/>
      <c r="F42" s="174">
        <v>9</v>
      </c>
      <c r="G42" s="175">
        <v>1</v>
      </c>
      <c r="H42" s="176">
        <v>1</v>
      </c>
      <c r="I42" s="120" t="s">
        <v>179</v>
      </c>
      <c r="J42" s="109">
        <f>IF($B42=0,"",VLOOKUP($B42,Table2[],7,FALSE))</f>
        <v>6.625</v>
      </c>
      <c r="K42" s="109">
        <f t="shared" si="3"/>
        <v>6.63</v>
      </c>
      <c r="L42" s="110"/>
    </row>
    <row r="43" spans="2:12" x14ac:dyDescent="0.2">
      <c r="B43" s="180" t="s">
        <v>889</v>
      </c>
      <c r="C43" s="388" t="str">
        <f>IF(B43=0,"",VLOOKUP($B43,Table2[],2,FALSE))</f>
        <v>Herbicide</v>
      </c>
      <c r="D43" s="388"/>
      <c r="E43" s="388"/>
      <c r="F43" s="174">
        <v>9</v>
      </c>
      <c r="G43" s="175">
        <v>1</v>
      </c>
      <c r="H43" s="176">
        <v>32</v>
      </c>
      <c r="I43" s="120" t="str">
        <f>IF($B43=0,"",VLOOKUP($B43,Table2[],5,FALSE))</f>
        <v>ounce</v>
      </c>
      <c r="J43" s="109">
        <f>IF($B43=0,"",VLOOKUP($B43,Table2[],7,FALSE))</f>
        <v>0.1953125</v>
      </c>
      <c r="K43" s="109">
        <f t="shared" si="3"/>
        <v>6.25</v>
      </c>
      <c r="L43" s="110"/>
    </row>
    <row r="44" spans="2:12" x14ac:dyDescent="0.2">
      <c r="B44" s="213" t="s">
        <v>170</v>
      </c>
      <c r="C44" s="387" t="str">
        <f>IF(B44=0,"",VLOOKUP($B44,Table2[],2,FALSE))</f>
        <v>Additive</v>
      </c>
      <c r="D44" s="387"/>
      <c r="E44" s="387"/>
      <c r="F44" s="214">
        <v>9</v>
      </c>
      <c r="G44" s="221">
        <v>1</v>
      </c>
      <c r="H44" s="222">
        <v>1.7</v>
      </c>
      <c r="I44" s="223" t="str">
        <f>IF($B44=0,"",VLOOKUP($B44,Table2[],5,FALSE))</f>
        <v>pound</v>
      </c>
      <c r="J44" s="215">
        <f>IF($B44=0,"",VLOOKUP($B44,Table2[],7,FALSE))</f>
        <v>0.4</v>
      </c>
      <c r="K44" s="215">
        <f t="shared" si="3"/>
        <v>0.68</v>
      </c>
      <c r="L44" s="216"/>
    </row>
    <row r="45" spans="2:12" x14ac:dyDescent="0.2">
      <c r="B45" s="180" t="s">
        <v>288</v>
      </c>
      <c r="C45" s="388" t="str">
        <f>IF(B45=0,"",VLOOKUP($B45,Table2[],2,FALSE))</f>
        <v>Insecticide</v>
      </c>
      <c r="D45" s="388"/>
      <c r="E45" s="388"/>
      <c r="F45" s="174">
        <v>10</v>
      </c>
      <c r="G45" s="175">
        <v>0.2</v>
      </c>
      <c r="H45" s="176">
        <v>3</v>
      </c>
      <c r="I45" s="120" t="str">
        <f>IF($B45=0,"",VLOOKUP($B45,Table2[],5,FALSE))</f>
        <v>ounce</v>
      </c>
      <c r="J45" s="109">
        <f>IF($B45=0,"",VLOOKUP($B45,Table2[],7,FALSE))</f>
        <v>1.25</v>
      </c>
      <c r="K45" s="109">
        <f t="shared" si="3"/>
        <v>0.75</v>
      </c>
      <c r="L45" s="110"/>
    </row>
    <row r="46" spans="2:12" ht="12.75" hidden="1" customHeight="1" x14ac:dyDescent="0.2">
      <c r="B46" s="217"/>
      <c r="C46" s="387" t="str">
        <f>IF(B46=0,"",VLOOKUP($B46,Table2[],2,FALSE))</f>
        <v/>
      </c>
      <c r="D46" s="387"/>
      <c r="E46" s="387"/>
      <c r="F46" s="218"/>
      <c r="G46" s="224"/>
      <c r="H46" s="225"/>
      <c r="I46" s="223" t="str">
        <f>IF($B46=0,"",VLOOKUP($B46,Table2[],5,FALSE))</f>
        <v/>
      </c>
      <c r="J46" s="215" t="str">
        <f>IF($B46=0,"",VLOOKUP($B46,Table2[],7,FALSE))</f>
        <v/>
      </c>
      <c r="K46" s="215">
        <f t="shared" ref="K46:K63" si="5">IF(B46=0,0,ROUND(G46*H46*J46,2))</f>
        <v>0</v>
      </c>
      <c r="L46" s="216"/>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5"/>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5"/>
        <v>0</v>
      </c>
      <c r="L48" s="110"/>
    </row>
    <row r="49" spans="2:12" ht="12.75" hidden="1" customHeight="1" x14ac:dyDescent="0.2">
      <c r="B49" s="111"/>
      <c r="C49" s="388" t="str">
        <f>IF(B49=0,"",VLOOKUP($B49,Table2[],2,FALSE))</f>
        <v/>
      </c>
      <c r="D49" s="388"/>
      <c r="E49" s="388"/>
      <c r="F49" s="112"/>
      <c r="G49" s="177"/>
      <c r="H49" s="178"/>
      <c r="I49" s="120" t="str">
        <f>IF($B49=0,"",VLOOKUP($B49,Table2[],5,FALSE))</f>
        <v/>
      </c>
      <c r="J49" s="109" t="str">
        <f>IF($B49=0,"",VLOOKUP($B49,Table2[],7,FALSE))</f>
        <v/>
      </c>
      <c r="K49" s="109">
        <f t="shared" si="5"/>
        <v>0</v>
      </c>
      <c r="L49" s="110"/>
    </row>
    <row r="50" spans="2:12" ht="12.75" hidden="1" customHeight="1" x14ac:dyDescent="0.2">
      <c r="B50" s="217"/>
      <c r="C50" s="387" t="str">
        <f>IF(B50=0,"",VLOOKUP($B50,Table2[],2,FALSE))</f>
        <v/>
      </c>
      <c r="D50" s="387"/>
      <c r="E50" s="387"/>
      <c r="F50" s="218"/>
      <c r="G50" s="224"/>
      <c r="H50" s="225"/>
      <c r="I50" s="223" t="str">
        <f>IF($B50=0,"",VLOOKUP($B50,Table2[],5,FALSE))</f>
        <v/>
      </c>
      <c r="J50" s="215" t="str">
        <f>IF($B50=0,"",VLOOKUP($B50,Table2[],7,FALSE))</f>
        <v/>
      </c>
      <c r="K50" s="215">
        <f t="shared" si="5"/>
        <v>0</v>
      </c>
      <c r="L50" s="216"/>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5"/>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5"/>
        <v>0</v>
      </c>
      <c r="L52" s="110"/>
    </row>
    <row r="53" spans="2:12" ht="12.75" hidden="1" customHeight="1" x14ac:dyDescent="0.2">
      <c r="B53" s="111"/>
      <c r="C53" s="388" t="str">
        <f>IF(B53=0,"",VLOOKUP($B53,Table2[],2,FALSE))</f>
        <v/>
      </c>
      <c r="D53" s="388"/>
      <c r="E53" s="388"/>
      <c r="F53" s="112"/>
      <c r="G53" s="177"/>
      <c r="H53" s="178"/>
      <c r="I53" s="120" t="str">
        <f>IF($B53=0,"",VLOOKUP($B53,Table2[],5,FALSE))</f>
        <v/>
      </c>
      <c r="J53" s="109" t="str">
        <f>IF($B53=0,"",VLOOKUP($B53,Table2[],7,FALSE))</f>
        <v/>
      </c>
      <c r="K53" s="109">
        <f t="shared" si="5"/>
        <v>0</v>
      </c>
      <c r="L53" s="110"/>
    </row>
    <row r="54" spans="2:12" ht="12.75" hidden="1" customHeight="1" x14ac:dyDescent="0.2">
      <c r="B54" s="217"/>
      <c r="C54" s="387" t="str">
        <f>IF(B54=0,"",VLOOKUP($B54,Table2[],2,FALSE))</f>
        <v/>
      </c>
      <c r="D54" s="387"/>
      <c r="E54" s="387"/>
      <c r="F54" s="218"/>
      <c r="G54" s="224">
        <v>0.1</v>
      </c>
      <c r="H54" s="225"/>
      <c r="I54" s="223" t="str">
        <f>IF($B54=0,"",VLOOKUP($B54,Table2[],5,FALSE))</f>
        <v/>
      </c>
      <c r="J54" s="215" t="str">
        <f>IF($B54=0,"",VLOOKUP($B54,Table2[],7,FALSE))</f>
        <v/>
      </c>
      <c r="K54" s="215">
        <f t="shared" si="5"/>
        <v>0</v>
      </c>
      <c r="L54" s="216"/>
    </row>
    <row r="55" spans="2:12" ht="12.75" hidden="1" customHeight="1" x14ac:dyDescent="0.2">
      <c r="B55" s="111"/>
      <c r="C55" s="388" t="str">
        <f>IF(B55=0,"",VLOOKUP($B55,Table2[],2,FALSE))</f>
        <v/>
      </c>
      <c r="D55" s="388"/>
      <c r="E55" s="388"/>
      <c r="F55" s="112"/>
      <c r="G55" s="177">
        <v>0.2</v>
      </c>
      <c r="H55" s="178"/>
      <c r="I55" s="120" t="str">
        <f>IF($B55=0,"",VLOOKUP($B55,Table2[],5,FALSE))</f>
        <v/>
      </c>
      <c r="J55" s="109" t="str">
        <f>IF($B55=0,"",VLOOKUP($B55,Table2[],7,FALSE))</f>
        <v/>
      </c>
      <c r="K55" s="109">
        <f t="shared" si="5"/>
        <v>0</v>
      </c>
      <c r="L55" s="110"/>
    </row>
    <row r="56" spans="2:12" ht="12.75" hidden="1" customHeight="1" x14ac:dyDescent="0.2">
      <c r="B56" s="111"/>
      <c r="C56" s="388" t="str">
        <f>IF(B56=0,"",VLOOKUP($B56,Table2[],2,FALSE))</f>
        <v/>
      </c>
      <c r="D56" s="388"/>
      <c r="E56" s="388"/>
      <c r="F56" s="112"/>
      <c r="G56" s="177">
        <v>0.3</v>
      </c>
      <c r="H56" s="178"/>
      <c r="I56" s="120" t="str">
        <f>IF($B56=0,"",VLOOKUP($B56,Table2[],5,FALSE))</f>
        <v/>
      </c>
      <c r="J56" s="109" t="str">
        <f>IF($B56=0,"",VLOOKUP($B56,Table2[],7,FALSE))</f>
        <v/>
      </c>
      <c r="K56" s="109">
        <f t="shared" si="5"/>
        <v>0</v>
      </c>
      <c r="L56" s="110"/>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 t="shared" si="5"/>
        <v>0</v>
      </c>
      <c r="L57" s="113"/>
    </row>
    <row r="58" spans="2:12" ht="12.75" hidden="1" customHeight="1" x14ac:dyDescent="0.2">
      <c r="B58" s="217"/>
      <c r="C58" s="387" t="str">
        <f>IF(B58=0,"",VLOOKUP($B58,Table2[],2,FALSE))</f>
        <v/>
      </c>
      <c r="D58" s="387"/>
      <c r="E58" s="387"/>
      <c r="F58" s="218"/>
      <c r="G58" s="224"/>
      <c r="H58" s="225"/>
      <c r="I58" s="223" t="str">
        <f>IF($B58=0,"",VLOOKUP($B58,Table2[],5,FALSE))</f>
        <v/>
      </c>
      <c r="J58" s="215" t="str">
        <f>IF($B58=0,"",VLOOKUP($B58,Table2[],7,FALSE))</f>
        <v/>
      </c>
      <c r="K58" s="215">
        <f>IF(B58=0,0,ROUND(G58*H58*J58,2))</f>
        <v>0</v>
      </c>
      <c r="L58" s="227"/>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2: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215">
        <f>IF(B62=0,0,ROUND(G62*H62*J62,2))</f>
        <v>0</v>
      </c>
      <c r="L62" s="227"/>
    </row>
    <row r="63" spans="2:12" x14ac:dyDescent="0.2">
      <c r="C63" s="388" t="s">
        <v>655</v>
      </c>
      <c r="D63" s="388"/>
      <c r="E63" s="388"/>
      <c r="F63" s="112"/>
      <c r="G63" s="177"/>
      <c r="H63" s="178"/>
      <c r="I63" s="170"/>
      <c r="J63" s="109" t="str">
        <f ca="1">IF(F5=0,E5,F5)</f>
        <v>N/A</v>
      </c>
      <c r="K63" s="109">
        <f t="shared" si="5"/>
        <v>0</v>
      </c>
      <c r="L63" s="113"/>
    </row>
    <row r="64" spans="2:12" ht="3.75" customHeight="1" thickBot="1" x14ac:dyDescent="0.25">
      <c r="B64" s="114"/>
      <c r="C64" s="121"/>
      <c r="D64" s="121"/>
      <c r="E64" s="121"/>
      <c r="F64" s="115"/>
      <c r="G64" s="122"/>
      <c r="H64" s="114"/>
      <c r="I64" s="123"/>
      <c r="J64" s="124"/>
      <c r="K64" s="125"/>
      <c r="L64" s="117"/>
    </row>
    <row r="65" spans="2:12" ht="13.5" thickTop="1" x14ac:dyDescent="0.2">
      <c r="C65" s="108" t="s">
        <v>671</v>
      </c>
      <c r="D65" s="108"/>
      <c r="J65" s="126"/>
      <c r="K65" s="127">
        <f>SUM(K37:K63)</f>
        <v>139.44</v>
      </c>
      <c r="L65" s="110"/>
    </row>
    <row r="66" spans="2:12" x14ac:dyDescent="0.2">
      <c r="K66" s="127"/>
    </row>
    <row r="67" spans="2:12" x14ac:dyDescent="0.2">
      <c r="B67" s="107" t="s">
        <v>672</v>
      </c>
      <c r="K67" s="127">
        <f>K33+K65</f>
        <v>423.91</v>
      </c>
      <c r="L67" s="110"/>
    </row>
    <row r="68" spans="2:12" ht="13.5" thickBot="1" x14ac:dyDescent="0.25">
      <c r="D68" s="128" t="s">
        <v>673</v>
      </c>
      <c r="E68" s="129">
        <f>ROUND(SUM($E$33:$H$33)+$K$65,2)</f>
        <v>239.82</v>
      </c>
      <c r="F68" s="388" t="s">
        <v>674</v>
      </c>
      <c r="G68" s="388"/>
      <c r="H68" s="130">
        <f>'General Variables'!$B$11</f>
        <v>7.4999999999999997E-2</v>
      </c>
      <c r="I68" s="131" t="str">
        <f>CONCATENATE("for ",TEXT('General Variables'!$B$12,"0.0")," mo.")</f>
        <v>for 6.0 mo.</v>
      </c>
      <c r="K68" s="132">
        <f>E68*H68*'General Variables'!$B$12/12</f>
        <v>8.9932499999999997</v>
      </c>
      <c r="L68" s="133"/>
    </row>
    <row r="69" spans="2:12" ht="13.5" thickTop="1" x14ac:dyDescent="0.2">
      <c r="B69" s="107" t="s">
        <v>675</v>
      </c>
      <c r="K69" s="127">
        <f>SUM(K67:K68)</f>
        <v>432.90325000000001</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34</v>
      </c>
      <c r="D72" s="399"/>
      <c r="E72" s="400"/>
      <c r="F72" s="136">
        <f>IF(C72=0,0,VLOOKUP(C72,RETable,2,FALSE))</f>
        <v>8145</v>
      </c>
      <c r="G72" s="388" t="s">
        <v>678</v>
      </c>
      <c r="H72" s="388"/>
      <c r="I72" s="130">
        <f>'General Variables'!$B$10</f>
        <v>0.03</v>
      </c>
      <c r="K72" s="137">
        <f>ROUND(F72*I72,2)</f>
        <v>244.35</v>
      </c>
      <c r="L72" s="110"/>
    </row>
    <row r="73" spans="2:12" ht="13.5" thickBot="1" x14ac:dyDescent="0.25">
      <c r="B73" s="103" t="s">
        <v>679</v>
      </c>
      <c r="F73" s="138">
        <f>IF(C72=0,0,VLOOKUP(C72,RETable,2,FALSE))</f>
        <v>8145</v>
      </c>
      <c r="G73" s="397" t="s">
        <v>678</v>
      </c>
      <c r="H73" s="397"/>
      <c r="I73" s="139">
        <f>'General Variables'!$B$13</f>
        <v>1.2999999999999999E-2</v>
      </c>
      <c r="J73" s="105"/>
      <c r="K73" s="140">
        <f>ROUND(F73*I73,2)</f>
        <v>105.89</v>
      </c>
      <c r="L73" s="133"/>
    </row>
    <row r="74" spans="2:12" ht="13.5" thickTop="1" x14ac:dyDescent="0.2">
      <c r="B74" s="107" t="s">
        <v>680</v>
      </c>
      <c r="K74" s="127">
        <f>SUM(K69:K73)</f>
        <v>818.14324999999997</v>
      </c>
      <c r="L74" s="110"/>
    </row>
    <row r="75" spans="2:12" x14ac:dyDescent="0.2">
      <c r="K75" s="128"/>
    </row>
    <row r="76" spans="2:12" x14ac:dyDescent="0.2">
      <c r="B76" s="104" t="str">
        <f>IF(G4="","","Cash Cost per "&amp;H4)</f>
        <v>Cash Cost per ton</v>
      </c>
      <c r="C76" s="261" t="s">
        <v>688</v>
      </c>
      <c r="D76" s="105"/>
      <c r="E76" s="105"/>
      <c r="F76" s="105"/>
      <c r="G76" s="105"/>
      <c r="H76" s="105"/>
      <c r="I76" s="105"/>
      <c r="J76" s="105"/>
      <c r="K76" s="142">
        <f>IF(G4=0,0,(E68+K68+K71+K73)/G4)</f>
        <v>57.309301470588231</v>
      </c>
      <c r="L76" s="148"/>
    </row>
    <row r="77" spans="2:12" x14ac:dyDescent="0.2">
      <c r="B77" s="107" t="str">
        <f>IF(G4="","","Cost of production per "&amp;H4)</f>
        <v>Cost of production per ton</v>
      </c>
      <c r="K77" s="141">
        <f>IF(G4="","",K74/G4)</f>
        <v>120.31518382352941</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row>
    <row r="114" spans="2:11" x14ac:dyDescent="0.2">
      <c r="B114" s="105"/>
      <c r="C114" s="105"/>
      <c r="D114" s="105"/>
      <c r="K114" s="103" t="s">
        <v>681</v>
      </c>
    </row>
    <row r="115" spans="2:11" x14ac:dyDescent="0.2">
      <c r="B115" s="105"/>
      <c r="C115" s="105"/>
      <c r="D115" s="105"/>
      <c r="K115" s="103" t="s">
        <v>654</v>
      </c>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50">
    <mergeCell ref="C57:E57"/>
    <mergeCell ref="C46:E46"/>
    <mergeCell ref="C47:E47"/>
    <mergeCell ref="C48:E48"/>
    <mergeCell ref="C49:E49"/>
    <mergeCell ref="C55:E55"/>
    <mergeCell ref="C56:E56"/>
    <mergeCell ref="C52:E52"/>
    <mergeCell ref="C53:E53"/>
    <mergeCell ref="C54:E54"/>
    <mergeCell ref="F68:G68"/>
    <mergeCell ref="C72:E72"/>
    <mergeCell ref="G72:H72"/>
    <mergeCell ref="G73:H73"/>
    <mergeCell ref="C58:E58"/>
    <mergeCell ref="C59:E59"/>
    <mergeCell ref="C60:E60"/>
    <mergeCell ref="C61:E61"/>
    <mergeCell ref="C62:E62"/>
    <mergeCell ref="C63:E63"/>
    <mergeCell ref="C44:E44"/>
    <mergeCell ref="F35:F36"/>
    <mergeCell ref="G35:G36"/>
    <mergeCell ref="C50:E50"/>
    <mergeCell ref="C51:E51"/>
    <mergeCell ref="C45:E45"/>
    <mergeCell ref="C42:E42"/>
    <mergeCell ref="J35:J36"/>
    <mergeCell ref="C39:E39"/>
    <mergeCell ref="C40:E40"/>
    <mergeCell ref="C43:E43"/>
    <mergeCell ref="C37:E37"/>
    <mergeCell ref="C38:E38"/>
    <mergeCell ref="C41:E41"/>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 ref="H35:I35"/>
  </mergeCells>
  <dataValidations count="9">
    <dataValidation type="list" allowBlank="1" showInputMessage="1" showErrorMessage="1" sqref="B32" xr:uid="{00000000-0002-0000-1400-000000000000}">
      <formula1>$B$113:$B$212</formula1>
    </dataValidation>
    <dataValidation type="list" allowBlank="1" showInputMessage="1" showErrorMessage="1" sqref="B64" xr:uid="{00000000-0002-0000-1400-000001000000}">
      <formula1>$C$113:$C$212</formula1>
    </dataValidation>
    <dataValidation type="list" allowBlank="1" showInputMessage="1" showErrorMessage="1" sqref="K4" xr:uid="{00000000-0002-0000-1400-000002000000}">
      <formula1>$K$113:$K$115</formula1>
    </dataValidation>
    <dataValidation type="list" allowBlank="1" showInputMessage="1" showErrorMessage="1" sqref="B37:B62" xr:uid="{00000000-0002-0000-1400-000003000000}">
      <formula1>MaterialList</formula1>
    </dataValidation>
    <dataValidation type="list" allowBlank="1" showInputMessage="1" showErrorMessage="1" sqref="C72:E72" xr:uid="{00000000-0002-0000-1400-000004000000}">
      <formula1>RealEstateList</formula1>
    </dataValidation>
    <dataValidation type="list" allowBlank="1" showInputMessage="1" showErrorMessage="1" sqref="B12:B31" xr:uid="{00000000-0002-0000-1400-000005000000}">
      <formula1>OperationList</formula1>
    </dataValidation>
    <dataValidation type="list" allowBlank="1" showInputMessage="1" showErrorMessage="1" sqref="D12:D32" xr:uid="{00000000-0002-0000-1400-000006000000}">
      <formula1>#REF!</formula1>
    </dataValidation>
    <dataValidation type="list" allowBlank="1" showInputMessage="1" showErrorMessage="1" sqref="K2" xr:uid="{00000000-0002-0000-1400-000007000000}">
      <formula1>watersource</formula1>
    </dataValidation>
    <dataValidation type="list" allowBlank="1" showInputMessage="1" showErrorMessage="1" sqref="C3" xr:uid="{00000000-0002-0000-1400-000008000000}">
      <formula1>TillageSystem</formula1>
    </dataValidation>
  </dataValidations>
  <pageMargins left="0.7" right="0.7" top="0.75" bottom="0.75" header="0.3" footer="0.3"/>
  <pageSetup scale="7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5">
    <pageSetUpPr fitToPage="1"/>
  </sheetPr>
  <dimension ref="A2:M257"/>
  <sheetViews>
    <sheetView topLeftCell="A9" zoomScaleNormal="100" workbookViewId="0">
      <selection activeCell="N18" sqref="N1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8.14062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74</v>
      </c>
      <c r="L2" s="401"/>
    </row>
    <row r="3" spans="1:13" hidden="1" x14ac:dyDescent="0.2">
      <c r="B3" s="103" t="s">
        <v>38</v>
      </c>
      <c r="C3" s="391" t="s">
        <v>43</v>
      </c>
      <c r="D3" s="391"/>
      <c r="E3" s="391"/>
      <c r="G3" s="128" t="s">
        <v>650</v>
      </c>
      <c r="H3" s="187" t="s">
        <v>705</v>
      </c>
      <c r="J3" s="128" t="s">
        <v>651</v>
      </c>
      <c r="K3" s="187"/>
    </row>
    <row r="4" spans="1:13" hidden="1" x14ac:dyDescent="0.2">
      <c r="B4" s="103" t="s">
        <v>652</v>
      </c>
      <c r="C4" s="392" t="s">
        <v>62</v>
      </c>
      <c r="D4" s="392"/>
      <c r="E4" s="392"/>
      <c r="G4" s="103">
        <f>IFERROR(VALUE(LEFT($H$3,FIND(" ",$H$3))),"")</f>
        <v>100</v>
      </c>
      <c r="H4" s="103" t="str">
        <f>IFERROR(RIGHT(H3,LEN(H3)-LEN(G4)-1),"")</f>
        <v>bushel</v>
      </c>
      <c r="J4" s="128" t="s">
        <v>653</v>
      </c>
      <c r="K4" s="188" t="s">
        <v>654</v>
      </c>
    </row>
    <row r="5" spans="1:13" ht="15.75" hidden="1" customHeight="1" x14ac:dyDescent="0.2">
      <c r="B5" s="103" t="s">
        <v>655</v>
      </c>
      <c r="C5" s="103" t="str">
        <f ca="1">MID(CELL("filename",C5),FIND("]",CELL("filename",C5))+1,255)</f>
        <v>15-Corn</v>
      </c>
      <c r="E5" s="103">
        <f ca="1">VLOOKUP($C$5,CropInsurance,5,FALSE)</f>
        <v>6</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15-Corn, Conventional Tillage, Continuous, 100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15-Corn, Conventional Tillage, Continuous, 100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1" si="0">IF(C13&gt;9999,"",ROUND(SUM(E13:J13),2))</f>
        <v>14.98</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545</v>
      </c>
      <c r="C17" s="174">
        <v>1</v>
      </c>
      <c r="D17" s="174"/>
      <c r="E17" s="109">
        <f>IF(B17=0,"",IF(C17&gt;9999,"",ROUND('General Variables'!$B$4*VLOOKUP(B17,Operations!$A$2:$U$79,10,FALSE)/VLOOKUP(B17,Operations!$A$2:$U$79,9,FALSE)*C17,2)))</f>
        <v>2.7</v>
      </c>
      <c r="F17" s="109">
        <f>IF(B17=0,0,IF(C17&gt;9999,"",ROUND(IF(VLOOKUP(B17,Operations!$A$2:$U$79,12,FALSE)=0,VLOOKUP(B17,Operations!$A$2:$U$79,13,FALSE)*'General Variables'!$B$8,VLOOKUP(B17,Operations!$A$2:$U$79,12,FALSE)*'General Variables'!$B$7)/VLOOKUP(B17,Operations!$A$2:$U$79,9,FALSE)*C17,2)))</f>
        <v>1.02</v>
      </c>
      <c r="G17" s="109">
        <f>IF(B17=0,0,IF(C17&gt;9999,"",ROUND(VLOOKUP(VLOOKUP(B17,Operations!$A$2:$U$79,11,FALSE),PowerUnits[],10,FALSE)/VLOOKUP(B17,Operations!$A$2:$U$79,9,FALSE)*C17,2)))</f>
        <v>0.08</v>
      </c>
      <c r="H17" s="109">
        <f>IF(B17=0,"",IF(C17&gt;9999,"",ROUND(VLOOKUP($B17,Operations!$A$2:$U$79,15,FALSE)*C17,2)))</f>
        <v>1.4</v>
      </c>
      <c r="I17" s="109">
        <f>IF(B17=0,0,IF(C17&gt;9999,"",ROUND(VLOOKUP(VLOOKUP(B17,Operations!$A$2:$U$79,11,FALSE),PowerUnits[],16,FALSE)/VLOOKUP(B17,Operations!$A$2:$U$79,9,FALSE)*C17,2)))</f>
        <v>3.93</v>
      </c>
      <c r="J17" s="109">
        <f>IF(B17=0,"",IF(C17&gt;9999,"",ROUND(VLOOKUP($B17,Operations!$A$2:$U$79,21,FALSE)*$C17,2)))</f>
        <v>3.2</v>
      </c>
      <c r="K17" s="109">
        <f t="shared" si="0"/>
        <v>12.33</v>
      </c>
      <c r="L17" s="110"/>
    </row>
    <row r="18" spans="1:12" x14ac:dyDescent="0.2">
      <c r="A18" s="170">
        <v>7</v>
      </c>
      <c r="B18" s="180" t="s">
        <v>545</v>
      </c>
      <c r="C18" s="174">
        <v>0.25</v>
      </c>
      <c r="D18" s="174"/>
      <c r="E18" s="109">
        <f>IF(B18=0,"",IF(C18&gt;9999,"",ROUND('General Variables'!$B$4*VLOOKUP(B18,Operations!$A$2:$U$79,10,FALSE)/VLOOKUP(B18,Operations!$A$2:$U$79,9,FALSE)*C18,2)))</f>
        <v>0.68</v>
      </c>
      <c r="F18" s="109">
        <f>IF(B18=0,0,IF(C18&gt;9999,"",ROUND(IF(VLOOKUP(B18,Operations!$A$2:$U$79,12,FALSE)=0,VLOOKUP(B18,Operations!$A$2:$U$79,13,FALSE)*'General Variables'!$B$8,VLOOKUP(B18,Operations!$A$2:$U$79,12,FALSE)*'General Variables'!$B$7)/VLOOKUP(B18,Operations!$A$2:$U$79,9,FALSE)*C18,2)))</f>
        <v>0.25</v>
      </c>
      <c r="G18" s="109">
        <f>IF(B18=0,0,IF(C18&gt;9999,"",ROUND(VLOOKUP(VLOOKUP(B18,Operations!$A$2:$U$79,11,FALSE),PowerUnits[],10,FALSE)/VLOOKUP(B18,Operations!$A$2:$U$79,9,FALSE)*C18,2)))</f>
        <v>0.02</v>
      </c>
      <c r="H18" s="109">
        <f>IF(B18=0,"",IF(C18&gt;9999,"",ROUND(VLOOKUP($B18,Operations!$A$2:$U$79,15,FALSE)*C18,2)))</f>
        <v>0.35</v>
      </c>
      <c r="I18" s="109">
        <f>IF(B18=0,0,IF(C18&gt;9999,"",ROUND(VLOOKUP(VLOOKUP(B18,Operations!$A$2:$U$79,11,FALSE),PowerUnits[],16,FALSE)/VLOOKUP(B18,Operations!$A$2:$U$79,9,FALSE)*C18,2)))</f>
        <v>0.98</v>
      </c>
      <c r="J18" s="109">
        <f>IF(B18=0,"",IF(C18&gt;9999,"",ROUND(VLOOKUP($B18,Operations!$A$2:$U$79,21,FALSE)*$C18,2)))</f>
        <v>0.8</v>
      </c>
      <c r="K18" s="109">
        <f t="shared" si="0"/>
        <v>3.08</v>
      </c>
      <c r="L18" s="110"/>
    </row>
    <row r="19" spans="1:12" x14ac:dyDescent="0.2">
      <c r="A19" s="170">
        <v>8</v>
      </c>
      <c r="B19" s="213" t="s">
        <v>551</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552</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ref="K20:K25" si="1">IF(C20&gt;9999,"",ROUND(SUM(E20:J20),2))</f>
        <v/>
      </c>
      <c r="L20" s="110"/>
    </row>
    <row r="21" spans="1:12" x14ac:dyDescent="0.2">
      <c r="A21" s="170">
        <v>10</v>
      </c>
      <c r="B21" s="180" t="s">
        <v>943</v>
      </c>
      <c r="C21" s="174">
        <f>$G$4</f>
        <v>100</v>
      </c>
      <c r="D21" s="112"/>
      <c r="E21" s="109">
        <f>IF(B21=0,"",IF(C21&gt;9999,"",ROUND('General Variables'!$B$4*VLOOKUP(B21,Operations!$A$2:$U$79,10,FALSE)/VLOOKUP(B21,Operations!$A$2:$U$79,9,FALSE)*C21,2))/100)</f>
        <v>2.2846000000000002</v>
      </c>
      <c r="F21" s="109">
        <f>IF(B21=0,0,IF(C21&gt;9999,"",ROUND(IF(VLOOKUP(B21,Operations!$A$2:$U$79,12,FALSE)=0,VLOOKUP(B21,Operations!$A$2:$U$79,13,FALSE)*'General Variables'!$B$8,VLOOKUP(B21,Operations!$A$2:$U$79,12,FALSE)*'General Variables'!$B$7)/VLOOKUP(B21,Operations!$A$2:$U$79,9,FALSE)*C21,2))/100)</f>
        <v>2.5822000000000003</v>
      </c>
      <c r="G21" s="109">
        <f>IF(B21=0,0,IF(C21&gt;9999,"",ROUND(VLOOKUP(VLOOKUP(B21,Operations!$A$2:$U$79,11,FALSE),PowerUnits[],10,FALSE)/VLOOKUP(B21,Operations!$A$2:$U$79,9,FALSE)*C21,2))/100)</f>
        <v>3.9699</v>
      </c>
      <c r="H21" s="109">
        <f>IF(B21=0,"",IF(C21&gt;9999,"",ROUND(VLOOKUP($B21,Operations!$A$2:$U$79,15,FALSE)*C21,2))/100)</f>
        <v>0.94159999999999999</v>
      </c>
      <c r="I21" s="109">
        <f>IF(B21=0,0,IF(C21&gt;9999,"",ROUND(VLOOKUP(VLOOKUP(B21,Operations!$A$2:$U$79,11,FALSE),PowerUnits[],16,FALSE)/VLOOKUP(B21,Operations!$A$2:$U$79,9,FALSE)*C21,2))/80)</f>
        <v>11.9505</v>
      </c>
      <c r="J21" s="109">
        <f>IF(B21=0,"",IF(C21&gt;9999,"",ROUND(VLOOKUP($B21,Operations!$A$2:$U$79,21,FALSE)*$C21,2))/80)</f>
        <v>5.4450000000000003</v>
      </c>
      <c r="K21" s="109">
        <f>IF(C21&gt;9999,"",ROUND(SUM(E21:J21),2))</f>
        <v>27.17</v>
      </c>
      <c r="L21" s="110"/>
    </row>
    <row r="22" spans="1:12" x14ac:dyDescent="0.2">
      <c r="A22" s="170">
        <v>11</v>
      </c>
      <c r="B22" s="180" t="s">
        <v>414</v>
      </c>
      <c r="C22" s="174">
        <f>$G$4</f>
        <v>100</v>
      </c>
      <c r="D22" s="112" t="s">
        <v>706</v>
      </c>
      <c r="E22" s="109">
        <f>IF(B22=0,"",IF(C22&gt;9999,"",ROUND('General Variables'!$B$4*VLOOKUP(B22,Operations!$A$2:$U$79,10,FALSE)/VLOOKUP(B22,Operations!$A$2:$U$79,9,FALSE)*C22,2)))</f>
        <v>0.9</v>
      </c>
      <c r="F22" s="109">
        <f>IF(B22=0,0,IF(C22&gt;9999,"",ROUND(IF(VLOOKUP(B22,Operations!$A$2:$U$79,12,FALSE)=0,VLOOKUP(B22,Operations!$A$2:$U$79,13,FALSE)*'General Variables'!$B$8,VLOOKUP(B22,Operations!$A$2:$U$79,12,FALSE)*'General Variables'!$B$7)/VLOOKUP(B22,Operations!$A$2:$U$79,9,FALSE)*C22,2)))</f>
        <v>0.28999999999999998</v>
      </c>
      <c r="G22" s="109">
        <f>IF(B22=0,0,IF(C22&gt;9999,"",ROUND(VLOOKUP(VLOOKUP(B22,Operations!$A$2:$U$79,11,FALSE),PowerUnits[],10,FALSE)/VLOOKUP(B22,Operations!$A$2:$U$79,9,FALSE)*C22,2)))</f>
        <v>0.03</v>
      </c>
      <c r="H22" s="109">
        <f>IF(B22=0,"",IF(C22&gt;9999,"",ROUND(VLOOKUP($B22,Operations!$A$2:$U$79,15,FALSE)*C22,2)))</f>
        <v>0.55000000000000004</v>
      </c>
      <c r="I22" s="109">
        <f>IF(B22=0,0,IF(C22&gt;9999,"",ROUND(VLOOKUP(VLOOKUP(B22,Operations!$A$2:$U$79,11,FALSE),PowerUnits[],16,FALSE)/VLOOKUP(B22,Operations!$A$2:$U$79,9,FALSE)*C22,2)))</f>
        <v>1.31</v>
      </c>
      <c r="J22" s="109">
        <f>IF(B22=0,"",IF(C22&gt;9999,"",ROUND(VLOOKUP($B22,Operations!$A$2:$U$79,21,FALSE)*$C22,2)))</f>
        <v>1.1000000000000001</v>
      </c>
      <c r="K22" s="109">
        <f t="shared" si="1"/>
        <v>4.18</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1"/>
        <v/>
      </c>
      <c r="L23" s="216"/>
    </row>
    <row r="24" spans="1:12" x14ac:dyDescent="0.2">
      <c r="A24" s="170">
        <v>13</v>
      </c>
      <c r="B24" s="180" t="s">
        <v>496</v>
      </c>
      <c r="C24" s="174" t="s">
        <v>184</v>
      </c>
      <c r="D24" s="112"/>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1"/>
        <v/>
      </c>
      <c r="L24" s="110"/>
    </row>
    <row r="25" spans="1:12" hidden="1" x14ac:dyDescent="0.2">
      <c r="A25" s="170">
        <v>14</v>
      </c>
      <c r="B25" s="180"/>
      <c r="C25" s="290"/>
      <c r="D25" s="291"/>
      <c r="E25" s="292" t="str">
        <f>IF(B25=0,"",IF(C25&gt;9999,"",ROUND('General Variables'!$B$4*VLOOKUP(B25,Operations!$A$2:$U$79,10,FALSE)/VLOOKUP(B25,Operations!$A$2:$U$79,9,FALSE)*C25,2)))</f>
        <v/>
      </c>
      <c r="F25" s="292">
        <f>IF(B25=0,0,IF(C25&gt;9999,"",ROUND(IF(VLOOKUP(B25,Operations!$A$2:$U$79,12,FALSE)=0,VLOOKUP(B25,Operations!$A$2:$U$79,13,FALSE)*'General Variables'!$B$8,VLOOKUP(B25,Operations!$A$2:$U$79,12,FALSE)*'General Variables'!$B$7)/VLOOKUP(B25,Operations!$A$2:$U$79,9,FALSE)*C25,2)))</f>
        <v>0</v>
      </c>
      <c r="G25" s="292">
        <f>IF(B25=0,0,IF(C25&gt;9999,"",ROUND(VLOOKUP(VLOOKUP(B25,Operations!$A$2:$U$79,11,FALSE),PowerUnits[],10,FALSE)/VLOOKUP(B25,Operations!$A$2:$U$79,9,FALSE)*C25,2)))</f>
        <v>0</v>
      </c>
      <c r="H25" s="292" t="str">
        <f>IF(B25=0,"",IF(C25&gt;9999,"",ROUND(VLOOKUP($B25,Operations!$A$2:$U$79,15,FALSE)*C25,2)))</f>
        <v/>
      </c>
      <c r="I25" s="292">
        <f>IF(B25=0,0,IF(C25&gt;9999,"",ROUND(VLOOKUP(VLOOKUP(B25,Operations!$A$2:$U$79,11,FALSE),PowerUnits[],16,FALSE)/VLOOKUP(B25,Operations!$A$2:$U$79,9,FALSE)*C25,2)))</f>
        <v>0</v>
      </c>
      <c r="J25" s="292" t="str">
        <f>IF(B25=0,"",IF(C25&gt;9999,"",ROUND(VLOOKUP($B25,Operations!$A$2:$U$79,21,FALSE)*$C25,2)))</f>
        <v/>
      </c>
      <c r="K25" s="292">
        <f t="shared" si="1"/>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17.5046</v>
      </c>
      <c r="F33" s="109">
        <f t="shared" ref="F33:K33" si="2">SUM(F12:F31)</f>
        <v>10.152199999999999</v>
      </c>
      <c r="G33" s="109">
        <f t="shared" si="2"/>
        <v>4.9798999999999998</v>
      </c>
      <c r="H33" s="109">
        <f t="shared" si="2"/>
        <v>16.541599999999999</v>
      </c>
      <c r="I33" s="109">
        <f t="shared" si="2"/>
        <v>44.570500000000003</v>
      </c>
      <c r="J33" s="109">
        <f t="shared" si="2"/>
        <v>28.585000000000001</v>
      </c>
      <c r="K33" s="109">
        <f t="shared" si="2"/>
        <v>122.32999999999998</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211</v>
      </c>
      <c r="C37" s="388" t="str">
        <f>IF(B37=0,"",VLOOKUP($B37,Table2[],2,FALSE))</f>
        <v>Fertilizer</v>
      </c>
      <c r="D37" s="388"/>
      <c r="E37" s="388"/>
      <c r="F37" s="174">
        <v>2</v>
      </c>
      <c r="G37" s="175">
        <v>1</v>
      </c>
      <c r="H37" s="299">
        <v>85</v>
      </c>
      <c r="I37" s="120" t="str">
        <f>IF($B37=0,"",VLOOKUP($B37,Table2[],5,FALSE))</f>
        <v>lbs N</v>
      </c>
      <c r="J37" s="109">
        <f>IF($B37=0,"",VLOOKUP($B37,Table2[],7,FALSE))</f>
        <v>0.38</v>
      </c>
      <c r="K37" s="109">
        <f>IF(B37=0,0,ROUND(G37*H37*J37,2))</f>
        <v>32.299999999999997</v>
      </c>
      <c r="L37" s="110"/>
    </row>
    <row r="38" spans="2:12" x14ac:dyDescent="0.2">
      <c r="B38" s="180" t="s">
        <v>320</v>
      </c>
      <c r="C38" s="388" t="str">
        <f>IF(B38=0,"",VLOOKUP($B38,Table2[],2,FALSE))</f>
        <v>Seed</v>
      </c>
      <c r="D38" s="388"/>
      <c r="E38" s="388"/>
      <c r="F38" s="174">
        <v>4</v>
      </c>
      <c r="G38" s="175">
        <v>1</v>
      </c>
      <c r="H38" s="300">
        <v>13.9</v>
      </c>
      <c r="I38" s="120" t="str">
        <f>IF($B38=0,"",VLOOKUP($B38,Table2[],5,FALSE))</f>
        <v>k seed</v>
      </c>
      <c r="J38" s="109">
        <f>IF($B38=0,"",VLOOKUP($B38,Table2[],7,FALSE))</f>
        <v>3.5</v>
      </c>
      <c r="K38" s="109">
        <f t="shared" ref="K38:K56" si="3">IF(B38=0,0,ROUND(G38*H38*J38,2))</f>
        <v>48.65</v>
      </c>
      <c r="L38" s="110"/>
    </row>
    <row r="39" spans="2:12" x14ac:dyDescent="0.2">
      <c r="B39" s="180" t="s">
        <v>287</v>
      </c>
      <c r="C39" s="388" t="str">
        <f>IF(B39=0,"",VLOOKUP($B39,Table2[],2,FALSE))</f>
        <v>Insecticide</v>
      </c>
      <c r="D39" s="388"/>
      <c r="E39" s="388"/>
      <c r="F39" s="174">
        <v>4</v>
      </c>
      <c r="G39" s="175">
        <v>1</v>
      </c>
      <c r="H39" s="176">
        <v>6.6</v>
      </c>
      <c r="I39" s="120" t="str">
        <f>IF($B39=0,"",VLOOKUP($B39,Table2[],5,FALSE))</f>
        <v>ounce</v>
      </c>
      <c r="J39" s="109">
        <f>IF($B39=0,"",VLOOKUP($B39,Table2[],7,FALSE))</f>
        <v>1.4453125</v>
      </c>
      <c r="K39" s="109">
        <f t="shared" si="3"/>
        <v>9.5399999999999991</v>
      </c>
      <c r="L39" s="110"/>
    </row>
    <row r="40" spans="2:12" x14ac:dyDescent="0.2">
      <c r="B40" s="213" t="s">
        <v>201</v>
      </c>
      <c r="C40" s="387" t="str">
        <f>IF(B40=0,"",VLOOKUP($B40,Table2[],2,FALSE))</f>
        <v>Fertilizer</v>
      </c>
      <c r="D40" s="387"/>
      <c r="E40" s="387"/>
      <c r="F40" s="214">
        <v>4</v>
      </c>
      <c r="G40" s="221">
        <v>1</v>
      </c>
      <c r="H40" s="222">
        <v>6</v>
      </c>
      <c r="I40" s="223" t="str">
        <f>IF($B40=0,"",VLOOKUP($B40,Table2[],5,FALSE))</f>
        <v>gallon</v>
      </c>
      <c r="J40" s="215">
        <f>IF($B40=0,"",VLOOKUP($B40,Table2[],7,FALSE))</f>
        <v>3.1</v>
      </c>
      <c r="K40" s="215">
        <f t="shared" si="3"/>
        <v>18.600000000000001</v>
      </c>
      <c r="L40" s="216"/>
    </row>
    <row r="41" spans="2:12" x14ac:dyDescent="0.2">
      <c r="B41" s="180" t="s">
        <v>241</v>
      </c>
      <c r="C41" s="388" t="str">
        <f>IF(B41=0,"",VLOOKUP($B41,Table2[],2,FALSE))</f>
        <v>Herbicide</v>
      </c>
      <c r="D41" s="388"/>
      <c r="E41" s="388"/>
      <c r="F41" s="174">
        <v>5</v>
      </c>
      <c r="G41" s="175">
        <v>1</v>
      </c>
      <c r="H41" s="176">
        <v>4</v>
      </c>
      <c r="I41" s="120" t="str">
        <f>IF($B41=0,"",VLOOKUP($B41,Table2[],5,FALSE))</f>
        <v>ounce</v>
      </c>
      <c r="J41" s="109">
        <f>IF($B41=0,"",VLOOKUP($B41,Table2[],7,FALSE))</f>
        <v>6.5</v>
      </c>
      <c r="K41" s="109">
        <f t="shared" si="3"/>
        <v>26</v>
      </c>
      <c r="L41" s="110"/>
    </row>
    <row r="42" spans="2:12" x14ac:dyDescent="0.2">
      <c r="B42" s="180" t="s">
        <v>238</v>
      </c>
      <c r="C42" s="388" t="str">
        <f>IF(B42=0,"",VLOOKUP($B42,Table2[],2,FALSE))</f>
        <v>Herbicide</v>
      </c>
      <c r="D42" s="388"/>
      <c r="E42" s="388"/>
      <c r="F42" s="174">
        <v>5</v>
      </c>
      <c r="G42" s="175">
        <v>1</v>
      </c>
      <c r="H42" s="176">
        <v>1.6</v>
      </c>
      <c r="I42" s="120" t="str">
        <f>IF($B42=0,"",VLOOKUP($B42,Table2[],5,FALSE))</f>
        <v>pound</v>
      </c>
      <c r="J42" s="109">
        <f>IF($B42=0,"",VLOOKUP($B42,Table2[],7,FALSE))</f>
        <v>4.3</v>
      </c>
      <c r="K42" s="109">
        <f t="shared" ref="K42" si="4">IF(B42=0,0,ROUND(G42*H42*J42,2))</f>
        <v>6.88</v>
      </c>
      <c r="L42" s="110"/>
    </row>
    <row r="43" spans="2:12" x14ac:dyDescent="0.2">
      <c r="B43" s="180" t="s">
        <v>200</v>
      </c>
      <c r="C43" s="388" t="str">
        <f>IF(B43=0,"",VLOOKUP($B43,Table2[],2,FALSE))</f>
        <v>Custom</v>
      </c>
      <c r="D43" s="388"/>
      <c r="E43" s="388"/>
      <c r="F43" s="174">
        <v>8</v>
      </c>
      <c r="G43" s="175">
        <v>0.5</v>
      </c>
      <c r="H43" s="176">
        <v>1</v>
      </c>
      <c r="I43" s="120" t="str">
        <f>IF($B43=0,"",VLOOKUP($B43,Table2[],5,FALSE))</f>
        <v>acre</v>
      </c>
      <c r="J43" s="109">
        <f>IF($B43=0,"",VLOOKUP($B43,Table2[],7,FALSE))</f>
        <v>9</v>
      </c>
      <c r="K43" s="109">
        <f t="shared" si="3"/>
        <v>4.5</v>
      </c>
      <c r="L43" s="110"/>
    </row>
    <row r="44" spans="2:12" x14ac:dyDescent="0.2">
      <c r="B44" s="213" t="s">
        <v>236</v>
      </c>
      <c r="C44" s="387" t="str">
        <f>IF(B44=0,"",VLOOKUP($B44,Table2[],2,FALSE))</f>
        <v>Herbicide</v>
      </c>
      <c r="D44" s="387"/>
      <c r="E44" s="387"/>
      <c r="F44" s="214">
        <v>8</v>
      </c>
      <c r="G44" s="221">
        <v>0.5</v>
      </c>
      <c r="H44" s="222">
        <v>14</v>
      </c>
      <c r="I44" s="223" t="str">
        <f>IF($B44=0,"",VLOOKUP($B44,Table2[],5,FALSE))</f>
        <v>ounce</v>
      </c>
      <c r="J44" s="215">
        <f>IF($B44=0,"",VLOOKUP($B44,Table2[],7,FALSE))</f>
        <v>1.640625</v>
      </c>
      <c r="K44" s="215">
        <f t="shared" si="3"/>
        <v>11.48</v>
      </c>
      <c r="L44" s="216"/>
    </row>
    <row r="45" spans="2:12" x14ac:dyDescent="0.2">
      <c r="B45" s="180" t="s">
        <v>181</v>
      </c>
      <c r="C45" s="388" t="str">
        <f>IF(B45=0,"",VLOOKUP($B45,Table2[],2,FALSE))</f>
        <v>Additive</v>
      </c>
      <c r="D45" s="388"/>
      <c r="E45" s="388"/>
      <c r="F45" s="174">
        <v>8</v>
      </c>
      <c r="G45" s="175">
        <v>0.5</v>
      </c>
      <c r="H45" s="176">
        <v>6</v>
      </c>
      <c r="I45" s="120" t="str">
        <f>IF($B45=0,"",VLOOKUP($B45,Table2[],5,FALSE))</f>
        <v>ounce</v>
      </c>
      <c r="J45" s="109">
        <f>IF($B45=0,"",VLOOKUP($B45,Table2[],7,FALSE))</f>
        <v>0.203125</v>
      </c>
      <c r="K45" s="109">
        <f t="shared" si="3"/>
        <v>0.61</v>
      </c>
      <c r="L45" s="110"/>
    </row>
    <row r="46" spans="2:12" x14ac:dyDescent="0.2">
      <c r="B46" s="180" t="s">
        <v>182</v>
      </c>
      <c r="C46" s="388" t="str">
        <f>IF(B46=0,"",VLOOKUP($B46,Table2[],2,FALSE))</f>
        <v>Additive</v>
      </c>
      <c r="D46" s="388"/>
      <c r="E46" s="388"/>
      <c r="F46" s="174">
        <v>8</v>
      </c>
      <c r="G46" s="175">
        <v>0.5</v>
      </c>
      <c r="H46" s="176">
        <v>2</v>
      </c>
      <c r="I46" s="120" t="str">
        <f>IF($B46=0,"",VLOOKUP($B46,Table2[],5,FALSE))</f>
        <v>pint</v>
      </c>
      <c r="J46" s="109">
        <f>IF($B46=0,"",VLOOKUP($B46,Table2[],7,FALSE))</f>
        <v>0.22500000000000001</v>
      </c>
      <c r="K46" s="109">
        <f t="shared" si="3"/>
        <v>0.23</v>
      </c>
      <c r="L46" s="110"/>
    </row>
    <row r="47" spans="2:12" x14ac:dyDescent="0.2">
      <c r="B47" s="180" t="s">
        <v>200</v>
      </c>
      <c r="C47" s="388" t="str">
        <f>IF(B47=0,"",VLOOKUP($B47,Table2[],2,FALSE))</f>
        <v>Custom</v>
      </c>
      <c r="D47" s="388"/>
      <c r="E47" s="388"/>
      <c r="F47" s="174">
        <v>9</v>
      </c>
      <c r="G47" s="175">
        <v>0.2</v>
      </c>
      <c r="H47" s="176">
        <v>1</v>
      </c>
      <c r="I47" s="120" t="str">
        <f>IF($B47=0,"",VLOOKUP($B47,Table2[],5,FALSE))</f>
        <v>acre</v>
      </c>
      <c r="J47" s="109">
        <f>IF($B47=0,"",VLOOKUP($B47,Table2[],7,FALSE))</f>
        <v>9</v>
      </c>
      <c r="K47" s="109">
        <f t="shared" si="3"/>
        <v>1.8</v>
      </c>
      <c r="L47" s="110"/>
    </row>
    <row r="48" spans="2:12" x14ac:dyDescent="0.2">
      <c r="B48" s="213" t="s">
        <v>286</v>
      </c>
      <c r="C48" s="387" t="str">
        <f>IF(B48=0,"",VLOOKUP($B48,Table2[],2,FALSE))</f>
        <v>Insecticide</v>
      </c>
      <c r="D48" s="387"/>
      <c r="E48" s="387"/>
      <c r="F48" s="214">
        <v>9</v>
      </c>
      <c r="G48" s="221">
        <v>0.1</v>
      </c>
      <c r="H48" s="222">
        <v>5.12</v>
      </c>
      <c r="I48" s="223" t="str">
        <f>IF($B48=0,"",VLOOKUP($B48,Table2[],5,FALSE))</f>
        <v>ounce</v>
      </c>
      <c r="J48" s="215">
        <f>IF($B48=0,"",VLOOKUP($B48,Table2[],7,FALSE))</f>
        <v>1.015625</v>
      </c>
      <c r="K48" s="215">
        <f t="shared" si="3"/>
        <v>0.52</v>
      </c>
      <c r="L48" s="216"/>
    </row>
    <row r="49" spans="2:12" x14ac:dyDescent="0.2">
      <c r="B49" s="180" t="s">
        <v>288</v>
      </c>
      <c r="C49" s="388" t="str">
        <f>IF(B49=0,"",VLOOKUP($B49,Table2[],2,FALSE))</f>
        <v>Insecticide</v>
      </c>
      <c r="D49" s="388"/>
      <c r="E49" s="388"/>
      <c r="F49" s="174">
        <v>9</v>
      </c>
      <c r="G49" s="175">
        <v>0.2</v>
      </c>
      <c r="H49" s="176">
        <v>2</v>
      </c>
      <c r="I49" s="120" t="str">
        <f>IF($B49=0,"",VLOOKUP($B49,Table2[],5,FALSE))</f>
        <v>ounce</v>
      </c>
      <c r="J49" s="109">
        <f>IF($B49=0,"",VLOOKUP($B49,Table2[],7,FALSE))</f>
        <v>1.25</v>
      </c>
      <c r="K49" s="109">
        <f t="shared" si="3"/>
        <v>0.5</v>
      </c>
      <c r="L49" s="110"/>
    </row>
    <row r="50" spans="2:12" x14ac:dyDescent="0.2">
      <c r="B50" s="180" t="s">
        <v>198</v>
      </c>
      <c r="C50" s="388" t="str">
        <f>IF(B50=0,"",VLOOKUP($B50,Table2[],2,FALSE))</f>
        <v>Custom</v>
      </c>
      <c r="D50" s="388"/>
      <c r="E50" s="388"/>
      <c r="F50" s="174">
        <v>12</v>
      </c>
      <c r="G50" s="175">
        <v>1</v>
      </c>
      <c r="H50" s="176">
        <f>$G$4</f>
        <v>100</v>
      </c>
      <c r="I50" s="120" t="str">
        <f>IF($B50=0,"",VLOOKUP($B50,Table2[],5,FALSE))</f>
        <v>bushel</v>
      </c>
      <c r="J50" s="109">
        <f>IF($B50=0,"",VLOOKUP($B50,Table2[],7,FALSE))</f>
        <v>0.15</v>
      </c>
      <c r="K50" s="109">
        <f t="shared" si="3"/>
        <v>15</v>
      </c>
      <c r="L50" s="110"/>
    </row>
    <row r="51" spans="2:12" x14ac:dyDescent="0.2">
      <c r="B51" s="180" t="s">
        <v>190</v>
      </c>
      <c r="C51" s="388" t="str">
        <f>IF(B51=0,"",VLOOKUP($B51,Table2[],2,FALSE))</f>
        <v>Custom</v>
      </c>
      <c r="D51" s="388"/>
      <c r="E51" s="388"/>
      <c r="F51" s="174">
        <v>13</v>
      </c>
      <c r="G51" s="175">
        <v>0.1</v>
      </c>
      <c r="H51" s="176">
        <f>$G$4</f>
        <v>100</v>
      </c>
      <c r="I51" s="120" t="str">
        <f>IF($B51=0,"",VLOOKUP($B51,Table2[],5,FALSE))</f>
        <v>bushel</v>
      </c>
      <c r="J51" s="109">
        <f>IF($B51=0,"",VLOOKUP($B51,Table2[],7,FALSE))</f>
        <v>0.1</v>
      </c>
      <c r="K51" s="109">
        <f t="shared" si="3"/>
        <v>1</v>
      </c>
      <c r="L51" s="110"/>
    </row>
    <row r="52" spans="2:12" x14ac:dyDescent="0.2">
      <c r="B52" s="217" t="s">
        <v>309</v>
      </c>
      <c r="C52" s="387" t="str">
        <f>IF(B52=0,"",VLOOKUP($B52,Table2[],2,FALSE))</f>
        <v>Scouting</v>
      </c>
      <c r="D52" s="387"/>
      <c r="E52" s="387"/>
      <c r="F52" s="218"/>
      <c r="G52" s="224">
        <v>1</v>
      </c>
      <c r="H52" s="225">
        <v>1</v>
      </c>
      <c r="I52" s="223" t="str">
        <f>IF($B52=0,"",VLOOKUP($B52,Table2[],5,FALSE))</f>
        <v>acre</v>
      </c>
      <c r="J52" s="215">
        <f>IF($B52=0,"",VLOOKUP($B52,Table2[],7,FALSE))</f>
        <v>10</v>
      </c>
      <c r="K52" s="215">
        <f t="shared" si="3"/>
        <v>10</v>
      </c>
      <c r="L52" s="216"/>
    </row>
    <row r="53" spans="2:12" ht="12.75" hidden="1" customHeight="1" x14ac:dyDescent="0.2">
      <c r="B53" s="213"/>
      <c r="C53" s="387" t="str">
        <f>IF(B53=0,"",VLOOKUP($B53,Table2[],2,FALSE))</f>
        <v/>
      </c>
      <c r="D53" s="387"/>
      <c r="E53" s="387"/>
      <c r="F53" s="214"/>
      <c r="G53" s="221">
        <v>0.1</v>
      </c>
      <c r="H53" s="222"/>
      <c r="I53" s="223" t="str">
        <f>IF($B53=0,"",VLOOKUP($B53,Table2[],5,FALSE))</f>
        <v/>
      </c>
      <c r="J53" s="215" t="str">
        <f>IF($B53=0,"",VLOOKUP($B53,Table2[],7,FALSE))</f>
        <v/>
      </c>
      <c r="K53" s="215">
        <f t="shared" si="3"/>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3"/>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3"/>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3"/>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x14ac:dyDescent="0.2">
      <c r="B62" s="185" t="s">
        <v>430</v>
      </c>
      <c r="C62" s="388" t="s">
        <v>655</v>
      </c>
      <c r="D62" s="388"/>
      <c r="E62" s="388"/>
      <c r="F62" s="112"/>
      <c r="G62" s="177"/>
      <c r="H62" s="178"/>
      <c r="I62" s="170"/>
      <c r="J62" s="109">
        <f ca="1">IF(F5=0,E5,F5)</f>
        <v>6</v>
      </c>
      <c r="K62" s="109">
        <f ca="1">IF(B62=0,0,J62)</f>
        <v>6</v>
      </c>
      <c r="L62" s="113"/>
    </row>
    <row r="63" spans="2:12" ht="3.75" customHeight="1" thickBot="1" x14ac:dyDescent="0.25">
      <c r="B63" s="114"/>
      <c r="C63" s="121"/>
      <c r="D63" s="121"/>
      <c r="E63" s="121"/>
      <c r="F63" s="115"/>
      <c r="G63" s="122"/>
      <c r="H63" s="114"/>
      <c r="I63" s="123"/>
      <c r="J63" s="124">
        <v>3</v>
      </c>
      <c r="K63" s="125"/>
      <c r="L63" s="117"/>
    </row>
    <row r="64" spans="2:12" ht="13.5" thickTop="1" x14ac:dyDescent="0.2">
      <c r="C64" s="108" t="s">
        <v>671</v>
      </c>
      <c r="D64" s="108"/>
      <c r="E64" s="161"/>
      <c r="F64" s="105"/>
      <c r="J64" s="126"/>
      <c r="K64" s="127">
        <f ca="1">SUM(K37:K62)</f>
        <v>193.60999999999999</v>
      </c>
      <c r="L64" s="110"/>
    </row>
    <row r="65" spans="2:12" x14ac:dyDescent="0.2">
      <c r="K65" s="127"/>
    </row>
    <row r="66" spans="2:12" x14ac:dyDescent="0.2">
      <c r="B66" s="107" t="s">
        <v>672</v>
      </c>
      <c r="K66" s="127">
        <f ca="1">K33+K64</f>
        <v>315.93999999999994</v>
      </c>
      <c r="L66" s="110"/>
    </row>
    <row r="67" spans="2:12" ht="13.5" thickBot="1" x14ac:dyDescent="0.25">
      <c r="D67" s="128" t="s">
        <v>673</v>
      </c>
      <c r="E67" s="129">
        <f ca="1">ROUND(SUM($E$33:$H$33)+$K$64,2)</f>
        <v>242.79</v>
      </c>
      <c r="F67" s="388" t="s">
        <v>674</v>
      </c>
      <c r="G67" s="388"/>
      <c r="H67" s="130">
        <f>'General Variables'!$B$11</f>
        <v>7.4999999999999997E-2</v>
      </c>
      <c r="I67" s="131" t="str">
        <f>CONCATENATE("for ",TEXT('General Variables'!$B$12,"0.0")," mo.")</f>
        <v>for 6.0 mo.</v>
      </c>
      <c r="K67" s="132">
        <f ca="1">E67*H67*'General Variables'!$B$12/12</f>
        <v>9.1046249999999986</v>
      </c>
      <c r="L67" s="133"/>
    </row>
    <row r="68" spans="2:12" ht="13.5" thickTop="1" x14ac:dyDescent="0.2">
      <c r="B68" s="107" t="s">
        <v>675</v>
      </c>
      <c r="K68" s="127">
        <f ca="1">SUM(K66:K67)</f>
        <v>325.04462499999994</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30</v>
      </c>
      <c r="D71" s="399"/>
      <c r="E71" s="400"/>
      <c r="F71" s="136">
        <f>IF(C71=0,0,VLOOKUP(C71,RETable,2,FALSE))</f>
        <v>4530</v>
      </c>
      <c r="G71" s="388" t="s">
        <v>678</v>
      </c>
      <c r="H71" s="388"/>
      <c r="I71" s="130">
        <f>'General Variables'!$B$10</f>
        <v>0.03</v>
      </c>
      <c r="K71" s="137">
        <f>ROUND(F71*I71,2)</f>
        <v>135.9</v>
      </c>
      <c r="L71" s="110"/>
    </row>
    <row r="72" spans="2:12" ht="13.5" thickBot="1" x14ac:dyDescent="0.25">
      <c r="B72" s="103" t="s">
        <v>679</v>
      </c>
      <c r="F72" s="138">
        <f>IF(C71=0,0,VLOOKUP(C71,RETable,2,FALSE))</f>
        <v>4530</v>
      </c>
      <c r="G72" s="397" t="s">
        <v>678</v>
      </c>
      <c r="H72" s="397"/>
      <c r="I72" s="139">
        <f>'General Variables'!$B$13</f>
        <v>1.2999999999999999E-2</v>
      </c>
      <c r="J72" s="105"/>
      <c r="K72" s="140">
        <f>ROUND(F72*I72,2)</f>
        <v>58.89</v>
      </c>
      <c r="L72" s="133"/>
    </row>
    <row r="73" spans="2:12" ht="13.5" thickTop="1" x14ac:dyDescent="0.2">
      <c r="B73" s="107" t="s">
        <v>680</v>
      </c>
      <c r="K73" s="127">
        <f ca="1">SUM(K68:K72)</f>
        <v>546.83462499999996</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3.3778462500000002</v>
      </c>
      <c r="L75" s="148"/>
    </row>
    <row r="76" spans="2:12" x14ac:dyDescent="0.2">
      <c r="B76" s="107" t="str">
        <f>IF(G4="","","Cost of production per "&amp;H4)</f>
        <v>Cost of production per bushel</v>
      </c>
      <c r="K76" s="141">
        <f ca="1">IF(G4="","",K73/G4)</f>
        <v>5.4683462499999997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9:E49"/>
    <mergeCell ref="C37:E37"/>
    <mergeCell ref="C38:E38"/>
    <mergeCell ref="C39:E39"/>
    <mergeCell ref="C40:E40"/>
    <mergeCell ref="C41:E41"/>
    <mergeCell ref="C43:E43"/>
    <mergeCell ref="C44:E44"/>
    <mergeCell ref="C45:E45"/>
    <mergeCell ref="C46:E46"/>
    <mergeCell ref="C47:E47"/>
    <mergeCell ref="C48:E48"/>
    <mergeCell ref="C42:E42"/>
    <mergeCell ref="A6:M6"/>
    <mergeCell ref="C3:E3"/>
    <mergeCell ref="K2:L2"/>
    <mergeCell ref="G2:H2"/>
    <mergeCell ref="C4:E4"/>
  </mergeCells>
  <dataValidations count="9">
    <dataValidation type="list" allowBlank="1" showInputMessage="1" showErrorMessage="1" sqref="B63" xr:uid="{00000000-0002-0000-1500-000000000000}">
      <formula1>$C$112:$C$211</formula1>
    </dataValidation>
    <dataValidation type="list" allowBlank="1" showInputMessage="1" showErrorMessage="1" sqref="B32" xr:uid="{00000000-0002-0000-1500-000001000000}">
      <formula1>$B$112:$B$211</formula1>
    </dataValidation>
    <dataValidation type="list" allowBlank="1" showInputMessage="1" showErrorMessage="1" sqref="K4" xr:uid="{00000000-0002-0000-1500-000002000000}">
      <formula1>$K$112:$K$114</formula1>
    </dataValidation>
    <dataValidation type="list" allowBlank="1" showInputMessage="1" showErrorMessage="1" sqref="B37:B61" xr:uid="{00000000-0002-0000-1500-000003000000}">
      <formula1>MaterialList</formula1>
    </dataValidation>
    <dataValidation type="list" allowBlank="1" showInputMessage="1" showErrorMessage="1" sqref="C71:E71" xr:uid="{00000000-0002-0000-1500-000004000000}">
      <formula1>RealEstateList</formula1>
    </dataValidation>
    <dataValidation type="list" allowBlank="1" showInputMessage="1" showErrorMessage="1" sqref="B12:B31" xr:uid="{00000000-0002-0000-1500-000005000000}">
      <formula1>OperationList</formula1>
    </dataValidation>
    <dataValidation type="list" allowBlank="1" showInputMessage="1" showErrorMessage="1" sqref="D12:D32" xr:uid="{00000000-0002-0000-1500-000006000000}">
      <formula1>#REF!</formula1>
    </dataValidation>
    <dataValidation type="list" allowBlank="1" showInputMessage="1" showErrorMessage="1" sqref="K2" xr:uid="{00000000-0002-0000-1500-000007000000}">
      <formula1>watersource</formula1>
    </dataValidation>
    <dataValidation type="list" allowBlank="1" showInputMessage="1" showErrorMessage="1" sqref="C3" xr:uid="{00000000-0002-0000-1500-000008000000}">
      <formula1>TillageSystem</formula1>
    </dataValidation>
  </dataValidations>
  <pageMargins left="0.7" right="0.7" top="0.75" bottom="0.75" header="0.3" footer="0.3"/>
  <pageSetup scale="71" orientation="portrait" r:id="rId1"/>
  <ignoredErrors>
    <ignoredError sqref="E21 F21:H21" formula="1"/>
    <ignoredError sqref="C21:C22"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2">
    <pageSetUpPr fitToPage="1"/>
  </sheetPr>
  <dimension ref="A2:M256"/>
  <sheetViews>
    <sheetView topLeftCell="A9" zoomScaleNormal="100" workbookViewId="0">
      <selection activeCell="G21" sqref="G2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74</v>
      </c>
      <c r="L2" s="401"/>
    </row>
    <row r="3" spans="1:13" hidden="1" x14ac:dyDescent="0.2">
      <c r="B3" s="103" t="s">
        <v>38</v>
      </c>
      <c r="C3" s="391" t="s">
        <v>43</v>
      </c>
      <c r="D3" s="391"/>
      <c r="E3" s="391"/>
      <c r="G3" s="128" t="s">
        <v>650</v>
      </c>
      <c r="H3" s="187" t="s">
        <v>707</v>
      </c>
      <c r="J3" s="128" t="s">
        <v>651</v>
      </c>
      <c r="K3" s="187"/>
    </row>
    <row r="4" spans="1:13" hidden="1" x14ac:dyDescent="0.2">
      <c r="B4" s="103" t="s">
        <v>652</v>
      </c>
      <c r="C4" s="392" t="s">
        <v>708</v>
      </c>
      <c r="D4" s="392"/>
      <c r="E4" s="392"/>
      <c r="G4" s="103">
        <f>IFERROR(VALUE(LEFT($H$3,FIND(" ",$H$3))),"")</f>
        <v>110</v>
      </c>
      <c r="H4" s="103" t="str">
        <f>IFERROR(RIGHT(H3,LEN(H3)-LEN(G4)-1),"")</f>
        <v>bushel</v>
      </c>
      <c r="J4" s="128" t="s">
        <v>653</v>
      </c>
      <c r="K4" s="188" t="s">
        <v>681</v>
      </c>
    </row>
    <row r="5" spans="1:13" ht="15.75" hidden="1" customHeight="1" x14ac:dyDescent="0.2">
      <c r="B5" s="103" t="s">
        <v>655</v>
      </c>
      <c r="C5" s="103" t="str">
        <f ca="1">MID(CELL("filename",C5),FIND("]",CELL("filename",C5))+1,255)</f>
        <v>16-Corn</v>
      </c>
      <c r="E5" s="103">
        <f ca="1">VLOOKUP($C$5,CropInsurance,5,FALSE)</f>
        <v>6</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16-Corn, Conventional Tillage, in Corn/Soybean Rotation, Conventional Seed (Non Bt), 110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16-Corn, Conventional Tillage, in Corn/Soybean Rotation, Conventional Seed (Non Bt), 110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376</v>
      </c>
      <c r="C12" s="174">
        <v>1</v>
      </c>
      <c r="D12" s="174"/>
      <c r="E12" s="109">
        <f>IF(B12=0,"",IF(C12&gt;9999,"",ROUND('General Variables'!$B$4*VLOOKUP(B12,Operations!$A$2:$U$79,10,FALSE)/VLOOKUP(B12,Operations!$A$2:$U$79,9,FALSE)*C12,2)))</f>
        <v>1.98</v>
      </c>
      <c r="F12" s="109">
        <f>IF(B12=0,0,IF(C12&gt;9999,"",ROUND(IF(VLOOKUP(B12,Operations!$A$2:$U$79,12,FALSE)=0,VLOOKUP(B12,Operations!$A$2:$U$79,13,FALSE)*'General Variables'!$B$8,VLOOKUP(B12,Operations!$A$2:$U$79,12,FALSE)*'General Variables'!$B$7)/VLOOKUP(B12,Operations!$A$2:$U$79,9,FALSE)*C12,2)))</f>
        <v>0.7</v>
      </c>
      <c r="G12" s="109">
        <f>IF(B12=0,0,IF(C12&gt;9999,"",ROUND(VLOOKUP(VLOOKUP(B12,Operations!$A$2:$U$79,11,FALSE),PowerUnits[],10,FALSE)/VLOOKUP(B12,Operations!$A$2:$U$79,9,FALSE)*C12,2)))</f>
        <v>0.23</v>
      </c>
      <c r="H12" s="109">
        <f>IF(B12=0,"",IF(C12&gt;9999,"",ROUND(VLOOKUP($B12,Operations!$A$2:$U$79,15,FALSE)*C12,2)))</f>
        <v>1.4</v>
      </c>
      <c r="I12" s="109">
        <f>IF(B12=0,0,IF(C12&gt;9999,"",ROUND(VLOOKUP(VLOOKUP(B12,Operations!$A$2:$U$79,11,FALSE),PowerUnits[],16,FALSE)/VLOOKUP(B12,Operations!$A$2:$U$79,9,FALSE)*C12,2)))</f>
        <v>6.15</v>
      </c>
      <c r="J12" s="109">
        <f>IF(B12=0,"",IF(C12&gt;9999,"",ROUND(VLOOKUP($B12,Operations!$A$2:$U$79,21,FALSE)*$C12,2)))</f>
        <v>4.5199999999999996</v>
      </c>
      <c r="K12" s="109">
        <f>IF(C12&gt;9999,"",ROUND(SUM(E12:J12),2))</f>
        <v>14.98</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526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0.87</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545</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1.02</v>
      </c>
      <c r="G16" s="109">
        <f>IF(B16=0,0,IF(C16&gt;9999,"",ROUND(VLOOKUP(VLOOKUP(B16,Operations!$A$2:$U$79,11,FALSE),PowerUnits[],10,FALSE)/VLOOKUP(B16,Operations!$A$2:$U$79,9,FALSE)*C16,2)))</f>
        <v>0.08</v>
      </c>
      <c r="H16" s="109">
        <f>IF(B16=0,"",IF(C16&gt;9999,"",ROUND(VLOOKUP($B16,Operations!$A$2:$U$79,15,FALSE)*C16,2)))</f>
        <v>1.4</v>
      </c>
      <c r="I16" s="109">
        <f>IF(B16=0,0,IF(C16&gt;9999,"",ROUND(VLOOKUP(VLOOKUP(B16,Operations!$A$2:$U$79,11,FALSE),PowerUnits[],16,FALSE)/VLOOKUP(B16,Operations!$A$2:$U$79,9,FALSE)*C16,2)))</f>
        <v>3.93</v>
      </c>
      <c r="J16" s="109">
        <f>IF(B16=0,"",IF(C16&gt;9999,"",ROUND(VLOOKUP($B16,Operations!$A$2:$U$79,21,FALSE)*$C16,2)))</f>
        <v>3.2</v>
      </c>
      <c r="K16" s="109">
        <f t="shared" si="0"/>
        <v>12.33</v>
      </c>
      <c r="L16" s="110"/>
    </row>
    <row r="17" spans="1:12" x14ac:dyDescent="0.2">
      <c r="A17" s="170">
        <v>6</v>
      </c>
      <c r="B17" s="180" t="s">
        <v>545</v>
      </c>
      <c r="C17" s="174">
        <v>0.25</v>
      </c>
      <c r="D17" s="174"/>
      <c r="E17" s="109">
        <f>IF(B17=0,"",IF(C17&gt;9999,"",ROUND('General Variables'!$B$4*VLOOKUP(B17,Operations!$A$2:$U$79,10,FALSE)/VLOOKUP(B17,Operations!$A$2:$U$79,9,FALSE)*C17,2)))</f>
        <v>0.68</v>
      </c>
      <c r="F17" s="109">
        <f>IF(B17=0,0,IF(C17&gt;9999,"",ROUND(IF(VLOOKUP(B17,Operations!$A$2:$U$79,12,FALSE)=0,VLOOKUP(B17,Operations!$A$2:$U$79,13,FALSE)*'General Variables'!$B$8,VLOOKUP(B17,Operations!$A$2:$U$79,12,FALSE)*'General Variables'!$B$7)/VLOOKUP(B17,Operations!$A$2:$U$79,9,FALSE)*C17,2)))</f>
        <v>0.25</v>
      </c>
      <c r="G17" s="109">
        <f>IF(B17=0,0,IF(C17&gt;9999,"",ROUND(VLOOKUP(VLOOKUP(B17,Operations!$A$2:$U$79,11,FALSE),PowerUnits[],10,FALSE)/VLOOKUP(B17,Operations!$A$2:$U$79,9,FALSE)*C17,2)))</f>
        <v>0.02</v>
      </c>
      <c r="H17" s="109">
        <f>IF(B17=0,"",IF(C17&gt;9999,"",ROUND(VLOOKUP($B17,Operations!$A$2:$U$79,15,FALSE)*C17,2)))</f>
        <v>0.35</v>
      </c>
      <c r="I17" s="109">
        <f>IF(B17=0,0,IF(C17&gt;9999,"",ROUND(VLOOKUP(VLOOKUP(B17,Operations!$A$2:$U$79,11,FALSE),PowerUnits[],16,FALSE)/VLOOKUP(B17,Operations!$A$2:$U$79,9,FALSE)*C17,2)))</f>
        <v>0.98</v>
      </c>
      <c r="J17" s="109">
        <f>IF(B17=0,"",IF(C17&gt;9999,"",ROUND(VLOOKUP($B17,Operations!$A$2:$U$79,21,FALSE)*$C17,2)))</f>
        <v>0.8</v>
      </c>
      <c r="K17" s="109">
        <f t="shared" si="0"/>
        <v>3.08</v>
      </c>
      <c r="L17" s="110"/>
    </row>
    <row r="18" spans="1:12" x14ac:dyDescent="0.2">
      <c r="A18" s="170">
        <v>7</v>
      </c>
      <c r="B18" s="180" t="s">
        <v>551</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552</v>
      </c>
      <c r="C19" s="214" t="s">
        <v>184</v>
      </c>
      <c r="D19" s="218"/>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943</v>
      </c>
      <c r="C20" s="174">
        <v>110</v>
      </c>
      <c r="D20" s="112"/>
      <c r="E20" s="109">
        <f>IF(B20=0,"",IF(C20&gt;9999,"",ROUND('General Variables'!$B$4*VLOOKUP(B20,Operations!$A$2:$U$79,10,FALSE)/VLOOKUP(B20,Operations!$A$2:$U$79,9,FALSE)*C20,2))/100)</f>
        <v>2.5131000000000001</v>
      </c>
      <c r="F20" s="109">
        <f>IF(B20=0,0,IF(C20&gt;9999,"",ROUND(IF(VLOOKUP(B20,Operations!$A$2:$U$79,12,FALSE)=0,VLOOKUP(B20,Operations!$A$2:$U$79,13,FALSE)*'General Variables'!$B$8,VLOOKUP(B20,Operations!$A$2:$U$79,12,FALSE)*'General Variables'!$B$7)/VLOOKUP(B20,Operations!$A$2:$U$79,9,FALSE)*C20,2))/100)</f>
        <v>2.8404000000000003</v>
      </c>
      <c r="G20" s="109">
        <f>IF(B20=0,0,IF(C20&gt;9999,"",ROUND(VLOOKUP(VLOOKUP(B20,Operations!$A$2:$U$79,11,FALSE),PowerUnits[],10,FALSE)/VLOOKUP(B20,Operations!$A$2:$U$79,9,FALSE)*C20,2))/80)</f>
        <v>5.4584999999999999</v>
      </c>
      <c r="H20" s="109">
        <f>IF(B20=0,"",IF(C20&gt;9999,"",ROUND(VLOOKUP($B20,Operations!$A$2:$U$79,15,FALSE)*C20,2))/100)</f>
        <v>1.0358000000000001</v>
      </c>
      <c r="I20" s="109">
        <f>IF(B20=0,0,IF(C20&gt;9999,"",ROUND(VLOOKUP(VLOOKUP(B20,Operations!$A$2:$U$79,11,FALSE),PowerUnits[],16,FALSE)/VLOOKUP(B20,Operations!$A$2:$U$79,9,FALSE)*C20,2))/80)</f>
        <v>13.145625000000001</v>
      </c>
      <c r="J20" s="109">
        <f>IF(B20=0,"",IF(C20&gt;9999,"",ROUND(VLOOKUP($B20,Operations!$A$2:$U$79,21,FALSE)*$C20,2))/80)</f>
        <v>5.9895000000000005</v>
      </c>
      <c r="K20" s="109">
        <f>IF(C20&gt;9999,"",ROUND(SUM(E20:J20),2))</f>
        <v>30.98</v>
      </c>
      <c r="L20" s="110"/>
    </row>
    <row r="21" spans="1:12" x14ac:dyDescent="0.2">
      <c r="A21" s="170">
        <v>10</v>
      </c>
      <c r="B21" s="180" t="s">
        <v>414</v>
      </c>
      <c r="C21" s="174">
        <f>G4</f>
        <v>110</v>
      </c>
      <c r="D21" s="112" t="s">
        <v>706</v>
      </c>
      <c r="E21" s="109">
        <f>IF(B21=0,"",IF(C21&gt;9999,"",ROUND('General Variables'!$B$4*VLOOKUP(B21,Operations!$A$2:$U$79,10,FALSE)/VLOOKUP(B21,Operations!$A$2:$U$79,9,FALSE)*C21,2)))</f>
        <v>0.99</v>
      </c>
      <c r="F21" s="109">
        <f>IF(B21=0,0,IF(C21&gt;9999,"",ROUND(IF(VLOOKUP(B21,Operations!$A$2:$U$79,12,FALSE)=0,VLOOKUP(B21,Operations!$A$2:$U$79,13,FALSE)*'General Variables'!$B$8,VLOOKUP(B21,Operations!$A$2:$U$79,12,FALSE)*'General Variables'!$B$7)/VLOOKUP(B21,Operations!$A$2:$U$79,9,FALSE)*C21,2)))</f>
        <v>0.32</v>
      </c>
      <c r="G21" s="109">
        <f>IF(B21=0,0,IF(C21&gt;9999,"",ROUND(VLOOKUP(VLOOKUP(B21,Operations!$A$2:$U$79,11,FALSE),PowerUnits[],10,FALSE)/VLOOKUP(B21,Operations!$A$2:$U$79,9,FALSE)*C21,2)))</f>
        <v>0.03</v>
      </c>
      <c r="H21" s="109">
        <f>IF(B21=0,"",IF(C21&gt;9999,"",ROUND(VLOOKUP($B21,Operations!$A$2:$U$79,15,FALSE)*C21,2)))</f>
        <v>0.61</v>
      </c>
      <c r="I21" s="109">
        <f>IF(B21=0,0,IF(C21&gt;9999,"",ROUND(VLOOKUP(VLOOKUP(B21,Operations!$A$2:$U$79,11,FALSE),PowerUnits[],16,FALSE)/VLOOKUP(B21,Operations!$A$2:$U$79,9,FALSE)*C21,2)))</f>
        <v>1.44</v>
      </c>
      <c r="J21" s="109">
        <f>IF(B21=0,"",IF(C21&gt;9999,"",ROUND(VLOOKUP($B21,Operations!$A$2:$U$79,21,FALSE)*$C21,2)))</f>
        <v>1.21</v>
      </c>
      <c r="K21" s="109">
        <f t="shared" si="0"/>
        <v>4.5999999999999996</v>
      </c>
      <c r="L21" s="110"/>
    </row>
    <row r="22" spans="1:12" x14ac:dyDescent="0.2">
      <c r="A22" s="170">
        <v>11</v>
      </c>
      <c r="B22" s="180" t="s">
        <v>565</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x14ac:dyDescent="0.2">
      <c r="A23" s="170">
        <v>12</v>
      </c>
      <c r="B23" s="213" t="s">
        <v>496</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290"/>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80"/>
      <c r="C25" s="285"/>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15.103100000000001</v>
      </c>
      <c r="F33" s="109">
        <f t="shared" ref="F33:K33" si="1">SUM(F12:F31)</f>
        <v>8.0104000000000006</v>
      </c>
      <c r="G33" s="109">
        <f t="shared" si="1"/>
        <v>6.1585000000000001</v>
      </c>
      <c r="H33" s="109">
        <f t="shared" si="1"/>
        <v>15.015799999999999</v>
      </c>
      <c r="I33" s="109">
        <f t="shared" si="1"/>
        <v>37.435625000000002</v>
      </c>
      <c r="J33" s="109">
        <f t="shared" si="1"/>
        <v>26.779499999999999</v>
      </c>
      <c r="K33" s="109">
        <f t="shared" si="1"/>
        <v>108.5</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211</v>
      </c>
      <c r="C37" s="388" t="str">
        <f>IF(B37=0,"",VLOOKUP($B37,Table2[],2,FALSE))</f>
        <v>Fertilizer</v>
      </c>
      <c r="D37" s="388"/>
      <c r="E37" s="388"/>
      <c r="F37" s="174">
        <v>1</v>
      </c>
      <c r="G37" s="175">
        <v>1</v>
      </c>
      <c r="H37" s="299">
        <v>50</v>
      </c>
      <c r="I37" s="120" t="str">
        <f>IF($B37=0,"",VLOOKUP($B37,Table2[],5,FALSE))</f>
        <v>lbs N</v>
      </c>
      <c r="J37" s="109">
        <f>IF($B37=0,"",VLOOKUP($B37,Table2[],7,FALSE))</f>
        <v>0.38</v>
      </c>
      <c r="K37" s="109">
        <f>IF(B37=0,0,ROUND(G37*H37*J37,2))</f>
        <v>19</v>
      </c>
      <c r="L37" s="110"/>
    </row>
    <row r="38" spans="2:12" x14ac:dyDescent="0.2">
      <c r="B38" s="180" t="s">
        <v>320</v>
      </c>
      <c r="C38" s="388" t="str">
        <f>IF(B38=0,"",VLOOKUP($B38,Table2[],2,FALSE))</f>
        <v>Seed</v>
      </c>
      <c r="D38" s="388"/>
      <c r="E38" s="388"/>
      <c r="F38" s="174">
        <v>3</v>
      </c>
      <c r="G38" s="175">
        <v>1</v>
      </c>
      <c r="H38" s="300">
        <v>15.3</v>
      </c>
      <c r="I38" s="120" t="str">
        <f>IF($B38=0,"",VLOOKUP($B38,Table2[],5,FALSE))</f>
        <v>k seed</v>
      </c>
      <c r="J38" s="109">
        <f>IF($B38=0,"",VLOOKUP($B38,Table2[],7,FALSE))</f>
        <v>3.5</v>
      </c>
      <c r="K38" s="109">
        <f t="shared" ref="K38:K55" si="2">IF(B38=0,0,ROUND(G38*H38*J38,2))</f>
        <v>53.55</v>
      </c>
      <c r="L38" s="110"/>
    </row>
    <row r="39" spans="2:12" x14ac:dyDescent="0.2">
      <c r="B39" s="180" t="s">
        <v>201</v>
      </c>
      <c r="C39" s="388" t="str">
        <f>IF(B39=0,"",VLOOKUP($B39,Table2[],2,FALSE))</f>
        <v>Fertilizer</v>
      </c>
      <c r="D39" s="388"/>
      <c r="E39" s="388"/>
      <c r="F39" s="174">
        <v>3</v>
      </c>
      <c r="G39" s="175">
        <v>1</v>
      </c>
      <c r="H39" s="176">
        <v>6</v>
      </c>
      <c r="I39" s="120" t="str">
        <f>IF($B39=0,"",VLOOKUP($B39,Table2[],5,FALSE))</f>
        <v>gallon</v>
      </c>
      <c r="J39" s="109">
        <f>IF($B39=0,"",VLOOKUP($B39,Table2[],7,FALSE))</f>
        <v>3.1</v>
      </c>
      <c r="K39" s="109">
        <f t="shared" si="2"/>
        <v>18.600000000000001</v>
      </c>
      <c r="L39" s="110"/>
    </row>
    <row r="40" spans="2:12" x14ac:dyDescent="0.2">
      <c r="B40" s="213" t="s">
        <v>263</v>
      </c>
      <c r="C40" s="387" t="str">
        <f>IF(B40=0,"",VLOOKUP($B40,Table2[],2,FALSE))</f>
        <v>Herbicide</v>
      </c>
      <c r="D40" s="387"/>
      <c r="E40" s="387"/>
      <c r="F40" s="214">
        <v>4</v>
      </c>
      <c r="G40" s="221">
        <v>1</v>
      </c>
      <c r="H40" s="222">
        <v>2.7</v>
      </c>
      <c r="I40" s="223" t="str">
        <f>IF($B40=0,"",VLOOKUP($B40,Table2[],5,FALSE))</f>
        <v>quart</v>
      </c>
      <c r="J40" s="215">
        <f>IF($B40=0,"",VLOOKUP($B40,Table2[],7,FALSE))</f>
        <v>18.75</v>
      </c>
      <c r="K40" s="215">
        <f t="shared" si="2"/>
        <v>50.63</v>
      </c>
      <c r="L40" s="216"/>
    </row>
    <row r="41" spans="2:12" x14ac:dyDescent="0.2">
      <c r="B41" s="180" t="s">
        <v>200</v>
      </c>
      <c r="C41" s="388" t="str">
        <f>IF(B41=0,"",VLOOKUP($B41,Table2[],2,FALSE))</f>
        <v>Custom</v>
      </c>
      <c r="D41" s="388"/>
      <c r="E41" s="388"/>
      <c r="F41" s="174">
        <v>7</v>
      </c>
      <c r="G41" s="175">
        <v>0.5</v>
      </c>
      <c r="H41" s="176">
        <v>1</v>
      </c>
      <c r="I41" s="120" t="str">
        <f>IF($B41=0,"",VLOOKUP($B41,Table2[],5,FALSE))</f>
        <v>acre</v>
      </c>
      <c r="J41" s="109">
        <f>IF($B41=0,"",VLOOKUP($B41,Table2[],7,FALSE))</f>
        <v>9</v>
      </c>
      <c r="K41" s="109">
        <f t="shared" si="2"/>
        <v>4.5</v>
      </c>
      <c r="L41" s="110"/>
    </row>
    <row r="42" spans="2:12" x14ac:dyDescent="0.2">
      <c r="B42" s="180" t="s">
        <v>262</v>
      </c>
      <c r="C42" s="388" t="str">
        <f>IF(B42=0,"",VLOOKUP($B42,Table2[],2,FALSE))</f>
        <v>Herbicide</v>
      </c>
      <c r="D42" s="388"/>
      <c r="E42" s="388"/>
      <c r="F42" s="174">
        <v>7</v>
      </c>
      <c r="G42" s="175">
        <v>0.5</v>
      </c>
      <c r="H42" s="176">
        <v>3</v>
      </c>
      <c r="I42" s="120" t="str">
        <f>IF($B42=0,"",VLOOKUP($B42,Table2[],5,FALSE))</f>
        <v>ounce</v>
      </c>
      <c r="J42" s="109">
        <f>IF($B42=0,"",VLOOKUP($B42,Table2[],7,FALSE))</f>
        <v>6.25</v>
      </c>
      <c r="K42" s="109">
        <f t="shared" si="2"/>
        <v>9.3800000000000008</v>
      </c>
      <c r="L42" s="110"/>
    </row>
    <row r="43" spans="2:12" x14ac:dyDescent="0.2">
      <c r="B43" s="180" t="s">
        <v>180</v>
      </c>
      <c r="C43" s="388" t="str">
        <f>IF(B43=0,"",VLOOKUP($B43,Table2[],2,FALSE))</f>
        <v>Additive</v>
      </c>
      <c r="D43" s="388"/>
      <c r="E43" s="388"/>
      <c r="F43" s="174">
        <v>7</v>
      </c>
      <c r="G43" s="175">
        <v>0.5</v>
      </c>
      <c r="H43" s="176">
        <v>19.2</v>
      </c>
      <c r="I43" s="120" t="str">
        <f>IF($B43=0,"",VLOOKUP($B43,Table2[],5,FALSE))</f>
        <v>ounce</v>
      </c>
      <c r="J43" s="109">
        <f>IF($B43=0,"",VLOOKUP($B43,Table2[],7,FALSE))</f>
        <v>0.234375</v>
      </c>
      <c r="K43" s="109">
        <f t="shared" si="2"/>
        <v>2.25</v>
      </c>
      <c r="L43" s="110"/>
    </row>
    <row r="44" spans="2:12" x14ac:dyDescent="0.2">
      <c r="B44" s="213" t="s">
        <v>182</v>
      </c>
      <c r="C44" s="387" t="str">
        <f>IF(B44=0,"",VLOOKUP($B44,Table2[],2,FALSE))</f>
        <v>Additive</v>
      </c>
      <c r="D44" s="387"/>
      <c r="E44" s="387"/>
      <c r="F44" s="214">
        <v>7</v>
      </c>
      <c r="G44" s="221">
        <v>0.5</v>
      </c>
      <c r="H44" s="222">
        <v>2</v>
      </c>
      <c r="I44" s="223" t="str">
        <f>IF($B44=0,"",VLOOKUP($B44,Table2[],5,FALSE))</f>
        <v>pint</v>
      </c>
      <c r="J44" s="215">
        <f>IF($B44=0,"",VLOOKUP($B44,Table2[],7,FALSE))</f>
        <v>0.22500000000000001</v>
      </c>
      <c r="K44" s="215">
        <f t="shared" si="2"/>
        <v>0.23</v>
      </c>
      <c r="L44" s="216"/>
    </row>
    <row r="45" spans="2:12" x14ac:dyDescent="0.2">
      <c r="B45" s="180" t="s">
        <v>200</v>
      </c>
      <c r="C45" s="388" t="str">
        <f>IF(B45=0,"",VLOOKUP($B45,Table2[],2,FALSE))</f>
        <v>Custom</v>
      </c>
      <c r="D45" s="388"/>
      <c r="E45" s="388"/>
      <c r="F45" s="174">
        <v>8</v>
      </c>
      <c r="G45" s="175">
        <v>0.2</v>
      </c>
      <c r="H45" s="176">
        <v>1</v>
      </c>
      <c r="I45" s="120" t="str">
        <f>IF($B45=0,"",VLOOKUP($B45,Table2[],5,FALSE))</f>
        <v>acre</v>
      </c>
      <c r="J45" s="109">
        <f>IF($B45=0,"",VLOOKUP($B45,Table2[],7,FALSE))</f>
        <v>9</v>
      </c>
      <c r="K45" s="109">
        <f t="shared" si="2"/>
        <v>1.8</v>
      </c>
      <c r="L45" s="110"/>
    </row>
    <row r="46" spans="2:12" x14ac:dyDescent="0.2">
      <c r="B46" s="180" t="s">
        <v>286</v>
      </c>
      <c r="C46" s="388" t="str">
        <f>IF(B46=0,"",VLOOKUP($B46,Table2[],2,FALSE))</f>
        <v>Insecticide</v>
      </c>
      <c r="D46" s="388"/>
      <c r="E46" s="388"/>
      <c r="F46" s="174">
        <v>8</v>
      </c>
      <c r="G46" s="175">
        <v>0.1</v>
      </c>
      <c r="H46" s="176">
        <v>5.12</v>
      </c>
      <c r="I46" s="120" t="str">
        <f>IF($B46=0,"",VLOOKUP($B46,Table2[],5,FALSE))</f>
        <v>ounce</v>
      </c>
      <c r="J46" s="109">
        <f>IF($B46=0,"",VLOOKUP($B46,Table2[],7,FALSE))</f>
        <v>1.015625</v>
      </c>
      <c r="K46" s="109">
        <f t="shared" si="2"/>
        <v>0.52</v>
      </c>
      <c r="L46" s="110"/>
    </row>
    <row r="47" spans="2:12" x14ac:dyDescent="0.2">
      <c r="B47" s="180" t="s">
        <v>288</v>
      </c>
      <c r="C47" s="388" t="str">
        <f>IF(B47=0,"",VLOOKUP($B47,Table2[],2,FALSE))</f>
        <v>Insecticide</v>
      </c>
      <c r="D47" s="388"/>
      <c r="E47" s="388"/>
      <c r="F47" s="174">
        <v>8</v>
      </c>
      <c r="G47" s="175">
        <v>0.2</v>
      </c>
      <c r="H47" s="176">
        <v>2</v>
      </c>
      <c r="I47" s="120" t="str">
        <f>IF($B47=0,"",VLOOKUP($B47,Table2[],5,FALSE))</f>
        <v>ounce</v>
      </c>
      <c r="J47" s="109">
        <f>IF($B47=0,"",VLOOKUP($B47,Table2[],7,FALSE))</f>
        <v>1.25</v>
      </c>
      <c r="K47" s="109">
        <f t="shared" si="2"/>
        <v>0.5</v>
      </c>
      <c r="L47" s="110"/>
    </row>
    <row r="48" spans="2:12" x14ac:dyDescent="0.2">
      <c r="B48" s="213" t="s">
        <v>198</v>
      </c>
      <c r="C48" s="387" t="str">
        <f>IF(B48=0,"",VLOOKUP($B48,Table2[],2,FALSE))</f>
        <v>Custom</v>
      </c>
      <c r="D48" s="387"/>
      <c r="E48" s="387"/>
      <c r="F48" s="214">
        <v>11</v>
      </c>
      <c r="G48" s="221">
        <v>1</v>
      </c>
      <c r="H48" s="222">
        <f>$G$4</f>
        <v>110</v>
      </c>
      <c r="I48" s="223" t="str">
        <f>IF($B48=0,"",VLOOKUP($B48,Table2[],5,FALSE))</f>
        <v>bushel</v>
      </c>
      <c r="J48" s="215">
        <f>IF($B48=0,"",VLOOKUP($B48,Table2[],7,FALSE))</f>
        <v>0.15</v>
      </c>
      <c r="K48" s="215">
        <f t="shared" si="2"/>
        <v>16.5</v>
      </c>
      <c r="L48" s="216"/>
    </row>
    <row r="49" spans="2:12" x14ac:dyDescent="0.2">
      <c r="B49" s="180" t="s">
        <v>190</v>
      </c>
      <c r="C49" s="388" t="str">
        <f>IF(B49=0,"",VLOOKUP($B49,Table2[],2,FALSE))</f>
        <v>Custom</v>
      </c>
      <c r="D49" s="388"/>
      <c r="E49" s="388"/>
      <c r="F49" s="174">
        <v>12</v>
      </c>
      <c r="G49" s="175">
        <v>0.1</v>
      </c>
      <c r="H49" s="176">
        <f>$G$4</f>
        <v>110</v>
      </c>
      <c r="I49" s="120" t="str">
        <f>IF($B49=0,"",VLOOKUP($B49,Table2[],5,FALSE))</f>
        <v>bushel</v>
      </c>
      <c r="J49" s="109">
        <f>IF($B49=0,"",VLOOKUP($B49,Table2[],7,FALSE))</f>
        <v>0.1</v>
      </c>
      <c r="K49" s="109">
        <f t="shared" si="2"/>
        <v>1.1000000000000001</v>
      </c>
      <c r="L49" s="110"/>
    </row>
    <row r="50" spans="2:12" x14ac:dyDescent="0.2">
      <c r="B50" s="111" t="s">
        <v>309</v>
      </c>
      <c r="C50" s="388" t="str">
        <f>IF(B50=0,"",VLOOKUP($B50,Table2[],2,FALSE))</f>
        <v>Scouting</v>
      </c>
      <c r="D50" s="388"/>
      <c r="E50" s="388"/>
      <c r="F50" s="112"/>
      <c r="G50" s="177">
        <v>1</v>
      </c>
      <c r="H50" s="178">
        <v>1</v>
      </c>
      <c r="I50" s="120" t="str">
        <f>IF($B50=0,"",VLOOKUP($B50,Table2[],5,FALSE))</f>
        <v>acre</v>
      </c>
      <c r="J50" s="109">
        <f>IF($B50=0,"",VLOOKUP($B50,Table2[],7,FALSE))</f>
        <v>10</v>
      </c>
      <c r="K50" s="109">
        <f t="shared" si="2"/>
        <v>10</v>
      </c>
      <c r="L50" s="110"/>
    </row>
    <row r="51" spans="2:12" hidden="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3"/>
      <c r="C52" s="387" t="str">
        <f>IF(B52=0,"",VLOOKUP($B52,Table2[],2,FALSE))</f>
        <v/>
      </c>
      <c r="D52" s="387"/>
      <c r="E52" s="387"/>
      <c r="F52" s="214"/>
      <c r="G52" s="221">
        <v>0.1</v>
      </c>
      <c r="H52" s="222"/>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x14ac:dyDescent="0.2">
      <c r="B61" s="185" t="s">
        <v>430</v>
      </c>
      <c r="C61" s="388" t="s">
        <v>655</v>
      </c>
      <c r="D61" s="388"/>
      <c r="E61" s="388"/>
      <c r="F61" s="112"/>
      <c r="G61" s="177"/>
      <c r="H61" s="178"/>
      <c r="I61" s="170"/>
      <c r="J61" s="109">
        <f ca="1">IF(F5=0,E5,F5)</f>
        <v>6</v>
      </c>
      <c r="K61" s="109">
        <f ca="1">IF(B61=0,0,J61)</f>
        <v>6</v>
      </c>
      <c r="L61" s="113"/>
    </row>
    <row r="62" spans="2:12" ht="3.75" customHeight="1" thickBot="1" x14ac:dyDescent="0.25">
      <c r="B62" s="114"/>
      <c r="C62" s="121"/>
      <c r="D62" s="121"/>
      <c r="E62" s="121"/>
      <c r="F62" s="115"/>
      <c r="G62" s="122"/>
      <c r="H62" s="114"/>
      <c r="I62" s="123"/>
      <c r="J62" s="124">
        <v>3</v>
      </c>
      <c r="K62" s="125"/>
      <c r="L62" s="117"/>
    </row>
    <row r="63" spans="2:12" ht="13.5" thickTop="1" x14ac:dyDescent="0.2">
      <c r="C63" s="108" t="s">
        <v>671</v>
      </c>
      <c r="D63" s="108"/>
      <c r="E63" s="161"/>
      <c r="F63" s="105"/>
      <c r="J63" s="126"/>
      <c r="K63" s="127">
        <f ca="1">SUM(K37:K61)</f>
        <v>194.56</v>
      </c>
      <c r="L63" s="110"/>
    </row>
    <row r="64" spans="2:12" x14ac:dyDescent="0.2">
      <c r="K64" s="127"/>
    </row>
    <row r="65" spans="2:12" x14ac:dyDescent="0.2">
      <c r="B65" s="107" t="s">
        <v>672</v>
      </c>
      <c r="K65" s="127">
        <f ca="1">K33+K63</f>
        <v>303.06</v>
      </c>
      <c r="L65" s="110"/>
    </row>
    <row r="66" spans="2:12" ht="13.5" thickBot="1" x14ac:dyDescent="0.25">
      <c r="D66" s="128" t="s">
        <v>673</v>
      </c>
      <c r="E66" s="129">
        <f ca="1">ROUND(SUM($E$33:$H$33)+$K$63,2)</f>
        <v>238.85</v>
      </c>
      <c r="F66" s="388" t="s">
        <v>674</v>
      </c>
      <c r="G66" s="388"/>
      <c r="H66" s="130">
        <f>'General Variables'!$B$11</f>
        <v>7.4999999999999997E-2</v>
      </c>
      <c r="I66" s="131" t="str">
        <f>CONCATENATE("for ",TEXT('General Variables'!$B$12,"0.0")," mo.")</f>
        <v>for 6.0 mo.</v>
      </c>
      <c r="K66" s="132">
        <f ca="1">E66*H66*'General Variables'!$B$12/12</f>
        <v>8.9568750000000001</v>
      </c>
      <c r="L66" s="133"/>
    </row>
    <row r="67" spans="2:12" ht="13.5" thickTop="1" x14ac:dyDescent="0.2">
      <c r="B67" s="107" t="s">
        <v>675</v>
      </c>
      <c r="K67" s="127">
        <f ca="1">SUM(K65:K66)</f>
        <v>312.01687500000003</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 ca="1">SUM(K67:K71)</f>
        <v>533.80687499999999</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3.0336079545454542</v>
      </c>
      <c r="L74" s="148"/>
    </row>
    <row r="75" spans="2:12" x14ac:dyDescent="0.2">
      <c r="B75" s="107" t="str">
        <f>IF(G4="","","Cost of production per "&amp;H4)</f>
        <v>Cost of production per bushel</v>
      </c>
      <c r="K75" s="141">
        <f ca="1">IF(G4="","",K72/G4)</f>
        <v>4.8527897727272729</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B7:L7"/>
    <mergeCell ref="L35:L36"/>
    <mergeCell ref="C37:E37"/>
    <mergeCell ref="B10:B11"/>
    <mergeCell ref="C10:C11"/>
    <mergeCell ref="E10:E11"/>
    <mergeCell ref="F10:F11"/>
    <mergeCell ref="G10:H10"/>
    <mergeCell ref="I10:J10"/>
    <mergeCell ref="K10:K11"/>
    <mergeCell ref="L10:L11"/>
    <mergeCell ref="J35:J36"/>
    <mergeCell ref="F35:F36"/>
    <mergeCell ref="G35:G36"/>
    <mergeCell ref="H35:I35"/>
    <mergeCell ref="C38:E38"/>
    <mergeCell ref="C39:E39"/>
    <mergeCell ref="C40:E40"/>
    <mergeCell ref="C41:E41"/>
    <mergeCell ref="C54:E54"/>
    <mergeCell ref="C43:E43"/>
    <mergeCell ref="C42:E42"/>
    <mergeCell ref="C70:E70"/>
    <mergeCell ref="G70:H70"/>
    <mergeCell ref="G71:H71"/>
    <mergeCell ref="C56:E56"/>
    <mergeCell ref="C57:E57"/>
    <mergeCell ref="C58:E58"/>
    <mergeCell ref="C59:E59"/>
    <mergeCell ref="C60:E60"/>
    <mergeCell ref="C61:E61"/>
    <mergeCell ref="F66:G66"/>
    <mergeCell ref="C55:E55"/>
    <mergeCell ref="C44:E44"/>
    <mergeCell ref="C45:E45"/>
    <mergeCell ref="C46:E46"/>
    <mergeCell ref="C47:E47"/>
    <mergeCell ref="C48:E48"/>
    <mergeCell ref="C49:E49"/>
    <mergeCell ref="C50:E50"/>
    <mergeCell ref="C51:E51"/>
    <mergeCell ref="C52:E52"/>
    <mergeCell ref="C53:E53"/>
    <mergeCell ref="A6:M6"/>
    <mergeCell ref="C3:E3"/>
    <mergeCell ref="K2:L2"/>
    <mergeCell ref="G2:H2"/>
    <mergeCell ref="C4:E4"/>
  </mergeCells>
  <dataValidations count="9">
    <dataValidation type="list" allowBlank="1" showInputMessage="1" showErrorMessage="1" sqref="B12:B31" xr:uid="{00000000-0002-0000-1600-000000000000}">
      <formula1>OperationList</formula1>
    </dataValidation>
    <dataValidation type="list" allowBlank="1" showInputMessage="1" showErrorMessage="1" sqref="C70:E70" xr:uid="{00000000-0002-0000-1600-000001000000}">
      <formula1>RealEstateList</formula1>
    </dataValidation>
    <dataValidation type="list" allowBlank="1" showInputMessage="1" showErrorMessage="1" sqref="B37:B60" xr:uid="{00000000-0002-0000-1600-000002000000}">
      <formula1>MaterialList</formula1>
    </dataValidation>
    <dataValidation type="list" allowBlank="1" showInputMessage="1" showErrorMessage="1" sqref="K4" xr:uid="{00000000-0002-0000-1600-000003000000}">
      <formula1>$K$111:$K$113</formula1>
    </dataValidation>
    <dataValidation type="list" allowBlank="1" showInputMessage="1" showErrorMessage="1" sqref="B32" xr:uid="{00000000-0002-0000-1600-000004000000}">
      <formula1>$B$111:$B$210</formula1>
    </dataValidation>
    <dataValidation type="list" allowBlank="1" showInputMessage="1" showErrorMessage="1" sqref="B62" xr:uid="{00000000-0002-0000-1600-000005000000}">
      <formula1>$C$111:$C$210</formula1>
    </dataValidation>
    <dataValidation type="list" allowBlank="1" showInputMessage="1" showErrorMessage="1" sqref="D12:D32" xr:uid="{00000000-0002-0000-1600-000006000000}">
      <formula1>#REF!</formula1>
    </dataValidation>
    <dataValidation type="list" allowBlank="1" showInputMessage="1" showErrorMessage="1" sqref="K2" xr:uid="{00000000-0002-0000-1600-000007000000}">
      <formula1>watersource</formula1>
    </dataValidation>
    <dataValidation type="list" allowBlank="1" showInputMessage="1" showErrorMessage="1" sqref="C3" xr:uid="{00000000-0002-0000-1600-000008000000}">
      <formula1>TillageSystem</formula1>
    </dataValidation>
  </dataValidations>
  <pageMargins left="0.7" right="0.7" top="0.75" bottom="0.75" header="0.3" footer="0.3"/>
  <pageSetup scale="71" orientation="portrait" r:id="rId1"/>
  <ignoredErrors>
    <ignoredError sqref="E20:F20 K20 H2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8">
    <pageSetUpPr fitToPage="1"/>
  </sheetPr>
  <dimension ref="A2:M256"/>
  <sheetViews>
    <sheetView zoomScaleNormal="100" workbookViewId="0">
      <selection activeCell="I19" sqref="I1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709</v>
      </c>
      <c r="D2" s="187"/>
      <c r="E2" s="187"/>
      <c r="F2" s="128" t="s">
        <v>648</v>
      </c>
      <c r="G2" s="392"/>
      <c r="H2" s="392"/>
      <c r="J2" s="128" t="s">
        <v>649</v>
      </c>
      <c r="K2" s="401" t="s">
        <v>74</v>
      </c>
      <c r="L2" s="401"/>
    </row>
    <row r="3" spans="1:13" hidden="1" x14ac:dyDescent="0.2">
      <c r="B3" s="103" t="s">
        <v>38</v>
      </c>
      <c r="C3" s="391" t="s">
        <v>43</v>
      </c>
      <c r="D3" s="391"/>
      <c r="E3" s="391"/>
      <c r="G3" s="128" t="s">
        <v>650</v>
      </c>
      <c r="H3" s="187" t="s">
        <v>710</v>
      </c>
      <c r="J3" s="128" t="s">
        <v>651</v>
      </c>
      <c r="K3" s="187"/>
    </row>
    <row r="4" spans="1:13" hidden="1" x14ac:dyDescent="0.2">
      <c r="B4" s="103" t="s">
        <v>652</v>
      </c>
      <c r="C4" s="392" t="s">
        <v>62</v>
      </c>
      <c r="D4" s="392"/>
      <c r="E4" s="392"/>
      <c r="G4" s="103">
        <f>IFERROR(VALUE(LEFT($H$3,FIND(" ",$H$3))),"")</f>
        <v>160</v>
      </c>
      <c r="H4" s="103" t="str">
        <f>IFERROR(RIGHT(H3,LEN(H3)-LEN(G4)-1),"")</f>
        <v>bushel</v>
      </c>
      <c r="J4" s="128" t="s">
        <v>653</v>
      </c>
      <c r="K4" s="188"/>
    </row>
    <row r="5" spans="1:13" ht="15.75" hidden="1" customHeight="1" x14ac:dyDescent="0.2">
      <c r="B5" s="103" t="s">
        <v>655</v>
      </c>
      <c r="C5" s="103" t="str">
        <f ca="1">MID(CELL("filename",C5),FIND("]",CELL("filename",C5))+1,255)</f>
        <v>17-Corn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17-Corn, Eastern Nebraska, Conventional Tillage, Continuous, 160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17-Corn, Eastern Nebraska, Conventional Tillage, Continuous, 160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1" si="0">IF(C13&gt;9999,"",ROUND(SUM(E13:J13),2))</f>
        <v>14.98</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552</v>
      </c>
      <c r="C18" s="174" t="s">
        <v>184</v>
      </c>
      <c r="D18" s="112"/>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943</v>
      </c>
      <c r="C19" s="214">
        <v>160</v>
      </c>
      <c r="D19" s="218"/>
      <c r="E19" s="109">
        <f>IF(B19=0,"",IF(C19&gt;9999,"",ROUND('General Variables'!$B$4*VLOOKUP(B19,Operations!$A$2:$U$79,10,FALSE)/VLOOKUP(B19,Operations!$A$2:$U$79,9,FALSE)*C19,2))/100)</f>
        <v>3.6554000000000002</v>
      </c>
      <c r="F19" s="109">
        <f>IF(B19=0,0,IF(C19&gt;9999,"",ROUND(IF(VLOOKUP(B19,Operations!$A$2:$U$79,12,FALSE)=0,VLOOKUP(B19,Operations!$A$2:$U$79,13,FALSE)*'General Variables'!$B$8,VLOOKUP(B19,Operations!$A$2:$U$79,12,FALSE)*'General Variables'!$B$7)/VLOOKUP(B19,Operations!$A$2:$U$79,9,FALSE)*C19,2))/100)</f>
        <v>4.1315</v>
      </c>
      <c r="G19" s="109">
        <f>IF(B19=0,0,IF(C19&gt;9999,"",ROUND(VLOOKUP(VLOOKUP(B19,Operations!$A$2:$U$79,11,FALSE),PowerUnits[],10,FALSE)/VLOOKUP(B19,Operations!$A$2:$U$79,9,FALSE)*C19,2))/100)</f>
        <v>6.3517999999999999</v>
      </c>
      <c r="H19" s="109">
        <f>IF(B19=0,"",IF(C19&gt;9999,"",ROUND(VLOOKUP($B19,Operations!$A$2:$U$79,15,FALSE)*C19,2))/100)</f>
        <v>1.5065999999999999</v>
      </c>
      <c r="I19" s="109">
        <f>IF(B19=0,0,IF(C19&gt;9999,"",ROUND(VLOOKUP(VLOOKUP(B19,Operations!$A$2:$U$79,11,FALSE),PowerUnits[],16,FALSE)/VLOOKUP(B19,Operations!$A$2:$U$79,9,FALSE)*C19,2))/100)</f>
        <v>15.296700000000001</v>
      </c>
      <c r="J19" s="109">
        <f>IF(B19=0,"",IF(C19&gt;9999,"",ROUND(VLOOKUP($B19,Operations!$A$2:$U$79,21,FALSE)*$C19,2))/100)</f>
        <v>6.9696000000000007</v>
      </c>
      <c r="K19" s="109">
        <f>IF(C19&gt;9999,"",ROUND(SUM(E19:J19),2))</f>
        <v>37.909999999999997</v>
      </c>
      <c r="L19" s="216"/>
    </row>
    <row r="20" spans="1:12" x14ac:dyDescent="0.2">
      <c r="A20" s="170">
        <v>9</v>
      </c>
      <c r="B20" s="180" t="s">
        <v>414</v>
      </c>
      <c r="C20" s="174">
        <f>$G$4</f>
        <v>160</v>
      </c>
      <c r="D20" s="112" t="s">
        <v>706</v>
      </c>
      <c r="E20" s="109">
        <f>IF(B20=0,"",IF(C20&gt;9999,"",ROUND('General Variables'!$B$4*VLOOKUP(B20,Operations!$A$2:$U$79,10,FALSE)/VLOOKUP(B20,Operations!$A$2:$U$79,9,FALSE)*C20,2)))</f>
        <v>1.44</v>
      </c>
      <c r="F20" s="109">
        <f>IF(B20=0,0,IF(C20&gt;9999,"",ROUND(IF(VLOOKUP(B20,Operations!$A$2:$U$79,12,FALSE)=0,VLOOKUP(B20,Operations!$A$2:$U$79,13,FALSE)*'General Variables'!$B$8,VLOOKUP(B20,Operations!$A$2:$U$79,12,FALSE)*'General Variables'!$B$7)/VLOOKUP(B20,Operations!$A$2:$U$79,9,FALSE)*C20,2)))</f>
        <v>0.47</v>
      </c>
      <c r="G20" s="109">
        <f>IF(B20=0,0,IF(C20&gt;9999,"",ROUND(VLOOKUP(VLOOKUP(B20,Operations!$A$2:$U$79,11,FALSE),PowerUnits[],10,FALSE)/VLOOKUP(B20,Operations!$A$2:$U$79,9,FALSE)*C20,2)))</f>
        <v>0.04</v>
      </c>
      <c r="H20" s="109">
        <f>IF(B20=0,"",IF(C20&gt;9999,"",ROUND(VLOOKUP($B20,Operations!$A$2:$U$79,15,FALSE)*C20,2)))</f>
        <v>0.89</v>
      </c>
      <c r="I20" s="109">
        <f>IF(B20=0,0,IF(C20&gt;9999,"",ROUND(VLOOKUP(VLOOKUP(B20,Operations!$A$2:$U$79,11,FALSE),PowerUnits[],16,FALSE)/VLOOKUP(B20,Operations!$A$2:$U$79,9,FALSE)*C20,2)))</f>
        <v>2.1</v>
      </c>
      <c r="J20" s="109">
        <f>IF(B20=0,"",IF(C20&gt;9999,"",ROUND(VLOOKUP($B20,Operations!$A$2:$U$79,21,FALSE)*$C20,2)))</f>
        <v>1.77</v>
      </c>
      <c r="K20" s="109">
        <f t="shared" si="0"/>
        <v>6.71</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290"/>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80"/>
      <c r="C25" s="285"/>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17.055399999999999</v>
      </c>
      <c r="F33" s="109">
        <f t="shared" ref="F33:K33" si="1">SUM(F12:F31)</f>
        <v>10.871499999999999</v>
      </c>
      <c r="G33" s="109">
        <f t="shared" si="1"/>
        <v>7.3018000000000001</v>
      </c>
      <c r="H33" s="109">
        <f t="shared" si="1"/>
        <v>16.8066</v>
      </c>
      <c r="I33" s="109">
        <f t="shared" si="1"/>
        <v>45.106700000000004</v>
      </c>
      <c r="J33" s="109">
        <f t="shared" si="1"/>
        <v>28.799599999999998</v>
      </c>
      <c r="K33" s="109">
        <f t="shared" si="1"/>
        <v>125.93999999999998</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211</v>
      </c>
      <c r="C37" s="388" t="str">
        <f>IF(B37=0,"",VLOOKUP($B37,Table2[],2,FALSE))</f>
        <v>Fertilizer</v>
      </c>
      <c r="D37" s="388"/>
      <c r="E37" s="388"/>
      <c r="F37" s="174">
        <v>2</v>
      </c>
      <c r="G37" s="175">
        <v>1</v>
      </c>
      <c r="H37" s="299">
        <v>140</v>
      </c>
      <c r="I37" s="120" t="str">
        <f>IF($B37=0,"",VLOOKUP($B37,Table2[],5,FALSE))</f>
        <v>lbs N</v>
      </c>
      <c r="J37" s="109">
        <f>IF($B37=0,"",VLOOKUP($B37,Table2[],7,FALSE))</f>
        <v>0.38</v>
      </c>
      <c r="K37" s="109">
        <f>IF(B37=0,0,ROUND(G37*H37*J37,2))</f>
        <v>53.2</v>
      </c>
      <c r="L37" s="110"/>
    </row>
    <row r="38" spans="2:12" x14ac:dyDescent="0.2">
      <c r="B38" s="180" t="s">
        <v>320</v>
      </c>
      <c r="C38" s="388" t="str">
        <f>IF(B38=0,"",VLOOKUP($B38,Table2[],2,FALSE))</f>
        <v>Seed</v>
      </c>
      <c r="D38" s="388"/>
      <c r="E38" s="388"/>
      <c r="F38" s="174">
        <v>4</v>
      </c>
      <c r="G38" s="175">
        <v>1</v>
      </c>
      <c r="H38" s="300">
        <v>22.2</v>
      </c>
      <c r="I38" s="120" t="str">
        <f>IF($B38=0,"",VLOOKUP($B38,Table2[],5,FALSE))</f>
        <v>k seed</v>
      </c>
      <c r="J38" s="109">
        <f>IF($B38=0,"",VLOOKUP($B38,Table2[],7,FALSE))</f>
        <v>3.5</v>
      </c>
      <c r="K38" s="109">
        <f t="shared" ref="K38:K55" si="2">IF(B38=0,0,ROUND(G38*H38*J38,2))</f>
        <v>77.7</v>
      </c>
      <c r="L38" s="110"/>
    </row>
    <row r="39" spans="2:12" x14ac:dyDescent="0.2">
      <c r="B39" s="180" t="s">
        <v>287</v>
      </c>
      <c r="C39" s="388" t="str">
        <f>IF(B39=0,"",VLOOKUP($B39,Table2[],2,FALSE))</f>
        <v>Insecticide</v>
      </c>
      <c r="D39" s="388"/>
      <c r="E39" s="388"/>
      <c r="F39" s="174">
        <v>4</v>
      </c>
      <c r="G39" s="175">
        <v>1</v>
      </c>
      <c r="H39" s="176">
        <v>6.6</v>
      </c>
      <c r="I39" s="120" t="str">
        <f>IF($B39=0,"",VLOOKUP($B39,Table2[],5,FALSE))</f>
        <v>ounce</v>
      </c>
      <c r="J39" s="109">
        <f>IF($B39=0,"",VLOOKUP($B39,Table2[],7,FALSE))</f>
        <v>1.4453125</v>
      </c>
      <c r="K39" s="109">
        <f t="shared" si="2"/>
        <v>9.5399999999999991</v>
      </c>
      <c r="L39" s="110"/>
    </row>
    <row r="40" spans="2:12" x14ac:dyDescent="0.2">
      <c r="B40" s="213" t="s">
        <v>201</v>
      </c>
      <c r="C40" s="387" t="str">
        <f>IF(B40=0,"",VLOOKUP($B40,Table2[],2,FALSE))</f>
        <v>Fertilizer</v>
      </c>
      <c r="D40" s="387"/>
      <c r="E40" s="387"/>
      <c r="F40" s="214">
        <v>4</v>
      </c>
      <c r="G40" s="221">
        <v>1</v>
      </c>
      <c r="H40" s="222">
        <v>6</v>
      </c>
      <c r="I40" s="223" t="str">
        <f>IF($B40=0,"",VLOOKUP($B40,Table2[],5,FALSE))</f>
        <v>gallon</v>
      </c>
      <c r="J40" s="215">
        <f>IF($B40=0,"",VLOOKUP($B40,Table2[],7,FALSE))</f>
        <v>3.1</v>
      </c>
      <c r="K40" s="215">
        <f t="shared" si="2"/>
        <v>18.600000000000001</v>
      </c>
      <c r="L40" s="216"/>
    </row>
    <row r="41" spans="2:12" x14ac:dyDescent="0.2">
      <c r="B41" s="180" t="s">
        <v>232</v>
      </c>
      <c r="C41" s="388" t="str">
        <f>IF(B41=0,"",VLOOKUP($B41,Table2[],2,FALSE))</f>
        <v>Herbicide</v>
      </c>
      <c r="D41" s="388"/>
      <c r="E41" s="388"/>
      <c r="F41" s="174">
        <v>5</v>
      </c>
      <c r="G41" s="175">
        <v>1</v>
      </c>
      <c r="H41" s="176">
        <v>2.5</v>
      </c>
      <c r="I41" s="120" t="str">
        <f>IF($B41=0,"",VLOOKUP($B41,Table2[],5,FALSE))</f>
        <v>quart</v>
      </c>
      <c r="J41" s="109">
        <f>IF($B41=0,"",VLOOKUP($B41,Table2[],7,FALSE))</f>
        <v>21.25</v>
      </c>
      <c r="K41" s="109">
        <f t="shared" si="2"/>
        <v>53.13</v>
      </c>
      <c r="L41" s="110"/>
    </row>
    <row r="42" spans="2:12" x14ac:dyDescent="0.2">
      <c r="B42" s="180" t="s">
        <v>276</v>
      </c>
      <c r="C42" s="388" t="str">
        <f>IF(B42=0,"",VLOOKUP($B42,Table2[],2,FALSE))</f>
        <v>Herbicide</v>
      </c>
      <c r="D42" s="388"/>
      <c r="E42" s="388"/>
      <c r="F42" s="174">
        <v>6</v>
      </c>
      <c r="G42" s="175">
        <v>1</v>
      </c>
      <c r="H42" s="176">
        <v>5</v>
      </c>
      <c r="I42" s="120" t="str">
        <f>IF($B42=0,"",VLOOKUP($B42,Table2[],5,FALSE))</f>
        <v>ounce</v>
      </c>
      <c r="J42" s="109">
        <f>IF($B42=0,"",VLOOKUP($B42,Table2[],7,FALSE))</f>
        <v>5.5</v>
      </c>
      <c r="K42" s="109">
        <f t="shared" si="2"/>
        <v>27.5</v>
      </c>
      <c r="L42" s="110"/>
    </row>
    <row r="43" spans="2:12" x14ac:dyDescent="0.2">
      <c r="B43" s="180" t="s">
        <v>181</v>
      </c>
      <c r="C43" s="388" t="str">
        <f>IF(B43=0,"",VLOOKUP($B43,Table2[],2,FALSE))</f>
        <v>Additive</v>
      </c>
      <c r="D43" s="388"/>
      <c r="E43" s="388"/>
      <c r="F43" s="174">
        <v>6</v>
      </c>
      <c r="G43" s="175">
        <v>1</v>
      </c>
      <c r="H43" s="176">
        <v>6</v>
      </c>
      <c r="I43" s="120" t="str">
        <f>IF($B43=0,"",VLOOKUP($B43,Table2[],5,FALSE))</f>
        <v>ounce</v>
      </c>
      <c r="J43" s="109">
        <f>IF($B43=0,"",VLOOKUP($B43,Table2[],7,FALSE))</f>
        <v>0.203125</v>
      </c>
      <c r="K43" s="109">
        <f t="shared" si="2"/>
        <v>1.22</v>
      </c>
      <c r="L43" s="110"/>
    </row>
    <row r="44" spans="2:12" x14ac:dyDescent="0.2">
      <c r="B44" s="213" t="s">
        <v>182</v>
      </c>
      <c r="C44" s="387" t="str">
        <f>IF(B44=0,"",VLOOKUP($B44,Table2[],2,FALSE))</f>
        <v>Additive</v>
      </c>
      <c r="D44" s="387"/>
      <c r="E44" s="387"/>
      <c r="F44" s="214">
        <v>6</v>
      </c>
      <c r="G44" s="221">
        <v>1</v>
      </c>
      <c r="H44" s="222">
        <v>2</v>
      </c>
      <c r="I44" s="223" t="str">
        <f>IF($B44=0,"",VLOOKUP($B44,Table2[],5,FALSE))</f>
        <v>pint</v>
      </c>
      <c r="J44" s="215">
        <f>IF($B44=0,"",VLOOKUP($B44,Table2[],7,FALSE))</f>
        <v>0.22500000000000001</v>
      </c>
      <c r="K44" s="215">
        <f t="shared" si="2"/>
        <v>0.45</v>
      </c>
      <c r="L44" s="216"/>
    </row>
    <row r="45" spans="2:12" x14ac:dyDescent="0.2">
      <c r="B45" s="180" t="s">
        <v>200</v>
      </c>
      <c r="C45" s="388" t="str">
        <f>IF(B45=0,"",VLOOKUP($B45,Table2[],2,FALSE))</f>
        <v>Custom</v>
      </c>
      <c r="D45" s="388"/>
      <c r="E45" s="388"/>
      <c r="F45" s="174">
        <v>7</v>
      </c>
      <c r="G45" s="175">
        <v>0.2</v>
      </c>
      <c r="H45" s="176">
        <v>1</v>
      </c>
      <c r="I45" s="120" t="str">
        <f>IF($B45=0,"",VLOOKUP($B45,Table2[],5,FALSE))</f>
        <v>acre</v>
      </c>
      <c r="J45" s="109">
        <f>IF($B45=0,"",VLOOKUP($B45,Table2[],7,FALSE))</f>
        <v>9</v>
      </c>
      <c r="K45" s="109">
        <f t="shared" si="2"/>
        <v>1.8</v>
      </c>
      <c r="L45" s="110"/>
    </row>
    <row r="46" spans="2:12" x14ac:dyDescent="0.2">
      <c r="B46" s="180" t="s">
        <v>286</v>
      </c>
      <c r="C46" s="388" t="str">
        <f>IF(B46=0,"",VLOOKUP($B46,Table2[],2,FALSE))</f>
        <v>Insecticide</v>
      </c>
      <c r="D46" s="388"/>
      <c r="E46" s="388"/>
      <c r="F46" s="174">
        <v>7</v>
      </c>
      <c r="G46" s="175">
        <v>0.1</v>
      </c>
      <c r="H46" s="176">
        <v>5.12</v>
      </c>
      <c r="I46" s="120" t="str">
        <f>IF($B46=0,"",VLOOKUP($B46,Table2[],5,FALSE))</f>
        <v>ounce</v>
      </c>
      <c r="J46" s="109">
        <f>IF($B46=0,"",VLOOKUP($B46,Table2[],7,FALSE))</f>
        <v>1.015625</v>
      </c>
      <c r="K46" s="109">
        <f t="shared" si="2"/>
        <v>0.52</v>
      </c>
      <c r="L46" s="110"/>
    </row>
    <row r="47" spans="2:12" x14ac:dyDescent="0.2">
      <c r="B47" s="180" t="s">
        <v>288</v>
      </c>
      <c r="C47" s="388" t="str">
        <f>IF(B47=0,"",VLOOKUP($B47,Table2[],2,FALSE))</f>
        <v>Insecticide</v>
      </c>
      <c r="D47" s="388"/>
      <c r="E47" s="388"/>
      <c r="F47" s="174">
        <v>7</v>
      </c>
      <c r="G47" s="175">
        <v>0.2</v>
      </c>
      <c r="H47" s="176">
        <v>2</v>
      </c>
      <c r="I47" s="120" t="str">
        <f>IF($B47=0,"",VLOOKUP($B47,Table2[],5,FALSE))</f>
        <v>ounce</v>
      </c>
      <c r="J47" s="109">
        <f>IF($B47=0,"",VLOOKUP($B47,Table2[],7,FALSE))</f>
        <v>1.25</v>
      </c>
      <c r="K47" s="109">
        <f t="shared" si="2"/>
        <v>0.5</v>
      </c>
      <c r="L47" s="110"/>
    </row>
    <row r="48" spans="2:12" x14ac:dyDescent="0.2">
      <c r="B48" s="213" t="s">
        <v>198</v>
      </c>
      <c r="C48" s="387" t="str">
        <f>IF(B48=0,"",VLOOKUP($B48,Table2[],2,FALSE))</f>
        <v>Custom</v>
      </c>
      <c r="D48" s="387"/>
      <c r="E48" s="387"/>
      <c r="F48" s="214">
        <v>10</v>
      </c>
      <c r="G48" s="221">
        <v>1</v>
      </c>
      <c r="H48" s="222">
        <f>$G$4</f>
        <v>160</v>
      </c>
      <c r="I48" s="223" t="str">
        <f>IF($B48=0,"",VLOOKUP($B48,Table2[],5,FALSE))</f>
        <v>bushel</v>
      </c>
      <c r="J48" s="215">
        <f>IF($B48=0,"",VLOOKUP($B48,Table2[],7,FALSE))</f>
        <v>0.15</v>
      </c>
      <c r="K48" s="215">
        <f t="shared" si="2"/>
        <v>24</v>
      </c>
      <c r="L48" s="216"/>
    </row>
    <row r="49" spans="2:12" x14ac:dyDescent="0.2">
      <c r="B49" s="180" t="s">
        <v>190</v>
      </c>
      <c r="C49" s="388" t="str">
        <f>IF(B49=0,"",VLOOKUP($B49,Table2[],2,FALSE))</f>
        <v>Custom</v>
      </c>
      <c r="D49" s="388"/>
      <c r="E49" s="388"/>
      <c r="F49" s="174">
        <v>11</v>
      </c>
      <c r="G49" s="175">
        <v>0.2</v>
      </c>
      <c r="H49" s="176">
        <f>$G$4</f>
        <v>160</v>
      </c>
      <c r="I49" s="120" t="str">
        <f>IF($B49=0,"",VLOOKUP($B49,Table2[],5,FALSE))</f>
        <v>bushel</v>
      </c>
      <c r="J49" s="109">
        <f>IF($B49=0,"",VLOOKUP($B49,Table2[],7,FALSE))</f>
        <v>0.1</v>
      </c>
      <c r="K49" s="109">
        <f t="shared" si="2"/>
        <v>3.2</v>
      </c>
      <c r="L49" s="110"/>
    </row>
    <row r="50" spans="2:12" x14ac:dyDescent="0.2">
      <c r="B50" s="111" t="s">
        <v>309</v>
      </c>
      <c r="C50" s="388" t="str">
        <f>IF(B50=0,"",VLOOKUP($B50,Table2[],2,FALSE))</f>
        <v>Scouting</v>
      </c>
      <c r="D50" s="388"/>
      <c r="E50" s="388"/>
      <c r="F50" s="112"/>
      <c r="G50" s="177">
        <v>1</v>
      </c>
      <c r="H50" s="178">
        <v>1</v>
      </c>
      <c r="I50" s="120" t="str">
        <f>IF($B50=0,"",VLOOKUP($B50,Table2[],5,FALSE))</f>
        <v>acre</v>
      </c>
      <c r="J50" s="109">
        <f>IF($B50=0,"",VLOOKUP($B50,Table2[],7,FALSE))</f>
        <v>10</v>
      </c>
      <c r="K50" s="109">
        <f t="shared" si="2"/>
        <v>10</v>
      </c>
      <c r="L50" s="110"/>
    </row>
    <row r="51" spans="2:12" ht="12.75" hidden="1" customHeight="1" x14ac:dyDescent="0.2">
      <c r="B51" s="180"/>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4"/>
      <c r="G52" s="221">
        <v>0.1</v>
      </c>
      <c r="H52" s="222"/>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x14ac:dyDescent="0.2">
      <c r="B61" s="185" t="s">
        <v>430</v>
      </c>
      <c r="C61" s="388" t="s">
        <v>655</v>
      </c>
      <c r="D61" s="388"/>
      <c r="E61" s="388"/>
      <c r="F61" s="112"/>
      <c r="G61" s="177"/>
      <c r="H61" s="178"/>
      <c r="I61" s="170"/>
      <c r="J61" s="109">
        <f ca="1">IF(F5=0,E5,F5)</f>
        <v>8</v>
      </c>
      <c r="K61" s="109">
        <f ca="1">IF(B61=0,0,J61)</f>
        <v>8</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E63" s="161"/>
      <c r="F63" s="105"/>
      <c r="J63" s="126"/>
      <c r="K63" s="127">
        <f ca="1">SUM(K37:K61)</f>
        <v>289.35999999999996</v>
      </c>
      <c r="L63" s="110"/>
    </row>
    <row r="64" spans="2:12" x14ac:dyDescent="0.2">
      <c r="K64" s="127"/>
    </row>
    <row r="65" spans="2:12" x14ac:dyDescent="0.2">
      <c r="B65" s="107" t="s">
        <v>672</v>
      </c>
      <c r="K65" s="127">
        <f ca="1">K33+K63</f>
        <v>415.29999999999995</v>
      </c>
      <c r="L65" s="110"/>
    </row>
    <row r="66" spans="2:12" ht="13.5" thickBot="1" x14ac:dyDescent="0.25">
      <c r="D66" s="128" t="s">
        <v>673</v>
      </c>
      <c r="E66" s="129">
        <f ca="1">ROUND(SUM($E$33:$H$33)+$K$63,2)</f>
        <v>341.4</v>
      </c>
      <c r="F66" s="388" t="s">
        <v>674</v>
      </c>
      <c r="G66" s="388"/>
      <c r="H66" s="130">
        <f>'General Variables'!$B$11</f>
        <v>7.4999999999999997E-2</v>
      </c>
      <c r="I66" s="131" t="str">
        <f>CONCATENATE("for ",TEXT('General Variables'!$B$12,"0.0")," mo.")</f>
        <v>for 6.0 mo.</v>
      </c>
      <c r="K66" s="132">
        <f ca="1">E66*H66*'General Variables'!$B$12/12</f>
        <v>12.8025</v>
      </c>
      <c r="L66" s="133"/>
    </row>
    <row r="67" spans="2:12" ht="13.5" thickTop="1" x14ac:dyDescent="0.2">
      <c r="B67" s="107" t="s">
        <v>675</v>
      </c>
      <c r="K67" s="127">
        <f ca="1">SUM(K65:K66)</f>
        <v>428.10249999999996</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54</v>
      </c>
      <c r="D70" s="399"/>
      <c r="E70" s="400"/>
      <c r="F70" s="136">
        <f>IF(C70=0,0,VLOOKUP(C70,RETable,2,FALSE))</f>
        <v>8510</v>
      </c>
      <c r="G70" s="388" t="s">
        <v>678</v>
      </c>
      <c r="H70" s="388"/>
      <c r="I70" s="130">
        <f>'General Variables'!$B$10</f>
        <v>0.03</v>
      </c>
      <c r="K70" s="137">
        <f>ROUND(F70*I70,2)</f>
        <v>255.3</v>
      </c>
      <c r="L70" s="110"/>
    </row>
    <row r="71" spans="2:12" ht="13.5" thickBot="1" x14ac:dyDescent="0.25">
      <c r="B71" s="103" t="s">
        <v>679</v>
      </c>
      <c r="F71" s="138">
        <f>IF(C70=0,0,VLOOKUP(C70,RETable,2,FALSE))</f>
        <v>8510</v>
      </c>
      <c r="G71" s="397" t="s">
        <v>678</v>
      </c>
      <c r="H71" s="397"/>
      <c r="I71" s="139">
        <f>'General Variables'!$B$13</f>
        <v>1.2999999999999999E-2</v>
      </c>
      <c r="J71" s="105"/>
      <c r="K71" s="140">
        <f>ROUND(F71*I71,2)</f>
        <v>110.63</v>
      </c>
      <c r="L71" s="133"/>
    </row>
    <row r="72" spans="2:12" ht="13.5" thickTop="1" x14ac:dyDescent="0.2">
      <c r="B72" s="107" t="s">
        <v>680</v>
      </c>
      <c r="K72" s="127">
        <f ca="1">SUM(K67:K71)</f>
        <v>821.03249999999991</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3.0739531250000001</v>
      </c>
      <c r="L74" s="148"/>
    </row>
    <row r="75" spans="2:12" x14ac:dyDescent="0.2">
      <c r="B75" s="107" t="str">
        <f>IF(G4="","","Cost of production per "&amp;H4)</f>
        <v>Cost of production per bushel</v>
      </c>
      <c r="K75" s="141">
        <f ca="1">IF(G4="","",K72/G4)</f>
        <v>5.1314531249999993</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66:G66"/>
    <mergeCell ref="C70:E70"/>
    <mergeCell ref="G70:H70"/>
    <mergeCell ref="G71:H71"/>
    <mergeCell ref="C56:E56"/>
    <mergeCell ref="C57:E57"/>
    <mergeCell ref="C58:E58"/>
    <mergeCell ref="C59:E59"/>
    <mergeCell ref="C60:E60"/>
    <mergeCell ref="C61:E61"/>
    <mergeCell ref="C55:E55"/>
    <mergeCell ref="C44:E44"/>
    <mergeCell ref="C45:E45"/>
    <mergeCell ref="C46:E46"/>
    <mergeCell ref="C47:E47"/>
    <mergeCell ref="C48:E48"/>
    <mergeCell ref="C49:E49"/>
    <mergeCell ref="C50:E50"/>
    <mergeCell ref="C51:E51"/>
    <mergeCell ref="C52:E52"/>
    <mergeCell ref="C53:E53"/>
    <mergeCell ref="C54:E54"/>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K4" xr:uid="{00000000-0002-0000-1700-000000000000}">
      <formula1>$K$111:$K$113</formula1>
    </dataValidation>
    <dataValidation type="list" allowBlank="1" showInputMessage="1" showErrorMessage="1" sqref="B32" xr:uid="{00000000-0002-0000-1700-000001000000}">
      <formula1>$B$111:$B$210</formula1>
    </dataValidation>
    <dataValidation type="list" allowBlank="1" showInputMessage="1" showErrorMessage="1" sqref="B62" xr:uid="{00000000-0002-0000-1700-000002000000}">
      <formula1>$C$111:$C$210</formula1>
    </dataValidation>
    <dataValidation type="list" allowBlank="1" showInputMessage="1" showErrorMessage="1" sqref="B37:B60" xr:uid="{00000000-0002-0000-1700-000003000000}">
      <formula1>MaterialList</formula1>
    </dataValidation>
    <dataValidation type="list" allowBlank="1" showInputMessage="1" showErrorMessage="1" sqref="C70:E70" xr:uid="{00000000-0002-0000-1700-000004000000}">
      <formula1>RealEstateList</formula1>
    </dataValidation>
    <dataValidation type="list" allowBlank="1" showInputMessage="1" showErrorMessage="1" sqref="B12:B31" xr:uid="{00000000-0002-0000-1700-000005000000}">
      <formula1>OperationList</formula1>
    </dataValidation>
    <dataValidation type="list" allowBlank="1" showInputMessage="1" showErrorMessage="1" sqref="D12:D32" xr:uid="{00000000-0002-0000-1700-000006000000}">
      <formula1>#REF!</formula1>
    </dataValidation>
    <dataValidation type="list" allowBlank="1" showInputMessage="1" showErrorMessage="1" sqref="K2" xr:uid="{00000000-0002-0000-1700-000007000000}">
      <formula1>watersource</formula1>
    </dataValidation>
    <dataValidation type="list" allowBlank="1" showInputMessage="1" showErrorMessage="1" sqref="C3" xr:uid="{00000000-0002-0000-1700-000008000000}">
      <formula1>TillageSystem</formula1>
    </dataValidation>
  </dataValidations>
  <pageMargins left="0.7" right="0.7" top="0.75" bottom="0.75" header="0.3" footer="0.3"/>
  <pageSetup scale="71" orientation="portrait" r:id="rId1"/>
  <ignoredErrors>
    <ignoredError sqref="E19 F19:J19" formula="1"/>
    <ignoredError sqref="C20"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3">
    <pageSetUpPr fitToPage="1"/>
  </sheetPr>
  <dimension ref="A2:M256"/>
  <sheetViews>
    <sheetView zoomScaleNormal="100" workbookViewId="0">
      <selection activeCell="I18" sqref="I1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709</v>
      </c>
      <c r="D2" s="187"/>
      <c r="E2" s="187"/>
      <c r="F2" s="128" t="s">
        <v>648</v>
      </c>
      <c r="G2" s="392"/>
      <c r="H2" s="392"/>
      <c r="J2" s="128" t="s">
        <v>649</v>
      </c>
      <c r="K2" s="401" t="s">
        <v>74</v>
      </c>
      <c r="L2" s="401"/>
    </row>
    <row r="3" spans="1:13" hidden="1" x14ac:dyDescent="0.2">
      <c r="B3" s="103" t="s">
        <v>38</v>
      </c>
      <c r="C3" s="391" t="s">
        <v>43</v>
      </c>
      <c r="D3" s="391"/>
      <c r="E3" s="391"/>
      <c r="G3" s="128" t="s">
        <v>650</v>
      </c>
      <c r="H3" s="187" t="s">
        <v>711</v>
      </c>
      <c r="J3" s="128" t="s">
        <v>651</v>
      </c>
      <c r="K3" s="187"/>
    </row>
    <row r="4" spans="1:13" hidden="1" x14ac:dyDescent="0.2">
      <c r="B4" s="103" t="s">
        <v>652</v>
      </c>
      <c r="C4" s="392" t="s">
        <v>712</v>
      </c>
      <c r="D4" s="392"/>
      <c r="E4" s="392"/>
      <c r="G4" s="103">
        <f>IFERROR(VALUE(LEFT($H$3,FIND(" ",$H$3))),"")</f>
        <v>170</v>
      </c>
      <c r="H4" s="103" t="str">
        <f>IFERROR(RIGHT(H3,LEN(H3)-LEN(G4)-1),"")</f>
        <v>bushel</v>
      </c>
      <c r="J4" s="128" t="s">
        <v>653</v>
      </c>
      <c r="K4" s="188" t="s">
        <v>681</v>
      </c>
    </row>
    <row r="5" spans="1:13" ht="15.75" hidden="1" customHeight="1" x14ac:dyDescent="0.2">
      <c r="B5" s="103" t="s">
        <v>655</v>
      </c>
      <c r="C5" s="103" t="str">
        <f ca="1">MID(CELL("filename",C5),FIND("]",CELL("filename",C5))+1,255)</f>
        <v>18-Corn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18-Corn, Eastern Nebraska, Conventional Tillage, in Corn/Soybean Rotation, 170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18-Corn, Eastern Nebraska, Conventional Tillage, in Corn/Soybean Rotation, 170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376</v>
      </c>
      <c r="C12" s="174">
        <v>1</v>
      </c>
      <c r="D12" s="174"/>
      <c r="E12" s="109">
        <f>IF(B12=0,"",IF(C12&gt;9999,"",ROUND('General Variables'!$B$4*VLOOKUP(B12,Operations!$A$2:$U$79,10,FALSE)/VLOOKUP(B12,Operations!$A$2:$U$79,9,FALSE)*C12,2)))</f>
        <v>1.98</v>
      </c>
      <c r="F12" s="109">
        <f>IF(B12=0,0,IF(C12&gt;9999,"",ROUND(IF(VLOOKUP(B12,Operations!$A$2:$U$79,12,FALSE)=0,VLOOKUP(B12,Operations!$A$2:$U$79,13,FALSE)*'General Variables'!$B$8,VLOOKUP(B12,Operations!$A$2:$U$79,12,FALSE)*'General Variables'!$B$7)/VLOOKUP(B12,Operations!$A$2:$U$79,9,FALSE)*C12,2)))</f>
        <v>0.7</v>
      </c>
      <c r="G12" s="109">
        <f>IF(B12=0,0,IF(C12&gt;9999,"",ROUND(VLOOKUP(VLOOKUP(B12,Operations!$A$2:$U$79,11,FALSE),PowerUnits[],10,FALSE)/VLOOKUP(B12,Operations!$A$2:$U$79,9,FALSE)*C12,2)))</f>
        <v>0.23</v>
      </c>
      <c r="H12" s="109">
        <f>IF(B12=0,"",IF(C12&gt;9999,"",ROUND(VLOOKUP($B12,Operations!$A$2:$U$79,15,FALSE)*C12,2)))</f>
        <v>1.4</v>
      </c>
      <c r="I12" s="109">
        <f>IF(B12=0,0,IF(C12&gt;9999,"",ROUND(VLOOKUP(VLOOKUP(B12,Operations!$A$2:$U$79,11,FALSE),PowerUnits[],16,FALSE)/VLOOKUP(B12,Operations!$A$2:$U$79,9,FALSE)*C12,2)))</f>
        <v>6.15</v>
      </c>
      <c r="J12" s="109">
        <f>IF(B12=0,"",IF(C12&gt;9999,"",ROUND(VLOOKUP($B12,Operations!$A$2:$U$79,21,FALSE)*$C12,2)))</f>
        <v>4.5199999999999996</v>
      </c>
      <c r="K12" s="109">
        <f>IF(C12&gt;9999,"",ROUND(SUM(E12:J12),2))</f>
        <v>14.98</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526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0.87</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943</v>
      </c>
      <c r="C18" s="174">
        <f>$G$4</f>
        <v>170</v>
      </c>
      <c r="D18" s="112"/>
      <c r="E18" s="109">
        <f>IF(B18=0,"",IF(C18&gt;9999,"",ROUND('General Variables'!$B$4*VLOOKUP(B18,Operations!$A$2:$U$79,10,FALSE)/VLOOKUP(B18,Operations!$A$2:$U$79,9,FALSE)*C18,2))/100)</f>
        <v>3.8837999999999999</v>
      </c>
      <c r="F18" s="109">
        <f>IF(B18=0,0,IF(C18&gt;9999,"",ROUND(IF(VLOOKUP(B18,Operations!$A$2:$U$79,12,FALSE)=0,VLOOKUP(B18,Operations!$A$2:$U$79,13,FALSE)*'General Variables'!$B$8,VLOOKUP(B18,Operations!$A$2:$U$79,12,FALSE)*'General Variables'!$B$7)/VLOOKUP(B18,Operations!$A$2:$U$79,9,FALSE)*C18,2))/100)</f>
        <v>4.3897000000000004</v>
      </c>
      <c r="G18" s="109">
        <f>IF(B18=0,0,IF(C18&gt;9999,"",ROUND(VLOOKUP(VLOOKUP(B18,Operations!$A$2:$U$79,11,FALSE),PowerUnits[],10,FALSE)/VLOOKUP(B18,Operations!$A$2:$U$79,9,FALSE)*C18,2))/100)</f>
        <v>6.7488000000000001</v>
      </c>
      <c r="H18" s="109">
        <f>IF(B18=0,"",IF(C18&gt;9999,"",ROUND(VLOOKUP($B18,Operations!$A$2:$U$79,15,FALSE)*C18,2))/100)</f>
        <v>1.6008000000000002</v>
      </c>
      <c r="I18" s="109">
        <f>IF(B18=0,0,IF(C18&gt;9999,"",ROUND(VLOOKUP(VLOOKUP(B18,Operations!$A$2:$U$79,11,FALSE),PowerUnits[],16,FALSE)/VLOOKUP(B18,Operations!$A$2:$U$79,9,FALSE)*C18,2))/100)</f>
        <v>16.252700000000001</v>
      </c>
      <c r="J18" s="109">
        <f>IF(B18=0,"",IF(C18&gt;9999,"",ROUND(VLOOKUP($B18,Operations!$A$2:$U$79,21,FALSE)*$C18,2))/100)</f>
        <v>7.4051999999999998</v>
      </c>
      <c r="K18" s="109">
        <f>IF(C18&gt;9999,"",ROUND(SUM(E18:J18),2))</f>
        <v>40.28</v>
      </c>
      <c r="L18" s="110"/>
    </row>
    <row r="19" spans="1:12" x14ac:dyDescent="0.2">
      <c r="A19" s="170">
        <v>8</v>
      </c>
      <c r="B19" s="213" t="s">
        <v>414</v>
      </c>
      <c r="C19" s="214">
        <f>$G$4</f>
        <v>170</v>
      </c>
      <c r="D19" s="218" t="s">
        <v>706</v>
      </c>
      <c r="E19" s="215">
        <f>IF(B19=0,"",IF(C19&gt;9999,"",ROUND('General Variables'!$B$4*VLOOKUP(B19,Operations!$A$2:$U$79,10,FALSE)/VLOOKUP(B19,Operations!$A$2:$U$79,9,FALSE)*C19,2)))</f>
        <v>1.53</v>
      </c>
      <c r="F19" s="215">
        <f>IF(B19=0,0,IF(C19&gt;9999,"",ROUND(IF(VLOOKUP(B19,Operations!$A$2:$U$79,12,FALSE)=0,VLOOKUP(B19,Operations!$A$2:$U$79,13,FALSE)*'General Variables'!$B$8,VLOOKUP(B19,Operations!$A$2:$U$79,12,FALSE)*'General Variables'!$B$7)/VLOOKUP(B19,Operations!$A$2:$U$79,9,FALSE)*C19,2)))</f>
        <v>0.49</v>
      </c>
      <c r="G19" s="215">
        <f>IF(B19=0,0,IF(C19&gt;9999,"",ROUND(VLOOKUP(VLOOKUP(B19,Operations!$A$2:$U$79,11,FALSE),PowerUnits[],10,FALSE)/VLOOKUP(B19,Operations!$A$2:$U$79,9,FALSE)*C19,2)))</f>
        <v>0.04</v>
      </c>
      <c r="H19" s="215">
        <f>IF(B19=0,"",IF(C19&gt;9999,"",ROUND(VLOOKUP($B19,Operations!$A$2:$U$79,15,FALSE)*C19,2)))</f>
        <v>0.94</v>
      </c>
      <c r="I19" s="215">
        <f>IF(B19=0,0,IF(C19&gt;9999,"",ROUND(VLOOKUP(VLOOKUP(B19,Operations!$A$2:$U$79,11,FALSE),PowerUnits[],16,FALSE)/VLOOKUP(B19,Operations!$A$2:$U$79,9,FALSE)*C19,2)))</f>
        <v>2.23</v>
      </c>
      <c r="J19" s="215">
        <f>IF(B19=0,"",IF(C19&gt;9999,"",ROUND(VLOOKUP($B19,Operations!$A$2:$U$79,21,FALSE)*$C19,2)))</f>
        <v>1.88</v>
      </c>
      <c r="K19" s="215">
        <f t="shared" si="0"/>
        <v>7.11</v>
      </c>
      <c r="L19" s="216"/>
    </row>
    <row r="20" spans="1:12" x14ac:dyDescent="0.2">
      <c r="A20" s="170">
        <v>9</v>
      </c>
      <c r="B20" s="180" t="s">
        <v>565</v>
      </c>
      <c r="C20" s="174" t="s">
        <v>184</v>
      </c>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496</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290"/>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80"/>
      <c r="C25" s="285"/>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14.653799999999999</v>
      </c>
      <c r="F33" s="109">
        <f t="shared" ref="F33:K33" si="1">SUM(F12:F31)</f>
        <v>8.7197000000000013</v>
      </c>
      <c r="G33" s="109">
        <f t="shared" si="1"/>
        <v>7.3888000000000007</v>
      </c>
      <c r="H33" s="109">
        <f t="shared" si="1"/>
        <v>15.270799999999998</v>
      </c>
      <c r="I33" s="109">
        <f t="shared" si="1"/>
        <v>37.732700000000001</v>
      </c>
      <c r="J33" s="109">
        <f t="shared" si="1"/>
        <v>26.885199999999998</v>
      </c>
      <c r="K33" s="109">
        <f t="shared" si="1"/>
        <v>110.65</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211</v>
      </c>
      <c r="C37" s="388" t="str">
        <f>IF(B37=0,"",VLOOKUP($B37,Table2[],2,FALSE))</f>
        <v>Fertilizer</v>
      </c>
      <c r="D37" s="388"/>
      <c r="E37" s="388"/>
      <c r="F37" s="174">
        <v>1</v>
      </c>
      <c r="G37" s="175">
        <v>1</v>
      </c>
      <c r="H37" s="299">
        <v>105</v>
      </c>
      <c r="I37" s="120" t="str">
        <f>IF($B37=0,"",VLOOKUP($B37,Table2[],5,FALSE))</f>
        <v>lbs N</v>
      </c>
      <c r="J37" s="109">
        <f>IF($B37=0,"",VLOOKUP($B37,Table2[],7,FALSE))</f>
        <v>0.38</v>
      </c>
      <c r="K37" s="109">
        <f>IF(B37=0,0,ROUND(G37*H37*J37,2))</f>
        <v>39.9</v>
      </c>
      <c r="L37" s="110"/>
    </row>
    <row r="38" spans="2:12" x14ac:dyDescent="0.2">
      <c r="B38" s="180" t="s">
        <v>320</v>
      </c>
      <c r="C38" s="388" t="str">
        <f>IF(B38=0,"",VLOOKUP($B38,Table2[],2,FALSE))</f>
        <v>Seed</v>
      </c>
      <c r="D38" s="388"/>
      <c r="E38" s="388"/>
      <c r="F38" s="174">
        <v>3</v>
      </c>
      <c r="G38" s="175">
        <v>1</v>
      </c>
      <c r="H38" s="300">
        <v>23.6</v>
      </c>
      <c r="I38" s="120" t="str">
        <f>IF($B38=0,"",VLOOKUP($B38,Table2[],5,FALSE))</f>
        <v>k seed</v>
      </c>
      <c r="J38" s="109">
        <f>IF($B38=0,"",VLOOKUP($B38,Table2[],7,FALSE))</f>
        <v>3.5</v>
      </c>
      <c r="K38" s="109">
        <f t="shared" ref="K38:K55" si="2">IF(B38=0,0,ROUND(G38*H38*J38,2))</f>
        <v>82.6</v>
      </c>
      <c r="L38" s="110"/>
    </row>
    <row r="39" spans="2:12" x14ac:dyDescent="0.2">
      <c r="B39" s="180" t="s">
        <v>201</v>
      </c>
      <c r="C39" s="388" t="str">
        <f>IF(B39=0,"",VLOOKUP($B39,Table2[],2,FALSE))</f>
        <v>Fertilizer</v>
      </c>
      <c r="D39" s="388"/>
      <c r="E39" s="388"/>
      <c r="F39" s="174">
        <v>3</v>
      </c>
      <c r="G39" s="175">
        <v>1</v>
      </c>
      <c r="H39" s="176">
        <v>6</v>
      </c>
      <c r="I39" s="120" t="str">
        <f>IF($B39=0,"",VLOOKUP($B39,Table2[],5,FALSE))</f>
        <v>gallon</v>
      </c>
      <c r="J39" s="109">
        <f>IF($B39=0,"",VLOOKUP($B39,Table2[],7,FALSE))</f>
        <v>3.1</v>
      </c>
      <c r="K39" s="109">
        <f t="shared" si="2"/>
        <v>18.600000000000001</v>
      </c>
      <c r="L39" s="110"/>
    </row>
    <row r="40" spans="2:12" x14ac:dyDescent="0.2">
      <c r="B40" s="213" t="s">
        <v>232</v>
      </c>
      <c r="C40" s="387" t="str">
        <f>IF(B40=0,"",VLOOKUP($B40,Table2[],2,FALSE))</f>
        <v>Herbicide</v>
      </c>
      <c r="D40" s="387"/>
      <c r="E40" s="387"/>
      <c r="F40" s="214">
        <v>4</v>
      </c>
      <c r="G40" s="221">
        <v>1</v>
      </c>
      <c r="H40" s="222">
        <v>2.5</v>
      </c>
      <c r="I40" s="223" t="str">
        <f>IF($B40=0,"",VLOOKUP($B40,Table2[],5,FALSE))</f>
        <v>quart</v>
      </c>
      <c r="J40" s="215">
        <f>IF($B40=0,"",VLOOKUP($B40,Table2[],7,FALSE))</f>
        <v>21.25</v>
      </c>
      <c r="K40" s="215">
        <f t="shared" si="2"/>
        <v>53.13</v>
      </c>
      <c r="L40" s="216"/>
    </row>
    <row r="41" spans="2:12" x14ac:dyDescent="0.2">
      <c r="B41" s="180" t="s">
        <v>236</v>
      </c>
      <c r="C41" s="388" t="str">
        <f>IF(B41=0,"",VLOOKUP($B41,Table2[],2,FALSE))</f>
        <v>Herbicide</v>
      </c>
      <c r="D41" s="388"/>
      <c r="E41" s="388"/>
      <c r="F41" s="174">
        <v>5</v>
      </c>
      <c r="G41" s="175">
        <v>1</v>
      </c>
      <c r="H41" s="176">
        <v>14</v>
      </c>
      <c r="I41" s="120" t="str">
        <f>IF($B41=0,"",VLOOKUP($B41,Table2[],5,FALSE))</f>
        <v>ounce</v>
      </c>
      <c r="J41" s="109">
        <f>IF($B41=0,"",VLOOKUP($B41,Table2[],7,FALSE))</f>
        <v>1.640625</v>
      </c>
      <c r="K41" s="109">
        <f t="shared" si="2"/>
        <v>22.97</v>
      </c>
      <c r="L41" s="110"/>
    </row>
    <row r="42" spans="2:12" x14ac:dyDescent="0.2">
      <c r="B42" s="180" t="s">
        <v>181</v>
      </c>
      <c r="C42" s="388" t="str">
        <f>IF(B42=0,"",VLOOKUP($B42,Table2[],2,FALSE))</f>
        <v>Additive</v>
      </c>
      <c r="D42" s="388"/>
      <c r="E42" s="388"/>
      <c r="F42" s="174">
        <v>5</v>
      </c>
      <c r="G42" s="175">
        <v>1</v>
      </c>
      <c r="H42" s="176">
        <v>6</v>
      </c>
      <c r="I42" s="120" t="str">
        <f>IF($B42=0,"",VLOOKUP($B42,Table2[],5,FALSE))</f>
        <v>ounce</v>
      </c>
      <c r="J42" s="109">
        <f>IF($B42=0,"",VLOOKUP($B42,Table2[],7,FALSE))</f>
        <v>0.203125</v>
      </c>
      <c r="K42" s="109">
        <f t="shared" si="2"/>
        <v>1.22</v>
      </c>
      <c r="L42" s="110"/>
    </row>
    <row r="43" spans="2:12" x14ac:dyDescent="0.2">
      <c r="B43" s="180" t="s">
        <v>182</v>
      </c>
      <c r="C43" s="388" t="str">
        <f>IF(B43=0,"",VLOOKUP($B43,Table2[],2,FALSE))</f>
        <v>Additive</v>
      </c>
      <c r="D43" s="388"/>
      <c r="E43" s="388"/>
      <c r="F43" s="174">
        <v>5</v>
      </c>
      <c r="G43" s="175">
        <v>1</v>
      </c>
      <c r="H43" s="176">
        <v>2</v>
      </c>
      <c r="I43" s="120" t="str">
        <f>IF($B43=0,"",VLOOKUP($B43,Table2[],5,FALSE))</f>
        <v>pint</v>
      </c>
      <c r="J43" s="109">
        <f>IF($B43=0,"",VLOOKUP($B43,Table2[],7,FALSE))</f>
        <v>0.22500000000000001</v>
      </c>
      <c r="K43" s="109">
        <f t="shared" si="2"/>
        <v>0.45</v>
      </c>
      <c r="L43" s="110"/>
    </row>
    <row r="44" spans="2:12" x14ac:dyDescent="0.2">
      <c r="B44" s="213" t="s">
        <v>200</v>
      </c>
      <c r="C44" s="387" t="str">
        <f>IF(B44=0,"",VLOOKUP($B44,Table2[],2,FALSE))</f>
        <v>Custom</v>
      </c>
      <c r="D44" s="387"/>
      <c r="E44" s="387"/>
      <c r="F44" s="214">
        <v>6</v>
      </c>
      <c r="G44" s="221">
        <v>0.2</v>
      </c>
      <c r="H44" s="222">
        <v>1</v>
      </c>
      <c r="I44" s="223" t="str">
        <f>IF($B44=0,"",VLOOKUP($B44,Table2[],5,FALSE))</f>
        <v>acre</v>
      </c>
      <c r="J44" s="215">
        <f>IF($B44=0,"",VLOOKUP($B44,Table2[],7,FALSE))</f>
        <v>9</v>
      </c>
      <c r="K44" s="215">
        <f t="shared" si="2"/>
        <v>1.8</v>
      </c>
      <c r="L44" s="216"/>
    </row>
    <row r="45" spans="2:12" x14ac:dyDescent="0.2">
      <c r="B45" s="180" t="s">
        <v>286</v>
      </c>
      <c r="C45" s="388" t="str">
        <f>IF(B45=0,"",VLOOKUP($B45,Table2[],2,FALSE))</f>
        <v>Insecticide</v>
      </c>
      <c r="D45" s="388"/>
      <c r="E45" s="388"/>
      <c r="F45" s="174">
        <v>6</v>
      </c>
      <c r="G45" s="175">
        <v>0.1</v>
      </c>
      <c r="H45" s="176">
        <v>5.12</v>
      </c>
      <c r="I45" s="120" t="str">
        <f>IF($B45=0,"",VLOOKUP($B45,Table2[],5,FALSE))</f>
        <v>ounce</v>
      </c>
      <c r="J45" s="109">
        <f>IF($B45=0,"",VLOOKUP($B45,Table2[],7,FALSE))</f>
        <v>1.015625</v>
      </c>
      <c r="K45" s="109">
        <f t="shared" si="2"/>
        <v>0.52</v>
      </c>
      <c r="L45" s="110"/>
    </row>
    <row r="46" spans="2:12" x14ac:dyDescent="0.2">
      <c r="B46" s="180" t="s">
        <v>288</v>
      </c>
      <c r="C46" s="388" t="str">
        <f>IF(B46=0,"",VLOOKUP($B46,Table2[],2,FALSE))</f>
        <v>Insecticide</v>
      </c>
      <c r="D46" s="388"/>
      <c r="E46" s="388"/>
      <c r="F46" s="174">
        <v>6</v>
      </c>
      <c r="G46" s="175">
        <v>0.2</v>
      </c>
      <c r="H46" s="176">
        <v>2</v>
      </c>
      <c r="I46" s="120" t="str">
        <f>IF($B46=0,"",VLOOKUP($B46,Table2[],5,FALSE))</f>
        <v>ounce</v>
      </c>
      <c r="J46" s="109">
        <f>IF($B46=0,"",VLOOKUP($B46,Table2[],7,FALSE))</f>
        <v>1.25</v>
      </c>
      <c r="K46" s="109">
        <f t="shared" si="2"/>
        <v>0.5</v>
      </c>
      <c r="L46" s="110"/>
    </row>
    <row r="47" spans="2:12" x14ac:dyDescent="0.2">
      <c r="B47" s="180" t="s">
        <v>198</v>
      </c>
      <c r="C47" s="388" t="str">
        <f>IF(B47=0,"",VLOOKUP($B47,Table2[],2,FALSE))</f>
        <v>Custom</v>
      </c>
      <c r="D47" s="388"/>
      <c r="E47" s="388"/>
      <c r="F47" s="174">
        <v>9</v>
      </c>
      <c r="G47" s="175">
        <v>1</v>
      </c>
      <c r="H47" s="176">
        <f>$G$4</f>
        <v>170</v>
      </c>
      <c r="I47" s="120" t="str">
        <f>IF($B47=0,"",VLOOKUP($B47,Table2[],5,FALSE))</f>
        <v>bushel</v>
      </c>
      <c r="J47" s="109">
        <f>IF($B47=0,"",VLOOKUP($B47,Table2[],7,FALSE))</f>
        <v>0.15</v>
      </c>
      <c r="K47" s="109">
        <f t="shared" si="2"/>
        <v>25.5</v>
      </c>
      <c r="L47" s="110"/>
    </row>
    <row r="48" spans="2:12" x14ac:dyDescent="0.2">
      <c r="B48" s="213" t="s">
        <v>190</v>
      </c>
      <c r="C48" s="387" t="str">
        <f>IF(B48=0,"",VLOOKUP($B48,Table2[],2,FALSE))</f>
        <v>Custom</v>
      </c>
      <c r="D48" s="387"/>
      <c r="E48" s="387"/>
      <c r="F48" s="214">
        <v>10</v>
      </c>
      <c r="G48" s="221">
        <v>0.2</v>
      </c>
      <c r="H48" s="222">
        <f>$G$4</f>
        <v>170</v>
      </c>
      <c r="I48" s="223" t="str">
        <f>IF($B48=0,"",VLOOKUP($B48,Table2[],5,FALSE))</f>
        <v>bushel</v>
      </c>
      <c r="J48" s="215">
        <f>IF($B48=0,"",VLOOKUP($B48,Table2[],7,FALSE))</f>
        <v>0.1</v>
      </c>
      <c r="K48" s="215">
        <f t="shared" si="2"/>
        <v>3.4</v>
      </c>
      <c r="L48" s="216"/>
    </row>
    <row r="49" spans="2:12" x14ac:dyDescent="0.2">
      <c r="B49" s="111" t="s">
        <v>309</v>
      </c>
      <c r="C49" s="388" t="str">
        <f>IF(B49=0,"",VLOOKUP($B49,Table2[],2,FALSE))</f>
        <v>Scouting</v>
      </c>
      <c r="D49" s="388"/>
      <c r="E49" s="388"/>
      <c r="F49" s="112"/>
      <c r="G49" s="177">
        <v>1</v>
      </c>
      <c r="H49" s="178">
        <v>1</v>
      </c>
      <c r="I49" s="120" t="str">
        <f>IF($B49=0,"",VLOOKUP($B49,Table2[],5,FALSE))</f>
        <v>acre</v>
      </c>
      <c r="J49" s="109">
        <f>IF($B49=0,"",VLOOKUP($B49,Table2[],7,FALSE))</f>
        <v>10</v>
      </c>
      <c r="K49" s="109">
        <f t="shared" si="2"/>
        <v>10</v>
      </c>
      <c r="L49" s="110"/>
    </row>
    <row r="50" spans="2:12" hidden="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80"/>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4"/>
      <c r="G52" s="221">
        <v>0.1</v>
      </c>
      <c r="H52" s="222"/>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x14ac:dyDescent="0.2">
      <c r="B61" s="185" t="s">
        <v>430</v>
      </c>
      <c r="C61" s="388" t="s">
        <v>655</v>
      </c>
      <c r="D61" s="388"/>
      <c r="E61" s="388"/>
      <c r="F61" s="112"/>
      <c r="G61" s="177"/>
      <c r="H61" s="178"/>
      <c r="I61" s="170"/>
      <c r="J61" s="109">
        <f ca="1">IF(F5=0,E5,F5)</f>
        <v>8</v>
      </c>
      <c r="K61" s="109">
        <f ca="1">IF(B61=0,0,J61)</f>
        <v>8</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E63" s="161"/>
      <c r="F63" s="105"/>
      <c r="J63" s="126"/>
      <c r="K63" s="127">
        <f ca="1">SUM(K37:K61)</f>
        <v>268.59000000000003</v>
      </c>
      <c r="L63" s="110"/>
    </row>
    <row r="64" spans="2:12" x14ac:dyDescent="0.2">
      <c r="K64" s="127"/>
    </row>
    <row r="65" spans="2:12" x14ac:dyDescent="0.2">
      <c r="B65" s="107" t="s">
        <v>672</v>
      </c>
      <c r="K65" s="127">
        <f ca="1">K33+K63</f>
        <v>379.24</v>
      </c>
      <c r="L65" s="110"/>
    </row>
    <row r="66" spans="2:12" ht="13.5" thickBot="1" x14ac:dyDescent="0.25">
      <c r="D66" s="128" t="s">
        <v>673</v>
      </c>
      <c r="E66" s="129">
        <f ca="1">ROUND(SUM($E$33:$H$33)+$K$63,2)</f>
        <v>314.62</v>
      </c>
      <c r="F66" s="388" t="s">
        <v>674</v>
      </c>
      <c r="G66" s="388"/>
      <c r="H66" s="130">
        <f>'General Variables'!$B$11</f>
        <v>7.4999999999999997E-2</v>
      </c>
      <c r="I66" s="131" t="str">
        <f>CONCATENATE("for ",TEXT('General Variables'!$B$12,"0.0")," mo.")</f>
        <v>for 6.0 mo.</v>
      </c>
      <c r="K66" s="132">
        <f ca="1">E66*H66*'General Variables'!$B$12/12</f>
        <v>11.798250000000001</v>
      </c>
      <c r="L66" s="133"/>
    </row>
    <row r="67" spans="2:12" ht="13.5" thickTop="1" x14ac:dyDescent="0.2">
      <c r="B67" s="107" t="s">
        <v>675</v>
      </c>
      <c r="K67" s="127">
        <f ca="1">SUM(K65:K66)</f>
        <v>391.03825000000001</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54</v>
      </c>
      <c r="D70" s="399"/>
      <c r="E70" s="400"/>
      <c r="F70" s="136">
        <f>IF(C70=0,0,VLOOKUP(C70,RETable,2,FALSE))</f>
        <v>8510</v>
      </c>
      <c r="G70" s="388" t="s">
        <v>678</v>
      </c>
      <c r="H70" s="388"/>
      <c r="I70" s="130">
        <f>'General Variables'!$B$10</f>
        <v>0.03</v>
      </c>
      <c r="K70" s="137">
        <f>ROUND(F70*I70,2)</f>
        <v>255.3</v>
      </c>
      <c r="L70" s="110"/>
    </row>
    <row r="71" spans="2:12" ht="13.5" thickBot="1" x14ac:dyDescent="0.25">
      <c r="B71" s="103" t="s">
        <v>679</v>
      </c>
      <c r="F71" s="138">
        <f>IF(C70=0,0,VLOOKUP(C70,RETable,2,FALSE))</f>
        <v>8510</v>
      </c>
      <c r="G71" s="397" t="s">
        <v>678</v>
      </c>
      <c r="H71" s="397"/>
      <c r="I71" s="139">
        <f>'General Variables'!$B$13</f>
        <v>1.2999999999999999E-2</v>
      </c>
      <c r="J71" s="105"/>
      <c r="K71" s="140">
        <f>ROUND(F71*I71,2)</f>
        <v>110.63</v>
      </c>
      <c r="L71" s="133"/>
    </row>
    <row r="72" spans="2:12" ht="13.5" thickTop="1" x14ac:dyDescent="0.2">
      <c r="B72" s="107" t="s">
        <v>680</v>
      </c>
      <c r="K72" s="127">
        <f ca="1">SUM(K67:K71)</f>
        <v>783.96825000000001</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2.7296955882352942</v>
      </c>
      <c r="L74" s="148"/>
    </row>
    <row r="75" spans="2:12" x14ac:dyDescent="0.2">
      <c r="B75" s="107" t="str">
        <f>IF(G4="","","Cost of production per "&amp;H4)</f>
        <v>Cost of production per bushel</v>
      </c>
      <c r="K75" s="141">
        <f ca="1">IF(G4="","",K72/G4)</f>
        <v>4.6115779411764706</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B7:L7"/>
    <mergeCell ref="L35:L36"/>
    <mergeCell ref="C37:E37"/>
    <mergeCell ref="B10:B11"/>
    <mergeCell ref="C10:C11"/>
    <mergeCell ref="E10:E11"/>
    <mergeCell ref="F10:F11"/>
    <mergeCell ref="G10:H10"/>
    <mergeCell ref="I10:J10"/>
    <mergeCell ref="K10:K11"/>
    <mergeCell ref="L10:L11"/>
    <mergeCell ref="J35:J36"/>
    <mergeCell ref="F35:F36"/>
    <mergeCell ref="G35:G36"/>
    <mergeCell ref="H35:I35"/>
    <mergeCell ref="C38:E38"/>
    <mergeCell ref="C39:E39"/>
    <mergeCell ref="C40:E40"/>
    <mergeCell ref="C41:E41"/>
    <mergeCell ref="C54:E54"/>
    <mergeCell ref="C43:E43"/>
    <mergeCell ref="C42:E42"/>
    <mergeCell ref="C70:E70"/>
    <mergeCell ref="G70:H70"/>
    <mergeCell ref="G71:H71"/>
    <mergeCell ref="C56:E56"/>
    <mergeCell ref="C57:E57"/>
    <mergeCell ref="C58:E58"/>
    <mergeCell ref="C59:E59"/>
    <mergeCell ref="C60:E60"/>
    <mergeCell ref="C61:E61"/>
    <mergeCell ref="F66:G66"/>
    <mergeCell ref="C55:E55"/>
    <mergeCell ref="C44:E44"/>
    <mergeCell ref="C45:E45"/>
    <mergeCell ref="C46:E46"/>
    <mergeCell ref="C47:E47"/>
    <mergeCell ref="C48:E48"/>
    <mergeCell ref="C49:E49"/>
    <mergeCell ref="C50:E50"/>
    <mergeCell ref="C51:E51"/>
    <mergeCell ref="C52:E52"/>
    <mergeCell ref="C53:E53"/>
    <mergeCell ref="A6:M6"/>
    <mergeCell ref="C3:E3"/>
    <mergeCell ref="K2:L2"/>
    <mergeCell ref="G2:H2"/>
    <mergeCell ref="C4:E4"/>
  </mergeCells>
  <dataValidations count="9">
    <dataValidation type="list" allowBlank="1" showInputMessage="1" showErrorMessage="1" sqref="B12:B31" xr:uid="{00000000-0002-0000-1800-000000000000}">
      <formula1>OperationList</formula1>
    </dataValidation>
    <dataValidation type="list" allowBlank="1" showInputMessage="1" showErrorMessage="1" sqref="C70:E70" xr:uid="{00000000-0002-0000-1800-000001000000}">
      <formula1>RealEstateList</formula1>
    </dataValidation>
    <dataValidation type="list" allowBlank="1" showInputMessage="1" showErrorMessage="1" sqref="B37:B60" xr:uid="{00000000-0002-0000-1800-000002000000}">
      <formula1>MaterialList</formula1>
    </dataValidation>
    <dataValidation type="list" allowBlank="1" showInputMessage="1" showErrorMessage="1" sqref="B62" xr:uid="{00000000-0002-0000-1800-000003000000}">
      <formula1>$C$111:$C$210</formula1>
    </dataValidation>
    <dataValidation type="list" allowBlank="1" showInputMessage="1" showErrorMessage="1" sqref="B32" xr:uid="{00000000-0002-0000-1800-000004000000}">
      <formula1>$B$111:$B$210</formula1>
    </dataValidation>
    <dataValidation type="list" allowBlank="1" showInputMessage="1" showErrorMessage="1" sqref="K4" xr:uid="{00000000-0002-0000-1800-000005000000}">
      <formula1>$K$111:$K$113</formula1>
    </dataValidation>
    <dataValidation type="list" allowBlank="1" showInputMessage="1" showErrorMessage="1" sqref="D12:D19 D21:D32" xr:uid="{00000000-0002-0000-1800-000006000000}">
      <formula1>#REF!</formula1>
    </dataValidation>
    <dataValidation type="list" allowBlank="1" showInputMessage="1" showErrorMessage="1" sqref="K2" xr:uid="{00000000-0002-0000-1800-000007000000}">
      <formula1>watersource</formula1>
    </dataValidation>
    <dataValidation type="list" allowBlank="1" showInputMessage="1" showErrorMessage="1" sqref="C3" xr:uid="{00000000-0002-0000-1800-000008000000}">
      <formula1>TillageSystem</formula1>
    </dataValidation>
  </dataValidations>
  <pageMargins left="0.7" right="0.7" top="0.75" bottom="0.75" header="0.3" footer="0.3"/>
  <pageSetup scale="71" orientation="portrait" r:id="rId1"/>
  <ignoredErrors>
    <ignoredError sqref="C18" unlockedFormula="1"/>
    <ignoredError sqref="E18:J1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6">
    <pageSetUpPr fitToPage="1"/>
  </sheetPr>
  <dimension ref="A2:M256"/>
  <sheetViews>
    <sheetView zoomScaleNormal="100" workbookViewId="0">
      <selection activeCell="G47" sqref="G4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713</v>
      </c>
      <c r="H2" s="392"/>
      <c r="J2" s="128" t="s">
        <v>649</v>
      </c>
      <c r="K2" s="401" t="s">
        <v>74</v>
      </c>
      <c r="L2" s="401"/>
    </row>
    <row r="3" spans="1:13" hidden="1" x14ac:dyDescent="0.2">
      <c r="B3" s="103" t="s">
        <v>38</v>
      </c>
      <c r="C3" s="391" t="s">
        <v>46</v>
      </c>
      <c r="D3" s="391"/>
      <c r="E3" s="391"/>
      <c r="G3" s="128" t="s">
        <v>650</v>
      </c>
      <c r="H3" s="187" t="s">
        <v>714</v>
      </c>
      <c r="J3" s="128" t="s">
        <v>651</v>
      </c>
      <c r="K3" s="187"/>
    </row>
    <row r="4" spans="1:13" hidden="1" x14ac:dyDescent="0.2">
      <c r="B4" s="103" t="s">
        <v>652</v>
      </c>
      <c r="C4" s="392" t="s">
        <v>62</v>
      </c>
      <c r="D4" s="392"/>
      <c r="E4" s="392"/>
      <c r="G4" s="103">
        <f>IFERROR(VALUE(LEFT($H$3,FIND(" ",$H$3))),"")</f>
        <v>135</v>
      </c>
      <c r="H4" s="103" t="str">
        <f>IFERROR(RIGHT(H3,LEN(H3)-LEN(G4)-1),"")</f>
        <v>bushel</v>
      </c>
      <c r="J4" s="128" t="s">
        <v>653</v>
      </c>
      <c r="K4" s="188" t="s">
        <v>654</v>
      </c>
    </row>
    <row r="5" spans="1:13" ht="15.75" hidden="1" customHeight="1" x14ac:dyDescent="0.2">
      <c r="B5" s="103" t="s">
        <v>655</v>
      </c>
      <c r="C5" s="103" t="str">
        <f ca="1">MID(CELL("filename",C5),FIND("]",CELL("filename",C5))+1,255)</f>
        <v>19-Corn</v>
      </c>
      <c r="E5" s="103">
        <f ca="1">VLOOKUP($C$5,CropInsurance,5,FALSE)</f>
        <v>13</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19-Corn, Bt, ECB, RR2, LL, &amp; RIB, No Till, Continuous, 135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19-Corn, Bt, ECB, RR2, LL, &amp; RIB, No Till, Continuous, 135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552</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943</v>
      </c>
      <c r="C17" s="174">
        <f>$G$4</f>
        <v>135</v>
      </c>
      <c r="D17" s="174"/>
      <c r="E17" s="109">
        <f>IF(B17=0,"",IF(C17&gt;9999,"",ROUND('General Variables'!$B$4*VLOOKUP(B17,Operations!$A$2:$U$79,10,FALSE)/VLOOKUP(B17,Operations!$A$2:$U$79,9,FALSE)*C17,2))/100)</f>
        <v>3.0842000000000001</v>
      </c>
      <c r="F17" s="109">
        <f>IF(B17=0,0,IF(C17&gt;9999,"",ROUND(IF(VLOOKUP(B17,Operations!$A$2:$U$79,12,FALSE)=0,VLOOKUP(B17,Operations!$A$2:$U$79,13,FALSE)*'General Variables'!$B$8,VLOOKUP(B17,Operations!$A$2:$U$79,12,FALSE)*'General Variables'!$B$7)/VLOOKUP(B17,Operations!$A$2:$U$79,9,FALSE)*C17,2))/100)</f>
        <v>3.4860000000000002</v>
      </c>
      <c r="G17" s="109">
        <f>IF(B17=0,0,IF(C17&gt;9999,"",ROUND(VLOOKUP(VLOOKUP(B17,Operations!$A$2:$U$79,11,FALSE),PowerUnits[],10,FALSE)/VLOOKUP(B17,Operations!$A$2:$U$79,9,FALSE)*C17,2))/100)</f>
        <v>5.3592999999999993</v>
      </c>
      <c r="H17" s="109">
        <f>IF(B17=0,"",IF(C17&gt;9999,"",ROUND(VLOOKUP($B17,Operations!$A$2:$U$79,15,FALSE)*C17,2))/100)</f>
        <v>1.2712000000000001</v>
      </c>
      <c r="I17" s="109">
        <f>IF(B17=0,0,IF(C17&gt;9999,"",ROUND(VLOOKUP(VLOOKUP(B17,Operations!$A$2:$U$79,11,FALSE),PowerUnits[],16,FALSE)/VLOOKUP(B17,Operations!$A$2:$U$79,9,FALSE)*C17,2))/100)</f>
        <v>12.906600000000001</v>
      </c>
      <c r="J17" s="109">
        <f>IF(B17=0,"",IF(C17&gt;9999,"",ROUND(VLOOKUP($B17,Operations!$A$2:$U$79,21,FALSE)*$C17,2))/100)</f>
        <v>5.8805999999999994</v>
      </c>
      <c r="K17" s="109">
        <f>IF(C17&gt;9999,"",ROUND(SUM(E17:J17),2))</f>
        <v>31.99</v>
      </c>
      <c r="L17" s="110"/>
    </row>
    <row r="18" spans="1:12" x14ac:dyDescent="0.2">
      <c r="A18" s="170">
        <v>7</v>
      </c>
      <c r="B18" s="180" t="s">
        <v>414</v>
      </c>
      <c r="C18" s="174">
        <f>$G$4</f>
        <v>135</v>
      </c>
      <c r="D18" s="174" t="s">
        <v>706</v>
      </c>
      <c r="E18" s="109">
        <f>IF(B18=0,"",IF(C18&gt;9999,"",ROUND('General Variables'!$B$4*VLOOKUP(B18,Operations!$A$2:$U$79,10,FALSE)/VLOOKUP(B18,Operations!$A$2:$U$79,9,FALSE)*C18,2)))</f>
        <v>1.22</v>
      </c>
      <c r="F18" s="109">
        <f>IF(B18=0,0,IF(C18&gt;9999,"",ROUND(IF(VLOOKUP(B18,Operations!$A$2:$U$79,12,FALSE)=0,VLOOKUP(B18,Operations!$A$2:$U$79,13,FALSE)*'General Variables'!$B$8,VLOOKUP(B18,Operations!$A$2:$U$79,12,FALSE)*'General Variables'!$B$7)/VLOOKUP(B18,Operations!$A$2:$U$79,9,FALSE)*C18,2)))</f>
        <v>0.39</v>
      </c>
      <c r="G18" s="109">
        <f>IF(B18=0,0,IF(C18&gt;9999,"",ROUND(VLOOKUP(VLOOKUP(B18,Operations!$A$2:$U$79,11,FALSE),PowerUnits[],10,FALSE)/VLOOKUP(B18,Operations!$A$2:$U$79,9,FALSE)*C18,2)))</f>
        <v>0.03</v>
      </c>
      <c r="H18" s="109">
        <f>IF(B18=0,"",IF(C18&gt;9999,"",ROUND(VLOOKUP($B18,Operations!$A$2:$U$79,15,FALSE)*C18,2)))</f>
        <v>0.75</v>
      </c>
      <c r="I18" s="109">
        <f>IF(B18=0,0,IF(C18&gt;9999,"",ROUND(VLOOKUP(VLOOKUP(B18,Operations!$A$2:$U$79,11,FALSE),PowerUnits[],16,FALSE)/VLOOKUP(B18,Operations!$A$2:$U$79,9,FALSE)*C18,2)))</f>
        <v>1.77</v>
      </c>
      <c r="J18" s="109">
        <f>IF(B18=0,"",IF(C18&gt;9999,"",ROUND(VLOOKUP($B18,Operations!$A$2:$U$79,21,FALSE)*$C18,2)))</f>
        <v>1.49</v>
      </c>
      <c r="K18" s="109">
        <f t="shared" si="0"/>
        <v>5.65</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496</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10.094200000000003</v>
      </c>
      <c r="F33" s="109">
        <f t="shared" ref="F33:K33" si="1">SUM(F12:F31)</f>
        <v>5.6059999999999999</v>
      </c>
      <c r="G33" s="109">
        <f t="shared" si="1"/>
        <v>5.5392999999999999</v>
      </c>
      <c r="H33" s="109">
        <f t="shared" si="1"/>
        <v>10.981199999999999</v>
      </c>
      <c r="I33" s="109">
        <f t="shared" si="1"/>
        <v>22.286600000000004</v>
      </c>
      <c r="J33" s="109">
        <f t="shared" si="1"/>
        <v>21.210599999999996</v>
      </c>
      <c r="K33" s="109">
        <f t="shared" si="1"/>
        <v>75.72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299">
        <v>1</v>
      </c>
      <c r="I38" s="120" t="str">
        <f>IF($B38=0,"",VLOOKUP($B38,Table2[],5,FALSE))</f>
        <v>pint</v>
      </c>
      <c r="J38" s="109">
        <f>IF($B38=0,"",VLOOKUP($B38,Table2[],7,FALSE))</f>
        <v>2.5</v>
      </c>
      <c r="K38" s="109">
        <f t="shared" ref="K38:K60" si="2">IF(B38=0,0,ROUND(G38*H38*J38,2))</f>
        <v>1.25</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207</v>
      </c>
      <c r="C40" s="387" t="str">
        <f>IF(B40=0,"",VLOOKUP($B40,Table2[],2,FALSE))</f>
        <v>Fertilizer</v>
      </c>
      <c r="D40" s="387"/>
      <c r="E40" s="387"/>
      <c r="F40" s="214">
        <v>2</v>
      </c>
      <c r="G40" s="221">
        <v>1</v>
      </c>
      <c r="H40" s="301">
        <v>115</v>
      </c>
      <c r="I40" s="223" t="str">
        <f>IF($B40=0,"",VLOOKUP($B40,Table2[],5,FALSE))</f>
        <v>lbs N</v>
      </c>
      <c r="J40" s="215">
        <f>IF($B40=0,"",VLOOKUP($B40,Table2[],7,FALSE))</f>
        <v>0.5</v>
      </c>
      <c r="K40" s="215">
        <f t="shared" si="2"/>
        <v>57.5</v>
      </c>
      <c r="L40" s="216"/>
    </row>
    <row r="41" spans="1:12" x14ac:dyDescent="0.2">
      <c r="A41" s="105"/>
      <c r="B41" s="180" t="s">
        <v>232</v>
      </c>
      <c r="C41" s="388" t="str">
        <f>IF(B41=0,"",VLOOKUP($B41,Table2[],2,FALSE))</f>
        <v>Herbicide</v>
      </c>
      <c r="D41" s="388"/>
      <c r="E41" s="388"/>
      <c r="F41" s="174">
        <v>2</v>
      </c>
      <c r="G41" s="175">
        <v>1</v>
      </c>
      <c r="H41" s="176">
        <v>2.5</v>
      </c>
      <c r="I41" s="120" t="str">
        <f>IF($B41=0,"",VLOOKUP($B41,Table2[],5,FALSE))</f>
        <v>quart</v>
      </c>
      <c r="J41" s="109">
        <f>IF($B41=0,"",VLOOKUP($B41,Table2[],7,FALSE))</f>
        <v>21.25</v>
      </c>
      <c r="K41" s="109">
        <f t="shared" si="2"/>
        <v>53.13</v>
      </c>
      <c r="L41" s="110"/>
    </row>
    <row r="42" spans="1:12" x14ac:dyDescent="0.2">
      <c r="A42" s="105"/>
      <c r="B42" s="180" t="s">
        <v>326</v>
      </c>
      <c r="C42" s="388" t="str">
        <f>IF(B42=0,"",VLOOKUP($B42,Table2[],2,FALSE))</f>
        <v>Seed</v>
      </c>
      <c r="D42" s="388"/>
      <c r="E42" s="388"/>
      <c r="F42" s="174">
        <v>3</v>
      </c>
      <c r="G42" s="175">
        <v>1</v>
      </c>
      <c r="H42" s="300">
        <v>18.7</v>
      </c>
      <c r="I42" s="120" t="str">
        <f>IF($B42=0,"",VLOOKUP($B42,Table2[],5,FALSE))</f>
        <v>k seed</v>
      </c>
      <c r="J42" s="109">
        <f>IF($B42=0,"",VLOOKUP($B42,Table2[],7,FALSE))</f>
        <v>4.25</v>
      </c>
      <c r="K42" s="109">
        <f t="shared" si="2"/>
        <v>79.48</v>
      </c>
      <c r="L42" s="110"/>
    </row>
    <row r="43" spans="1:12" x14ac:dyDescent="0.2">
      <c r="A43" s="105"/>
      <c r="B43" s="180" t="s">
        <v>203</v>
      </c>
      <c r="C43" s="388" t="str">
        <f>IF(B43=0,"",VLOOKUP($B43,Table2[],2,FALSE))</f>
        <v>Fertilizer</v>
      </c>
      <c r="D43" s="388"/>
      <c r="E43" s="388"/>
      <c r="F43" s="174">
        <v>3</v>
      </c>
      <c r="G43" s="175">
        <v>1</v>
      </c>
      <c r="H43" s="176">
        <v>6</v>
      </c>
      <c r="I43" s="120" t="str">
        <f>IF($B43=0,"",VLOOKUP($B43,Table2[],5,FALSE))</f>
        <v>gallon</v>
      </c>
      <c r="J43" s="109">
        <f>IF($B43=0,"",VLOOKUP($B43,Table2[],7,FALSE))</f>
        <v>3.2</v>
      </c>
      <c r="K43" s="109">
        <f t="shared" si="2"/>
        <v>19.2</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2"/>
        <v>4.25</v>
      </c>
      <c r="L44" s="216"/>
    </row>
    <row r="45" spans="1:12" x14ac:dyDescent="0.2">
      <c r="A45" s="105"/>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2"/>
        <v>0.68</v>
      </c>
      <c r="L45" s="110"/>
    </row>
    <row r="46" spans="1:12" x14ac:dyDescent="0.2">
      <c r="A46" s="143"/>
      <c r="B46" s="180" t="s">
        <v>262</v>
      </c>
      <c r="C46" s="388" t="str">
        <f>IF(B46=0,"",VLOOKUP($B46,Table2[],2,FALSE))</f>
        <v>Herbicide</v>
      </c>
      <c r="D46" s="388"/>
      <c r="E46" s="388"/>
      <c r="F46" s="174">
        <v>4</v>
      </c>
      <c r="G46" s="175">
        <v>1</v>
      </c>
      <c r="H46" s="176">
        <v>3</v>
      </c>
      <c r="I46" s="120" t="str">
        <f>IF($B46=0,"",VLOOKUP($B46,Table2[],5,FALSE))</f>
        <v>ounce</v>
      </c>
      <c r="J46" s="109">
        <f>IF($B46=0,"",VLOOKUP($B46,Table2[],7,FALSE))</f>
        <v>6.25</v>
      </c>
      <c r="K46" s="109">
        <f t="shared" si="2"/>
        <v>18.75</v>
      </c>
      <c r="L46" s="110"/>
    </row>
    <row r="47" spans="1:12" x14ac:dyDescent="0.2">
      <c r="A47" s="143"/>
      <c r="B47" s="180" t="s">
        <v>200</v>
      </c>
      <c r="C47" s="388" t="str">
        <f>IF(B47=0,"",VLOOKUP($B47,Table2[],2,FALSE))</f>
        <v>Custom</v>
      </c>
      <c r="D47" s="388"/>
      <c r="E47" s="388"/>
      <c r="F47" s="174">
        <v>5</v>
      </c>
      <c r="G47" s="175">
        <v>0.2</v>
      </c>
      <c r="H47" s="176">
        <v>1</v>
      </c>
      <c r="I47" s="120" t="str">
        <f>IF($B47=0,"",VLOOKUP($B47,Table2[],5,FALSE))</f>
        <v>acre</v>
      </c>
      <c r="J47" s="109">
        <f>IF($B47=0,"",VLOOKUP($B47,Table2[],7,FALSE))</f>
        <v>9</v>
      </c>
      <c r="K47" s="109">
        <f t="shared" si="2"/>
        <v>1.8</v>
      </c>
      <c r="L47" s="110"/>
    </row>
    <row r="48" spans="1:12" x14ac:dyDescent="0.2">
      <c r="A48" s="143" t="s">
        <v>638</v>
      </c>
      <c r="B48" s="213" t="s">
        <v>286</v>
      </c>
      <c r="C48" s="387" t="str">
        <f>IF(B48=0,"",VLOOKUP($B48,Table2[],2,FALSE))</f>
        <v>Insecticide</v>
      </c>
      <c r="D48" s="387"/>
      <c r="E48" s="387"/>
      <c r="F48" s="214">
        <v>5</v>
      </c>
      <c r="G48" s="221">
        <v>0.1</v>
      </c>
      <c r="H48" s="222">
        <v>5.12</v>
      </c>
      <c r="I48" s="223" t="str">
        <f>IF($B48=0,"",VLOOKUP($B48,Table2[],5,FALSE))</f>
        <v>ounce</v>
      </c>
      <c r="J48" s="215">
        <f>IF($B48=0,"",VLOOKUP($B48,Table2[],7,FALSE))</f>
        <v>1.015625</v>
      </c>
      <c r="K48" s="215">
        <f t="shared" si="2"/>
        <v>0.52</v>
      </c>
      <c r="L48" s="216"/>
    </row>
    <row r="49" spans="1:12" x14ac:dyDescent="0.2">
      <c r="A49" s="143" t="s">
        <v>638</v>
      </c>
      <c r="B49" s="180" t="s">
        <v>288</v>
      </c>
      <c r="C49" s="388" t="str">
        <f>IF(B49=0,"",VLOOKUP($B49,Table2[],2,FALSE))</f>
        <v>Insecticide</v>
      </c>
      <c r="D49" s="388"/>
      <c r="E49" s="388"/>
      <c r="F49" s="174">
        <v>5</v>
      </c>
      <c r="G49" s="175">
        <v>0.2</v>
      </c>
      <c r="H49" s="176">
        <v>2</v>
      </c>
      <c r="I49" s="120" t="str">
        <f>IF($B49=0,"",VLOOKUP($B49,Table2[],5,FALSE))</f>
        <v>ounce</v>
      </c>
      <c r="J49" s="109">
        <f>IF($B49=0,"",VLOOKUP($B49,Table2[],7,FALSE))</f>
        <v>1.25</v>
      </c>
      <c r="K49" s="109">
        <f t="shared" si="2"/>
        <v>0.5</v>
      </c>
      <c r="L49" s="110"/>
    </row>
    <row r="50" spans="1:12" x14ac:dyDescent="0.2">
      <c r="A50" s="143"/>
      <c r="B50" s="180" t="s">
        <v>198</v>
      </c>
      <c r="C50" s="388" t="str">
        <f>IF(B50=0,"",VLOOKUP($B50,Table2[],2,FALSE))</f>
        <v>Custom</v>
      </c>
      <c r="D50" s="388"/>
      <c r="E50" s="388"/>
      <c r="F50" s="174">
        <v>8</v>
      </c>
      <c r="G50" s="175">
        <v>1</v>
      </c>
      <c r="H50" s="176">
        <f>$G$4</f>
        <v>135</v>
      </c>
      <c r="I50" s="120" t="str">
        <f>IF($B50=0,"",VLOOKUP($B50,Table2[],5,FALSE))</f>
        <v>bushel</v>
      </c>
      <c r="J50" s="109">
        <f>IF($B50=0,"",VLOOKUP($B50,Table2[],7,FALSE))</f>
        <v>0.15</v>
      </c>
      <c r="K50" s="109">
        <f t="shared" si="2"/>
        <v>20.25</v>
      </c>
      <c r="L50" s="110"/>
    </row>
    <row r="51" spans="1:12" x14ac:dyDescent="0.2">
      <c r="A51" s="105"/>
      <c r="B51" s="180" t="s">
        <v>190</v>
      </c>
      <c r="C51" s="388" t="str">
        <f>IF(B51=0,"",VLOOKUP($B51,Table2[],2,FALSE))</f>
        <v>Custom</v>
      </c>
      <c r="D51" s="388"/>
      <c r="E51" s="388"/>
      <c r="F51" s="174">
        <v>9</v>
      </c>
      <c r="G51" s="175">
        <v>0.1</v>
      </c>
      <c r="H51" s="176">
        <f>$G$4</f>
        <v>135</v>
      </c>
      <c r="I51" s="120" t="str">
        <f>IF($B51=0,"",VLOOKUP($B51,Table2[],5,FALSE))</f>
        <v>bushel</v>
      </c>
      <c r="J51" s="109">
        <f>IF($B51=0,"",VLOOKUP($B51,Table2[],7,FALSE))</f>
        <v>0.1</v>
      </c>
      <c r="K51" s="109">
        <f t="shared" si="2"/>
        <v>1.35</v>
      </c>
      <c r="L51" s="110"/>
    </row>
    <row r="52" spans="1:12" x14ac:dyDescent="0.2">
      <c r="A52" s="105"/>
      <c r="B52" s="213" t="s">
        <v>309</v>
      </c>
      <c r="C52" s="387" t="str">
        <f>IF(B52=0,"",VLOOKUP($B52,Table2[],2,FALSE))</f>
        <v>Scouting</v>
      </c>
      <c r="D52" s="387"/>
      <c r="E52" s="387"/>
      <c r="F52" s="214"/>
      <c r="G52" s="221">
        <v>1</v>
      </c>
      <c r="H52" s="222">
        <v>1</v>
      </c>
      <c r="I52" s="223" t="str">
        <f>IF($B52=0,"",VLOOKUP($B52,Table2[],5,FALSE))</f>
        <v>acre</v>
      </c>
      <c r="J52" s="215">
        <f>IF($B52=0,"",VLOOKUP($B52,Table2[],7,FALSE))</f>
        <v>10</v>
      </c>
      <c r="K52" s="215">
        <f t="shared" si="2"/>
        <v>10</v>
      </c>
      <c r="L52" s="216"/>
    </row>
    <row r="53" spans="1:12" hidden="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idden="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 t="shared" si="2"/>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 t="shared" si="2"/>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2"/>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2"/>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 t="shared" si="2"/>
        <v>0</v>
      </c>
      <c r="L60" s="227"/>
    </row>
    <row r="61" spans="1:12" x14ac:dyDescent="0.2">
      <c r="B61" s="185" t="s">
        <v>430</v>
      </c>
      <c r="C61" s="388" t="s">
        <v>655</v>
      </c>
      <c r="D61" s="388"/>
      <c r="E61" s="388"/>
      <c r="F61" s="112"/>
      <c r="G61" s="177"/>
      <c r="H61" s="178"/>
      <c r="I61" s="170"/>
      <c r="J61" s="109">
        <f ca="1">IF(F5=0,E5,F5)</f>
        <v>13</v>
      </c>
      <c r="K61" s="109">
        <f ca="1">J61</f>
        <v>13</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284.13</v>
      </c>
      <c r="L63" s="110"/>
    </row>
    <row r="64" spans="1:12" x14ac:dyDescent="0.2">
      <c r="B64" s="144" t="s">
        <v>715</v>
      </c>
      <c r="K64" s="127"/>
    </row>
    <row r="65" spans="2:12" x14ac:dyDescent="0.2">
      <c r="B65" s="107" t="s">
        <v>672</v>
      </c>
      <c r="K65" s="127">
        <f ca="1">K33+K63</f>
        <v>359.85</v>
      </c>
      <c r="L65" s="110"/>
    </row>
    <row r="66" spans="2:12" ht="13.5" thickBot="1" x14ac:dyDescent="0.25">
      <c r="D66" s="128" t="s">
        <v>673</v>
      </c>
      <c r="E66" s="129">
        <f ca="1">ROUND(SUM($E$33:$H$33)+$K$63,2)</f>
        <v>316.35000000000002</v>
      </c>
      <c r="F66" s="388" t="s">
        <v>674</v>
      </c>
      <c r="G66" s="388"/>
      <c r="H66" s="130">
        <f>'General Variables'!$B$11</f>
        <v>7.4999999999999997E-2</v>
      </c>
      <c r="I66" s="131" t="str">
        <f>CONCATENATE("for ",TEXT('General Variables'!$B$12,"0.0")," mo.")</f>
        <v>for 6.0 mo.</v>
      </c>
      <c r="K66" s="132">
        <f ca="1">E66*H66*'General Variables'!$B$12/12</f>
        <v>11.863125000000002</v>
      </c>
      <c r="L66" s="133"/>
    </row>
    <row r="67" spans="2:12" ht="13.5" thickTop="1" x14ac:dyDescent="0.2">
      <c r="B67" s="107" t="s">
        <v>675</v>
      </c>
      <c r="K67" s="127">
        <f ca="1">SUM(K65:K66)</f>
        <v>371.71312500000005</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 ca="1">SUM(K67:K71)</f>
        <v>593.50312500000007</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3.0674305555555557</v>
      </c>
      <c r="L74" s="148"/>
    </row>
    <row r="75" spans="2:12" x14ac:dyDescent="0.2">
      <c r="B75" s="107" t="str">
        <f>IF(G4="","","Cost of production per "&amp;H4)</f>
        <v>Cost of production per bushel</v>
      </c>
      <c r="K75" s="141">
        <f ca="1">IF(G4="","",K72/G4)</f>
        <v>4.3963194444444449</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4:E44"/>
    <mergeCell ref="C45:E45"/>
    <mergeCell ref="C46:E46"/>
    <mergeCell ref="C47:E47"/>
    <mergeCell ref="A6:M6"/>
    <mergeCell ref="C3:E3"/>
    <mergeCell ref="K2:L2"/>
    <mergeCell ref="G2:H2"/>
    <mergeCell ref="C4:E4"/>
  </mergeCells>
  <dataValidations count="9">
    <dataValidation type="list" allowBlank="1" showInputMessage="1" showErrorMessage="1" sqref="B32" xr:uid="{00000000-0002-0000-1900-000000000000}">
      <formula1>$B$111:$B$208</formula1>
    </dataValidation>
    <dataValidation type="list" showInputMessage="1" showErrorMessage="1" sqref="B62" xr:uid="{00000000-0002-0000-1900-000001000000}">
      <formula1>$C$111:$C$234</formula1>
    </dataValidation>
    <dataValidation type="list" allowBlank="1" showInputMessage="1" showErrorMessage="1" sqref="K4" xr:uid="{00000000-0002-0000-1900-000002000000}">
      <formula1>$K$111:$K$113</formula1>
    </dataValidation>
    <dataValidation type="list" allowBlank="1" showInputMessage="1" showErrorMessage="1" sqref="B37:B60" xr:uid="{00000000-0002-0000-1900-000003000000}">
      <formula1>MaterialList</formula1>
    </dataValidation>
    <dataValidation type="list" allowBlank="1" showInputMessage="1" showErrorMessage="1" sqref="C70:E70" xr:uid="{00000000-0002-0000-1900-000004000000}">
      <formula1>RealEstateList</formula1>
    </dataValidation>
    <dataValidation type="list" allowBlank="1" showInputMessage="1" showErrorMessage="1" sqref="B12:B31" xr:uid="{00000000-0002-0000-1900-000005000000}">
      <formula1>OperationList</formula1>
    </dataValidation>
    <dataValidation type="list" allowBlank="1" showInputMessage="1" showErrorMessage="1" sqref="D12:D32" xr:uid="{00000000-0002-0000-1900-000006000000}">
      <formula1>#REF!</formula1>
    </dataValidation>
    <dataValidation type="list" allowBlank="1" showInputMessage="1" showErrorMessage="1" sqref="K2" xr:uid="{00000000-0002-0000-1900-000007000000}">
      <formula1>watersource</formula1>
    </dataValidation>
    <dataValidation type="list" allowBlank="1" showInputMessage="1" showErrorMessage="1" sqref="C3" xr:uid="{00000000-0002-0000-1900-000008000000}">
      <formula1>TillageSystem</formula1>
    </dataValidation>
  </dataValidations>
  <pageMargins left="0.7" right="0.7" top="0.75" bottom="0.75" header="0.3" footer="0.3"/>
  <pageSetup scale="71" orientation="portrait" r:id="rId1"/>
  <ignoredErrors>
    <ignoredError sqref="C17:D17" unlockedFormula="1"/>
    <ignoredError sqref="E17:J17"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9">
    <pageSetUpPr fitToPage="1"/>
  </sheetPr>
  <dimension ref="A2:M256"/>
  <sheetViews>
    <sheetView zoomScaleNormal="100" workbookViewId="0">
      <selection activeCell="I17" sqref="I1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709</v>
      </c>
      <c r="D2" s="187"/>
      <c r="E2" s="187"/>
      <c r="F2" s="128" t="s">
        <v>648</v>
      </c>
      <c r="G2" s="187" t="s">
        <v>713</v>
      </c>
      <c r="H2" s="187"/>
      <c r="J2" s="128" t="s">
        <v>649</v>
      </c>
      <c r="K2" s="401" t="s">
        <v>74</v>
      </c>
      <c r="L2" s="401"/>
    </row>
    <row r="3" spans="1:13" hidden="1" x14ac:dyDescent="0.2">
      <c r="B3" s="103" t="s">
        <v>38</v>
      </c>
      <c r="C3" s="391" t="s">
        <v>46</v>
      </c>
      <c r="D3" s="391"/>
      <c r="E3" s="391"/>
      <c r="G3" s="128" t="s">
        <v>650</v>
      </c>
      <c r="H3" s="187" t="s">
        <v>716</v>
      </c>
      <c r="J3" s="128" t="s">
        <v>651</v>
      </c>
      <c r="K3" s="187"/>
    </row>
    <row r="4" spans="1:13" hidden="1" x14ac:dyDescent="0.2">
      <c r="B4" s="103" t="s">
        <v>652</v>
      </c>
      <c r="C4" s="392" t="s">
        <v>62</v>
      </c>
      <c r="D4" s="392"/>
      <c r="E4" s="392"/>
      <c r="G4" s="103">
        <f>IFERROR(VALUE(LEFT($H$3,FIND(" ",$H$3))),"")</f>
        <v>180</v>
      </c>
      <c r="H4" s="103" t="str">
        <f>IFERROR(RIGHT(H3,LEN(H3)-LEN(G4)-1),"")</f>
        <v>bushel</v>
      </c>
      <c r="J4" s="128" t="s">
        <v>653</v>
      </c>
      <c r="K4" s="188" t="s">
        <v>654</v>
      </c>
    </row>
    <row r="5" spans="1:13" ht="15.75" hidden="1" customHeight="1" x14ac:dyDescent="0.2">
      <c r="B5" s="103" t="s">
        <v>655</v>
      </c>
      <c r="C5" s="103" t="str">
        <f ca="1">MID(CELL("filename",C5),FIND("]",CELL("filename",C5))+1,255)</f>
        <v>20-Corn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20-Corn, Bt, ECB, RR2, LL, &amp; RIB, Eastern Nebraska, No Till, Continuous, 180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20-Corn, Bt, ECB, RR2, LL, &amp; RIB, Eastern Nebraska, No Till, Continuous, 180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552</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943</v>
      </c>
      <c r="C17" s="174">
        <f>$G$4</f>
        <v>180</v>
      </c>
      <c r="D17" s="174"/>
      <c r="E17" s="109">
        <f>IF(B17=0,"",IF(C17&gt;9999,"",ROUND('General Variables'!$B$4*VLOOKUP(B17,Operations!$A$2:$U$79,10,FALSE)/VLOOKUP(B17,Operations!$A$2:$U$79,9,FALSE)*C17,2))/100)</f>
        <v>4.1123000000000003</v>
      </c>
      <c r="F17" s="109">
        <f>IF(B17=0,0,IF(C17&gt;9999,"",ROUND(IF(VLOOKUP(B17,Operations!$A$2:$U$79,12,FALSE)=0,VLOOKUP(B17,Operations!$A$2:$U$79,13,FALSE)*'General Variables'!$B$8,VLOOKUP(B17,Operations!$A$2:$U$79,12,FALSE)*'General Variables'!$B$7)/VLOOKUP(B17,Operations!$A$2:$U$79,9,FALSE)*C17,2))/100)</f>
        <v>4.6478999999999999</v>
      </c>
      <c r="G17" s="109">
        <f>IF(B17=0,0,IF(C17&gt;9999,"",ROUND(VLOOKUP(VLOOKUP(B17,Operations!$A$2:$U$79,11,FALSE),PowerUnits[],10,FALSE)/VLOOKUP(B17,Operations!$A$2:$U$79,9,FALSE)*C17,2))/100)</f>
        <v>7.1457000000000006</v>
      </c>
      <c r="H17" s="109">
        <f>IF(B17=0,"",IF(C17&gt;9999,"",ROUND(VLOOKUP($B17,Operations!$A$2:$U$79,15,FALSE)*C17,2))/100)</f>
        <v>1.6949000000000001</v>
      </c>
      <c r="I17" s="109">
        <f>IF(B17=0,0,IF(C17&gt;9999,"",ROUND(VLOOKUP(VLOOKUP(B17,Operations!$A$2:$U$79,11,FALSE),PowerUnits[],16,FALSE)/VLOOKUP(B17,Operations!$A$2:$U$79,9,FALSE)*C17,2))/100)</f>
        <v>17.2088</v>
      </c>
      <c r="J17" s="109">
        <f>IF(B17=0,"",IF(C17&gt;9999,"",ROUND(VLOOKUP($B17,Operations!$A$2:$U$79,21,FALSE)*$C17,2))/100)</f>
        <v>7.8408000000000007</v>
      </c>
      <c r="K17" s="109">
        <f>IF(C17&gt;9999,"",ROUND(SUM(E17:J17),2))</f>
        <v>42.65</v>
      </c>
      <c r="L17" s="110"/>
    </row>
    <row r="18" spans="1:12" x14ac:dyDescent="0.2">
      <c r="A18" s="170">
        <v>7</v>
      </c>
      <c r="B18" s="180" t="s">
        <v>414</v>
      </c>
      <c r="C18" s="174">
        <f>$G$4</f>
        <v>180</v>
      </c>
      <c r="D18" s="174" t="s">
        <v>706</v>
      </c>
      <c r="E18" s="109">
        <f>IF(B18=0,"",IF(C18&gt;9999,"",ROUND('General Variables'!$B$4*VLOOKUP(B18,Operations!$A$2:$U$79,10,FALSE)/VLOOKUP(B18,Operations!$A$2:$U$79,9,FALSE)*C18,2)))</f>
        <v>1.62</v>
      </c>
      <c r="F18" s="109">
        <f>IF(B18=0,0,IF(C18&gt;9999,"",ROUND(IF(VLOOKUP(B18,Operations!$A$2:$U$79,12,FALSE)=0,VLOOKUP(B18,Operations!$A$2:$U$79,13,FALSE)*'General Variables'!$B$8,VLOOKUP(B18,Operations!$A$2:$U$79,12,FALSE)*'General Variables'!$B$7)/VLOOKUP(B18,Operations!$A$2:$U$79,9,FALSE)*C18,2)))</f>
        <v>0.52</v>
      </c>
      <c r="G18" s="109">
        <f>IF(B18=0,0,IF(C18&gt;9999,"",ROUND(VLOOKUP(VLOOKUP(B18,Operations!$A$2:$U$79,11,FALSE),PowerUnits[],10,FALSE)/VLOOKUP(B18,Operations!$A$2:$U$79,9,FALSE)*C18,2)))</f>
        <v>0.05</v>
      </c>
      <c r="H18" s="109">
        <f>IF(B18=0,"",IF(C18&gt;9999,"",ROUND(VLOOKUP($B18,Operations!$A$2:$U$79,15,FALSE)*C18,2)))</f>
        <v>1</v>
      </c>
      <c r="I18" s="109">
        <f>IF(B18=0,0,IF(C18&gt;9999,"",ROUND(VLOOKUP(VLOOKUP(B18,Operations!$A$2:$U$79,11,FALSE),PowerUnits[],16,FALSE)/VLOOKUP(B18,Operations!$A$2:$U$79,9,FALSE)*C18,2)))</f>
        <v>2.36</v>
      </c>
      <c r="J18" s="109">
        <f>IF(B18=0,"",IF(C18&gt;9999,"",ROUND(VLOOKUP($B18,Operations!$A$2:$U$79,21,FALSE)*$C18,2)))</f>
        <v>1.99</v>
      </c>
      <c r="K18" s="109">
        <f t="shared" si="0"/>
        <v>7.54</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496</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11.522300000000001</v>
      </c>
      <c r="F33" s="109">
        <f t="shared" ref="F33:K33" si="1">SUM(F12:F31)</f>
        <v>6.8978999999999999</v>
      </c>
      <c r="G33" s="109">
        <f t="shared" si="1"/>
        <v>7.3457000000000008</v>
      </c>
      <c r="H33" s="109">
        <f t="shared" si="1"/>
        <v>11.6549</v>
      </c>
      <c r="I33" s="109">
        <f t="shared" si="1"/>
        <v>27.178800000000003</v>
      </c>
      <c r="J33" s="109">
        <f t="shared" si="1"/>
        <v>23.6708</v>
      </c>
      <c r="K33" s="109">
        <f t="shared" si="1"/>
        <v>88.27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299">
        <v>1</v>
      </c>
      <c r="I38" s="120" t="str">
        <f>IF($B38=0,"",VLOOKUP($B38,Table2[],5,FALSE))</f>
        <v>pint</v>
      </c>
      <c r="J38" s="109">
        <f>IF($B38=0,"",VLOOKUP($B38,Table2[],7,FALSE))</f>
        <v>2.5</v>
      </c>
      <c r="K38" s="109">
        <f t="shared" ref="K38:K55" si="2">IF(B38=0,0,ROUND(G38*H38*J38,2))</f>
        <v>1.25</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207</v>
      </c>
      <c r="C40" s="387" t="str">
        <f>IF(B40=0,"",VLOOKUP($B40,Table2[],2,FALSE))</f>
        <v>Fertilizer</v>
      </c>
      <c r="D40" s="387"/>
      <c r="E40" s="387"/>
      <c r="F40" s="214">
        <v>2</v>
      </c>
      <c r="G40" s="221">
        <v>1</v>
      </c>
      <c r="H40" s="301">
        <v>155</v>
      </c>
      <c r="I40" s="223" t="str">
        <f>IF($B40=0,"",VLOOKUP($B40,Table2[],5,FALSE))</f>
        <v>lbs N</v>
      </c>
      <c r="J40" s="215">
        <f>IF($B40=0,"",VLOOKUP($B40,Table2[],7,FALSE))</f>
        <v>0.5</v>
      </c>
      <c r="K40" s="215">
        <f t="shared" si="2"/>
        <v>77.5</v>
      </c>
      <c r="L40" s="216"/>
    </row>
    <row r="41" spans="1:12" x14ac:dyDescent="0.2">
      <c r="A41" s="105"/>
      <c r="B41" s="180" t="s">
        <v>232</v>
      </c>
      <c r="C41" s="388" t="str">
        <f>IF(B41=0,"",VLOOKUP($B41,Table2[],2,FALSE))</f>
        <v>Herbicide</v>
      </c>
      <c r="D41" s="388"/>
      <c r="E41" s="388"/>
      <c r="F41" s="174">
        <v>2</v>
      </c>
      <c r="G41" s="175">
        <v>1</v>
      </c>
      <c r="H41" s="176">
        <v>2.5</v>
      </c>
      <c r="I41" s="120" t="str">
        <f>IF($B41=0,"",VLOOKUP($B41,Table2[],5,FALSE))</f>
        <v>quart</v>
      </c>
      <c r="J41" s="109">
        <f>IF($B41=0,"",VLOOKUP($B41,Table2[],7,FALSE))</f>
        <v>21.25</v>
      </c>
      <c r="K41" s="109">
        <f t="shared" si="2"/>
        <v>53.13</v>
      </c>
      <c r="L41" s="110"/>
    </row>
    <row r="42" spans="1:12" x14ac:dyDescent="0.2">
      <c r="A42" s="105"/>
      <c r="B42" s="180" t="s">
        <v>326</v>
      </c>
      <c r="C42" s="388" t="str">
        <f>IF(B42=0,"",VLOOKUP($B42,Table2[],2,FALSE))</f>
        <v>Seed</v>
      </c>
      <c r="D42" s="388"/>
      <c r="E42" s="388"/>
      <c r="F42" s="174">
        <v>3</v>
      </c>
      <c r="G42" s="175">
        <v>1</v>
      </c>
      <c r="H42" s="300">
        <v>25</v>
      </c>
      <c r="I42" s="120" t="str">
        <f>IF($B42=0,"",VLOOKUP($B42,Table2[],5,FALSE))</f>
        <v>k seed</v>
      </c>
      <c r="J42" s="109">
        <f>IF($B42=0,"",VLOOKUP($B42,Table2[],7,FALSE))</f>
        <v>4.25</v>
      </c>
      <c r="K42" s="109">
        <f t="shared" si="2"/>
        <v>106.25</v>
      </c>
      <c r="L42" s="110"/>
    </row>
    <row r="43" spans="1:12" x14ac:dyDescent="0.2">
      <c r="A43" s="105"/>
      <c r="B43" s="180" t="s">
        <v>203</v>
      </c>
      <c r="C43" s="388" t="str">
        <f>IF(B43=0,"",VLOOKUP($B43,Table2[],2,FALSE))</f>
        <v>Fertilizer</v>
      </c>
      <c r="D43" s="388"/>
      <c r="E43" s="388"/>
      <c r="F43" s="174">
        <v>3</v>
      </c>
      <c r="G43" s="175">
        <v>1</v>
      </c>
      <c r="H43" s="176">
        <v>6</v>
      </c>
      <c r="I43" s="120" t="str">
        <f>IF($B43=0,"",VLOOKUP($B43,Table2[],5,FALSE))</f>
        <v>gallon</v>
      </c>
      <c r="J43" s="109">
        <f>IF($B43=0,"",VLOOKUP($B43,Table2[],7,FALSE))</f>
        <v>3.2</v>
      </c>
      <c r="K43" s="109">
        <f t="shared" ref="K43:K53" si="3">IF(B43=0,0,ROUND(G43*H43*J43,2))</f>
        <v>19.2</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3"/>
        <v>4.25</v>
      </c>
      <c r="L44" s="216"/>
    </row>
    <row r="45" spans="1:12" x14ac:dyDescent="0.2">
      <c r="A45" s="105"/>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3"/>
        <v>0.68</v>
      </c>
      <c r="L45" s="110"/>
    </row>
    <row r="46" spans="1:12" x14ac:dyDescent="0.2">
      <c r="A46" s="143"/>
      <c r="B46" s="180" t="s">
        <v>276</v>
      </c>
      <c r="C46" s="388" t="str">
        <f>IF(B46=0,"",VLOOKUP($B46,Table2[],2,FALSE))</f>
        <v>Herbicide</v>
      </c>
      <c r="D46" s="388"/>
      <c r="E46" s="388"/>
      <c r="F46" s="174">
        <v>4</v>
      </c>
      <c r="G46" s="175">
        <v>1</v>
      </c>
      <c r="H46" s="176">
        <v>5</v>
      </c>
      <c r="I46" s="120" t="str">
        <f>IF($B46=0,"",VLOOKUP($B46,Table2[],5,FALSE))</f>
        <v>ounce</v>
      </c>
      <c r="J46" s="109">
        <f>IF($B46=0,"",VLOOKUP($B46,Table2[],7,FALSE))</f>
        <v>5.5</v>
      </c>
      <c r="K46" s="109">
        <f t="shared" si="3"/>
        <v>27.5</v>
      </c>
      <c r="L46" s="110"/>
    </row>
    <row r="47" spans="1:12" x14ac:dyDescent="0.2">
      <c r="A47" s="143"/>
      <c r="B47" s="180" t="s">
        <v>200</v>
      </c>
      <c r="C47" s="388" t="str">
        <f>IF(B47=0,"",VLOOKUP($B47,Table2[],2,FALSE))</f>
        <v>Custom</v>
      </c>
      <c r="D47" s="388"/>
      <c r="E47" s="388"/>
      <c r="F47" s="174">
        <v>5</v>
      </c>
      <c r="G47" s="175">
        <v>0.2</v>
      </c>
      <c r="H47" s="176">
        <v>1</v>
      </c>
      <c r="I47" s="120" t="str">
        <f>IF($B47=0,"",VLOOKUP($B47,Table2[],5,FALSE))</f>
        <v>acre</v>
      </c>
      <c r="J47" s="109">
        <f>IF($B47=0,"",VLOOKUP($B47,Table2[],7,FALSE))</f>
        <v>9</v>
      </c>
      <c r="K47" s="109">
        <f t="shared" si="3"/>
        <v>1.8</v>
      </c>
      <c r="L47" s="110"/>
    </row>
    <row r="48" spans="1:12" x14ac:dyDescent="0.2">
      <c r="A48" s="143" t="s">
        <v>638</v>
      </c>
      <c r="B48" s="213" t="s">
        <v>286</v>
      </c>
      <c r="C48" s="387" t="str">
        <f>IF(B48=0,"",VLOOKUP($B48,Table2[],2,FALSE))</f>
        <v>Insecticide</v>
      </c>
      <c r="D48" s="387"/>
      <c r="E48" s="387"/>
      <c r="F48" s="214">
        <v>5</v>
      </c>
      <c r="G48" s="221">
        <v>0.1</v>
      </c>
      <c r="H48" s="222">
        <v>5.12</v>
      </c>
      <c r="I48" s="223" t="str">
        <f>IF($B48=0,"",VLOOKUP($B48,Table2[],5,FALSE))</f>
        <v>ounce</v>
      </c>
      <c r="J48" s="215">
        <f>IF($B48=0,"",VLOOKUP($B48,Table2[],7,FALSE))</f>
        <v>1.015625</v>
      </c>
      <c r="K48" s="215">
        <f t="shared" si="3"/>
        <v>0.52</v>
      </c>
      <c r="L48" s="216"/>
    </row>
    <row r="49" spans="1:12" x14ac:dyDescent="0.2">
      <c r="A49" s="143" t="s">
        <v>638</v>
      </c>
      <c r="B49" s="180" t="s">
        <v>288</v>
      </c>
      <c r="C49" s="388" t="str">
        <f>IF(B49=0,"",VLOOKUP($B49,Table2[],2,FALSE))</f>
        <v>Insecticide</v>
      </c>
      <c r="D49" s="388"/>
      <c r="E49" s="388"/>
      <c r="F49" s="174">
        <v>5</v>
      </c>
      <c r="G49" s="175">
        <v>0.2</v>
      </c>
      <c r="H49" s="176">
        <v>2</v>
      </c>
      <c r="I49" s="120" t="str">
        <f>IF($B49=0,"",VLOOKUP($B49,Table2[],5,FALSE))</f>
        <v>ounce</v>
      </c>
      <c r="J49" s="109">
        <f>IF($B49=0,"",VLOOKUP($B49,Table2[],7,FALSE))</f>
        <v>1.25</v>
      </c>
      <c r="K49" s="109">
        <f t="shared" si="3"/>
        <v>0.5</v>
      </c>
      <c r="L49" s="110"/>
    </row>
    <row r="50" spans="1:12" x14ac:dyDescent="0.2">
      <c r="A50" s="143"/>
      <c r="B50" s="180" t="s">
        <v>198</v>
      </c>
      <c r="C50" s="388" t="str">
        <f>IF(B50=0,"",VLOOKUP($B50,Table2[],2,FALSE))</f>
        <v>Custom</v>
      </c>
      <c r="D50" s="388"/>
      <c r="E50" s="388"/>
      <c r="F50" s="174">
        <v>8</v>
      </c>
      <c r="G50" s="175">
        <v>1</v>
      </c>
      <c r="H50" s="176">
        <f>$G$4</f>
        <v>180</v>
      </c>
      <c r="I50" s="120" t="str">
        <f>IF($B50=0,"",VLOOKUP($B50,Table2[],5,FALSE))</f>
        <v>bushel</v>
      </c>
      <c r="J50" s="109">
        <f>IF($B50=0,"",VLOOKUP($B50,Table2[],7,FALSE))</f>
        <v>0.15</v>
      </c>
      <c r="K50" s="109">
        <f t="shared" si="3"/>
        <v>27</v>
      </c>
      <c r="L50" s="110"/>
    </row>
    <row r="51" spans="1:12" x14ac:dyDescent="0.2">
      <c r="A51" s="105"/>
      <c r="B51" s="180" t="s">
        <v>190</v>
      </c>
      <c r="C51" s="388" t="str">
        <f>IF(B51=0,"",VLOOKUP($B51,Table2[],2,FALSE))</f>
        <v>Custom</v>
      </c>
      <c r="D51" s="388"/>
      <c r="E51" s="388"/>
      <c r="F51" s="174">
        <v>9</v>
      </c>
      <c r="G51" s="175">
        <v>0.2</v>
      </c>
      <c r="H51" s="176">
        <f>$G$4</f>
        <v>180</v>
      </c>
      <c r="I51" s="120" t="str">
        <f>IF($B51=0,"",VLOOKUP($B51,Table2[],5,FALSE))</f>
        <v>bushel</v>
      </c>
      <c r="J51" s="109">
        <f>IF($B51=0,"",VLOOKUP($B51,Table2[],7,FALSE))</f>
        <v>0.1</v>
      </c>
      <c r="K51" s="109">
        <f t="shared" si="3"/>
        <v>3.6</v>
      </c>
      <c r="L51" s="110"/>
    </row>
    <row r="52" spans="1:12" x14ac:dyDescent="0.2">
      <c r="A52" s="105"/>
      <c r="B52" s="213" t="s">
        <v>309</v>
      </c>
      <c r="C52" s="387" t="str">
        <f>IF(B52=0,"",VLOOKUP($B52,Table2[],2,FALSE))</f>
        <v>Scouting</v>
      </c>
      <c r="D52" s="387"/>
      <c r="E52" s="387"/>
      <c r="F52" s="214"/>
      <c r="G52" s="221">
        <v>1</v>
      </c>
      <c r="H52" s="222">
        <v>1</v>
      </c>
      <c r="I52" s="223" t="str">
        <f>IF($B52=0,"",VLOOKUP($B52,Table2[],5,FALSE))</f>
        <v>acre</v>
      </c>
      <c r="J52" s="215">
        <f>IF($B52=0,"",VLOOKUP($B52,Table2[],7,FALSE))</f>
        <v>10</v>
      </c>
      <c r="K52" s="215">
        <f t="shared" si="3"/>
        <v>10</v>
      </c>
      <c r="L52" s="216"/>
    </row>
    <row r="53" spans="1:12" hidden="1" x14ac:dyDescent="0.2">
      <c r="B53" s="111"/>
      <c r="C53" s="388" t="str">
        <f>IF(B53=0,"",VLOOKUP($B53,Table2[],2,FALSE))</f>
        <v/>
      </c>
      <c r="D53" s="388"/>
      <c r="E53" s="388"/>
      <c r="F53" s="112"/>
      <c r="G53" s="177">
        <v>0.2</v>
      </c>
      <c r="H53" s="178"/>
      <c r="I53" s="120" t="str">
        <f>IF($B53=0,"",VLOOKUP($B53,Table2[],5,FALSE))</f>
        <v/>
      </c>
      <c r="J53" s="109" t="str">
        <f>IF($B53=0,"",VLOOKUP($B53,Table2[],7,FALSE))</f>
        <v/>
      </c>
      <c r="K53" s="109">
        <f t="shared" si="3"/>
        <v>0</v>
      </c>
      <c r="L53" s="110"/>
    </row>
    <row r="54" spans="1:12" hidden="1" x14ac:dyDescent="0.2">
      <c r="B54" s="111"/>
      <c r="C54" s="388" t="str">
        <f>IF(B54=0,"",VLOOKUP($B54,Table2[],2,FALSE))</f>
        <v/>
      </c>
      <c r="D54" s="388"/>
      <c r="E54" s="388"/>
      <c r="F54" s="112"/>
      <c r="G54" s="177">
        <v>0.3</v>
      </c>
      <c r="H54" s="178"/>
      <c r="I54" s="120" t="str">
        <f>IF($B54=0,"",VLOOKUP($B54,Table2[],5,FALSE))</f>
        <v/>
      </c>
      <c r="J54" s="109" t="str">
        <f>IF($B54=0,"",VLOOKUP($B54,Table2[],7,FALSE))</f>
        <v/>
      </c>
      <c r="K54" s="109">
        <f>IF(B54=0,0,ROUND(G54*H54*J54,2))</f>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8</v>
      </c>
      <c r="K61" s="109">
        <f ca="1">IF(B61=0,0,J61)</f>
        <v>8</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343.65000000000003</v>
      </c>
      <c r="L63" s="110"/>
    </row>
    <row r="64" spans="1:12" x14ac:dyDescent="0.2">
      <c r="B64" s="144" t="s">
        <v>715</v>
      </c>
      <c r="K64" s="127"/>
    </row>
    <row r="65" spans="2:12" x14ac:dyDescent="0.2">
      <c r="B65" s="107" t="s">
        <v>672</v>
      </c>
      <c r="K65" s="127">
        <f ca="1">K33+K63</f>
        <v>431.92</v>
      </c>
      <c r="L65" s="110"/>
    </row>
    <row r="66" spans="2:12" ht="13.5" thickBot="1" x14ac:dyDescent="0.25">
      <c r="D66" s="128" t="s">
        <v>673</v>
      </c>
      <c r="E66" s="129">
        <f ca="1">ROUND(SUM($E$33:$H$33)+$K$63,2)</f>
        <v>381.07</v>
      </c>
      <c r="F66" s="388" t="s">
        <v>674</v>
      </c>
      <c r="G66" s="388"/>
      <c r="H66" s="130">
        <f>'General Variables'!$B$11</f>
        <v>7.4999999999999997E-2</v>
      </c>
      <c r="I66" s="131" t="str">
        <f>CONCATENATE("for ",TEXT('General Variables'!$B$12,"0.0")," mo.")</f>
        <v>for 6.0 mo.</v>
      </c>
      <c r="K66" s="132">
        <f ca="1">E66*H66*'General Variables'!$B$12/12</f>
        <v>14.290124999999998</v>
      </c>
      <c r="L66" s="133"/>
    </row>
    <row r="67" spans="2:12" ht="13.5" thickTop="1" x14ac:dyDescent="0.2">
      <c r="B67" s="107" t="s">
        <v>675</v>
      </c>
      <c r="K67" s="127">
        <f ca="1">SUM(K65:K66)</f>
        <v>446.21012500000001</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54</v>
      </c>
      <c r="D70" s="399"/>
      <c r="E70" s="400"/>
      <c r="F70" s="136">
        <f>IF(C70=0,0,VLOOKUP(C70,RETable,2,FALSE))</f>
        <v>8510</v>
      </c>
      <c r="G70" s="388" t="s">
        <v>678</v>
      </c>
      <c r="H70" s="388"/>
      <c r="I70" s="130">
        <f>'General Variables'!$B$10</f>
        <v>0.03</v>
      </c>
      <c r="K70" s="137">
        <f>ROUND(F70*I70,2)</f>
        <v>255.3</v>
      </c>
      <c r="L70" s="110"/>
    </row>
    <row r="71" spans="2:12" ht="13.5" thickBot="1" x14ac:dyDescent="0.25">
      <c r="B71" s="103" t="s">
        <v>679</v>
      </c>
      <c r="F71" s="138">
        <f>IF(C70=0,0,VLOOKUP(C70,RETable,2,FALSE))</f>
        <v>8510</v>
      </c>
      <c r="G71" s="397" t="s">
        <v>678</v>
      </c>
      <c r="H71" s="397"/>
      <c r="I71" s="139">
        <f>'General Variables'!$B$13</f>
        <v>1.2999999999999999E-2</v>
      </c>
      <c r="J71" s="105"/>
      <c r="K71" s="140">
        <f>ROUND(F71*I71,2)</f>
        <v>110.63</v>
      </c>
      <c r="L71" s="133"/>
    </row>
    <row r="72" spans="2:12" ht="13.5" thickTop="1" x14ac:dyDescent="0.2">
      <c r="B72" s="107" t="s">
        <v>680</v>
      </c>
      <c r="K72" s="127">
        <f ca="1">SUM(K67:K71)</f>
        <v>839.14012500000001</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2.9610562500000004</v>
      </c>
      <c r="L74" s="148"/>
    </row>
    <row r="75" spans="2:12" x14ac:dyDescent="0.2">
      <c r="B75" s="107" t="str">
        <f>IF(G4="","","Cost of production per "&amp;H4)</f>
        <v>Cost of production per bushel</v>
      </c>
      <c r="K75" s="141">
        <f ca="1">IF(G4="","",K72/G4)</f>
        <v>4.6618895833333331</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7">
    <mergeCell ref="F66:G66"/>
    <mergeCell ref="C70:E70"/>
    <mergeCell ref="G70:H70"/>
    <mergeCell ref="G71:H71"/>
    <mergeCell ref="C56:E56"/>
    <mergeCell ref="C57:E57"/>
    <mergeCell ref="C58:E58"/>
    <mergeCell ref="C59:E59"/>
    <mergeCell ref="C60:E60"/>
    <mergeCell ref="C61:E61"/>
    <mergeCell ref="C55:E55"/>
    <mergeCell ref="C44:E44"/>
    <mergeCell ref="C45:E45"/>
    <mergeCell ref="C46:E46"/>
    <mergeCell ref="C47:E47"/>
    <mergeCell ref="C48:E48"/>
    <mergeCell ref="C49:E49"/>
    <mergeCell ref="C50:E50"/>
    <mergeCell ref="C51:E51"/>
    <mergeCell ref="C52:E52"/>
    <mergeCell ref="C53:E53"/>
    <mergeCell ref="C54:E54"/>
    <mergeCell ref="C43:E43"/>
    <mergeCell ref="F35:F36"/>
    <mergeCell ref="G35:G36"/>
    <mergeCell ref="H35:I35"/>
    <mergeCell ref="J35:J36"/>
    <mergeCell ref="C38:E38"/>
    <mergeCell ref="C39:E39"/>
    <mergeCell ref="C40:E40"/>
    <mergeCell ref="C41:E41"/>
    <mergeCell ref="C42:E42"/>
    <mergeCell ref="C3:E3"/>
    <mergeCell ref="K2:L2"/>
    <mergeCell ref="C4:E4"/>
    <mergeCell ref="L35:L36"/>
    <mergeCell ref="C37:E37"/>
    <mergeCell ref="I10:J10"/>
    <mergeCell ref="K10:K11"/>
    <mergeCell ref="L10:L11"/>
    <mergeCell ref="B7:L7"/>
    <mergeCell ref="A6:M6"/>
    <mergeCell ref="B10:B11"/>
    <mergeCell ref="C10:C11"/>
    <mergeCell ref="E10:E11"/>
    <mergeCell ref="F10:F11"/>
    <mergeCell ref="G10:H10"/>
  </mergeCells>
  <dataValidations count="9">
    <dataValidation type="list" allowBlank="1" showInputMessage="1" showErrorMessage="1" sqref="K4" xr:uid="{00000000-0002-0000-1A00-000000000000}">
      <formula1>$K$111:$K$113</formula1>
    </dataValidation>
    <dataValidation type="list" showInputMessage="1" showErrorMessage="1" sqref="B62" xr:uid="{00000000-0002-0000-1A00-000001000000}">
      <formula1>$C$111:$C$234</formula1>
    </dataValidation>
    <dataValidation type="list" allowBlank="1" showInputMessage="1" showErrorMessage="1" sqref="B32" xr:uid="{00000000-0002-0000-1A00-000002000000}">
      <formula1>$B$111:$B$208</formula1>
    </dataValidation>
    <dataValidation type="list" allowBlank="1" showInputMessage="1" showErrorMessage="1" sqref="B37:B60" xr:uid="{00000000-0002-0000-1A00-000003000000}">
      <formula1>MaterialList</formula1>
    </dataValidation>
    <dataValidation type="list" allowBlank="1" showInputMessage="1" showErrorMessage="1" sqref="C70:E70" xr:uid="{00000000-0002-0000-1A00-000004000000}">
      <formula1>RealEstateList</formula1>
    </dataValidation>
    <dataValidation type="list" allowBlank="1" showInputMessage="1" showErrorMessage="1" sqref="B12:B31" xr:uid="{00000000-0002-0000-1A00-000005000000}">
      <formula1>OperationList</formula1>
    </dataValidation>
    <dataValidation type="list" allowBlank="1" showInputMessage="1" showErrorMessage="1" sqref="D12:D32" xr:uid="{00000000-0002-0000-1A00-000006000000}">
      <formula1>#REF!</formula1>
    </dataValidation>
    <dataValidation type="list" allowBlank="1" showInputMessage="1" showErrorMessage="1" sqref="K2" xr:uid="{00000000-0002-0000-1A00-000007000000}">
      <formula1>watersource</formula1>
    </dataValidation>
    <dataValidation type="list" allowBlank="1" showInputMessage="1" showErrorMessage="1" sqref="C3" xr:uid="{00000000-0002-0000-1A00-000008000000}">
      <formula1>TillageSystem</formula1>
    </dataValidation>
  </dataValidations>
  <pageMargins left="0.7" right="0.7" top="0.75" bottom="0.75" header="0.3" footer="0.3"/>
  <pageSetup scale="71" orientation="portrait" r:id="rId1"/>
  <ignoredErrors>
    <ignoredError sqref="C17" unlockedFormula="1"/>
    <ignoredError sqref="E17:J17"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7">
    <pageSetUpPr fitToPage="1"/>
  </sheetPr>
  <dimension ref="A2:M257"/>
  <sheetViews>
    <sheetView zoomScaleNormal="100" workbookViewId="0">
      <selection activeCell="K36" sqref="K3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717</v>
      </c>
      <c r="H2" s="392"/>
      <c r="J2" s="128" t="s">
        <v>649</v>
      </c>
      <c r="K2" s="401" t="s">
        <v>74</v>
      </c>
      <c r="L2" s="401"/>
    </row>
    <row r="3" spans="1:13" hidden="1" x14ac:dyDescent="0.2">
      <c r="B3" s="103" t="s">
        <v>38</v>
      </c>
      <c r="C3" s="391" t="s">
        <v>46</v>
      </c>
      <c r="D3" s="391"/>
      <c r="E3" s="391"/>
      <c r="G3" s="128" t="s">
        <v>650</v>
      </c>
      <c r="H3" s="187" t="s">
        <v>718</v>
      </c>
      <c r="J3" s="128" t="s">
        <v>651</v>
      </c>
      <c r="K3" s="187"/>
    </row>
    <row r="4" spans="1:13" hidden="1" x14ac:dyDescent="0.2">
      <c r="B4" s="103" t="s">
        <v>652</v>
      </c>
      <c r="C4" s="392" t="s">
        <v>62</v>
      </c>
      <c r="D4" s="392"/>
      <c r="E4" s="392"/>
      <c r="G4" s="103">
        <f>IFERROR(VALUE(LEFT($H$3,FIND(" ",$H$3))),"")</f>
        <v>140</v>
      </c>
      <c r="H4" s="103" t="str">
        <f>IFERROR(RIGHT(H3,LEN(H3)-LEN(G4)-1),"")</f>
        <v>bushel</v>
      </c>
      <c r="J4" s="128" t="s">
        <v>653</v>
      </c>
      <c r="K4" s="188" t="s">
        <v>654</v>
      </c>
    </row>
    <row r="5" spans="1:13" ht="18" hidden="1" customHeight="1" x14ac:dyDescent="0.2">
      <c r="B5" s="103" t="s">
        <v>655</v>
      </c>
      <c r="C5" s="103" t="str">
        <f ca="1">MID(CELL("filename",C5),FIND("]",CELL("filename",C5))+1,255)</f>
        <v>21-Corn</v>
      </c>
      <c r="E5" s="103">
        <f ca="1">VLOOKUP($C$5,CropInsurance,5,FALSE)</f>
        <v>13</v>
      </c>
      <c r="F5" s="103">
        <f ca="1">VLOOKUP($C$5,CropInsurance,6,FALSE)</f>
        <v>0</v>
      </c>
    </row>
    <row r="6" spans="1:13" ht="31.5" hidden="1" customHeight="1" x14ac:dyDescent="0.25">
      <c r="A6" s="390" t="str">
        <f ca="1">REPLACE(CELL("filename",$A$1),1,FIND("]",CELL("filename",$A$1)),"") &amp;  IF($G$2="","", ", " &amp; $G$2 ) &amp; IF($C$2="","",", "&amp;$C$2&amp;"") &amp; IF($C$3="","",", "&amp;$C$3) &amp; IF($C$4="","",", "&amp;$C$4) &amp; IF($H$3="","",", "&amp;$H$3 &amp; " Yield") &amp; IF(K2="","",", " &amp;K2)</f>
        <v>21-Corn, SmartStax RIB Complete, No Till, Continuous, 140 bushel Yield, Dryland</v>
      </c>
      <c r="B6" s="390"/>
      <c r="C6" s="390"/>
      <c r="D6" s="390"/>
      <c r="E6" s="390"/>
      <c r="F6" s="390"/>
      <c r="G6" s="390"/>
      <c r="H6" s="390"/>
      <c r="I6" s="390"/>
      <c r="J6" s="390"/>
      <c r="K6" s="390"/>
      <c r="L6" s="390"/>
      <c r="M6" s="390"/>
    </row>
    <row r="7" spans="1:13" ht="33" customHeight="1" x14ac:dyDescent="0.25">
      <c r="B7" s="393" t="str">
        <f ca="1">'General Variables'!$B$3 &amp; " Budget " &amp; REPLACE(CELL("filename",$A$1),1,FIND("]",CELL("filename",$A$1)),"") &amp;  IF($G$2="","", ", " &amp; $G$2 ) &amp; IF($C$2="","",", "&amp;$C$2) &amp; IF($C$3="","",", "&amp;$C$3) &amp; IF($C$4="","",", "&amp;$C$4) &amp; IF($H$3="","",", "&amp;$H$3 &amp; " Yield")</f>
        <v>2025 Budget 21-Corn, SmartStax RIB Complete, No Till, Continuous, 140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552</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943</v>
      </c>
      <c r="C17" s="174">
        <f>$G$4</f>
        <v>140</v>
      </c>
      <c r="D17" s="174"/>
      <c r="E17" s="109">
        <f>IF(B17=0,"",IF(C17&gt;9999,"",ROUND('General Variables'!$B$4*VLOOKUP(B17,Operations!$A$2:$U$79,10,FALSE)/VLOOKUP(B17,Operations!$A$2:$U$79,9,FALSE)*C17,2))/100)</f>
        <v>3.1985000000000001</v>
      </c>
      <c r="F17" s="109">
        <f>IF(B17=0,0,IF(C17&gt;9999,"",ROUND(IF(VLOOKUP(B17,Operations!$A$2:$U$79,12,FALSE)=0,VLOOKUP(B17,Operations!$A$2:$U$79,13,FALSE)*'General Variables'!$B$8,VLOOKUP(B17,Operations!$A$2:$U$79,12,FALSE)*'General Variables'!$B$7)/VLOOKUP(B17,Operations!$A$2:$U$79,9,FALSE)*C17,2))/100)</f>
        <v>3.6151</v>
      </c>
      <c r="G17" s="109">
        <f>IF(B17=0,0,IF(C17&gt;9999,"",ROUND(VLOOKUP(VLOOKUP(B17,Operations!$A$2:$U$79,11,FALSE),PowerUnits[],10,FALSE)/VLOOKUP(B17,Operations!$A$2:$U$79,9,FALSE)*C17,2))/100)</f>
        <v>5.5577999999999994</v>
      </c>
      <c r="H17" s="109">
        <f>IF(B17=0,"",IF(C17&gt;9999,"",ROUND(VLOOKUP($B17,Operations!$A$2:$U$79,15,FALSE)*C17,2))/100)</f>
        <v>1.3183</v>
      </c>
      <c r="I17" s="109">
        <f>IF(B17=0,0,IF(C17&gt;9999,"",ROUND(VLOOKUP(VLOOKUP(B17,Operations!$A$2:$U$79,11,FALSE),PowerUnits[],16,FALSE)/VLOOKUP(B17,Operations!$A$2:$U$79,9,FALSE)*C17,2))/100)</f>
        <v>13.384600000000001</v>
      </c>
      <c r="J17" s="109">
        <f>IF(B17=0,"",IF(C17&gt;9999,"",ROUND(VLOOKUP($B17,Operations!$A$2:$U$79,21,FALSE)*$C17,2))/100)</f>
        <v>6.0984000000000007</v>
      </c>
      <c r="K17" s="109">
        <f>IF(C17&gt;9999,"",ROUND(SUM(E17:J17),2))</f>
        <v>33.17</v>
      </c>
      <c r="L17" s="110"/>
    </row>
    <row r="18" spans="1:12" x14ac:dyDescent="0.2">
      <c r="A18" s="170">
        <v>7</v>
      </c>
      <c r="B18" s="180" t="s">
        <v>414</v>
      </c>
      <c r="C18" s="174">
        <f>$G$4</f>
        <v>140</v>
      </c>
      <c r="D18" s="174" t="s">
        <v>706</v>
      </c>
      <c r="E18" s="109">
        <f>IF(B18=0,"",IF(C18&gt;9999,"",ROUND('General Variables'!$B$4*VLOOKUP(B18,Operations!$A$2:$U$79,10,FALSE)/VLOOKUP(B18,Operations!$A$2:$U$79,9,FALSE)*C18,2)))</f>
        <v>1.26</v>
      </c>
      <c r="F18" s="109">
        <f>IF(B18=0,0,IF(C18&gt;9999,"",ROUND(IF(VLOOKUP(B18,Operations!$A$2:$U$79,12,FALSE)=0,VLOOKUP(B18,Operations!$A$2:$U$79,13,FALSE)*'General Variables'!$B$8,VLOOKUP(B18,Operations!$A$2:$U$79,12,FALSE)*'General Variables'!$B$7)/VLOOKUP(B18,Operations!$A$2:$U$79,9,FALSE)*C18,2)))</f>
        <v>0.41</v>
      </c>
      <c r="G18" s="109">
        <f>IF(B18=0,0,IF(C18&gt;9999,"",ROUND(VLOOKUP(VLOOKUP(B18,Operations!$A$2:$U$79,11,FALSE),PowerUnits[],10,FALSE)/VLOOKUP(B18,Operations!$A$2:$U$79,9,FALSE)*C18,2)))</f>
        <v>0.04</v>
      </c>
      <c r="H18" s="109">
        <f>IF(B18=0,"",IF(C18&gt;9999,"",ROUND(VLOOKUP($B18,Operations!$A$2:$U$79,15,FALSE)*C18,2)))</f>
        <v>0.78</v>
      </c>
      <c r="I18" s="109">
        <f>IF(B18=0,0,IF(C18&gt;9999,"",ROUND(VLOOKUP(VLOOKUP(B18,Operations!$A$2:$U$79,11,FALSE),PowerUnits[],16,FALSE)/VLOOKUP(B18,Operations!$A$2:$U$79,9,FALSE)*C18,2)))</f>
        <v>1.84</v>
      </c>
      <c r="J18" s="109">
        <f>IF(B18=0,"",IF(C18&gt;9999,"",ROUND(VLOOKUP($B18,Operations!$A$2:$U$79,21,FALSE)*$C18,2)))</f>
        <v>1.55</v>
      </c>
      <c r="K18" s="109">
        <f>IF(C18&gt;9999,"",ROUND(SUM(E18:J18),2))</f>
        <v>5.88</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x14ac:dyDescent="0.2">
      <c r="A20" s="170">
        <v>9</v>
      </c>
      <c r="B20" s="180" t="s">
        <v>496</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IF(C20&gt;9999,"",ROUND(SUM(E20:J20),2))</f>
        <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10.248500000000002</v>
      </c>
      <c r="F33" s="109">
        <f t="shared" ref="F33:K33" si="1">SUM(F12:F31)</f>
        <v>5.7551000000000005</v>
      </c>
      <c r="G33" s="109">
        <f t="shared" si="1"/>
        <v>5.7477999999999998</v>
      </c>
      <c r="H33" s="109">
        <f t="shared" si="1"/>
        <v>11.058299999999999</v>
      </c>
      <c r="I33" s="109">
        <f t="shared" si="1"/>
        <v>22.834600000000002</v>
      </c>
      <c r="J33" s="109">
        <f t="shared" si="1"/>
        <v>21.488400000000002</v>
      </c>
      <c r="K33" s="109">
        <f t="shared" si="1"/>
        <v>77.13</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176">
        <v>1</v>
      </c>
      <c r="I38" s="120" t="str">
        <f>IF($B38=0,"",VLOOKUP($B38,Table2[],5,FALSE))</f>
        <v>pint</v>
      </c>
      <c r="J38" s="109">
        <f>IF($B38=0,"",VLOOKUP($B38,Table2[],7,FALSE))</f>
        <v>2.5</v>
      </c>
      <c r="K38" s="109">
        <f t="shared" ref="K38:K56" si="2">IF(B38=0,0,ROUND(G38*H38*J38,2))</f>
        <v>1.25</v>
      </c>
      <c r="L38" s="110"/>
    </row>
    <row r="39" spans="1:12" x14ac:dyDescent="0.2">
      <c r="A39" s="105"/>
      <c r="B39" s="180" t="s">
        <v>170</v>
      </c>
      <c r="C39" s="388" t="str">
        <f>IF(B39=0,"",VLOOKUP($B39,Table2[],2,FALSE))</f>
        <v>Additive</v>
      </c>
      <c r="D39" s="388"/>
      <c r="E39" s="388"/>
      <c r="F39" s="174">
        <v>1</v>
      </c>
      <c r="G39" s="175">
        <v>0.5</v>
      </c>
      <c r="H39" s="300">
        <v>1.7</v>
      </c>
      <c r="I39" s="120" t="str">
        <f>IF($B39=0,"",VLOOKUP($B39,Table2[],5,FALSE))</f>
        <v>pound</v>
      </c>
      <c r="J39" s="109">
        <f>IF($B39=0,"",VLOOKUP($B39,Table2[],7,FALSE))</f>
        <v>0.4</v>
      </c>
      <c r="K39" s="109">
        <f t="shared" si="2"/>
        <v>0.34</v>
      </c>
      <c r="L39" s="110"/>
    </row>
    <row r="40" spans="1:12" x14ac:dyDescent="0.2">
      <c r="A40" s="143"/>
      <c r="B40" s="213" t="s">
        <v>207</v>
      </c>
      <c r="C40" s="387" t="str">
        <f>IF(B40=0,"",VLOOKUP($B40,Table2[],2,FALSE))</f>
        <v>Fertilizer</v>
      </c>
      <c r="D40" s="387"/>
      <c r="E40" s="387"/>
      <c r="F40" s="214">
        <v>2</v>
      </c>
      <c r="G40" s="221">
        <v>1</v>
      </c>
      <c r="H40" s="301">
        <v>120</v>
      </c>
      <c r="I40" s="223" t="str">
        <f>IF($B40=0,"",VLOOKUP($B40,Table2[],5,FALSE))</f>
        <v>lbs N</v>
      </c>
      <c r="J40" s="215">
        <f>IF($B40=0,"",VLOOKUP($B40,Table2[],7,FALSE))</f>
        <v>0.5</v>
      </c>
      <c r="K40" s="215">
        <f t="shared" si="2"/>
        <v>60</v>
      </c>
      <c r="L40" s="216"/>
    </row>
    <row r="41" spans="1:12" x14ac:dyDescent="0.2">
      <c r="A41" s="105"/>
      <c r="B41" s="180" t="s">
        <v>232</v>
      </c>
      <c r="C41" s="388" t="str">
        <f>IF(B41=0,"",VLOOKUP($B41,Table2[],2,FALSE))</f>
        <v>Herbicide</v>
      </c>
      <c r="D41" s="388"/>
      <c r="E41" s="388"/>
      <c r="F41" s="174">
        <v>2</v>
      </c>
      <c r="G41" s="175">
        <v>1</v>
      </c>
      <c r="H41" s="176">
        <v>2.5</v>
      </c>
      <c r="I41" s="120" t="str">
        <f>IF($B41=0,"",VLOOKUP($B41,Table2[],5,FALSE))</f>
        <v>quart</v>
      </c>
      <c r="J41" s="109">
        <f>IF($B41=0,"",VLOOKUP($B41,Table2[],7,FALSE))</f>
        <v>21.25</v>
      </c>
      <c r="K41" s="109">
        <f t="shared" si="2"/>
        <v>53.13</v>
      </c>
      <c r="L41" s="110"/>
    </row>
    <row r="42" spans="1:12" x14ac:dyDescent="0.2">
      <c r="A42" s="105"/>
      <c r="B42" s="180" t="s">
        <v>329</v>
      </c>
      <c r="C42" s="388" t="str">
        <f>IF(B42=0,"",VLOOKUP($B42,Table2[],2,FALSE))</f>
        <v>Seed</v>
      </c>
      <c r="D42" s="388"/>
      <c r="E42" s="388"/>
      <c r="F42" s="174">
        <v>3</v>
      </c>
      <c r="G42" s="175">
        <v>1</v>
      </c>
      <c r="H42" s="300">
        <v>19.399999999999999</v>
      </c>
      <c r="I42" s="120" t="str">
        <f>IF($B42=0,"",VLOOKUP($B42,Table2[],5,FALSE))</f>
        <v>k seed</v>
      </c>
      <c r="J42" s="109">
        <f>IF($B42=0,"",VLOOKUP($B42,Table2[],7,FALSE))</f>
        <v>4.375</v>
      </c>
      <c r="K42" s="109">
        <f t="shared" si="2"/>
        <v>84.88</v>
      </c>
      <c r="L42" s="110"/>
    </row>
    <row r="43" spans="1:12" x14ac:dyDescent="0.2">
      <c r="A43" s="105"/>
      <c r="B43" s="180" t="s">
        <v>201</v>
      </c>
      <c r="C43" s="388" t="str">
        <f>IF(B43=0,"",VLOOKUP($B43,Table2[],2,FALSE))</f>
        <v>Fertilizer</v>
      </c>
      <c r="D43" s="388"/>
      <c r="E43" s="388"/>
      <c r="F43" s="174">
        <v>3</v>
      </c>
      <c r="G43" s="175">
        <v>1</v>
      </c>
      <c r="H43" s="176">
        <v>6</v>
      </c>
      <c r="I43" s="120" t="str">
        <f>IF($B43=0,"",VLOOKUP($B43,Table2[],5,FALSE))</f>
        <v>gallon</v>
      </c>
      <c r="J43" s="109">
        <f>IF($B43=0,"",VLOOKUP($B43,Table2[],7,FALSE))</f>
        <v>3.1</v>
      </c>
      <c r="K43" s="109">
        <f t="shared" si="2"/>
        <v>18.600000000000001</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2"/>
        <v>4.25</v>
      </c>
      <c r="L44" s="216"/>
    </row>
    <row r="45" spans="1:12" x14ac:dyDescent="0.2">
      <c r="A45" s="143"/>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2"/>
        <v>0.68</v>
      </c>
      <c r="L45" s="110"/>
    </row>
    <row r="46" spans="1:12" x14ac:dyDescent="0.2">
      <c r="A46" s="143"/>
      <c r="B46" s="180" t="s">
        <v>236</v>
      </c>
      <c r="C46" s="388" t="str">
        <f>IF(B46=0,"",VLOOKUP($B46,Table2[],2,FALSE))</f>
        <v>Herbicide</v>
      </c>
      <c r="D46" s="388"/>
      <c r="E46" s="388"/>
      <c r="F46" s="174">
        <v>4</v>
      </c>
      <c r="G46" s="175">
        <v>1</v>
      </c>
      <c r="H46" s="176">
        <v>14</v>
      </c>
      <c r="I46" s="120" t="str">
        <f>IF($B46=0,"",VLOOKUP($B46,Table2[],5,FALSE))</f>
        <v>ounce</v>
      </c>
      <c r="J46" s="109">
        <f>IF($B46=0,"",VLOOKUP($B46,Table2[],7,FALSE))</f>
        <v>1.640625</v>
      </c>
      <c r="K46" s="109">
        <f t="shared" si="2"/>
        <v>22.97</v>
      </c>
      <c r="L46" s="110"/>
    </row>
    <row r="47" spans="1:12" x14ac:dyDescent="0.2">
      <c r="A47" s="143"/>
      <c r="B47" s="180" t="s">
        <v>200</v>
      </c>
      <c r="C47" s="388" t="str">
        <f>IF(B47=0,"",VLOOKUP($B47,Table2[],2,FALSE))</f>
        <v>Custom</v>
      </c>
      <c r="D47" s="388"/>
      <c r="E47" s="388"/>
      <c r="F47" s="174">
        <v>5</v>
      </c>
      <c r="G47" s="175">
        <v>0.2</v>
      </c>
      <c r="H47" s="176">
        <v>1</v>
      </c>
      <c r="I47" s="120" t="str">
        <f>IF($B47=0,"",VLOOKUP($B47,Table2[],5,FALSE))</f>
        <v>acre</v>
      </c>
      <c r="J47" s="109">
        <f>IF($B47=0,"",VLOOKUP($B47,Table2[],7,FALSE))</f>
        <v>9</v>
      </c>
      <c r="K47" s="109">
        <f t="shared" si="2"/>
        <v>1.8</v>
      </c>
      <c r="L47" s="110"/>
    </row>
    <row r="48" spans="1:12" x14ac:dyDescent="0.2">
      <c r="A48" s="143"/>
      <c r="B48" s="213" t="s">
        <v>286</v>
      </c>
      <c r="C48" s="387" t="str">
        <f>IF(B48=0,"",VLOOKUP($B48,Table2[],2,FALSE))</f>
        <v>Insecticide</v>
      </c>
      <c r="D48" s="387"/>
      <c r="E48" s="387"/>
      <c r="F48" s="214">
        <v>5</v>
      </c>
      <c r="G48" s="221">
        <v>0.1</v>
      </c>
      <c r="H48" s="222">
        <v>5.12</v>
      </c>
      <c r="I48" s="223" t="str">
        <f>IF($B48=0,"",VLOOKUP($B48,Table2[],5,FALSE))</f>
        <v>ounce</v>
      </c>
      <c r="J48" s="215">
        <f>IF($B48=0,"",VLOOKUP($B48,Table2[],7,FALSE))</f>
        <v>1.015625</v>
      </c>
      <c r="K48" s="215">
        <f t="shared" si="2"/>
        <v>0.52</v>
      </c>
      <c r="L48" s="216"/>
    </row>
    <row r="49" spans="1:12" x14ac:dyDescent="0.2">
      <c r="A49" s="143"/>
      <c r="B49" s="180" t="s">
        <v>288</v>
      </c>
      <c r="C49" s="388" t="str">
        <f>IF(B49=0,"",VLOOKUP($B49,Table2[],2,FALSE))</f>
        <v>Insecticide</v>
      </c>
      <c r="D49" s="388"/>
      <c r="E49" s="388"/>
      <c r="F49" s="174">
        <v>5</v>
      </c>
      <c r="G49" s="175">
        <v>0.2</v>
      </c>
      <c r="H49" s="176">
        <v>3</v>
      </c>
      <c r="I49" s="120" t="s">
        <v>174</v>
      </c>
      <c r="J49" s="109">
        <f>IF($B49=0,"",VLOOKUP($B49,Table2[],7,FALSE))</f>
        <v>1.25</v>
      </c>
      <c r="K49" s="109">
        <f t="shared" ref="K49" si="3">IF(B49=0,0,ROUND(G49*H49*J49,2))</f>
        <v>0.75</v>
      </c>
      <c r="L49" s="110"/>
    </row>
    <row r="50" spans="1:12" x14ac:dyDescent="0.2">
      <c r="A50" s="105"/>
      <c r="B50" s="180" t="s">
        <v>198</v>
      </c>
      <c r="C50" s="388" t="str">
        <f>IF(B50=0,"",VLOOKUP($B50,Table2[],2,FALSE))</f>
        <v>Custom</v>
      </c>
      <c r="D50" s="388"/>
      <c r="E50" s="388"/>
      <c r="F50" s="174">
        <v>8</v>
      </c>
      <c r="G50" s="175">
        <v>1</v>
      </c>
      <c r="H50" s="176">
        <f>$G$4</f>
        <v>140</v>
      </c>
      <c r="I50" s="120" t="str">
        <f>IF($B50=0,"",VLOOKUP($B50,Table2[],5,FALSE))</f>
        <v>bushel</v>
      </c>
      <c r="J50" s="109">
        <f>IF($B50=0,"",VLOOKUP($B50,Table2[],7,FALSE))</f>
        <v>0.15</v>
      </c>
      <c r="K50" s="109">
        <f t="shared" si="2"/>
        <v>21</v>
      </c>
      <c r="L50" s="110"/>
    </row>
    <row r="51" spans="1:12" x14ac:dyDescent="0.2">
      <c r="B51" s="180" t="s">
        <v>190</v>
      </c>
      <c r="C51" s="388" t="str">
        <f>IF(B51=0,"",VLOOKUP($B51,Table2[],2,FALSE))</f>
        <v>Custom</v>
      </c>
      <c r="D51" s="388"/>
      <c r="E51" s="388"/>
      <c r="F51" s="174">
        <v>9</v>
      </c>
      <c r="G51" s="175">
        <v>0.1</v>
      </c>
      <c r="H51" s="176">
        <f>$G$4</f>
        <v>140</v>
      </c>
      <c r="I51" s="120" t="str">
        <f>IF($B51=0,"",VLOOKUP($B51,Table2[],5,FALSE))</f>
        <v>bushel</v>
      </c>
      <c r="J51" s="109">
        <f>IF($B51=0,"",VLOOKUP($B51,Table2[],7,FALSE))</f>
        <v>0.1</v>
      </c>
      <c r="K51" s="109">
        <f t="shared" si="2"/>
        <v>1.4</v>
      </c>
      <c r="L51" s="110"/>
    </row>
    <row r="52" spans="1:12" x14ac:dyDescent="0.2">
      <c r="B52" s="217" t="s">
        <v>309</v>
      </c>
      <c r="C52" s="387" t="str">
        <f>IF(B52=0,"",VLOOKUP($B52,Table2[],2,FALSE))</f>
        <v>Scouting</v>
      </c>
      <c r="D52" s="387"/>
      <c r="E52" s="387"/>
      <c r="F52" s="218"/>
      <c r="G52" s="224">
        <v>1</v>
      </c>
      <c r="H52" s="225">
        <v>1</v>
      </c>
      <c r="I52" s="223" t="str">
        <f>IF($B52=0,"",VLOOKUP($B52,Table2[],5,FALSE))</f>
        <v>acre</v>
      </c>
      <c r="J52" s="215">
        <f>IF($B52=0,"",VLOOKUP($B52,Table2[],7,FALSE))</f>
        <v>10</v>
      </c>
      <c r="K52" s="215">
        <f t="shared" si="2"/>
        <v>10</v>
      </c>
      <c r="L52" s="216"/>
    </row>
    <row r="53" spans="1: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1: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13</v>
      </c>
      <c r="K62" s="109">
        <f ca="1">IF(B62=0,0,J62)</f>
        <v>13</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 ca="1">SUM(K37:K62)</f>
        <v>296.7</v>
      </c>
      <c r="L64" s="110"/>
    </row>
    <row r="65" spans="2:12" x14ac:dyDescent="0.2">
      <c r="B65" s="144"/>
      <c r="K65" s="127"/>
    </row>
    <row r="66" spans="2:12" x14ac:dyDescent="0.2">
      <c r="B66" s="107" t="s">
        <v>672</v>
      </c>
      <c r="K66" s="127">
        <f ca="1">K33+K64</f>
        <v>373.83</v>
      </c>
      <c r="L66" s="110"/>
    </row>
    <row r="67" spans="2:12" ht="13.5" thickBot="1" x14ac:dyDescent="0.25">
      <c r="D67" s="128" t="s">
        <v>673</v>
      </c>
      <c r="E67" s="129">
        <f ca="1">ROUND(SUM($E$33:$H$33)+$K$64,2)</f>
        <v>329.51</v>
      </c>
      <c r="F67" s="388" t="s">
        <v>674</v>
      </c>
      <c r="G67" s="388"/>
      <c r="H67" s="130">
        <f>'General Variables'!$B$11</f>
        <v>7.4999999999999997E-2</v>
      </c>
      <c r="I67" s="131" t="str">
        <f>CONCATENATE("for ",TEXT('General Variables'!$B$12,"0.0")," mo.")</f>
        <v>for 6.0 mo.</v>
      </c>
      <c r="K67" s="132">
        <f ca="1">E67*H67*'General Variables'!$B$12/12</f>
        <v>12.356624999999999</v>
      </c>
      <c r="L67" s="133"/>
    </row>
    <row r="68" spans="2:12" ht="13.5" thickTop="1" x14ac:dyDescent="0.2">
      <c r="B68" s="107" t="s">
        <v>675</v>
      </c>
      <c r="K68" s="127">
        <f ca="1">SUM(K66:K67)</f>
        <v>386.18662499999999</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30</v>
      </c>
      <c r="D71" s="399"/>
      <c r="E71" s="400"/>
      <c r="F71" s="136">
        <f>IF(C71=0,0,VLOOKUP(C71,RETable,2,FALSE))</f>
        <v>4530</v>
      </c>
      <c r="G71" s="388" t="s">
        <v>678</v>
      </c>
      <c r="H71" s="388"/>
      <c r="I71" s="130">
        <f>'General Variables'!$B$10</f>
        <v>0.03</v>
      </c>
      <c r="K71" s="137">
        <f>ROUND(F71*I71,2)</f>
        <v>135.9</v>
      </c>
      <c r="L71" s="110"/>
    </row>
    <row r="72" spans="2:12" ht="13.5" thickBot="1" x14ac:dyDescent="0.25">
      <c r="B72" s="103" t="s">
        <v>679</v>
      </c>
      <c r="F72" s="138">
        <f>IF(C71=0,0,VLOOKUP(C71,RETable,2,FALSE))</f>
        <v>4530</v>
      </c>
      <c r="G72" s="397" t="s">
        <v>678</v>
      </c>
      <c r="H72" s="397"/>
      <c r="I72" s="139">
        <f>'General Variables'!$B$13</f>
        <v>1.2999999999999999E-2</v>
      </c>
      <c r="J72" s="105"/>
      <c r="K72" s="140">
        <f>ROUND(F72*I72,2)</f>
        <v>58.89</v>
      </c>
      <c r="L72" s="133"/>
    </row>
    <row r="73" spans="2:12" ht="13.5" thickTop="1" x14ac:dyDescent="0.2">
      <c r="B73" s="107" t="s">
        <v>680</v>
      </c>
      <c r="K73" s="127">
        <f ca="1">SUM(K68:K72)</f>
        <v>607.97662500000001</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3.0554044642857141</v>
      </c>
      <c r="L75" s="148"/>
    </row>
    <row r="76" spans="2:12" x14ac:dyDescent="0.2">
      <c r="B76" s="107" t="str">
        <f>IF(G4="","","Cost of production per "&amp;H4)</f>
        <v>Cost of production per bushel</v>
      </c>
      <c r="K76" s="141">
        <f ca="1">IF(G4="","",K73/G4)</f>
        <v>4.3426901785714289</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8:E48"/>
    <mergeCell ref="C37:E37"/>
    <mergeCell ref="C38:E38"/>
    <mergeCell ref="C39:E39"/>
    <mergeCell ref="C40:E40"/>
    <mergeCell ref="C41:E41"/>
    <mergeCell ref="C42:E42"/>
    <mergeCell ref="C43:E43"/>
    <mergeCell ref="C44:E44"/>
    <mergeCell ref="C45:E45"/>
    <mergeCell ref="C46:E46"/>
    <mergeCell ref="C47:E47"/>
    <mergeCell ref="C49:E49"/>
    <mergeCell ref="A6:M6"/>
    <mergeCell ref="C3:E3"/>
    <mergeCell ref="K2:L2"/>
    <mergeCell ref="G2:H2"/>
    <mergeCell ref="C4:E4"/>
  </mergeCells>
  <dataValidations count="9">
    <dataValidation type="list" allowBlank="1" showInputMessage="1" showErrorMessage="1" sqref="B32" xr:uid="{00000000-0002-0000-1B00-000000000000}">
      <formula1>$B$112:$B$209</formula1>
    </dataValidation>
    <dataValidation type="list" showInputMessage="1" showErrorMessage="1" sqref="B63" xr:uid="{00000000-0002-0000-1B00-000001000000}">
      <formula1>$C$112:$C$235</formula1>
    </dataValidation>
    <dataValidation type="list" allowBlank="1" showInputMessage="1" showErrorMessage="1" sqref="K4" xr:uid="{00000000-0002-0000-1B00-000002000000}">
      <formula1>$K$112:$K$114</formula1>
    </dataValidation>
    <dataValidation type="list" allowBlank="1" showInputMessage="1" showErrorMessage="1" sqref="B37:B61" xr:uid="{00000000-0002-0000-1B00-000003000000}">
      <formula1>MaterialList</formula1>
    </dataValidation>
    <dataValidation type="list" allowBlank="1" showInputMessage="1" showErrorMessage="1" sqref="C71:E71" xr:uid="{00000000-0002-0000-1B00-000004000000}">
      <formula1>RealEstateList</formula1>
    </dataValidation>
    <dataValidation type="list" allowBlank="1" showInputMessage="1" showErrorMessage="1" sqref="B12:B31" xr:uid="{00000000-0002-0000-1B00-000005000000}">
      <formula1>OperationList</formula1>
    </dataValidation>
    <dataValidation type="list" allowBlank="1" showInputMessage="1" showErrorMessage="1" sqref="D12:D32" xr:uid="{00000000-0002-0000-1B00-000006000000}">
      <formula1>#REF!</formula1>
    </dataValidation>
    <dataValidation type="list" allowBlank="1" showInputMessage="1" showErrorMessage="1" sqref="K2" xr:uid="{00000000-0002-0000-1B00-000007000000}">
      <formula1>watersource</formula1>
    </dataValidation>
    <dataValidation type="list" allowBlank="1" showInputMessage="1" showErrorMessage="1" sqref="C3" xr:uid="{00000000-0002-0000-1B00-000008000000}">
      <formula1>TillageSystem</formula1>
    </dataValidation>
  </dataValidations>
  <pageMargins left="0.7" right="0.7" top="0.75" bottom="0.75" header="0.3" footer="0.3"/>
  <pageSetup scale="71" orientation="portrait" r:id="rId1"/>
  <ignoredErrors>
    <ignoredError sqref="C17:C18" unlockedFormula="1"/>
    <ignoredError sqref="E17:J17"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0">
    <pageSetUpPr fitToPage="1"/>
  </sheetPr>
  <dimension ref="A2:M257"/>
  <sheetViews>
    <sheetView zoomScaleNormal="100" workbookViewId="0">
      <selection activeCell="B14" sqref="B14"/>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709</v>
      </c>
      <c r="D2" s="187"/>
      <c r="E2" s="187"/>
      <c r="F2" s="128" t="s">
        <v>648</v>
      </c>
      <c r="G2" s="392" t="s">
        <v>717</v>
      </c>
      <c r="H2" s="392"/>
      <c r="J2" s="128" t="s">
        <v>649</v>
      </c>
      <c r="K2" s="401" t="s">
        <v>74</v>
      </c>
      <c r="L2" s="401"/>
    </row>
    <row r="3" spans="1:13" hidden="1" x14ac:dyDescent="0.2">
      <c r="B3" s="103" t="s">
        <v>38</v>
      </c>
      <c r="C3" s="391" t="s">
        <v>46</v>
      </c>
      <c r="D3" s="391"/>
      <c r="E3" s="391"/>
      <c r="G3" s="128" t="s">
        <v>650</v>
      </c>
      <c r="H3" s="187" t="s">
        <v>719</v>
      </c>
      <c r="J3" s="128" t="s">
        <v>651</v>
      </c>
      <c r="K3" s="187"/>
    </row>
    <row r="4" spans="1:13" hidden="1" x14ac:dyDescent="0.2">
      <c r="B4" s="103" t="s">
        <v>652</v>
      </c>
      <c r="C4" s="392" t="s">
        <v>62</v>
      </c>
      <c r="D4" s="392"/>
      <c r="E4" s="392"/>
      <c r="G4" s="103">
        <f>IFERROR(VALUE(LEFT($H$3,FIND(" ",$H$3))),"")</f>
        <v>185</v>
      </c>
      <c r="H4" s="103" t="str">
        <f>IFERROR(RIGHT(H3,LEN(H3)-LEN(G4)-1),"")</f>
        <v>bushel</v>
      </c>
      <c r="J4" s="128" t="s">
        <v>653</v>
      </c>
      <c r="K4" s="188" t="s">
        <v>654</v>
      </c>
    </row>
    <row r="5" spans="1:13" ht="15.75" hidden="1" customHeight="1" x14ac:dyDescent="0.2">
      <c r="B5" s="103" t="s">
        <v>655</v>
      </c>
      <c r="C5" s="103" t="str">
        <f ca="1">MID(CELL("filename",C5),FIND("]",CELL("filename",C5))+1,255)</f>
        <v>22-Corn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22-Corn, SmartStax RIB Complete, Eastern Nebraska, No Till, Continuous, 185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22-Corn, SmartStax RIB Complete, Eastern Nebraska, No Till, Continuous, 185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customHeight="1"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552</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943</v>
      </c>
      <c r="C17" s="174">
        <f>$G$4</f>
        <v>185</v>
      </c>
      <c r="D17" s="174"/>
      <c r="E17" s="109">
        <f>IF(B17=0,"",IF(C17&gt;9999,"",ROUND('General Variables'!$B$4*VLOOKUP(B17,Operations!$A$2:$U$79,10,FALSE)/VLOOKUP(B17,Operations!$A$2:$U$79,9,FALSE)*C17,2))/100)</f>
        <v>4.2264999999999997</v>
      </c>
      <c r="F17" s="109">
        <f>IF(B17=0,0,IF(C17&gt;9999,"",ROUND(IF(VLOOKUP(B17,Operations!$A$2:$U$79,12,FALSE)=0,VLOOKUP(B17,Operations!$A$2:$U$79,13,FALSE)*'General Variables'!$B$8,VLOOKUP(B17,Operations!$A$2:$U$79,12,FALSE)*'General Variables'!$B$7)/VLOOKUP(B17,Operations!$A$2:$U$79,9,FALSE)*C17,2))/100)</f>
        <v>4.7770999999999999</v>
      </c>
      <c r="G17" s="109">
        <f>IF(B17=0,0,IF(C17&gt;9999,"",ROUND(VLOOKUP(VLOOKUP(B17,Operations!$A$2:$U$79,11,FALSE),PowerUnits[],10,FALSE)/VLOOKUP(B17,Operations!$A$2:$U$79,9,FALSE)*C17,2))/100)</f>
        <v>7.3441999999999998</v>
      </c>
      <c r="H17" s="109">
        <f>IF(B17=0,"",IF(C17&gt;9999,"",ROUND(VLOOKUP($B17,Operations!$A$2:$U$79,15,FALSE)*C17,2))/100)</f>
        <v>1.742</v>
      </c>
      <c r="I17" s="109">
        <f>IF(B17=0,0,IF(C17&gt;9999,"",ROUND(VLOOKUP(VLOOKUP(B17,Operations!$A$2:$U$79,11,FALSE),PowerUnits[],16,FALSE)/VLOOKUP(B17,Operations!$A$2:$U$79,9,FALSE)*C17,2))/100)</f>
        <v>17.686800000000002</v>
      </c>
      <c r="J17" s="109">
        <f>IF(B17=0,"",IF(C17&gt;9999,"",ROUND(VLOOKUP($B17,Operations!$A$2:$U$79,21,FALSE)*$C17,2))/100)</f>
        <v>8.0586000000000002</v>
      </c>
      <c r="K17" s="109">
        <f>IF(C17&gt;9999,"",ROUND(SUM(E17:J17),2))</f>
        <v>43.84</v>
      </c>
      <c r="L17" s="110"/>
    </row>
    <row r="18" spans="1:12" x14ac:dyDescent="0.2">
      <c r="A18" s="170">
        <v>7</v>
      </c>
      <c r="B18" s="180" t="s">
        <v>414</v>
      </c>
      <c r="C18" s="174">
        <f>$G$4</f>
        <v>185</v>
      </c>
      <c r="D18" s="174" t="s">
        <v>706</v>
      </c>
      <c r="E18" s="109">
        <f>IF(B18=0,"",IF(C18&gt;9999,"",ROUND('General Variables'!$B$4*VLOOKUP(B18,Operations!$A$2:$U$79,10,FALSE)/VLOOKUP(B18,Operations!$A$2:$U$79,9,FALSE)*C18,2)))</f>
        <v>1.67</v>
      </c>
      <c r="F18" s="109">
        <f>IF(B18=0,0,IF(C18&gt;9999,"",ROUND(IF(VLOOKUP(B18,Operations!$A$2:$U$79,12,FALSE)=0,VLOOKUP(B18,Operations!$A$2:$U$79,13,FALSE)*'General Variables'!$B$8,VLOOKUP(B18,Operations!$A$2:$U$79,12,FALSE)*'General Variables'!$B$7)/VLOOKUP(B18,Operations!$A$2:$U$79,9,FALSE)*C18,2)))</f>
        <v>0.54</v>
      </c>
      <c r="G18" s="109">
        <f>IF(B18=0,0,IF(C18&gt;9999,"",ROUND(VLOOKUP(VLOOKUP(B18,Operations!$A$2:$U$79,11,FALSE),PowerUnits[],10,FALSE)/VLOOKUP(B18,Operations!$A$2:$U$79,9,FALSE)*C18,2)))</f>
        <v>0.05</v>
      </c>
      <c r="H18" s="109">
        <f>IF(B18=0,"",IF(C18&gt;9999,"",ROUND(VLOOKUP($B18,Operations!$A$2:$U$79,15,FALSE)*C18,2)))</f>
        <v>1.02</v>
      </c>
      <c r="I18" s="109">
        <f>IF(B18=0,0,IF(C18&gt;9999,"",ROUND(VLOOKUP(VLOOKUP(B18,Operations!$A$2:$U$79,11,FALSE),PowerUnits[],16,FALSE)/VLOOKUP(B18,Operations!$A$2:$U$79,9,FALSE)*C18,2)))</f>
        <v>2.4300000000000002</v>
      </c>
      <c r="J18" s="109">
        <f>IF(B18=0,"",IF(C18&gt;9999,"",ROUND(VLOOKUP($B18,Operations!$A$2:$U$79,21,FALSE)*$C18,2)))</f>
        <v>2.04</v>
      </c>
      <c r="K18" s="109">
        <f>IF(C18&gt;9999,"",ROUND(SUM(E18:J18),2))</f>
        <v>7.75</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x14ac:dyDescent="0.2">
      <c r="A20" s="170">
        <v>9</v>
      </c>
      <c r="B20" s="180" t="s">
        <v>496</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IF(C20&gt;9999,"",ROUND(SUM(E20:J20),2))</f>
        <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11.686500000000001</v>
      </c>
      <c r="F33" s="109">
        <f t="shared" ref="F33:K33" si="1">SUM(F12:F31)</f>
        <v>7.0471000000000004</v>
      </c>
      <c r="G33" s="109">
        <f t="shared" si="1"/>
        <v>7.5442</v>
      </c>
      <c r="H33" s="109">
        <f t="shared" si="1"/>
        <v>11.721999999999998</v>
      </c>
      <c r="I33" s="109">
        <f t="shared" si="1"/>
        <v>27.726800000000004</v>
      </c>
      <c r="J33" s="109">
        <f t="shared" si="1"/>
        <v>23.938600000000001</v>
      </c>
      <c r="K33" s="109">
        <f t="shared" si="1"/>
        <v>89.67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176">
        <v>1</v>
      </c>
      <c r="I38" s="120" t="str">
        <f>IF($B38=0,"",VLOOKUP($B38,Table2[],5,FALSE))</f>
        <v>pint</v>
      </c>
      <c r="J38" s="109">
        <f>IF($B38=0,"",VLOOKUP($B38,Table2[],7,FALSE))</f>
        <v>2.5</v>
      </c>
      <c r="K38" s="109">
        <f t="shared" ref="K38:K56" si="2">IF(B38=0,0,ROUND(G38*H38*J38,2))</f>
        <v>1.25</v>
      </c>
      <c r="L38" s="110"/>
    </row>
    <row r="39" spans="1:12" x14ac:dyDescent="0.2">
      <c r="A39" s="105"/>
      <c r="B39" s="180" t="s">
        <v>170</v>
      </c>
      <c r="C39" s="388" t="str">
        <f>IF(B39=0,"",VLOOKUP($B39,Table2[],2,FALSE))</f>
        <v>Additive</v>
      </c>
      <c r="D39" s="388"/>
      <c r="E39" s="388"/>
      <c r="F39" s="174">
        <v>1</v>
      </c>
      <c r="G39" s="175">
        <v>0.5</v>
      </c>
      <c r="H39" s="300">
        <v>1.7</v>
      </c>
      <c r="I39" s="120" t="str">
        <f>IF($B39=0,"",VLOOKUP($B39,Table2[],5,FALSE))</f>
        <v>pound</v>
      </c>
      <c r="J39" s="109">
        <f>IF($B39=0,"",VLOOKUP($B39,Table2[],7,FALSE))</f>
        <v>0.4</v>
      </c>
      <c r="K39" s="109">
        <f t="shared" si="2"/>
        <v>0.34</v>
      </c>
      <c r="L39" s="110"/>
    </row>
    <row r="40" spans="1:12" x14ac:dyDescent="0.2">
      <c r="A40" s="143"/>
      <c r="B40" s="213" t="s">
        <v>207</v>
      </c>
      <c r="C40" s="387" t="str">
        <f>IF(B40=0,"",VLOOKUP($B40,Table2[],2,FALSE))</f>
        <v>Fertilizer</v>
      </c>
      <c r="D40" s="387"/>
      <c r="E40" s="387"/>
      <c r="F40" s="214">
        <v>2</v>
      </c>
      <c r="G40" s="221">
        <v>1</v>
      </c>
      <c r="H40" s="301">
        <v>165</v>
      </c>
      <c r="I40" s="223" t="str">
        <f>IF($B40=0,"",VLOOKUP($B40,Table2[],5,FALSE))</f>
        <v>lbs N</v>
      </c>
      <c r="J40" s="215">
        <f>IF($B40=0,"",VLOOKUP($B40,Table2[],7,FALSE))</f>
        <v>0.5</v>
      </c>
      <c r="K40" s="215">
        <f t="shared" si="2"/>
        <v>82.5</v>
      </c>
      <c r="L40" s="216"/>
    </row>
    <row r="41" spans="1:12" x14ac:dyDescent="0.2">
      <c r="A41" s="105"/>
      <c r="B41" s="180" t="s">
        <v>232</v>
      </c>
      <c r="C41" s="388" t="str">
        <f>IF(B41=0,"",VLOOKUP($B41,Table2[],2,FALSE))</f>
        <v>Herbicide</v>
      </c>
      <c r="D41" s="388"/>
      <c r="E41" s="388"/>
      <c r="F41" s="174">
        <v>2</v>
      </c>
      <c r="G41" s="175">
        <v>1</v>
      </c>
      <c r="H41" s="176">
        <v>2.5</v>
      </c>
      <c r="I41" s="120" t="str">
        <f>IF($B41=0,"",VLOOKUP($B41,Table2[],5,FALSE))</f>
        <v>quart</v>
      </c>
      <c r="J41" s="109">
        <f>IF($B41=0,"",VLOOKUP($B41,Table2[],7,FALSE))</f>
        <v>21.25</v>
      </c>
      <c r="K41" s="109">
        <f t="shared" si="2"/>
        <v>53.13</v>
      </c>
      <c r="L41" s="110"/>
    </row>
    <row r="42" spans="1:12" x14ac:dyDescent="0.2">
      <c r="A42" s="105"/>
      <c r="B42" s="180" t="s">
        <v>329</v>
      </c>
      <c r="C42" s="388" t="str">
        <f>IF(B42=0,"",VLOOKUP($B42,Table2[],2,FALSE))</f>
        <v>Seed</v>
      </c>
      <c r="D42" s="388"/>
      <c r="E42" s="388"/>
      <c r="F42" s="174">
        <v>3</v>
      </c>
      <c r="G42" s="175">
        <v>1</v>
      </c>
      <c r="H42" s="300">
        <v>25.7</v>
      </c>
      <c r="I42" s="120" t="str">
        <f>IF($B42=0,"",VLOOKUP($B42,Table2[],5,FALSE))</f>
        <v>k seed</v>
      </c>
      <c r="J42" s="109">
        <f>IF($B42=0,"",VLOOKUP($B42,Table2[],7,FALSE))</f>
        <v>4.375</v>
      </c>
      <c r="K42" s="109">
        <f t="shared" si="2"/>
        <v>112.44</v>
      </c>
      <c r="L42" s="110"/>
    </row>
    <row r="43" spans="1:12" x14ac:dyDescent="0.2">
      <c r="A43" s="105"/>
      <c r="B43" s="180" t="s">
        <v>201</v>
      </c>
      <c r="C43" s="388" t="str">
        <f>IF(B43=0,"",VLOOKUP($B43,Table2[],2,FALSE))</f>
        <v>Fertilizer</v>
      </c>
      <c r="D43" s="388"/>
      <c r="E43" s="388"/>
      <c r="F43" s="174">
        <v>3</v>
      </c>
      <c r="G43" s="175">
        <v>1</v>
      </c>
      <c r="H43" s="176">
        <v>6</v>
      </c>
      <c r="I43" s="120" t="str">
        <f>IF($B43=0,"",VLOOKUP($B43,Table2[],5,FALSE))</f>
        <v>gallon</v>
      </c>
      <c r="J43" s="109">
        <f>IF($B43=0,"",VLOOKUP($B43,Table2[],7,FALSE))</f>
        <v>3.1</v>
      </c>
      <c r="K43" s="109">
        <f t="shared" si="2"/>
        <v>18.600000000000001</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2"/>
        <v>4.25</v>
      </c>
      <c r="L44" s="216"/>
    </row>
    <row r="45" spans="1:12" x14ac:dyDescent="0.2">
      <c r="A45" s="143"/>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2"/>
        <v>0.68</v>
      </c>
      <c r="L45" s="110"/>
    </row>
    <row r="46" spans="1:12" x14ac:dyDescent="0.2">
      <c r="A46" s="143"/>
      <c r="B46" s="180" t="s">
        <v>262</v>
      </c>
      <c r="C46" s="388" t="str">
        <f>IF(B46=0,"",VLOOKUP($B46,Table2[],2,FALSE))</f>
        <v>Herbicide</v>
      </c>
      <c r="D46" s="388"/>
      <c r="E46" s="388"/>
      <c r="F46" s="174">
        <v>4</v>
      </c>
      <c r="G46" s="175">
        <v>1</v>
      </c>
      <c r="H46" s="176">
        <v>3</v>
      </c>
      <c r="I46" s="120" t="str">
        <f>IF($B46=0,"",VLOOKUP($B46,Table2[],5,FALSE))</f>
        <v>ounce</v>
      </c>
      <c r="J46" s="109">
        <f>IF($B46=0,"",VLOOKUP($B46,Table2[],7,FALSE))</f>
        <v>6.25</v>
      </c>
      <c r="K46" s="109">
        <f t="shared" si="2"/>
        <v>18.75</v>
      </c>
      <c r="L46" s="110"/>
    </row>
    <row r="47" spans="1:12" x14ac:dyDescent="0.2">
      <c r="A47" s="143"/>
      <c r="B47" s="180" t="s">
        <v>200</v>
      </c>
      <c r="C47" s="388" t="str">
        <f>IF(B47=0,"",VLOOKUP($B47,Table2[],2,FALSE))</f>
        <v>Custom</v>
      </c>
      <c r="D47" s="388"/>
      <c r="E47" s="388"/>
      <c r="F47" s="174">
        <v>5</v>
      </c>
      <c r="G47" s="175">
        <v>0.2</v>
      </c>
      <c r="H47" s="176">
        <v>1</v>
      </c>
      <c r="I47" s="120" t="str">
        <f>IF($B47=0,"",VLOOKUP($B47,Table2[],5,FALSE))</f>
        <v>acre</v>
      </c>
      <c r="J47" s="109">
        <f>IF($B47=0,"",VLOOKUP($B47,Table2[],7,FALSE))</f>
        <v>9</v>
      </c>
      <c r="K47" s="109">
        <f t="shared" si="2"/>
        <v>1.8</v>
      </c>
      <c r="L47" s="110"/>
    </row>
    <row r="48" spans="1:12" x14ac:dyDescent="0.2">
      <c r="A48" s="143"/>
      <c r="B48" s="213" t="s">
        <v>286</v>
      </c>
      <c r="C48" s="387" t="str">
        <f>IF(B48=0,"",VLOOKUP($B48,Table2[],2,FALSE))</f>
        <v>Insecticide</v>
      </c>
      <c r="D48" s="387"/>
      <c r="E48" s="387"/>
      <c r="F48" s="214">
        <v>5</v>
      </c>
      <c r="G48" s="221">
        <v>0.1</v>
      </c>
      <c r="H48" s="222">
        <v>5.12</v>
      </c>
      <c r="I48" s="223" t="s">
        <v>174</v>
      </c>
      <c r="J48" s="215">
        <f>IF($B48=0,"",VLOOKUP($B48,Table2[],7,FALSE))</f>
        <v>1.015625</v>
      </c>
      <c r="K48" s="215">
        <f t="shared" si="2"/>
        <v>0.52</v>
      </c>
      <c r="L48" s="216"/>
    </row>
    <row r="49" spans="1:12" x14ac:dyDescent="0.2">
      <c r="A49" s="143"/>
      <c r="B49" s="180" t="s">
        <v>288</v>
      </c>
      <c r="C49" s="388" t="str">
        <f>IF(B49=0,"",VLOOKUP($B49,Table2[],2,FALSE))</f>
        <v>Insecticide</v>
      </c>
      <c r="D49" s="388"/>
      <c r="E49" s="388"/>
      <c r="F49" s="174">
        <v>5</v>
      </c>
      <c r="G49" s="175">
        <v>0.2</v>
      </c>
      <c r="H49" s="176">
        <v>3</v>
      </c>
      <c r="I49" s="120" t="s">
        <v>174</v>
      </c>
      <c r="J49" s="109">
        <f>IF($B49=0,"",VLOOKUP($B49,Table2[],7,FALSE))</f>
        <v>1.25</v>
      </c>
      <c r="K49" s="109">
        <f t="shared" ref="K49" si="3">IF(B49=0,0,ROUND(G49*H49*J49,2))</f>
        <v>0.75</v>
      </c>
      <c r="L49" s="110"/>
    </row>
    <row r="50" spans="1:12" x14ac:dyDescent="0.2">
      <c r="A50" s="105"/>
      <c r="B50" s="180" t="s">
        <v>198</v>
      </c>
      <c r="C50" s="388" t="str">
        <f>IF(B50=0,"",VLOOKUP($B50,Table2[],2,FALSE))</f>
        <v>Custom</v>
      </c>
      <c r="D50" s="388"/>
      <c r="E50" s="388"/>
      <c r="F50" s="174">
        <v>8</v>
      </c>
      <c r="G50" s="175">
        <v>1</v>
      </c>
      <c r="H50" s="176">
        <f>$G$4</f>
        <v>185</v>
      </c>
      <c r="I50" s="120" t="str">
        <f>IF($B50=0,"",VLOOKUP($B50,Table2[],5,FALSE))</f>
        <v>bushel</v>
      </c>
      <c r="J50" s="109">
        <f>IF($B50=0,"",VLOOKUP($B50,Table2[],7,FALSE))</f>
        <v>0.15</v>
      </c>
      <c r="K50" s="109">
        <f t="shared" si="2"/>
        <v>27.75</v>
      </c>
      <c r="L50" s="110"/>
    </row>
    <row r="51" spans="1:12" x14ac:dyDescent="0.2">
      <c r="B51" s="180" t="s">
        <v>190</v>
      </c>
      <c r="C51" s="388" t="str">
        <f>IF(B51=0,"",VLOOKUP($B51,Table2[],2,FALSE))</f>
        <v>Custom</v>
      </c>
      <c r="D51" s="388"/>
      <c r="E51" s="388"/>
      <c r="F51" s="174">
        <v>9</v>
      </c>
      <c r="G51" s="175">
        <v>0.2</v>
      </c>
      <c r="H51" s="176">
        <f>$G$4</f>
        <v>185</v>
      </c>
      <c r="I51" s="120" t="str">
        <f>IF($B51=0,"",VLOOKUP($B51,Table2[],5,FALSE))</f>
        <v>bushel</v>
      </c>
      <c r="J51" s="109">
        <f>IF($B51=0,"",VLOOKUP($B51,Table2[],7,FALSE))</f>
        <v>0.1</v>
      </c>
      <c r="K51" s="109">
        <f t="shared" si="2"/>
        <v>3.7</v>
      </c>
      <c r="L51" s="110"/>
    </row>
    <row r="52" spans="1:12" x14ac:dyDescent="0.2">
      <c r="B52" s="217" t="s">
        <v>309</v>
      </c>
      <c r="C52" s="387" t="str">
        <f>IF(B52=0,"",VLOOKUP($B52,Table2[],2,FALSE))</f>
        <v>Scouting</v>
      </c>
      <c r="D52" s="387"/>
      <c r="E52" s="387"/>
      <c r="F52" s="218"/>
      <c r="G52" s="224">
        <v>1</v>
      </c>
      <c r="H52" s="225">
        <v>1</v>
      </c>
      <c r="I52" s="223" t="str">
        <f>IF($B52=0,"",VLOOKUP($B52,Table2[],5,FALSE))</f>
        <v>acre</v>
      </c>
      <c r="J52" s="215">
        <f>IF($B52=0,"",VLOOKUP($B52,Table2[],7,FALSE))</f>
        <v>10</v>
      </c>
      <c r="K52" s="215">
        <f t="shared" si="2"/>
        <v>10</v>
      </c>
      <c r="L52" s="216"/>
    </row>
    <row r="53" spans="1: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1: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8</v>
      </c>
      <c r="K62" s="109">
        <f ca="1">IF(B62=0,0,J62)</f>
        <v>8</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 ca="1">SUM(K37:K62)</f>
        <v>346.59</v>
      </c>
      <c r="L64" s="110"/>
    </row>
    <row r="65" spans="2:12" x14ac:dyDescent="0.2">
      <c r="B65" s="144"/>
      <c r="K65" s="127"/>
    </row>
    <row r="66" spans="2:12" x14ac:dyDescent="0.2">
      <c r="B66" s="107" t="s">
        <v>672</v>
      </c>
      <c r="K66" s="127">
        <f ca="1">K33+K64</f>
        <v>436.26</v>
      </c>
      <c r="L66" s="110"/>
    </row>
    <row r="67" spans="2:12" ht="13.5" thickBot="1" x14ac:dyDescent="0.25">
      <c r="D67" s="128" t="s">
        <v>673</v>
      </c>
      <c r="E67" s="129">
        <f ca="1">ROUND(SUM($E$33:$H$33)+$K$64,2)</f>
        <v>384.59</v>
      </c>
      <c r="F67" s="388" t="s">
        <v>674</v>
      </c>
      <c r="G67" s="388"/>
      <c r="H67" s="130">
        <f>'General Variables'!$B$11</f>
        <v>7.4999999999999997E-2</v>
      </c>
      <c r="I67" s="131" t="str">
        <f>CONCATENATE("for ",TEXT('General Variables'!$B$12,"0.0")," mo.")</f>
        <v>for 6.0 mo.</v>
      </c>
      <c r="K67" s="132">
        <f ca="1">E67*H67*'General Variables'!$B$12/12</f>
        <v>14.422124999999999</v>
      </c>
      <c r="L67" s="133"/>
    </row>
    <row r="68" spans="2:12" ht="13.5" thickTop="1" x14ac:dyDescent="0.2">
      <c r="B68" s="107" t="s">
        <v>675</v>
      </c>
      <c r="K68" s="127">
        <f ca="1">SUM(K66:K67)</f>
        <v>450.68212499999998</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54</v>
      </c>
      <c r="D71" s="399"/>
      <c r="E71" s="400"/>
      <c r="F71" s="136">
        <f>IF(C71=0,0,VLOOKUP(C71,RETable,2,FALSE))</f>
        <v>8510</v>
      </c>
      <c r="G71" s="388" t="s">
        <v>678</v>
      </c>
      <c r="H71" s="388"/>
      <c r="I71" s="130">
        <f>'General Variables'!$B$10</f>
        <v>0.03</v>
      </c>
      <c r="K71" s="137">
        <f>ROUND(F71*I71,2)</f>
        <v>255.3</v>
      </c>
      <c r="L71" s="110"/>
    </row>
    <row r="72" spans="2:12" ht="13.5" thickBot="1" x14ac:dyDescent="0.25">
      <c r="B72" s="103" t="s">
        <v>679</v>
      </c>
      <c r="F72" s="138">
        <f>IF(C71=0,0,VLOOKUP(C71,RETable,2,FALSE))</f>
        <v>8510</v>
      </c>
      <c r="G72" s="397" t="s">
        <v>678</v>
      </c>
      <c r="H72" s="397"/>
      <c r="I72" s="139">
        <f>'General Variables'!$B$13</f>
        <v>1.2999999999999999E-2</v>
      </c>
      <c r="J72" s="105"/>
      <c r="K72" s="140">
        <f>ROUND(F72*I72,2)</f>
        <v>110.63</v>
      </c>
      <c r="L72" s="133"/>
    </row>
    <row r="73" spans="2:12" ht="13.5" thickTop="1" x14ac:dyDescent="0.2">
      <c r="B73" s="107" t="s">
        <v>680</v>
      </c>
      <c r="K73" s="127">
        <f ca="1">SUM(K68:K72)</f>
        <v>843.61212499999999</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2.9007682432432431</v>
      </c>
      <c r="L75" s="148"/>
    </row>
    <row r="76" spans="2:12" x14ac:dyDescent="0.2">
      <c r="B76" s="107" t="str">
        <f>IF(G4="","","Cost of production per "&amp;H4)</f>
        <v>Cost of production per bushel</v>
      </c>
      <c r="K76" s="141">
        <f ca="1">IF(G4="","",K73/G4)</f>
        <v>4.5600655405405401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67:G67"/>
    <mergeCell ref="C71:E71"/>
    <mergeCell ref="G71:H71"/>
    <mergeCell ref="G72:H72"/>
    <mergeCell ref="C57:E57"/>
    <mergeCell ref="C58:E58"/>
    <mergeCell ref="C59:E59"/>
    <mergeCell ref="C60:E60"/>
    <mergeCell ref="C61:E61"/>
    <mergeCell ref="C62:E62"/>
    <mergeCell ref="C56:E56"/>
    <mergeCell ref="C44:E44"/>
    <mergeCell ref="C45:E45"/>
    <mergeCell ref="C46:E46"/>
    <mergeCell ref="C47:E47"/>
    <mergeCell ref="C48:E48"/>
    <mergeCell ref="C50:E50"/>
    <mergeCell ref="C51:E51"/>
    <mergeCell ref="C52:E52"/>
    <mergeCell ref="C53:E53"/>
    <mergeCell ref="C54:E54"/>
    <mergeCell ref="C55:E55"/>
    <mergeCell ref="C49:E49"/>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K4" xr:uid="{00000000-0002-0000-1C00-000000000000}">
      <formula1>$K$112:$K$114</formula1>
    </dataValidation>
    <dataValidation type="list" showInputMessage="1" showErrorMessage="1" sqref="B63" xr:uid="{00000000-0002-0000-1C00-000001000000}">
      <formula1>$C$112:$C$235</formula1>
    </dataValidation>
    <dataValidation type="list" allowBlank="1" showInputMessage="1" showErrorMessage="1" sqref="B32" xr:uid="{00000000-0002-0000-1C00-000002000000}">
      <formula1>$B$112:$B$209</formula1>
    </dataValidation>
    <dataValidation type="list" allowBlank="1" showInputMessage="1" showErrorMessage="1" sqref="B37:B61" xr:uid="{00000000-0002-0000-1C00-000003000000}">
      <formula1>MaterialList</formula1>
    </dataValidation>
    <dataValidation type="list" allowBlank="1" showInputMessage="1" showErrorMessage="1" sqref="C71:E71" xr:uid="{00000000-0002-0000-1C00-000004000000}">
      <formula1>RealEstateList</formula1>
    </dataValidation>
    <dataValidation type="list" allowBlank="1" showInputMessage="1" showErrorMessage="1" sqref="B12:B31" xr:uid="{00000000-0002-0000-1C00-000005000000}">
      <formula1>OperationList</formula1>
    </dataValidation>
    <dataValidation type="list" allowBlank="1" showInputMessage="1" showErrorMessage="1" sqref="D12:D32" xr:uid="{00000000-0002-0000-1C00-000006000000}">
      <formula1>#REF!</formula1>
    </dataValidation>
    <dataValidation type="list" allowBlank="1" showInputMessage="1" showErrorMessage="1" sqref="K2" xr:uid="{00000000-0002-0000-1C00-000007000000}">
      <formula1>watersource</formula1>
    </dataValidation>
    <dataValidation type="list" allowBlank="1" showInputMessage="1" showErrorMessage="1" sqref="C3" xr:uid="{00000000-0002-0000-1C00-000008000000}">
      <formula1>TillageSystem</formula1>
    </dataValidation>
  </dataValidations>
  <pageMargins left="0.7" right="0.7" top="0.75" bottom="0.75" header="0.3" footer="0.3"/>
  <pageSetup scale="71" orientation="portrait" r:id="rId1"/>
  <ignoredErrors>
    <ignoredError sqref="C17" unlockedFormula="1"/>
    <ignoredError sqref="E17:J17"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8">
    <pageSetUpPr fitToPage="1"/>
  </sheetPr>
  <dimension ref="A2:M256"/>
  <sheetViews>
    <sheetView zoomScale="73" zoomScaleNormal="73" workbookViewId="0">
      <selection activeCell="G50" sqref="G50"/>
    </sheetView>
  </sheetViews>
  <sheetFormatPr defaultColWidth="9.140625" defaultRowHeight="12.75" x14ac:dyDescent="0.2"/>
  <cols>
    <col min="1" max="1" width="5.140625" style="103" customWidth="1"/>
    <col min="2" max="2" width="27.28515625" style="103" customWidth="1"/>
    <col min="3" max="3" width="7.28515625" style="103" customWidth="1"/>
    <col min="4" max="4" width="5.85546875" style="103" customWidth="1"/>
    <col min="5" max="5" width="10.28515625" style="103" customWidth="1"/>
    <col min="6" max="6" width="12.7109375" style="103" customWidth="1"/>
    <col min="7" max="7" width="10.28515625" style="103" customWidth="1"/>
    <col min="8" max="8" width="8.7109375" style="103" customWidth="1"/>
    <col min="9" max="9" width="8.140625" style="103" customWidth="1"/>
    <col min="10" max="11" width="10.140625" style="103" customWidth="1"/>
    <col min="12" max="12" width="11.28515625" style="103" customWidth="1"/>
    <col min="13" max="16384" width="9.140625" style="103"/>
  </cols>
  <sheetData>
    <row r="2" spans="1:13" ht="14.25" hidden="1" customHeight="1" x14ac:dyDescent="0.2">
      <c r="B2" s="103" t="s">
        <v>20</v>
      </c>
      <c r="C2" s="187"/>
      <c r="D2" s="187"/>
      <c r="E2" s="187"/>
      <c r="F2" s="128" t="s">
        <v>648</v>
      </c>
      <c r="G2" s="392" t="s">
        <v>932</v>
      </c>
      <c r="H2" s="392"/>
      <c r="J2" s="128" t="s">
        <v>649</v>
      </c>
      <c r="K2" s="401" t="s">
        <v>74</v>
      </c>
      <c r="L2" s="401"/>
    </row>
    <row r="3" spans="1:13" hidden="1" x14ac:dyDescent="0.2">
      <c r="B3" s="103" t="s">
        <v>38</v>
      </c>
      <c r="C3" s="391" t="s">
        <v>46</v>
      </c>
      <c r="D3" s="391"/>
      <c r="E3" s="391"/>
      <c r="G3" s="128" t="s">
        <v>650</v>
      </c>
      <c r="H3" s="187" t="s">
        <v>721</v>
      </c>
      <c r="J3" s="128" t="s">
        <v>651</v>
      </c>
      <c r="K3" s="187"/>
    </row>
    <row r="4" spans="1:13" hidden="1" x14ac:dyDescent="0.2">
      <c r="B4" s="103" t="s">
        <v>652</v>
      </c>
      <c r="C4" s="392" t="s">
        <v>722</v>
      </c>
      <c r="D4" s="392"/>
      <c r="E4" s="392"/>
      <c r="G4" s="103">
        <f>IFERROR(VALUE(LEFT($H$3,FIND(" ",$H$3))),"")</f>
        <v>145</v>
      </c>
      <c r="H4" s="103" t="str">
        <f>IFERROR(RIGHT(H3,LEN(H3)-LEN(G4)-1),"")</f>
        <v>bushel</v>
      </c>
      <c r="J4" s="128" t="s">
        <v>653</v>
      </c>
      <c r="K4" s="188" t="s">
        <v>681</v>
      </c>
    </row>
    <row r="5" spans="1:13" ht="15.75" hidden="1" customHeight="1" x14ac:dyDescent="0.2">
      <c r="B5" s="103" t="s">
        <v>655</v>
      </c>
      <c r="C5" s="103" t="str">
        <f ca="1">MID(CELL("filename",C5),FIND("]",CELL("filename",C5))+1,255)</f>
        <v>23-Corn</v>
      </c>
      <c r="E5" s="103">
        <f ca="1">VLOOKUP($C$5,CropInsurance,5,FALSE)</f>
        <v>13</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23-Corn, RR, Bt, ECB, &amp; RIB, No Till, after Beans, 145 bushel Yield, Dryland</v>
      </c>
      <c r="B6" s="390"/>
      <c r="C6" s="390"/>
      <c r="D6" s="390"/>
      <c r="E6" s="390"/>
      <c r="F6" s="390"/>
      <c r="G6" s="390"/>
      <c r="H6" s="390"/>
      <c r="I6" s="390"/>
      <c r="J6" s="390"/>
      <c r="K6" s="390"/>
      <c r="L6" s="390"/>
      <c r="M6" s="390"/>
    </row>
    <row r="7" spans="1:13" ht="30" customHeight="1" x14ac:dyDescent="0.25">
      <c r="B7" s="390" t="str">
        <f ca="1">'General Variables'!$B$3 &amp; " Budget " &amp; REPLACE(CELL("filename",$A$1),1,FIND("]",CELL("filename",$A$1)),"") &amp;  IF($G$2="","", ", " &amp; $G$2 ) &amp; IF($C$2="","",", "&amp;$C$2) &amp; IF($C$3="","",", "&amp;$C$3) &amp; IF($C$4="","",", "&amp;$C$4) &amp; IF($H$3="","",", "&amp;$H$3 &amp; " Yield")</f>
        <v>2025 Budget 23-Corn, RR, Bt, ECB, &amp; RIB, No Till, after Beans, 145 bushel Yield</v>
      </c>
      <c r="C7" s="390"/>
      <c r="D7" s="390"/>
      <c r="E7" s="390"/>
      <c r="F7" s="390"/>
      <c r="G7" s="390"/>
      <c r="H7" s="390"/>
      <c r="I7" s="390"/>
      <c r="J7" s="390"/>
      <c r="K7" s="390"/>
      <c r="L7" s="390"/>
      <c r="M7" s="186"/>
    </row>
    <row r="8" spans="1:13" ht="15.75" x14ac:dyDescent="0.25">
      <c r="B8" s="189" t="str">
        <f>IF(K2="","",K2)&amp;IF(LEFT(K2,5)="Pivot",", 800 GPM 35 PSI","") &amp; IF(K3="","",", "&amp; K3&amp;" "&amp;J3)</f>
        <v>Dryland</v>
      </c>
    </row>
    <row r="10" spans="1:13" s="107" customFormat="1" ht="30"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4.95" customHeight="1" thickBot="1" x14ac:dyDescent="0.25">
      <c r="B11" s="395"/>
      <c r="C11" s="386"/>
      <c r="D11" s="171" t="s">
        <v>352</v>
      </c>
      <c r="E11" s="386"/>
      <c r="F11" s="386"/>
      <c r="G11" s="173" t="s">
        <v>662</v>
      </c>
      <c r="H11" s="173" t="s">
        <v>663</v>
      </c>
      <c r="I11" s="173" t="s">
        <v>662</v>
      </c>
      <c r="J11" s="173" t="s">
        <v>663</v>
      </c>
      <c r="K11" s="396"/>
      <c r="L11" s="386"/>
    </row>
    <row r="12" spans="1:13" ht="13.5" customHeight="1"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943</v>
      </c>
      <c r="C18" s="174">
        <f>$G$4</f>
        <v>145</v>
      </c>
      <c r="D18" s="174"/>
      <c r="E18" s="109">
        <f>IF(B18=0,"",IF(C18&gt;9999,"",ROUND('General Variables'!$B$4*VLOOKUP(B18,Operations!$A$2:$U$79,10,FALSE)/VLOOKUP(B18,Operations!$A$2:$U$79,9,FALSE)*C18,2))/100)</f>
        <v>3.3127</v>
      </c>
      <c r="F18" s="109">
        <f>IF(B18=0,0,IF(C18&gt;9999,"",ROUND(IF(VLOOKUP(B18,Operations!$A$2:$U$79,12,FALSE)=0,VLOOKUP(B18,Operations!$A$2:$U$79,13,FALSE)*'General Variables'!$B$8,VLOOKUP(B18,Operations!$A$2:$U$79,12,FALSE)*'General Variables'!$B$7)/VLOOKUP(B18,Operations!$A$2:$U$79,9,FALSE)*C18,2))/100)</f>
        <v>3.7442000000000002</v>
      </c>
      <c r="G18" s="109">
        <f>IF(B18=0,0,IF(C18&gt;9999,"",ROUND(VLOOKUP(VLOOKUP(B18,Operations!$A$2:$U$79,11,FALSE),PowerUnits[],10,FALSE)/VLOOKUP(B18,Operations!$A$2:$U$79,9,FALSE)*C18,2))/100)</f>
        <v>5.7562999999999995</v>
      </c>
      <c r="H18" s="109">
        <f>IF(B18=0,"",IF(C18&gt;9999,"",ROUND(VLOOKUP($B18,Operations!$A$2:$U$79,15,FALSE)*C18,2))/100)</f>
        <v>1.3653999999999999</v>
      </c>
      <c r="I18" s="109">
        <f>IF(B18=0,0,IF(C18&gt;9999,"",ROUND(VLOOKUP(VLOOKUP(B18,Operations!$A$2:$U$79,11,FALSE),PowerUnits[],16,FALSE)/VLOOKUP(B18,Operations!$A$2:$U$79,9,FALSE)*C18,2))/100)</f>
        <v>13.8626</v>
      </c>
      <c r="J18" s="109">
        <f>IF(B18=0,"",IF(C18&gt;9999,"",ROUND(VLOOKUP($B18,Operations!$A$2:$U$79,21,FALSE)*$C18,2))/100)</f>
        <v>6.3162000000000003</v>
      </c>
      <c r="K18" s="109">
        <f>IF(C18&gt;9999,"",ROUND(SUM(E18:J18),2))</f>
        <v>34.36</v>
      </c>
      <c r="L18" s="110"/>
    </row>
    <row r="19" spans="1:12" x14ac:dyDescent="0.2">
      <c r="A19" s="170">
        <v>8</v>
      </c>
      <c r="B19" s="213" t="s">
        <v>414</v>
      </c>
      <c r="C19" s="214">
        <f>$G$4</f>
        <v>145</v>
      </c>
      <c r="D19" s="214" t="s">
        <v>706</v>
      </c>
      <c r="E19" s="215">
        <f>IF(B19=0,"",IF(C19&gt;9999,"",ROUND('General Variables'!$B$4*VLOOKUP(B19,Operations!$A$2:$U$79,10,FALSE)/VLOOKUP(B19,Operations!$A$2:$U$79,9,FALSE)*C19,2)))</f>
        <v>1.31</v>
      </c>
      <c r="F19" s="215">
        <f>IF(B19=0,0,IF(C19&gt;9999,"",ROUND(IF(VLOOKUP(B19,Operations!$A$2:$U$79,12,FALSE)=0,VLOOKUP(B19,Operations!$A$2:$U$79,13,FALSE)*'General Variables'!$B$8,VLOOKUP(B19,Operations!$A$2:$U$79,12,FALSE)*'General Variables'!$B$7)/VLOOKUP(B19,Operations!$A$2:$U$79,9,FALSE)*C19,2)))</f>
        <v>0.42</v>
      </c>
      <c r="G19" s="215">
        <f>IF(B19=0,0,IF(C19&gt;9999,"",ROUND(VLOOKUP(VLOOKUP(B19,Operations!$A$2:$U$79,11,FALSE),PowerUnits[],10,FALSE)/VLOOKUP(B19,Operations!$A$2:$U$79,9,FALSE)*C19,2)))</f>
        <v>0.04</v>
      </c>
      <c r="H19" s="215">
        <f>IF(B19=0,"",IF(C19&gt;9999,"",ROUND(VLOOKUP($B19,Operations!$A$2:$U$79,15,FALSE)*C19,2)))</f>
        <v>0.8</v>
      </c>
      <c r="I19" s="215">
        <f>IF(B19=0,0,IF(C19&gt;9999,"",ROUND(VLOOKUP(VLOOKUP(B19,Operations!$A$2:$U$79,11,FALSE),PowerUnits[],16,FALSE)/VLOOKUP(B19,Operations!$A$2:$U$79,9,FALSE)*C19,2)))</f>
        <v>1.9</v>
      </c>
      <c r="J19" s="215">
        <f>IF(B19=0,"",IF(C19&gt;9999,"",ROUND(VLOOKUP($B19,Operations!$A$2:$U$79,21,FALSE)*$C19,2)))</f>
        <v>1.6</v>
      </c>
      <c r="K19" s="215">
        <f t="shared" si="0"/>
        <v>6.07</v>
      </c>
      <c r="L19" s="216"/>
    </row>
    <row r="20" spans="1:12" x14ac:dyDescent="0.2">
      <c r="A20" s="170">
        <v>9</v>
      </c>
      <c r="B20" s="180" t="s">
        <v>565</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496</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11.432700000000001</v>
      </c>
      <c r="F33" s="109">
        <f t="shared" ref="F33:K33" si="1">SUM(F12:F31)</f>
        <v>6.1542000000000003</v>
      </c>
      <c r="G33" s="109">
        <f t="shared" si="1"/>
        <v>5.9762999999999993</v>
      </c>
      <c r="H33" s="109">
        <f t="shared" si="1"/>
        <v>12.235399999999998</v>
      </c>
      <c r="I33" s="109">
        <f t="shared" si="1"/>
        <v>24.682600000000001</v>
      </c>
      <c r="J33" s="109">
        <f t="shared" si="1"/>
        <v>23.776200000000003</v>
      </c>
      <c r="K33" s="109">
        <f t="shared" si="1"/>
        <v>84.259999999999991</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300">
        <v>1</v>
      </c>
      <c r="I38" s="120" t="str">
        <f>IF($B38=0,"",VLOOKUP($B38,Table2[],5,FALSE))</f>
        <v>pint</v>
      </c>
      <c r="J38" s="109">
        <f>IF($B38=0,"",VLOOKUP($B38,Table2[],7,FALSE))</f>
        <v>2.5</v>
      </c>
      <c r="K38" s="109">
        <f t="shared" ref="K38:K55" si="2">IF(B38=0,0,ROUND(G38*H38*J38,2))</f>
        <v>1.25</v>
      </c>
      <c r="L38" s="110"/>
    </row>
    <row r="39" spans="1:12" x14ac:dyDescent="0.2">
      <c r="A39" s="105"/>
      <c r="B39" s="180" t="s">
        <v>170</v>
      </c>
      <c r="C39" s="388" t="str">
        <f>IF(B39=0,"",VLOOKUP($B39,Table2[],2,FALSE))</f>
        <v>Additive</v>
      </c>
      <c r="D39" s="388"/>
      <c r="E39" s="388"/>
      <c r="F39" s="174">
        <v>1</v>
      </c>
      <c r="G39" s="175">
        <v>0.5</v>
      </c>
      <c r="H39" s="300">
        <v>1.7</v>
      </c>
      <c r="I39" s="120" t="str">
        <f>IF($B39=0,"",VLOOKUP($B39,Table2[],5,FALSE))</f>
        <v>pound</v>
      </c>
      <c r="J39" s="109">
        <f>IF($B39=0,"",VLOOKUP($B39,Table2[],7,FALSE))</f>
        <v>0.4</v>
      </c>
      <c r="K39" s="109">
        <f t="shared" si="2"/>
        <v>0.34</v>
      </c>
      <c r="L39" s="110"/>
    </row>
    <row r="40" spans="1:12" x14ac:dyDescent="0.2">
      <c r="A40" s="105"/>
      <c r="B40" s="213" t="s">
        <v>207</v>
      </c>
      <c r="C40" s="387" t="str">
        <f>IF(B40=0,"",VLOOKUP($B40,Table2[],2,FALSE))</f>
        <v>Fertilizer</v>
      </c>
      <c r="D40" s="387"/>
      <c r="E40" s="387"/>
      <c r="F40" s="214">
        <v>2</v>
      </c>
      <c r="G40" s="221">
        <v>1</v>
      </c>
      <c r="H40" s="301">
        <v>80</v>
      </c>
      <c r="I40" s="223" t="str">
        <f>IF($B40=0,"",VLOOKUP($B40,Table2[],5,FALSE))</f>
        <v>lbs N</v>
      </c>
      <c r="J40" s="215">
        <f>IF($B40=0,"",VLOOKUP($B40,Table2[],7,FALSE))</f>
        <v>0.5</v>
      </c>
      <c r="K40" s="215">
        <f t="shared" si="2"/>
        <v>40</v>
      </c>
      <c r="L40" s="216"/>
    </row>
    <row r="41" spans="1:12" x14ac:dyDescent="0.2">
      <c r="A41" s="105"/>
      <c r="B41" s="180" t="s">
        <v>323</v>
      </c>
      <c r="C41" s="388" t="str">
        <f>IF(B41=0,"",VLOOKUP($B41,Table2[],2,FALSE))</f>
        <v>Seed</v>
      </c>
      <c r="D41" s="388"/>
      <c r="E41" s="388"/>
      <c r="F41" s="174">
        <v>3</v>
      </c>
      <c r="G41" s="175">
        <v>1</v>
      </c>
      <c r="H41" s="300">
        <v>20.100000000000001</v>
      </c>
      <c r="I41" s="120" t="str">
        <f>IF($B41=0,"",VLOOKUP($B41,Table2[],5,FALSE))</f>
        <v>k seed</v>
      </c>
      <c r="J41" s="109">
        <f>IF($B41=0,"",VLOOKUP($B41,Table2[],7,FALSE))</f>
        <v>3.875</v>
      </c>
      <c r="K41" s="109">
        <f t="shared" si="2"/>
        <v>77.89</v>
      </c>
      <c r="L41" s="110"/>
    </row>
    <row r="42" spans="1:12" x14ac:dyDescent="0.2">
      <c r="A42" s="105"/>
      <c r="B42" s="180" t="s">
        <v>201</v>
      </c>
      <c r="C42" s="388" t="str">
        <f>IF(B42=0,"",VLOOKUP($B42,Table2[],2,FALSE))</f>
        <v>Fertilizer</v>
      </c>
      <c r="D42" s="388"/>
      <c r="E42" s="388"/>
      <c r="F42" s="174">
        <v>3</v>
      </c>
      <c r="G42" s="175">
        <v>1</v>
      </c>
      <c r="H42" s="176">
        <v>6</v>
      </c>
      <c r="I42" s="120" t="str">
        <f>IF($B42=0,"",VLOOKUP($B42,Table2[],5,FALSE))</f>
        <v>gallon</v>
      </c>
      <c r="J42" s="109">
        <f>IF($B42=0,"",VLOOKUP($B42,Table2[],7,FALSE))</f>
        <v>3.1</v>
      </c>
      <c r="K42" s="109">
        <f t="shared" si="2"/>
        <v>18.600000000000001</v>
      </c>
      <c r="L42" s="110"/>
    </row>
    <row r="43" spans="1:12" x14ac:dyDescent="0.2">
      <c r="A43" s="105"/>
      <c r="B43" s="180" t="s">
        <v>232</v>
      </c>
      <c r="C43" s="388" t="str">
        <f>IF(B43=0,"",VLOOKUP($B43,Table2[],2,FALSE))</f>
        <v>Herbicide</v>
      </c>
      <c r="D43" s="388"/>
      <c r="E43" s="388"/>
      <c r="F43" s="174">
        <v>4</v>
      </c>
      <c r="G43" s="175">
        <v>1</v>
      </c>
      <c r="H43" s="176">
        <v>2.5</v>
      </c>
      <c r="I43" s="120" t="str">
        <f>IF($B43=0,"",VLOOKUP($B43,Table2[],5,FALSE))</f>
        <v>quart</v>
      </c>
      <c r="J43" s="109">
        <f>IF($B43=0,"",VLOOKUP($B43,Table2[],7,FALSE))</f>
        <v>21.25</v>
      </c>
      <c r="K43" s="109">
        <f t="shared" si="2"/>
        <v>53.13</v>
      </c>
      <c r="L43" s="110"/>
    </row>
    <row r="44" spans="1:12" x14ac:dyDescent="0.2">
      <c r="A44" s="105"/>
      <c r="B44" s="213" t="s">
        <v>177</v>
      </c>
      <c r="C44" s="387" t="str">
        <f>IF(B44=0,"",VLOOKUP($B44,Table2[],2,FALSE))</f>
        <v>Additive</v>
      </c>
      <c r="D44" s="387"/>
      <c r="E44" s="387"/>
      <c r="F44" s="214">
        <v>4</v>
      </c>
      <c r="G44" s="221">
        <v>1</v>
      </c>
      <c r="H44" s="222">
        <v>1.6</v>
      </c>
      <c r="I44" s="223" t="str">
        <f>IF($B44=0,"",VLOOKUP($B44,Table2[],5,FALSE))</f>
        <v>pint</v>
      </c>
      <c r="J44" s="215">
        <f>IF($B44=0,"",VLOOKUP($B44,Table2[],7,FALSE))</f>
        <v>1.875</v>
      </c>
      <c r="K44" s="215">
        <f t="shared" si="2"/>
        <v>3</v>
      </c>
      <c r="L44" s="216"/>
    </row>
    <row r="45" spans="1:12" x14ac:dyDescent="0.2">
      <c r="A45" s="105"/>
      <c r="B45" s="180" t="s">
        <v>170</v>
      </c>
      <c r="C45" s="388" t="str">
        <f>IF(B45=0,"",VLOOKUP($B45,Table2[],2,FALSE))</f>
        <v>Additive</v>
      </c>
      <c r="D45" s="388"/>
      <c r="E45" s="388"/>
      <c r="F45" s="174">
        <v>4</v>
      </c>
      <c r="G45" s="175">
        <v>1</v>
      </c>
      <c r="H45" s="176">
        <v>2.5</v>
      </c>
      <c r="I45" s="120" t="str">
        <f>IF($B45=0,"",VLOOKUP($B45,Table2[],5,FALSE))</f>
        <v>pound</v>
      </c>
      <c r="J45" s="109">
        <f>IF($B45=0,"",VLOOKUP($B45,Table2[],7,FALSE))</f>
        <v>0.4</v>
      </c>
      <c r="K45" s="109">
        <f t="shared" si="2"/>
        <v>1</v>
      </c>
      <c r="L45" s="110"/>
    </row>
    <row r="46" spans="1:12" x14ac:dyDescent="0.2">
      <c r="A46" s="143"/>
      <c r="B46" s="180" t="s">
        <v>276</v>
      </c>
      <c r="C46" s="388" t="str">
        <f>IF(B46=0,"",VLOOKUP($B46,Table2[],2,FALSE))</f>
        <v>Herbicide</v>
      </c>
      <c r="D46" s="388"/>
      <c r="E46" s="388"/>
      <c r="F46" s="174">
        <v>5</v>
      </c>
      <c r="G46" s="175">
        <v>1</v>
      </c>
      <c r="H46" s="176">
        <v>5</v>
      </c>
      <c r="I46" s="120" t="str">
        <f>IF($B46=0,"",VLOOKUP($B46,Table2[],5,FALSE))</f>
        <v>ounce</v>
      </c>
      <c r="J46" s="109">
        <f>IF($B46=0,"",VLOOKUP($B46,Table2[],7,FALSE))</f>
        <v>5.5</v>
      </c>
      <c r="K46" s="109">
        <f t="shared" si="2"/>
        <v>27.5</v>
      </c>
      <c r="L46" s="110"/>
    </row>
    <row r="47" spans="1:12" x14ac:dyDescent="0.2">
      <c r="B47" s="180" t="s">
        <v>889</v>
      </c>
      <c r="C47" s="388" t="str">
        <f>IF(B47=0,"",VLOOKUP($B47,Table2[],2,FALSE))</f>
        <v>Herbicide</v>
      </c>
      <c r="D47" s="388"/>
      <c r="E47" s="388"/>
      <c r="F47" s="174">
        <v>5</v>
      </c>
      <c r="G47" s="175">
        <v>1</v>
      </c>
      <c r="H47" s="176">
        <v>32</v>
      </c>
      <c r="I47" s="120" t="str">
        <f>IF($B47=0,"",VLOOKUP($B47,Table2[],5,FALSE))</f>
        <v>ounce</v>
      </c>
      <c r="J47" s="109">
        <f>IF($B47=0,"",VLOOKUP($B47,Table2[],7,FALSE))</f>
        <v>0.1953125</v>
      </c>
      <c r="K47" s="109">
        <f t="shared" si="2"/>
        <v>6.25</v>
      </c>
      <c r="L47" s="110"/>
    </row>
    <row r="48" spans="1:12" x14ac:dyDescent="0.2">
      <c r="B48" s="213" t="s">
        <v>177</v>
      </c>
      <c r="C48" s="387" t="str">
        <f>IF(B48=0,"",VLOOKUP($B48,Table2[],2,FALSE))</f>
        <v>Additive</v>
      </c>
      <c r="D48" s="387"/>
      <c r="E48" s="387"/>
      <c r="F48" s="214">
        <v>5</v>
      </c>
      <c r="G48" s="221">
        <v>1</v>
      </c>
      <c r="H48" s="222">
        <v>1</v>
      </c>
      <c r="I48" s="223" t="str">
        <f>IF($B48=0,"",VLOOKUP($B48,Table2[],5,FALSE))</f>
        <v>pint</v>
      </c>
      <c r="J48" s="215">
        <f>IF($B48=0,"",VLOOKUP($B48,Table2[],7,FALSE))</f>
        <v>1.875</v>
      </c>
      <c r="K48" s="215">
        <f t="shared" ref="K48:K53" si="3">IF(B48=0,0,ROUND(G48*H48*J48,2))</f>
        <v>1.88</v>
      </c>
      <c r="L48" s="216"/>
    </row>
    <row r="49" spans="1:12" x14ac:dyDescent="0.2">
      <c r="B49" s="180" t="s">
        <v>182</v>
      </c>
      <c r="C49" s="388" t="str">
        <f>IF(B49=0,"",VLOOKUP($B49,Table2[],2,FALSE))</f>
        <v>Additive</v>
      </c>
      <c r="D49" s="388"/>
      <c r="E49" s="388"/>
      <c r="F49" s="174">
        <v>5</v>
      </c>
      <c r="G49" s="175">
        <v>1</v>
      </c>
      <c r="H49" s="176">
        <v>3</v>
      </c>
      <c r="I49" s="120" t="str">
        <f>IF($B49=0,"",VLOOKUP($B49,Table2[],5,FALSE))</f>
        <v>pint</v>
      </c>
      <c r="J49" s="109">
        <f>IF($B49=0,"",VLOOKUP($B49,Table2[],7,FALSE))</f>
        <v>0.22500000000000001</v>
      </c>
      <c r="K49" s="109">
        <f t="shared" si="3"/>
        <v>0.68</v>
      </c>
      <c r="L49" s="110"/>
    </row>
    <row r="50" spans="1:12" x14ac:dyDescent="0.2">
      <c r="A50" s="143"/>
      <c r="B50" s="180" t="s">
        <v>200</v>
      </c>
      <c r="C50" s="388" t="str">
        <f>IF(B50=0,"",VLOOKUP($B50,Table2[],2,FALSE))</f>
        <v>Custom</v>
      </c>
      <c r="D50" s="388"/>
      <c r="E50" s="388"/>
      <c r="F50" s="174">
        <v>6</v>
      </c>
      <c r="G50" s="175">
        <v>0.2</v>
      </c>
      <c r="H50" s="176">
        <v>1</v>
      </c>
      <c r="I50" s="120" t="str">
        <f>IF($B50=0,"",VLOOKUP($B50,Table2[],5,FALSE))</f>
        <v>acre</v>
      </c>
      <c r="J50" s="109">
        <f>IF($B50=0,"",VLOOKUP($B50,Table2[],7,FALSE))</f>
        <v>9</v>
      </c>
      <c r="K50" s="109">
        <f t="shared" si="3"/>
        <v>1.8</v>
      </c>
      <c r="L50" s="110"/>
    </row>
    <row r="51" spans="1:12" x14ac:dyDescent="0.2">
      <c r="A51" s="143" t="s">
        <v>638</v>
      </c>
      <c r="B51" s="180" t="s">
        <v>286</v>
      </c>
      <c r="C51" s="388" t="str">
        <f>IF(B51=0,"",VLOOKUP($B51,Table2[],2,FALSE))</f>
        <v>Insecticide</v>
      </c>
      <c r="D51" s="388"/>
      <c r="E51" s="388"/>
      <c r="F51" s="174">
        <v>6</v>
      </c>
      <c r="G51" s="175">
        <v>0.1</v>
      </c>
      <c r="H51" s="176">
        <v>5.12</v>
      </c>
      <c r="I51" s="120" t="str">
        <f>IF($B51=0,"",VLOOKUP($B51,Table2[],5,FALSE))</f>
        <v>ounce</v>
      </c>
      <c r="J51" s="109">
        <f>IF($B51=0,"",VLOOKUP($B51,Table2[],7,FALSE))</f>
        <v>1.015625</v>
      </c>
      <c r="K51" s="109">
        <f t="shared" si="3"/>
        <v>0.52</v>
      </c>
      <c r="L51" s="110"/>
    </row>
    <row r="52" spans="1:12" x14ac:dyDescent="0.2">
      <c r="A52" s="143" t="s">
        <v>638</v>
      </c>
      <c r="B52" s="213" t="s">
        <v>288</v>
      </c>
      <c r="C52" s="387" t="str">
        <f>IF(B52=0,"",VLOOKUP($B52,Table2[],2,FALSE))</f>
        <v>Insecticide</v>
      </c>
      <c r="D52" s="387"/>
      <c r="E52" s="387"/>
      <c r="F52" s="214">
        <v>6</v>
      </c>
      <c r="G52" s="221">
        <v>0.2</v>
      </c>
      <c r="H52" s="222">
        <v>3</v>
      </c>
      <c r="I52" s="223" t="str">
        <f>IF($B52=0,"",VLOOKUP($B52,Table2[],5,FALSE))</f>
        <v>ounce</v>
      </c>
      <c r="J52" s="215">
        <f>IF($B52=0,"",VLOOKUP($B52,Table2[],7,FALSE))</f>
        <v>1.25</v>
      </c>
      <c r="K52" s="215">
        <f t="shared" si="3"/>
        <v>0.75</v>
      </c>
      <c r="L52" s="216"/>
    </row>
    <row r="53" spans="1:12" x14ac:dyDescent="0.2">
      <c r="B53" s="180" t="s">
        <v>198</v>
      </c>
      <c r="C53" s="388" t="str">
        <f>IF(B53=0,"",VLOOKUP($B53,Table2[],2,FALSE))</f>
        <v>Custom</v>
      </c>
      <c r="D53" s="388"/>
      <c r="E53" s="388"/>
      <c r="F53" s="174">
        <v>9</v>
      </c>
      <c r="G53" s="175">
        <v>1</v>
      </c>
      <c r="H53" s="176">
        <f>$G$4</f>
        <v>145</v>
      </c>
      <c r="I53" s="120" t="str">
        <f>IF($B53=0,"",VLOOKUP($B53,Table2[],5,FALSE))</f>
        <v>bushel</v>
      </c>
      <c r="J53" s="109">
        <f>IF($B53=0,"",VLOOKUP($B53,Table2[],7,FALSE))</f>
        <v>0.15</v>
      </c>
      <c r="K53" s="109">
        <f t="shared" si="3"/>
        <v>21.75</v>
      </c>
      <c r="L53" s="110"/>
    </row>
    <row r="54" spans="1:12" x14ac:dyDescent="0.2">
      <c r="B54" s="180" t="s">
        <v>190</v>
      </c>
      <c r="C54" s="388" t="str">
        <f>IF(B54=0,"",VLOOKUP($B54,Table2[],2,FALSE))</f>
        <v>Custom</v>
      </c>
      <c r="D54" s="388"/>
      <c r="E54" s="388"/>
      <c r="F54" s="174">
        <v>10</v>
      </c>
      <c r="G54" s="175">
        <v>0.2</v>
      </c>
      <c r="H54" s="176">
        <f>$G$4</f>
        <v>145</v>
      </c>
      <c r="I54" s="120" t="str">
        <f>IF($B54=0,"",VLOOKUP($B54,Table2[],5,FALSE))</f>
        <v>bushel</v>
      </c>
      <c r="J54" s="109">
        <f>IF($B54=0,"",VLOOKUP($B54,Table2[],7,FALSE))</f>
        <v>0.1</v>
      </c>
      <c r="K54" s="109">
        <f>IF(B54=0,0,ROUND(G54*H54*J54,2))</f>
        <v>2.9</v>
      </c>
      <c r="L54" s="110"/>
    </row>
    <row r="55" spans="1:12" x14ac:dyDescent="0.2">
      <c r="B55" s="111" t="s">
        <v>309</v>
      </c>
      <c r="C55" s="388" t="str">
        <f>IF(B55=0,"",VLOOKUP($B55,Table2[],2,FALSE))</f>
        <v>Scouting</v>
      </c>
      <c r="D55" s="388"/>
      <c r="E55" s="388"/>
      <c r="F55" s="112"/>
      <c r="G55" s="177">
        <v>1</v>
      </c>
      <c r="H55" s="178">
        <v>1</v>
      </c>
      <c r="I55" s="120" t="str">
        <f>IF($B55=0,"",VLOOKUP($B55,Table2[],5,FALSE))</f>
        <v>acre</v>
      </c>
      <c r="J55" s="109">
        <f>IF($B55=0,"",VLOOKUP($B55,Table2[],7,FALSE))</f>
        <v>10</v>
      </c>
      <c r="K55" s="109">
        <f t="shared" si="2"/>
        <v>10</v>
      </c>
      <c r="L55" s="113"/>
    </row>
    <row r="56" spans="1:12" hidden="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13</v>
      </c>
      <c r="K61" s="109">
        <f ca="1">IF(B61=0,0,J61)</f>
        <v>13</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284.37</v>
      </c>
      <c r="L63" s="110"/>
    </row>
    <row r="64" spans="1:12" x14ac:dyDescent="0.2">
      <c r="B64" s="144" t="s">
        <v>715</v>
      </c>
      <c r="K64" s="127"/>
    </row>
    <row r="65" spans="2:12" x14ac:dyDescent="0.2">
      <c r="B65" s="107" t="s">
        <v>672</v>
      </c>
      <c r="K65" s="127">
        <f ca="1">K33+K63</f>
        <v>368.63</v>
      </c>
      <c r="L65" s="110"/>
    </row>
    <row r="66" spans="2:12" ht="13.5" thickBot="1" x14ac:dyDescent="0.25">
      <c r="D66" s="128" t="s">
        <v>673</v>
      </c>
      <c r="E66" s="129">
        <f ca="1">ROUND(SUM($E$33:$H$33)+$K$63,2)</f>
        <v>320.17</v>
      </c>
      <c r="F66" s="388" t="s">
        <v>674</v>
      </c>
      <c r="G66" s="388"/>
      <c r="H66" s="130">
        <f>'General Variables'!$B$11</f>
        <v>7.4999999999999997E-2</v>
      </c>
      <c r="I66" s="131" t="str">
        <f>CONCATENATE("for ",TEXT('General Variables'!$B$12,"0.0")," mo.")</f>
        <v>for 6.0 mo.</v>
      </c>
      <c r="K66" s="132">
        <f ca="1">E66*H66*'General Variables'!$B$12/12</f>
        <v>12.006375</v>
      </c>
      <c r="L66" s="133"/>
    </row>
    <row r="67" spans="2:12" ht="13.5" thickTop="1" x14ac:dyDescent="0.2">
      <c r="B67" s="107" t="s">
        <v>675</v>
      </c>
      <c r="K67" s="127">
        <f ca="1">SUM(K65:K66)</f>
        <v>380.63637499999999</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 ca="1">SUM(K67:K71)</f>
        <v>602.42637500000001</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2.8832163793103449</v>
      </c>
      <c r="L74" s="148"/>
    </row>
    <row r="75" spans="2:12" x14ac:dyDescent="0.2">
      <c r="B75" s="107" t="str">
        <f>IF(G4="","","Cost of production per "&amp;H4)</f>
        <v>Cost of production per bushel</v>
      </c>
      <c r="K75" s="141">
        <f ca="1">IF(G4="","",K72/G4)</f>
        <v>4.1546646551724136</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4:E44"/>
    <mergeCell ref="C45:E45"/>
    <mergeCell ref="C46:E46"/>
    <mergeCell ref="C47:E47"/>
    <mergeCell ref="A6:M6"/>
    <mergeCell ref="C3:E3"/>
    <mergeCell ref="K2:L2"/>
    <mergeCell ref="G2:H2"/>
    <mergeCell ref="C4:E4"/>
  </mergeCells>
  <dataValidations count="9">
    <dataValidation type="list" allowBlank="1" showInputMessage="1" showErrorMessage="1" sqref="B32" xr:uid="{00000000-0002-0000-1D00-000000000000}">
      <formula1>$B$111:$B$208</formula1>
    </dataValidation>
    <dataValidation type="list" showInputMessage="1" showErrorMessage="1" sqref="B62" xr:uid="{00000000-0002-0000-1D00-000001000000}">
      <formula1>$C$111:$C$234</formula1>
    </dataValidation>
    <dataValidation type="list" allowBlank="1" showInputMessage="1" showErrorMessage="1" sqref="K4" xr:uid="{00000000-0002-0000-1D00-000002000000}">
      <formula1>$K$111:$K$113</formula1>
    </dataValidation>
    <dataValidation type="list" allowBlank="1" showInputMessage="1" showErrorMessage="1" sqref="B37:B60" xr:uid="{00000000-0002-0000-1D00-000003000000}">
      <formula1>MaterialList</formula1>
    </dataValidation>
    <dataValidation type="list" allowBlank="1" showInputMessage="1" showErrorMessage="1" sqref="C70:E70" xr:uid="{00000000-0002-0000-1D00-000004000000}">
      <formula1>RealEstateList</formula1>
    </dataValidation>
    <dataValidation type="list" allowBlank="1" showInputMessage="1" showErrorMessage="1" sqref="B12:B31" xr:uid="{00000000-0002-0000-1D00-000005000000}">
      <formula1>OperationList</formula1>
    </dataValidation>
    <dataValidation type="list" allowBlank="1" showInputMessage="1" showErrorMessage="1" sqref="D12:D32" xr:uid="{00000000-0002-0000-1D00-000006000000}">
      <formula1>#REF!</formula1>
    </dataValidation>
    <dataValidation type="list" allowBlank="1" showInputMessage="1" showErrorMessage="1" sqref="K2" xr:uid="{00000000-0002-0000-1D00-000007000000}">
      <formula1>watersource</formula1>
    </dataValidation>
    <dataValidation type="list" allowBlank="1" showInputMessage="1" showErrorMessage="1" sqref="C3" xr:uid="{00000000-0002-0000-1D00-000008000000}">
      <formula1>TillageSystem</formula1>
    </dataValidation>
  </dataValidations>
  <pageMargins left="0.7" right="0.7" top="0.75" bottom="0.75" header="0.3" footer="0.3"/>
  <pageSetup scale="67" orientation="portrait" r:id="rId1"/>
  <ignoredErrors>
    <ignoredError sqref="C18" unlockedFormula="1"/>
    <ignoredError sqref="E18:J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05">
    <pageSetUpPr fitToPage="1"/>
  </sheetPr>
  <dimension ref="A1:J172"/>
  <sheetViews>
    <sheetView topLeftCell="A56" zoomScaleNormal="100" workbookViewId="0">
      <selection activeCell="C178" sqref="C178"/>
    </sheetView>
  </sheetViews>
  <sheetFormatPr defaultColWidth="9.140625" defaultRowHeight="12.75" x14ac:dyDescent="0.2"/>
  <cols>
    <col min="2" max="2" width="30.85546875" style="60" customWidth="1"/>
    <col min="3" max="3" width="11.42578125" style="61" bestFit="1" customWidth="1"/>
    <col min="4" max="4" width="11.7109375" style="61" bestFit="1" customWidth="1"/>
    <col min="5" max="5" width="10.42578125" style="61" customWidth="1"/>
    <col min="6" max="6" width="9.140625" style="61" customWidth="1"/>
    <col min="7" max="7" width="11.140625" style="206" customWidth="1"/>
    <col min="8" max="8" width="11" customWidth="1"/>
  </cols>
  <sheetData>
    <row r="1" spans="1:8" s="60" customFormat="1" ht="26.25" customHeight="1" x14ac:dyDescent="0.2">
      <c r="A1" s="60" t="s">
        <v>162</v>
      </c>
      <c r="B1" s="75" t="s">
        <v>163</v>
      </c>
      <c r="C1" s="200" t="s">
        <v>164</v>
      </c>
      <c r="D1" s="200" t="s">
        <v>165</v>
      </c>
      <c r="E1" s="200" t="s">
        <v>166</v>
      </c>
      <c r="F1" s="200" t="s">
        <v>167</v>
      </c>
      <c r="G1" s="200" t="s">
        <v>168</v>
      </c>
      <c r="H1" s="76" t="s">
        <v>169</v>
      </c>
    </row>
    <row r="2" spans="1:8" ht="12.75" customHeight="1" x14ac:dyDescent="0.2">
      <c r="A2">
        <v>1</v>
      </c>
      <c r="B2" s="197" t="s">
        <v>170</v>
      </c>
      <c r="C2" s="201" t="s">
        <v>171</v>
      </c>
      <c r="D2" s="202">
        <v>0.4</v>
      </c>
      <c r="E2" s="203" t="s">
        <v>172</v>
      </c>
      <c r="F2" s="201" t="s">
        <v>172</v>
      </c>
      <c r="G2" s="201">
        <v>1</v>
      </c>
      <c r="H2" s="198">
        <f t="shared" ref="H2:H9" si="0">IF(G2=0,0,D2/G2)</f>
        <v>0.4</v>
      </c>
    </row>
    <row r="3" spans="1:8" ht="12.75" customHeight="1" x14ac:dyDescent="0.2">
      <c r="A3">
        <f>A2+1</f>
        <v>2</v>
      </c>
      <c r="B3" s="197" t="s">
        <v>173</v>
      </c>
      <c r="C3" s="204" t="s">
        <v>171</v>
      </c>
      <c r="D3" s="205">
        <v>0.4</v>
      </c>
      <c r="E3" s="204" t="s">
        <v>172</v>
      </c>
      <c r="F3" s="201" t="s">
        <v>174</v>
      </c>
      <c r="G3" s="201">
        <v>16</v>
      </c>
      <c r="H3" s="199">
        <f t="shared" si="0"/>
        <v>2.5000000000000001E-2</v>
      </c>
    </row>
    <row r="4" spans="1:8" ht="12.75" customHeight="1" x14ac:dyDescent="0.2">
      <c r="A4">
        <f t="shared" ref="A4:A74" si="1">A3+1</f>
        <v>3</v>
      </c>
      <c r="B4" s="197" t="s">
        <v>175</v>
      </c>
      <c r="C4" s="204" t="s">
        <v>171</v>
      </c>
      <c r="D4" s="205">
        <v>2.25</v>
      </c>
      <c r="E4" s="204" t="s">
        <v>176</v>
      </c>
      <c r="F4" s="201" t="s">
        <v>176</v>
      </c>
      <c r="G4" s="201">
        <v>1</v>
      </c>
      <c r="H4" s="198">
        <f t="shared" si="0"/>
        <v>2.25</v>
      </c>
    </row>
    <row r="5" spans="1:8" ht="12.75" customHeight="1" x14ac:dyDescent="0.2">
      <c r="A5">
        <f t="shared" si="1"/>
        <v>4</v>
      </c>
      <c r="B5" s="197" t="s">
        <v>177</v>
      </c>
      <c r="C5" s="204" t="s">
        <v>171</v>
      </c>
      <c r="D5" s="205">
        <v>15</v>
      </c>
      <c r="E5" s="204" t="s">
        <v>178</v>
      </c>
      <c r="F5" s="201" t="s">
        <v>179</v>
      </c>
      <c r="G5" s="201">
        <v>8</v>
      </c>
      <c r="H5" s="262">
        <f t="shared" si="0"/>
        <v>1.875</v>
      </c>
    </row>
    <row r="6" spans="1:8" ht="12.75" customHeight="1" x14ac:dyDescent="0.2">
      <c r="A6">
        <f t="shared" si="1"/>
        <v>5</v>
      </c>
      <c r="B6" s="197" t="s">
        <v>180</v>
      </c>
      <c r="C6" s="204" t="s">
        <v>171</v>
      </c>
      <c r="D6" s="205">
        <v>30</v>
      </c>
      <c r="E6" s="204" t="s">
        <v>178</v>
      </c>
      <c r="F6" s="201" t="s">
        <v>174</v>
      </c>
      <c r="G6" s="201">
        <v>128</v>
      </c>
      <c r="H6" s="263">
        <f t="shared" si="0"/>
        <v>0.234375</v>
      </c>
    </row>
    <row r="7" spans="1:8" ht="12.75" customHeight="1" x14ac:dyDescent="0.2">
      <c r="A7">
        <f t="shared" si="1"/>
        <v>6</v>
      </c>
      <c r="B7" s="197" t="s">
        <v>181</v>
      </c>
      <c r="C7" s="204" t="s">
        <v>171</v>
      </c>
      <c r="D7" s="205">
        <v>26</v>
      </c>
      <c r="E7" s="204" t="s">
        <v>178</v>
      </c>
      <c r="F7" s="201" t="s">
        <v>174</v>
      </c>
      <c r="G7" s="201">
        <v>128</v>
      </c>
      <c r="H7" s="199">
        <f t="shared" si="0"/>
        <v>0.203125</v>
      </c>
    </row>
    <row r="8" spans="1:8" ht="12.75" customHeight="1" x14ac:dyDescent="0.2">
      <c r="A8">
        <f t="shared" si="1"/>
        <v>7</v>
      </c>
      <c r="B8" s="197" t="s">
        <v>182</v>
      </c>
      <c r="C8" s="204" t="s">
        <v>171</v>
      </c>
      <c r="D8" s="205">
        <v>1.8</v>
      </c>
      <c r="E8" s="204" t="s">
        <v>178</v>
      </c>
      <c r="F8" s="201" t="s">
        <v>179</v>
      </c>
      <c r="G8" s="201">
        <v>8</v>
      </c>
      <c r="H8" s="198">
        <f t="shared" si="0"/>
        <v>0.22500000000000001</v>
      </c>
    </row>
    <row r="9" spans="1:8" ht="12.75" customHeight="1" x14ac:dyDescent="0.2">
      <c r="A9">
        <f t="shared" si="1"/>
        <v>8</v>
      </c>
      <c r="B9" s="197" t="s">
        <v>183</v>
      </c>
      <c r="C9" s="201" t="s">
        <v>184</v>
      </c>
      <c r="D9" s="202">
        <v>11</v>
      </c>
      <c r="E9" s="203" t="s">
        <v>176</v>
      </c>
      <c r="F9" s="201" t="s">
        <v>176</v>
      </c>
      <c r="G9" s="201">
        <v>1</v>
      </c>
      <c r="H9" s="198">
        <f t="shared" si="0"/>
        <v>11</v>
      </c>
    </row>
    <row r="10" spans="1:8" ht="12.75" customHeight="1" x14ac:dyDescent="0.2">
      <c r="A10">
        <f t="shared" si="1"/>
        <v>9</v>
      </c>
      <c r="B10" s="197" t="s">
        <v>185</v>
      </c>
      <c r="C10" s="204" t="s">
        <v>184</v>
      </c>
      <c r="D10" s="205">
        <v>19</v>
      </c>
      <c r="E10" s="204" t="s">
        <v>186</v>
      </c>
      <c r="F10" s="201" t="s">
        <v>187</v>
      </c>
      <c r="G10" s="201">
        <f>1360/2000</f>
        <v>0.68</v>
      </c>
      <c r="H10" s="198">
        <f t="shared" ref="H10:H46" si="2">IF(G10=0,0,D10/G10)</f>
        <v>27.941176470588232</v>
      </c>
    </row>
    <row r="11" spans="1:8" ht="12.75" customHeight="1" x14ac:dyDescent="0.2">
      <c r="A11">
        <f t="shared" si="1"/>
        <v>10</v>
      </c>
      <c r="B11" s="197" t="s">
        <v>188</v>
      </c>
      <c r="C11" s="204" t="s">
        <v>184</v>
      </c>
      <c r="D11" s="205">
        <v>15</v>
      </c>
      <c r="E11" s="204" t="s">
        <v>176</v>
      </c>
      <c r="F11" s="201" t="s">
        <v>176</v>
      </c>
      <c r="G11" s="201">
        <v>1</v>
      </c>
      <c r="H11" s="199">
        <f t="shared" si="2"/>
        <v>15</v>
      </c>
    </row>
    <row r="12" spans="1:8" ht="12.75" customHeight="1" x14ac:dyDescent="0.2">
      <c r="A12">
        <f t="shared" si="1"/>
        <v>11</v>
      </c>
      <c r="B12" s="197" t="s">
        <v>189</v>
      </c>
      <c r="C12" s="204" t="s">
        <v>184</v>
      </c>
      <c r="D12" s="205">
        <v>20</v>
      </c>
      <c r="E12" s="204" t="s">
        <v>187</v>
      </c>
      <c r="F12" s="201" t="s">
        <v>187</v>
      </c>
      <c r="G12" s="201">
        <v>1</v>
      </c>
      <c r="H12" s="263">
        <f t="shared" si="2"/>
        <v>20</v>
      </c>
    </row>
    <row r="13" spans="1:8" ht="12.75" customHeight="1" x14ac:dyDescent="0.2">
      <c r="A13">
        <f>A12+1</f>
        <v>12</v>
      </c>
      <c r="B13" s="197" t="s">
        <v>190</v>
      </c>
      <c r="C13" s="204" t="s">
        <v>184</v>
      </c>
      <c r="D13" s="205">
        <v>0.1</v>
      </c>
      <c r="E13" s="204" t="s">
        <v>191</v>
      </c>
      <c r="F13" s="201" t="s">
        <v>191</v>
      </c>
      <c r="G13" s="201">
        <v>1</v>
      </c>
      <c r="H13" s="262">
        <f t="shared" si="2"/>
        <v>0.1</v>
      </c>
    </row>
    <row r="14" spans="1:8" ht="12.75" customHeight="1" x14ac:dyDescent="0.2">
      <c r="A14">
        <f>A13+1</f>
        <v>13</v>
      </c>
      <c r="B14" s="197" t="s">
        <v>947</v>
      </c>
      <c r="C14" s="204" t="s">
        <v>184</v>
      </c>
      <c r="D14" s="370">
        <v>2E-3</v>
      </c>
      <c r="E14" s="204" t="s">
        <v>172</v>
      </c>
      <c r="F14" s="201" t="s">
        <v>172</v>
      </c>
      <c r="G14" s="201">
        <v>1</v>
      </c>
      <c r="H14" s="371">
        <f t="shared" si="2"/>
        <v>2E-3</v>
      </c>
    </row>
    <row r="15" spans="1:8" ht="12.75" customHeight="1" x14ac:dyDescent="0.2">
      <c r="A15">
        <f>A14+1</f>
        <v>14</v>
      </c>
      <c r="B15" s="197" t="s">
        <v>192</v>
      </c>
      <c r="C15" s="204" t="s">
        <v>184</v>
      </c>
      <c r="D15" s="205">
        <v>8</v>
      </c>
      <c r="E15" s="204" t="s">
        <v>187</v>
      </c>
      <c r="F15" s="201" t="s">
        <v>187</v>
      </c>
      <c r="G15" s="201">
        <v>1</v>
      </c>
      <c r="H15" s="263">
        <f t="shared" si="2"/>
        <v>8</v>
      </c>
    </row>
    <row r="16" spans="1:8" ht="12.75" customHeight="1" x14ac:dyDescent="0.2">
      <c r="A16">
        <f t="shared" si="1"/>
        <v>15</v>
      </c>
      <c r="B16" s="197" t="s">
        <v>193</v>
      </c>
      <c r="C16" s="204" t="s">
        <v>184</v>
      </c>
      <c r="D16" s="205">
        <v>6</v>
      </c>
      <c r="E16" s="204" t="s">
        <v>187</v>
      </c>
      <c r="F16" s="201" t="s">
        <v>187</v>
      </c>
      <c r="G16" s="201">
        <v>1</v>
      </c>
      <c r="H16" s="262">
        <f t="shared" si="2"/>
        <v>6</v>
      </c>
    </row>
    <row r="17" spans="1:8" ht="12.75" customHeight="1" x14ac:dyDescent="0.2">
      <c r="A17">
        <f t="shared" si="1"/>
        <v>16</v>
      </c>
      <c r="B17" s="197" t="s">
        <v>194</v>
      </c>
      <c r="C17" s="204" t="s">
        <v>184</v>
      </c>
      <c r="D17" s="205">
        <v>0.32</v>
      </c>
      <c r="E17" s="204" t="s">
        <v>195</v>
      </c>
      <c r="F17" s="201" t="s">
        <v>195</v>
      </c>
      <c r="G17" s="201">
        <v>1</v>
      </c>
      <c r="H17" s="198">
        <f t="shared" si="2"/>
        <v>0.32</v>
      </c>
    </row>
    <row r="18" spans="1:8" ht="12.75" customHeight="1" x14ac:dyDescent="0.2">
      <c r="A18">
        <f t="shared" si="1"/>
        <v>17</v>
      </c>
      <c r="B18" s="197" t="s">
        <v>196</v>
      </c>
      <c r="C18" s="204" t="s">
        <v>184</v>
      </c>
      <c r="D18" s="205">
        <v>0.28000000000000003</v>
      </c>
      <c r="E18" s="204" t="s">
        <v>195</v>
      </c>
      <c r="F18" s="201" t="s">
        <v>195</v>
      </c>
      <c r="G18" s="201">
        <v>1</v>
      </c>
      <c r="H18" s="262">
        <f t="shared" si="2"/>
        <v>0.28000000000000003</v>
      </c>
    </row>
    <row r="19" spans="1:8" ht="12.75" customHeight="1" x14ac:dyDescent="0.2">
      <c r="A19">
        <f t="shared" si="1"/>
        <v>18</v>
      </c>
      <c r="B19" s="197" t="s">
        <v>197</v>
      </c>
      <c r="C19" s="204" t="s">
        <v>184</v>
      </c>
      <c r="D19" s="205">
        <v>0.3</v>
      </c>
      <c r="E19" s="204" t="s">
        <v>195</v>
      </c>
      <c r="F19" s="201" t="s">
        <v>195</v>
      </c>
      <c r="G19" s="201">
        <v>1</v>
      </c>
      <c r="H19" s="198">
        <f t="shared" si="2"/>
        <v>0.3</v>
      </c>
    </row>
    <row r="20" spans="1:8" ht="12.75" customHeight="1" x14ac:dyDescent="0.2">
      <c r="A20">
        <f t="shared" si="1"/>
        <v>19</v>
      </c>
      <c r="B20" s="197" t="s">
        <v>198</v>
      </c>
      <c r="C20" s="204" t="s">
        <v>184</v>
      </c>
      <c r="D20" s="205">
        <v>0.15</v>
      </c>
      <c r="E20" s="204" t="s">
        <v>191</v>
      </c>
      <c r="F20" s="201" t="s">
        <v>191</v>
      </c>
      <c r="G20" s="201">
        <v>1</v>
      </c>
      <c r="H20" s="262">
        <f t="shared" si="2"/>
        <v>0.15</v>
      </c>
    </row>
    <row r="21" spans="1:8" ht="12.75" customHeight="1" x14ac:dyDescent="0.2">
      <c r="A21">
        <f t="shared" si="1"/>
        <v>20</v>
      </c>
      <c r="B21" s="197" t="s">
        <v>951</v>
      </c>
      <c r="C21" s="204" t="s">
        <v>184</v>
      </c>
      <c r="D21" s="370">
        <v>3.0000000000000001E-3</v>
      </c>
      <c r="E21" s="204" t="s">
        <v>172</v>
      </c>
      <c r="F21" s="201" t="s">
        <v>172</v>
      </c>
      <c r="G21" s="201">
        <v>1</v>
      </c>
      <c r="H21" s="371">
        <f t="shared" si="2"/>
        <v>3.0000000000000001E-3</v>
      </c>
    </row>
    <row r="22" spans="1:8" ht="12.75" customHeight="1" x14ac:dyDescent="0.2">
      <c r="A22">
        <f t="shared" si="1"/>
        <v>21</v>
      </c>
      <c r="B22" s="197" t="s">
        <v>199</v>
      </c>
      <c r="C22" s="204" t="s">
        <v>184</v>
      </c>
      <c r="D22" s="205">
        <v>2.5</v>
      </c>
      <c r="E22" s="204" t="s">
        <v>186</v>
      </c>
      <c r="F22" s="201" t="s">
        <v>187</v>
      </c>
      <c r="G22" s="201">
        <f>1362/2000</f>
        <v>0.68100000000000005</v>
      </c>
      <c r="H22" s="198">
        <f t="shared" si="2"/>
        <v>3.6710719530102787</v>
      </c>
    </row>
    <row r="23" spans="1:8" ht="12.75" customHeight="1" x14ac:dyDescent="0.2">
      <c r="A23">
        <f t="shared" si="1"/>
        <v>22</v>
      </c>
      <c r="B23" s="197" t="s">
        <v>200</v>
      </c>
      <c r="C23" s="204" t="s">
        <v>184</v>
      </c>
      <c r="D23" s="205">
        <v>9</v>
      </c>
      <c r="E23" s="204" t="s">
        <v>176</v>
      </c>
      <c r="F23" s="201" t="s">
        <v>176</v>
      </c>
      <c r="G23" s="201">
        <v>1</v>
      </c>
      <c r="H23" s="262">
        <f t="shared" si="2"/>
        <v>9</v>
      </c>
    </row>
    <row r="24" spans="1:8" ht="12.75" customHeight="1" x14ac:dyDescent="0.2">
      <c r="A24">
        <f t="shared" si="1"/>
        <v>23</v>
      </c>
      <c r="B24" s="197" t="s">
        <v>201</v>
      </c>
      <c r="C24" s="201" t="s">
        <v>202</v>
      </c>
      <c r="D24" s="202">
        <v>3.1</v>
      </c>
      <c r="E24" s="203" t="s">
        <v>178</v>
      </c>
      <c r="F24" s="201" t="s">
        <v>178</v>
      </c>
      <c r="G24" s="201">
        <v>1</v>
      </c>
      <c r="H24" s="198">
        <f t="shared" si="2"/>
        <v>3.1</v>
      </c>
    </row>
    <row r="25" spans="1:8" ht="12.75" customHeight="1" x14ac:dyDescent="0.2">
      <c r="A25">
        <f t="shared" si="1"/>
        <v>24</v>
      </c>
      <c r="B25" s="197" t="s">
        <v>203</v>
      </c>
      <c r="C25" s="201" t="s">
        <v>202</v>
      </c>
      <c r="D25" s="202">
        <v>3.2</v>
      </c>
      <c r="E25" s="203" t="s">
        <v>178</v>
      </c>
      <c r="F25" s="201" t="s">
        <v>178</v>
      </c>
      <c r="G25" s="201">
        <v>1</v>
      </c>
      <c r="H25" s="262">
        <f t="shared" si="2"/>
        <v>3.2</v>
      </c>
    </row>
    <row r="26" spans="1:8" ht="12.75" customHeight="1" x14ac:dyDescent="0.2">
      <c r="A26">
        <f t="shared" si="1"/>
        <v>25</v>
      </c>
      <c r="B26" s="197" t="s">
        <v>204</v>
      </c>
      <c r="C26" s="204" t="s">
        <v>202</v>
      </c>
      <c r="D26" s="205">
        <v>0.4</v>
      </c>
      <c r="E26" s="204" t="s">
        <v>172</v>
      </c>
      <c r="F26" s="204" t="s">
        <v>172</v>
      </c>
      <c r="G26" s="201">
        <v>1</v>
      </c>
      <c r="H26" s="198">
        <f t="shared" si="2"/>
        <v>0.4</v>
      </c>
    </row>
    <row r="27" spans="1:8" ht="12.75" customHeight="1" x14ac:dyDescent="0.2">
      <c r="A27">
        <f t="shared" si="1"/>
        <v>26</v>
      </c>
      <c r="B27" s="197" t="s">
        <v>205</v>
      </c>
      <c r="C27" s="201" t="s">
        <v>202</v>
      </c>
      <c r="D27" s="202">
        <v>1.5</v>
      </c>
      <c r="E27" s="203" t="s">
        <v>178</v>
      </c>
      <c r="F27" s="201" t="s">
        <v>206</v>
      </c>
      <c r="G27" s="201">
        <v>3</v>
      </c>
      <c r="H27" s="262">
        <f t="shared" si="2"/>
        <v>0.5</v>
      </c>
    </row>
    <row r="28" spans="1:8" ht="12.75" customHeight="1" x14ac:dyDescent="0.2">
      <c r="A28">
        <f t="shared" si="1"/>
        <v>27</v>
      </c>
      <c r="B28" s="197" t="s">
        <v>207</v>
      </c>
      <c r="C28" s="204" t="s">
        <v>202</v>
      </c>
      <c r="D28" s="205">
        <v>0.5</v>
      </c>
      <c r="E28" s="204" t="s">
        <v>206</v>
      </c>
      <c r="F28" s="204" t="s">
        <v>206</v>
      </c>
      <c r="G28" s="201">
        <v>1</v>
      </c>
      <c r="H28" s="199">
        <f t="shared" si="2"/>
        <v>0.5</v>
      </c>
    </row>
    <row r="29" spans="1:8" ht="12.75" customHeight="1" x14ac:dyDescent="0.2">
      <c r="A29">
        <f t="shared" si="1"/>
        <v>28</v>
      </c>
      <c r="B29" s="197" t="s">
        <v>208</v>
      </c>
      <c r="C29" s="204" t="s">
        <v>202</v>
      </c>
      <c r="D29" s="205">
        <v>0.5</v>
      </c>
      <c r="E29" s="204" t="s">
        <v>206</v>
      </c>
      <c r="F29" s="204" t="s">
        <v>206</v>
      </c>
      <c r="G29" s="201">
        <v>1</v>
      </c>
      <c r="H29" s="198">
        <f t="shared" si="2"/>
        <v>0.5</v>
      </c>
    </row>
    <row r="30" spans="1:8" ht="12.75" customHeight="1" x14ac:dyDescent="0.2">
      <c r="A30">
        <f t="shared" si="1"/>
        <v>29</v>
      </c>
      <c r="B30" s="197" t="s">
        <v>209</v>
      </c>
      <c r="C30" s="204" t="s">
        <v>202</v>
      </c>
      <c r="D30" s="205">
        <v>0.5</v>
      </c>
      <c r="E30" s="204" t="s">
        <v>206</v>
      </c>
      <c r="F30" s="204" t="s">
        <v>206</v>
      </c>
      <c r="G30" s="201">
        <v>1</v>
      </c>
      <c r="H30" s="199">
        <f t="shared" si="2"/>
        <v>0.5</v>
      </c>
    </row>
    <row r="31" spans="1:8" ht="12.75" customHeight="1" x14ac:dyDescent="0.2">
      <c r="A31">
        <f t="shared" si="1"/>
        <v>30</v>
      </c>
      <c r="B31" s="197" t="s">
        <v>210</v>
      </c>
      <c r="C31" s="201" t="s">
        <v>202</v>
      </c>
      <c r="D31" s="202">
        <v>0.55000000000000004</v>
      </c>
      <c r="E31" s="203" t="s">
        <v>206</v>
      </c>
      <c r="F31" s="201" t="s">
        <v>206</v>
      </c>
      <c r="G31" s="201">
        <v>1</v>
      </c>
      <c r="H31" s="198">
        <f t="shared" si="2"/>
        <v>0.55000000000000004</v>
      </c>
    </row>
    <row r="32" spans="1:8" ht="12.75" customHeight="1" x14ac:dyDescent="0.2">
      <c r="A32">
        <f t="shared" si="1"/>
        <v>31</v>
      </c>
      <c r="B32" s="197" t="s">
        <v>211</v>
      </c>
      <c r="C32" s="201" t="s">
        <v>202</v>
      </c>
      <c r="D32" s="202">
        <v>0.38</v>
      </c>
      <c r="E32" s="201" t="s">
        <v>206</v>
      </c>
      <c r="F32" s="201" t="s">
        <v>206</v>
      </c>
      <c r="G32" s="201">
        <v>1</v>
      </c>
      <c r="H32" s="199">
        <f t="shared" si="2"/>
        <v>0.38</v>
      </c>
    </row>
    <row r="33" spans="1:10" ht="12.75" customHeight="1" x14ac:dyDescent="0.2">
      <c r="A33">
        <f t="shared" si="1"/>
        <v>32</v>
      </c>
      <c r="B33" s="197" t="s">
        <v>212</v>
      </c>
      <c r="C33" s="204" t="s">
        <v>202</v>
      </c>
      <c r="D33" s="205">
        <v>5</v>
      </c>
      <c r="E33" s="204" t="s">
        <v>187</v>
      </c>
      <c r="F33" s="201" t="s">
        <v>187</v>
      </c>
      <c r="G33" s="201">
        <v>1</v>
      </c>
      <c r="H33" s="198">
        <f t="shared" si="2"/>
        <v>5</v>
      </c>
    </row>
    <row r="34" spans="1:10" ht="12.75" customHeight="1" x14ac:dyDescent="0.2">
      <c r="A34">
        <v>31</v>
      </c>
      <c r="B34" s="197" t="s">
        <v>884</v>
      </c>
      <c r="C34" s="204" t="s">
        <v>202</v>
      </c>
      <c r="D34" s="205">
        <v>15</v>
      </c>
      <c r="E34" s="204" t="s">
        <v>187</v>
      </c>
      <c r="F34" s="201" t="s">
        <v>187</v>
      </c>
      <c r="G34" s="201">
        <v>1</v>
      </c>
      <c r="H34" s="198">
        <f t="shared" ref="H34:H35" si="3">IF(G34=0,0,D34/G34)</f>
        <v>15</v>
      </c>
    </row>
    <row r="35" spans="1:10" ht="12.75" customHeight="1" x14ac:dyDescent="0.2">
      <c r="A35">
        <v>32</v>
      </c>
      <c r="B35" s="197" t="s">
        <v>893</v>
      </c>
      <c r="C35" s="204" t="s">
        <v>214</v>
      </c>
      <c r="D35" s="205">
        <v>330</v>
      </c>
      <c r="E35" s="204" t="s">
        <v>178</v>
      </c>
      <c r="F35" s="201" t="s">
        <v>174</v>
      </c>
      <c r="G35" s="201">
        <v>128</v>
      </c>
      <c r="H35" s="198">
        <f t="shared" si="3"/>
        <v>2.578125</v>
      </c>
    </row>
    <row r="36" spans="1:10" ht="12.75" customHeight="1" x14ac:dyDescent="0.2">
      <c r="A36">
        <f>A35+1</f>
        <v>33</v>
      </c>
      <c r="B36" s="197" t="s">
        <v>213</v>
      </c>
      <c r="C36" s="204" t="s">
        <v>214</v>
      </c>
      <c r="D36" s="205">
        <v>8</v>
      </c>
      <c r="E36" s="204" t="s">
        <v>179</v>
      </c>
      <c r="F36" s="201" t="s">
        <v>179</v>
      </c>
      <c r="G36" s="201">
        <v>1</v>
      </c>
      <c r="H36" s="199">
        <f t="shared" si="2"/>
        <v>8</v>
      </c>
    </row>
    <row r="37" spans="1:10" ht="12.75" customHeight="1" x14ac:dyDescent="0.2">
      <c r="A37">
        <v>34</v>
      </c>
      <c r="B37" s="365" t="s">
        <v>928</v>
      </c>
      <c r="C37" s="204" t="s">
        <v>214</v>
      </c>
      <c r="D37" s="366">
        <v>530</v>
      </c>
      <c r="E37" s="367" t="s">
        <v>178</v>
      </c>
      <c r="F37" s="201" t="s">
        <v>174</v>
      </c>
      <c r="G37" s="201">
        <v>128</v>
      </c>
      <c r="H37" s="262">
        <f t="shared" si="2"/>
        <v>4.140625</v>
      </c>
    </row>
    <row r="38" spans="1:10" ht="12.75" customHeight="1" x14ac:dyDescent="0.2">
      <c r="A38">
        <v>35</v>
      </c>
      <c r="B38" s="197" t="s">
        <v>215</v>
      </c>
      <c r="C38" s="204" t="s">
        <v>214</v>
      </c>
      <c r="D38" s="205">
        <v>230</v>
      </c>
      <c r="E38" s="204" t="s">
        <v>178</v>
      </c>
      <c r="F38" s="201" t="s">
        <v>174</v>
      </c>
      <c r="G38" s="201">
        <v>128</v>
      </c>
      <c r="H38" s="198">
        <f t="shared" si="2"/>
        <v>1.796875</v>
      </c>
    </row>
    <row r="39" spans="1:10" ht="12.75" customHeight="1" x14ac:dyDescent="0.2">
      <c r="A39">
        <f t="shared" si="1"/>
        <v>36</v>
      </c>
      <c r="B39" s="197" t="s">
        <v>216</v>
      </c>
      <c r="C39" s="204" t="s">
        <v>214</v>
      </c>
      <c r="D39" s="205">
        <v>650</v>
      </c>
      <c r="E39" s="204" t="s">
        <v>178</v>
      </c>
      <c r="F39" s="201" t="s">
        <v>174</v>
      </c>
      <c r="G39" s="201">
        <v>128</v>
      </c>
      <c r="H39" s="262">
        <f t="shared" si="2"/>
        <v>5.078125</v>
      </c>
    </row>
    <row r="40" spans="1:10" ht="12.75" customHeight="1" x14ac:dyDescent="0.2">
      <c r="A40">
        <f t="shared" si="1"/>
        <v>37</v>
      </c>
      <c r="B40" s="197" t="s">
        <v>217</v>
      </c>
      <c r="C40" s="204" t="s">
        <v>214</v>
      </c>
      <c r="D40" s="205">
        <v>260</v>
      </c>
      <c r="E40" s="204" t="s">
        <v>178</v>
      </c>
      <c r="F40" s="201" t="s">
        <v>174</v>
      </c>
      <c r="G40" s="201">
        <v>128</v>
      </c>
      <c r="H40" s="262">
        <f t="shared" si="2"/>
        <v>2.03125</v>
      </c>
    </row>
    <row r="41" spans="1:10" ht="12.75" customHeight="1" x14ac:dyDescent="0.2">
      <c r="A41">
        <f t="shared" si="1"/>
        <v>38</v>
      </c>
      <c r="B41" s="197" t="s">
        <v>894</v>
      </c>
      <c r="C41" s="204" t="s">
        <v>214</v>
      </c>
      <c r="D41" s="205">
        <v>210</v>
      </c>
      <c r="E41" s="204" t="s">
        <v>178</v>
      </c>
      <c r="F41" s="201" t="s">
        <v>174</v>
      </c>
      <c r="G41" s="201">
        <v>128</v>
      </c>
      <c r="H41" s="262">
        <f t="shared" si="2"/>
        <v>1.640625</v>
      </c>
    </row>
    <row r="42" spans="1:10" ht="12.75" customHeight="1" x14ac:dyDescent="0.2">
      <c r="A42">
        <f t="shared" si="1"/>
        <v>39</v>
      </c>
      <c r="B42" s="197" t="s">
        <v>219</v>
      </c>
      <c r="C42" s="204" t="s">
        <v>214</v>
      </c>
      <c r="D42" s="205">
        <v>640</v>
      </c>
      <c r="E42" s="204" t="s">
        <v>178</v>
      </c>
      <c r="F42" s="201" t="s">
        <v>174</v>
      </c>
      <c r="G42" s="201">
        <v>128</v>
      </c>
      <c r="H42" s="198">
        <f t="shared" si="2"/>
        <v>5</v>
      </c>
    </row>
    <row r="43" spans="1:10" ht="12.75" customHeight="1" x14ac:dyDescent="0.2">
      <c r="A43">
        <f t="shared" si="1"/>
        <v>40</v>
      </c>
      <c r="B43" s="197" t="s">
        <v>220</v>
      </c>
      <c r="C43" s="204" t="s">
        <v>214</v>
      </c>
      <c r="D43" s="205">
        <v>770</v>
      </c>
      <c r="E43" s="204" t="s">
        <v>178</v>
      </c>
      <c r="F43" s="201" t="s">
        <v>174</v>
      </c>
      <c r="G43" s="201">
        <v>128</v>
      </c>
      <c r="H43" s="198">
        <f t="shared" si="2"/>
        <v>6.015625</v>
      </c>
    </row>
    <row r="44" spans="1:10" ht="12.75" customHeight="1" x14ac:dyDescent="0.2">
      <c r="A44">
        <f t="shared" si="1"/>
        <v>41</v>
      </c>
      <c r="B44" s="197" t="s">
        <v>221</v>
      </c>
      <c r="C44" s="204" t="s">
        <v>214</v>
      </c>
      <c r="D44" s="205">
        <v>400</v>
      </c>
      <c r="E44" s="204" t="s">
        <v>178</v>
      </c>
      <c r="F44" s="201" t="s">
        <v>174</v>
      </c>
      <c r="G44" s="201">
        <v>128</v>
      </c>
      <c r="H44" s="262">
        <f t="shared" si="2"/>
        <v>3.125</v>
      </c>
      <c r="J44" s="262"/>
    </row>
    <row r="45" spans="1:10" ht="12.75" customHeight="1" x14ac:dyDescent="0.2">
      <c r="A45">
        <f t="shared" si="1"/>
        <v>42</v>
      </c>
      <c r="B45" s="197" t="s">
        <v>222</v>
      </c>
      <c r="C45" s="204" t="s">
        <v>214</v>
      </c>
      <c r="D45" s="205">
        <v>250</v>
      </c>
      <c r="E45" s="204" t="s">
        <v>178</v>
      </c>
      <c r="F45" s="201" t="s">
        <v>174</v>
      </c>
      <c r="G45" s="201">
        <v>128</v>
      </c>
      <c r="H45" s="198">
        <f t="shared" si="2"/>
        <v>1.953125</v>
      </c>
    </row>
    <row r="46" spans="1:10" ht="12.75" customHeight="1" x14ac:dyDescent="0.2">
      <c r="A46">
        <f t="shared" si="1"/>
        <v>43</v>
      </c>
      <c r="B46" s="197" t="s">
        <v>223</v>
      </c>
      <c r="C46" s="204" t="s">
        <v>214</v>
      </c>
      <c r="D46" s="205">
        <v>240</v>
      </c>
      <c r="E46" s="204" t="s">
        <v>178</v>
      </c>
      <c r="F46" s="201" t="s">
        <v>174</v>
      </c>
      <c r="G46" s="201">
        <v>128</v>
      </c>
      <c r="H46" s="262">
        <f t="shared" si="2"/>
        <v>1.875</v>
      </c>
    </row>
    <row r="47" spans="1:10" ht="12.75" customHeight="1" x14ac:dyDescent="0.2">
      <c r="A47">
        <f t="shared" si="1"/>
        <v>44</v>
      </c>
      <c r="B47" s="197" t="s">
        <v>224</v>
      </c>
      <c r="C47" s="204" t="s">
        <v>214</v>
      </c>
      <c r="D47" s="205">
        <v>500</v>
      </c>
      <c r="E47" s="204" t="s">
        <v>178</v>
      </c>
      <c r="F47" s="201" t="s">
        <v>174</v>
      </c>
      <c r="G47" s="201">
        <v>128</v>
      </c>
      <c r="H47" s="262">
        <f t="shared" ref="H47:H79" si="4">IF(G47=0,0,D47/G47)</f>
        <v>3.90625</v>
      </c>
    </row>
    <row r="48" spans="1:10" ht="12.75" customHeight="1" x14ac:dyDescent="0.2">
      <c r="A48">
        <f t="shared" si="1"/>
        <v>45</v>
      </c>
      <c r="B48" s="197" t="s">
        <v>225</v>
      </c>
      <c r="C48" s="204" t="s">
        <v>214</v>
      </c>
      <c r="D48" s="205">
        <v>700</v>
      </c>
      <c r="E48" s="204" t="s">
        <v>178</v>
      </c>
      <c r="F48" s="201" t="s">
        <v>174</v>
      </c>
      <c r="G48" s="201">
        <v>128</v>
      </c>
      <c r="H48" s="198">
        <f t="shared" si="4"/>
        <v>5.46875</v>
      </c>
    </row>
    <row r="49" spans="1:10" ht="12.75" customHeight="1" x14ac:dyDescent="0.2">
      <c r="A49">
        <f t="shared" si="1"/>
        <v>46</v>
      </c>
      <c r="B49" s="197" t="s">
        <v>226</v>
      </c>
      <c r="C49" s="204" t="s">
        <v>214</v>
      </c>
      <c r="D49" s="205">
        <v>110</v>
      </c>
      <c r="E49" s="204" t="s">
        <v>178</v>
      </c>
      <c r="F49" s="201" t="s">
        <v>174</v>
      </c>
      <c r="G49" s="201">
        <v>128</v>
      </c>
      <c r="H49" s="262">
        <f t="shared" si="4"/>
        <v>0.859375</v>
      </c>
      <c r="J49" s="264"/>
    </row>
    <row r="50" spans="1:10" ht="12.75" customHeight="1" x14ac:dyDescent="0.2">
      <c r="A50">
        <f t="shared" si="1"/>
        <v>47</v>
      </c>
      <c r="B50" s="197" t="s">
        <v>895</v>
      </c>
      <c r="C50" s="204" t="s">
        <v>214</v>
      </c>
      <c r="D50" s="205">
        <v>225</v>
      </c>
      <c r="E50" s="204" t="s">
        <v>178</v>
      </c>
      <c r="F50" s="201" t="s">
        <v>174</v>
      </c>
      <c r="G50" s="201">
        <v>128</v>
      </c>
      <c r="H50" s="262">
        <f t="shared" si="4"/>
        <v>1.7578125</v>
      </c>
      <c r="J50" s="342"/>
    </row>
    <row r="51" spans="1:10" ht="12.75" customHeight="1" x14ac:dyDescent="0.2">
      <c r="A51">
        <f t="shared" si="1"/>
        <v>48</v>
      </c>
      <c r="B51" s="197" t="s">
        <v>227</v>
      </c>
      <c r="C51" s="201" t="s">
        <v>228</v>
      </c>
      <c r="D51" s="205">
        <v>20</v>
      </c>
      <c r="E51" s="204" t="s">
        <v>178</v>
      </c>
      <c r="F51" s="201" t="s">
        <v>179</v>
      </c>
      <c r="G51" s="201">
        <v>8</v>
      </c>
      <c r="H51" s="198">
        <f t="shared" si="4"/>
        <v>2.5</v>
      </c>
    </row>
    <row r="52" spans="1:10" ht="12.75" customHeight="1" x14ac:dyDescent="0.2">
      <c r="A52">
        <f t="shared" si="1"/>
        <v>49</v>
      </c>
      <c r="B52" s="197" t="s">
        <v>229</v>
      </c>
      <c r="C52" s="201" t="s">
        <v>228</v>
      </c>
      <c r="D52" s="205">
        <v>20</v>
      </c>
      <c r="E52" s="204" t="s">
        <v>178</v>
      </c>
      <c r="F52" s="201" t="s">
        <v>179</v>
      </c>
      <c r="G52" s="201">
        <v>8</v>
      </c>
      <c r="H52" s="262">
        <f t="shared" si="4"/>
        <v>2.5</v>
      </c>
    </row>
    <row r="53" spans="1:10" ht="12.75" customHeight="1" x14ac:dyDescent="0.2">
      <c r="A53">
        <f t="shared" si="1"/>
        <v>50</v>
      </c>
      <c r="B53" s="197" t="s">
        <v>230</v>
      </c>
      <c r="C53" s="201" t="s">
        <v>228</v>
      </c>
      <c r="D53" s="205">
        <v>22</v>
      </c>
      <c r="E53" s="204" t="s">
        <v>178</v>
      </c>
      <c r="F53" s="201" t="s">
        <v>231</v>
      </c>
      <c r="G53" s="201">
        <v>4</v>
      </c>
      <c r="H53" s="198">
        <f t="shared" si="4"/>
        <v>5.5</v>
      </c>
    </row>
    <row r="54" spans="1:10" ht="12.75" customHeight="1" x14ac:dyDescent="0.2">
      <c r="A54">
        <f t="shared" si="1"/>
        <v>51</v>
      </c>
      <c r="B54" s="197" t="s">
        <v>232</v>
      </c>
      <c r="C54" s="204" t="s">
        <v>228</v>
      </c>
      <c r="D54" s="205">
        <v>85</v>
      </c>
      <c r="E54" s="204" t="s">
        <v>178</v>
      </c>
      <c r="F54" s="204" t="s">
        <v>231</v>
      </c>
      <c r="G54" s="201">
        <v>4</v>
      </c>
      <c r="H54" s="262">
        <f t="shared" si="4"/>
        <v>21.25</v>
      </c>
    </row>
    <row r="55" spans="1:10" ht="12.75" customHeight="1" x14ac:dyDescent="0.2">
      <c r="A55">
        <f t="shared" si="1"/>
        <v>52</v>
      </c>
      <c r="B55" s="197" t="s">
        <v>233</v>
      </c>
      <c r="C55" s="201" t="s">
        <v>228</v>
      </c>
      <c r="D55" s="205">
        <v>240</v>
      </c>
      <c r="E55" s="204" t="s">
        <v>231</v>
      </c>
      <c r="F55" s="201" t="s">
        <v>174</v>
      </c>
      <c r="G55" s="201">
        <v>32</v>
      </c>
      <c r="H55" s="198">
        <f t="shared" si="4"/>
        <v>7.5</v>
      </c>
    </row>
    <row r="56" spans="1:10" ht="12.75" customHeight="1" x14ac:dyDescent="0.2">
      <c r="A56">
        <f t="shared" si="1"/>
        <v>53</v>
      </c>
      <c r="B56" s="197" t="s">
        <v>234</v>
      </c>
      <c r="C56" s="201" t="s">
        <v>228</v>
      </c>
      <c r="D56" s="205">
        <v>11</v>
      </c>
      <c r="E56" s="204" t="s">
        <v>174</v>
      </c>
      <c r="F56" s="201" t="s">
        <v>174</v>
      </c>
      <c r="G56" s="201">
        <v>1</v>
      </c>
      <c r="H56" s="262">
        <f t="shared" si="4"/>
        <v>11</v>
      </c>
    </row>
    <row r="57" spans="1:10" ht="12.75" customHeight="1" x14ac:dyDescent="0.2">
      <c r="A57">
        <f t="shared" si="1"/>
        <v>54</v>
      </c>
      <c r="B57" s="197" t="s">
        <v>235</v>
      </c>
      <c r="C57" s="204" t="s">
        <v>228</v>
      </c>
      <c r="D57" s="205">
        <v>24</v>
      </c>
      <c r="E57" s="204" t="s">
        <v>174</v>
      </c>
      <c r="F57" s="201" t="s">
        <v>174</v>
      </c>
      <c r="G57" s="201">
        <v>1</v>
      </c>
      <c r="H57" s="198">
        <f t="shared" si="4"/>
        <v>24</v>
      </c>
    </row>
    <row r="58" spans="1:10" ht="12.75" customHeight="1" x14ac:dyDescent="0.2">
      <c r="A58">
        <f t="shared" si="1"/>
        <v>55</v>
      </c>
      <c r="B58" s="197" t="s">
        <v>236</v>
      </c>
      <c r="C58" s="204" t="s">
        <v>228</v>
      </c>
      <c r="D58" s="205">
        <v>210</v>
      </c>
      <c r="E58" s="204" t="s">
        <v>178</v>
      </c>
      <c r="F58" s="201" t="s">
        <v>174</v>
      </c>
      <c r="G58" s="201">
        <v>128</v>
      </c>
      <c r="H58" s="262">
        <f t="shared" si="4"/>
        <v>1.640625</v>
      </c>
    </row>
    <row r="59" spans="1:10" ht="12.75" customHeight="1" x14ac:dyDescent="0.2">
      <c r="A59">
        <f t="shared" si="1"/>
        <v>56</v>
      </c>
      <c r="B59" s="197" t="s">
        <v>237</v>
      </c>
      <c r="C59" s="204" t="s">
        <v>228</v>
      </c>
      <c r="D59" s="205">
        <v>19</v>
      </c>
      <c r="E59" s="204" t="s">
        <v>178</v>
      </c>
      <c r="F59" s="201" t="s">
        <v>231</v>
      </c>
      <c r="G59" s="201">
        <v>4</v>
      </c>
      <c r="H59" s="198">
        <f t="shared" si="4"/>
        <v>4.75</v>
      </c>
    </row>
    <row r="60" spans="1:10" ht="12.75" customHeight="1" x14ac:dyDescent="0.2">
      <c r="A60">
        <f t="shared" si="1"/>
        <v>57</v>
      </c>
      <c r="B60" s="197" t="s">
        <v>238</v>
      </c>
      <c r="C60" s="204" t="s">
        <v>228</v>
      </c>
      <c r="D60" s="205">
        <v>4.3</v>
      </c>
      <c r="E60" s="204" t="s">
        <v>172</v>
      </c>
      <c r="F60" s="201" t="s">
        <v>172</v>
      </c>
      <c r="G60" s="201">
        <v>1</v>
      </c>
      <c r="H60" s="262">
        <f t="shared" si="4"/>
        <v>4.3</v>
      </c>
    </row>
    <row r="61" spans="1:10" ht="12.75" customHeight="1" x14ac:dyDescent="0.2">
      <c r="A61">
        <f t="shared" si="1"/>
        <v>58</v>
      </c>
      <c r="B61" s="197" t="s">
        <v>239</v>
      </c>
      <c r="C61" s="204" t="s">
        <v>228</v>
      </c>
      <c r="D61" s="205">
        <v>70</v>
      </c>
      <c r="E61" s="204" t="s">
        <v>172</v>
      </c>
      <c r="F61" s="201" t="s">
        <v>174</v>
      </c>
      <c r="G61" s="201">
        <v>16</v>
      </c>
      <c r="H61" s="198">
        <f t="shared" si="4"/>
        <v>4.375</v>
      </c>
      <c r="I61" s="264"/>
    </row>
    <row r="62" spans="1:10" ht="12.75" customHeight="1" x14ac:dyDescent="0.2">
      <c r="A62">
        <f t="shared" si="1"/>
        <v>59</v>
      </c>
      <c r="B62" s="197" t="s">
        <v>929</v>
      </c>
      <c r="C62" s="204" t="s">
        <v>228</v>
      </c>
      <c r="D62" s="205">
        <v>35</v>
      </c>
      <c r="E62" s="204" t="s">
        <v>172</v>
      </c>
      <c r="F62" s="201" t="s">
        <v>174</v>
      </c>
      <c r="G62" s="201">
        <v>16</v>
      </c>
      <c r="H62" s="264">
        <f t="shared" si="4"/>
        <v>2.1875</v>
      </c>
    </row>
    <row r="63" spans="1:10" ht="12.75" customHeight="1" x14ac:dyDescent="0.2">
      <c r="A63">
        <f t="shared" si="1"/>
        <v>60</v>
      </c>
      <c r="B63" s="197" t="s">
        <v>240</v>
      </c>
      <c r="C63" s="204" t="s">
        <v>228</v>
      </c>
      <c r="D63" s="205">
        <v>430</v>
      </c>
      <c r="E63" s="204" t="s">
        <v>178</v>
      </c>
      <c r="F63" s="201" t="s">
        <v>174</v>
      </c>
      <c r="G63" s="201">
        <v>128</v>
      </c>
      <c r="H63" s="198">
        <f t="shared" si="4"/>
        <v>3.359375</v>
      </c>
    </row>
    <row r="64" spans="1:10" ht="12.75" customHeight="1" x14ac:dyDescent="0.2">
      <c r="A64">
        <f t="shared" si="1"/>
        <v>61</v>
      </c>
      <c r="B64" s="197" t="s">
        <v>241</v>
      </c>
      <c r="C64" s="204" t="s">
        <v>228</v>
      </c>
      <c r="D64" s="205">
        <v>6.5</v>
      </c>
      <c r="E64" s="204" t="s">
        <v>174</v>
      </c>
      <c r="F64" s="201" t="s">
        <v>174</v>
      </c>
      <c r="G64" s="201">
        <v>1</v>
      </c>
      <c r="H64" s="262">
        <f t="shared" si="4"/>
        <v>6.5</v>
      </c>
    </row>
    <row r="65" spans="1:8" ht="12.75" customHeight="1" x14ac:dyDescent="0.2">
      <c r="A65">
        <f t="shared" si="1"/>
        <v>62</v>
      </c>
      <c r="B65" s="197" t="s">
        <v>242</v>
      </c>
      <c r="C65" s="204" t="s">
        <v>228</v>
      </c>
      <c r="D65" s="205">
        <v>95</v>
      </c>
      <c r="E65" s="204" t="s">
        <v>178</v>
      </c>
      <c r="F65" s="201" t="s">
        <v>179</v>
      </c>
      <c r="G65" s="201">
        <v>8</v>
      </c>
      <c r="H65" s="198">
        <f t="shared" si="4"/>
        <v>11.875</v>
      </c>
    </row>
    <row r="66" spans="1:8" ht="12.75" customHeight="1" x14ac:dyDescent="0.2">
      <c r="A66">
        <f t="shared" si="1"/>
        <v>63</v>
      </c>
      <c r="B66" s="197" t="s">
        <v>243</v>
      </c>
      <c r="C66" s="204" t="s">
        <v>228</v>
      </c>
      <c r="D66" s="205">
        <v>470</v>
      </c>
      <c r="E66" s="204" t="s">
        <v>178</v>
      </c>
      <c r="F66" s="201" t="s">
        <v>174</v>
      </c>
      <c r="G66" s="201">
        <v>128</v>
      </c>
      <c r="H66" s="262">
        <f t="shared" si="4"/>
        <v>3.671875</v>
      </c>
    </row>
    <row r="67" spans="1:8" ht="12.75" customHeight="1" x14ac:dyDescent="0.2">
      <c r="A67">
        <f t="shared" si="1"/>
        <v>64</v>
      </c>
      <c r="B67" s="197" t="s">
        <v>244</v>
      </c>
      <c r="C67" s="204" t="s">
        <v>228</v>
      </c>
      <c r="D67" s="205">
        <v>53</v>
      </c>
      <c r="E67" s="204" t="s">
        <v>178</v>
      </c>
      <c r="F67" s="201" t="s">
        <v>231</v>
      </c>
      <c r="G67" s="201">
        <v>4</v>
      </c>
      <c r="H67" s="198">
        <f t="shared" si="4"/>
        <v>13.25</v>
      </c>
    </row>
    <row r="68" spans="1:8" ht="12.75" customHeight="1" x14ac:dyDescent="0.2">
      <c r="A68">
        <f t="shared" si="1"/>
        <v>65</v>
      </c>
      <c r="B68" s="197" t="s">
        <v>245</v>
      </c>
      <c r="C68" s="204" t="s">
        <v>228</v>
      </c>
      <c r="D68" s="205">
        <v>53</v>
      </c>
      <c r="E68" s="204" t="s">
        <v>178</v>
      </c>
      <c r="F68" s="201" t="s">
        <v>179</v>
      </c>
      <c r="G68" s="201">
        <v>8</v>
      </c>
      <c r="H68" s="198">
        <f t="shared" ref="H68" si="5">IF(G68=0,0,D68/G68)</f>
        <v>6.625</v>
      </c>
    </row>
    <row r="69" spans="1:8" ht="12.75" customHeight="1" x14ac:dyDescent="0.2">
      <c r="A69">
        <f t="shared" si="1"/>
        <v>66</v>
      </c>
      <c r="B69" s="326" t="s">
        <v>246</v>
      </c>
      <c r="C69" s="327" t="s">
        <v>228</v>
      </c>
      <c r="D69" s="328">
        <v>340</v>
      </c>
      <c r="E69" s="327" t="s">
        <v>178</v>
      </c>
      <c r="F69" s="329" t="s">
        <v>174</v>
      </c>
      <c r="G69" s="329">
        <v>128</v>
      </c>
      <c r="H69" s="330">
        <f t="shared" si="4"/>
        <v>2.65625</v>
      </c>
    </row>
    <row r="70" spans="1:8" ht="12.75" customHeight="1" x14ac:dyDescent="0.2">
      <c r="A70">
        <f t="shared" si="1"/>
        <v>67</v>
      </c>
      <c r="B70" s="326" t="s">
        <v>958</v>
      </c>
      <c r="C70" s="327" t="s">
        <v>228</v>
      </c>
      <c r="D70" s="328">
        <v>400</v>
      </c>
      <c r="E70" s="327" t="s">
        <v>178</v>
      </c>
      <c r="F70" s="329" t="s">
        <v>174</v>
      </c>
      <c r="G70" s="329">
        <v>128</v>
      </c>
      <c r="H70" s="331">
        <f t="shared" si="4"/>
        <v>3.125</v>
      </c>
    </row>
    <row r="71" spans="1:8" ht="12.75" customHeight="1" x14ac:dyDescent="0.2">
      <c r="A71">
        <f t="shared" si="1"/>
        <v>68</v>
      </c>
      <c r="B71" s="326" t="s">
        <v>247</v>
      </c>
      <c r="C71" s="327" t="s">
        <v>228</v>
      </c>
      <c r="D71" s="328">
        <v>30</v>
      </c>
      <c r="E71" s="327" t="s">
        <v>178</v>
      </c>
      <c r="F71" s="329" t="s">
        <v>174</v>
      </c>
      <c r="G71" s="329">
        <v>128</v>
      </c>
      <c r="H71" s="331">
        <f t="shared" si="4"/>
        <v>0.234375</v>
      </c>
    </row>
    <row r="72" spans="1:8" ht="12.75" customHeight="1" x14ac:dyDescent="0.2">
      <c r="A72">
        <f t="shared" si="1"/>
        <v>69</v>
      </c>
      <c r="B72" s="326" t="s">
        <v>248</v>
      </c>
      <c r="C72" s="327" t="s">
        <v>228</v>
      </c>
      <c r="D72" s="328">
        <v>290</v>
      </c>
      <c r="E72" s="327" t="s">
        <v>178</v>
      </c>
      <c r="F72" s="329" t="s">
        <v>174</v>
      </c>
      <c r="G72" s="329">
        <v>128</v>
      </c>
      <c r="H72" s="330">
        <f t="shared" si="4"/>
        <v>2.265625</v>
      </c>
    </row>
    <row r="73" spans="1:8" ht="12.75" customHeight="1" x14ac:dyDescent="0.2">
      <c r="A73">
        <f t="shared" si="1"/>
        <v>70</v>
      </c>
      <c r="B73" s="326" t="s">
        <v>249</v>
      </c>
      <c r="C73" s="327" t="s">
        <v>228</v>
      </c>
      <c r="D73" s="328">
        <v>120</v>
      </c>
      <c r="E73" s="327" t="s">
        <v>178</v>
      </c>
      <c r="F73" s="329" t="s">
        <v>174</v>
      </c>
      <c r="G73" s="329">
        <v>128</v>
      </c>
      <c r="H73" s="331">
        <f t="shared" si="4"/>
        <v>0.9375</v>
      </c>
    </row>
    <row r="74" spans="1:8" ht="12.75" customHeight="1" x14ac:dyDescent="0.2">
      <c r="A74">
        <f t="shared" si="1"/>
        <v>71</v>
      </c>
      <c r="B74" s="326" t="s">
        <v>250</v>
      </c>
      <c r="C74" s="327" t="s">
        <v>228</v>
      </c>
      <c r="D74" s="328">
        <v>53</v>
      </c>
      <c r="E74" s="327" t="s">
        <v>178</v>
      </c>
      <c r="F74" s="329" t="s">
        <v>174</v>
      </c>
      <c r="G74" s="329">
        <v>128</v>
      </c>
      <c r="H74" s="330">
        <f t="shared" si="4"/>
        <v>0.4140625</v>
      </c>
    </row>
    <row r="75" spans="1:8" ht="12.75" customHeight="1" x14ac:dyDescent="0.2">
      <c r="A75">
        <f t="shared" ref="A75:A137" si="6">A74+1</f>
        <v>72</v>
      </c>
      <c r="B75" s="326" t="s">
        <v>887</v>
      </c>
      <c r="C75" s="327" t="s">
        <v>228</v>
      </c>
      <c r="D75" s="328">
        <v>80</v>
      </c>
      <c r="E75" s="327" t="s">
        <v>178</v>
      </c>
      <c r="F75" s="329" t="s">
        <v>179</v>
      </c>
      <c r="G75" s="329">
        <v>8</v>
      </c>
      <c r="H75" s="331">
        <f t="shared" si="4"/>
        <v>10</v>
      </c>
    </row>
    <row r="76" spans="1:8" ht="12.75" customHeight="1" x14ac:dyDescent="0.2">
      <c r="A76">
        <f t="shared" si="6"/>
        <v>73</v>
      </c>
      <c r="B76" s="326" t="s">
        <v>251</v>
      </c>
      <c r="C76" s="327" t="s">
        <v>228</v>
      </c>
      <c r="D76" s="328">
        <v>45</v>
      </c>
      <c r="E76" s="327" t="s">
        <v>178</v>
      </c>
      <c r="F76" s="329" t="s">
        <v>252</v>
      </c>
      <c r="G76" s="329">
        <v>128</v>
      </c>
      <c r="H76" s="330">
        <f t="shared" si="4"/>
        <v>0.3515625</v>
      </c>
    </row>
    <row r="77" spans="1:8" ht="12.75" customHeight="1" x14ac:dyDescent="0.2">
      <c r="A77">
        <f t="shared" si="6"/>
        <v>74</v>
      </c>
      <c r="B77" s="326" t="s">
        <v>253</v>
      </c>
      <c r="C77" s="327" t="s">
        <v>228</v>
      </c>
      <c r="D77" s="328">
        <v>70</v>
      </c>
      <c r="E77" s="327" t="s">
        <v>178</v>
      </c>
      <c r="F77" s="329" t="s">
        <v>179</v>
      </c>
      <c r="G77" s="329">
        <v>8</v>
      </c>
      <c r="H77" s="331">
        <f t="shared" si="4"/>
        <v>8.75</v>
      </c>
    </row>
    <row r="78" spans="1:8" ht="12.75" customHeight="1" x14ac:dyDescent="0.2">
      <c r="A78">
        <f t="shared" si="6"/>
        <v>75</v>
      </c>
      <c r="B78" s="326" t="s">
        <v>885</v>
      </c>
      <c r="C78" s="327" t="s">
        <v>228</v>
      </c>
      <c r="D78" s="328">
        <v>70</v>
      </c>
      <c r="E78" s="327" t="s">
        <v>178</v>
      </c>
      <c r="F78" s="329" t="s">
        <v>179</v>
      </c>
      <c r="G78" s="329">
        <v>8</v>
      </c>
      <c r="H78" s="331">
        <f t="shared" si="4"/>
        <v>8.75</v>
      </c>
    </row>
    <row r="79" spans="1:8" ht="12.75" customHeight="1" x14ac:dyDescent="0.2">
      <c r="A79">
        <f t="shared" si="6"/>
        <v>76</v>
      </c>
      <c r="B79" s="197" t="s">
        <v>255</v>
      </c>
      <c r="C79" s="204" t="s">
        <v>228</v>
      </c>
      <c r="D79" s="205">
        <v>135</v>
      </c>
      <c r="E79" s="204" t="s">
        <v>256</v>
      </c>
      <c r="F79" s="201" t="s">
        <v>252</v>
      </c>
      <c r="G79" s="201">
        <v>16</v>
      </c>
      <c r="H79" s="198">
        <f t="shared" si="4"/>
        <v>8.4375</v>
      </c>
    </row>
    <row r="80" spans="1:8" ht="12.75" customHeight="1" x14ac:dyDescent="0.2">
      <c r="A80">
        <f t="shared" si="6"/>
        <v>77</v>
      </c>
      <c r="B80" s="197" t="s">
        <v>257</v>
      </c>
      <c r="C80" s="204" t="s">
        <v>228</v>
      </c>
      <c r="D80" s="205">
        <v>290</v>
      </c>
      <c r="E80" s="204" t="s">
        <v>178</v>
      </c>
      <c r="F80" s="201" t="s">
        <v>179</v>
      </c>
      <c r="G80" s="201">
        <v>8</v>
      </c>
      <c r="H80" s="262">
        <f t="shared" ref="H80:H115" si="7">IF(G80=0,0,D80/G80)</f>
        <v>36.25</v>
      </c>
    </row>
    <row r="81" spans="1:8" ht="12.75" customHeight="1" x14ac:dyDescent="0.2">
      <c r="A81">
        <f t="shared" si="6"/>
        <v>78</v>
      </c>
      <c r="B81" s="197" t="s">
        <v>258</v>
      </c>
      <c r="C81" s="204" t="s">
        <v>228</v>
      </c>
      <c r="D81" s="205">
        <v>55</v>
      </c>
      <c r="E81" s="204" t="s">
        <v>178</v>
      </c>
      <c r="F81" s="201" t="s">
        <v>179</v>
      </c>
      <c r="G81" s="201">
        <v>8</v>
      </c>
      <c r="H81" s="262">
        <f t="shared" si="7"/>
        <v>6.875</v>
      </c>
    </row>
    <row r="82" spans="1:8" ht="12.75" customHeight="1" x14ac:dyDescent="0.2">
      <c r="A82">
        <f t="shared" si="6"/>
        <v>79</v>
      </c>
      <c r="B82" s="197" t="s">
        <v>259</v>
      </c>
      <c r="C82" s="204" t="s">
        <v>228</v>
      </c>
      <c r="D82" s="205">
        <v>17</v>
      </c>
      <c r="E82" s="204" t="s">
        <v>178</v>
      </c>
      <c r="F82" s="201" t="s">
        <v>174</v>
      </c>
      <c r="G82" s="201">
        <v>128</v>
      </c>
      <c r="H82" s="198">
        <f t="shared" si="7"/>
        <v>0.1328125</v>
      </c>
    </row>
    <row r="83" spans="1:8" ht="12.75" customHeight="1" x14ac:dyDescent="0.2">
      <c r="A83">
        <f t="shared" si="6"/>
        <v>80</v>
      </c>
      <c r="B83" s="197" t="s">
        <v>970</v>
      </c>
      <c r="C83" s="204" t="s">
        <v>228</v>
      </c>
      <c r="D83" s="205">
        <v>110</v>
      </c>
      <c r="E83" s="204" t="s">
        <v>178</v>
      </c>
      <c r="F83" s="201" t="s">
        <v>174</v>
      </c>
      <c r="G83" s="201">
        <v>128</v>
      </c>
      <c r="H83" s="198">
        <f t="shared" si="7"/>
        <v>0.859375</v>
      </c>
    </row>
    <row r="84" spans="1:8" ht="12.75" customHeight="1" x14ac:dyDescent="0.2">
      <c r="A84">
        <f t="shared" si="6"/>
        <v>81</v>
      </c>
      <c r="B84" s="197" t="s">
        <v>930</v>
      </c>
      <c r="C84" s="204" t="s">
        <v>228</v>
      </c>
      <c r="D84" s="205">
        <v>43</v>
      </c>
      <c r="E84" s="204" t="s">
        <v>178</v>
      </c>
      <c r="F84" s="201" t="s">
        <v>179</v>
      </c>
      <c r="G84" s="201">
        <v>8</v>
      </c>
      <c r="H84" s="262">
        <f t="shared" si="7"/>
        <v>5.375</v>
      </c>
    </row>
    <row r="85" spans="1:8" ht="12.75" customHeight="1" x14ac:dyDescent="0.2">
      <c r="A85">
        <f t="shared" si="6"/>
        <v>82</v>
      </c>
      <c r="B85" s="197" t="s">
        <v>260</v>
      </c>
      <c r="C85" s="204" t="s">
        <v>228</v>
      </c>
      <c r="D85" s="205">
        <v>135</v>
      </c>
      <c r="E85" s="204" t="s">
        <v>178</v>
      </c>
      <c r="F85" s="201" t="s">
        <v>174</v>
      </c>
      <c r="G85" s="201">
        <v>128</v>
      </c>
      <c r="H85" s="198">
        <f t="shared" si="7"/>
        <v>1.0546875</v>
      </c>
    </row>
    <row r="86" spans="1:8" ht="12.75" customHeight="1" x14ac:dyDescent="0.2">
      <c r="A86">
        <f t="shared" si="6"/>
        <v>83</v>
      </c>
      <c r="B86" s="197" t="s">
        <v>261</v>
      </c>
      <c r="C86" s="204" t="s">
        <v>228</v>
      </c>
      <c r="D86" s="205">
        <v>25</v>
      </c>
      <c r="E86" s="204" t="s">
        <v>178</v>
      </c>
      <c r="F86" s="201" t="s">
        <v>174</v>
      </c>
      <c r="G86" s="201">
        <v>128</v>
      </c>
      <c r="H86" s="262">
        <f t="shared" si="7"/>
        <v>0.1953125</v>
      </c>
    </row>
    <row r="87" spans="1:8" ht="12.75" customHeight="1" x14ac:dyDescent="0.2">
      <c r="A87">
        <f t="shared" si="6"/>
        <v>84</v>
      </c>
      <c r="B87" s="197" t="s">
        <v>262</v>
      </c>
      <c r="C87" s="204" t="s">
        <v>228</v>
      </c>
      <c r="D87" s="205">
        <v>800</v>
      </c>
      <c r="E87" s="204" t="s">
        <v>178</v>
      </c>
      <c r="F87" s="201" t="s">
        <v>174</v>
      </c>
      <c r="G87" s="201">
        <v>128</v>
      </c>
      <c r="H87" s="198">
        <f t="shared" si="7"/>
        <v>6.25</v>
      </c>
    </row>
    <row r="88" spans="1:8" ht="12.75" customHeight="1" x14ac:dyDescent="0.2">
      <c r="A88">
        <f t="shared" si="6"/>
        <v>85</v>
      </c>
      <c r="B88" s="197" t="s">
        <v>903</v>
      </c>
      <c r="C88" s="204" t="s">
        <v>228</v>
      </c>
      <c r="D88" s="205">
        <v>70</v>
      </c>
      <c r="E88" s="204" t="s">
        <v>178</v>
      </c>
      <c r="F88" s="201" t="s">
        <v>252</v>
      </c>
      <c r="G88" s="201">
        <v>128</v>
      </c>
      <c r="H88" s="262">
        <f t="shared" si="7"/>
        <v>0.546875</v>
      </c>
    </row>
    <row r="89" spans="1:8" ht="12.75" customHeight="1" x14ac:dyDescent="0.2">
      <c r="A89">
        <f t="shared" si="6"/>
        <v>86</v>
      </c>
      <c r="B89" s="326" t="s">
        <v>263</v>
      </c>
      <c r="C89" s="327" t="s">
        <v>228</v>
      </c>
      <c r="D89" s="328">
        <v>75</v>
      </c>
      <c r="E89" s="327" t="s">
        <v>178</v>
      </c>
      <c r="F89" s="329" t="s">
        <v>231</v>
      </c>
      <c r="G89" s="329">
        <v>4</v>
      </c>
      <c r="H89" s="330">
        <f t="shared" si="7"/>
        <v>18.75</v>
      </c>
    </row>
    <row r="90" spans="1:8" ht="12.75" customHeight="1" x14ac:dyDescent="0.2">
      <c r="A90">
        <f t="shared" si="6"/>
        <v>87</v>
      </c>
      <c r="B90" s="326" t="s">
        <v>896</v>
      </c>
      <c r="C90" s="327" t="s">
        <v>228</v>
      </c>
      <c r="D90" s="328">
        <v>130</v>
      </c>
      <c r="E90" s="327" t="s">
        <v>178</v>
      </c>
      <c r="F90" s="329" t="s">
        <v>174</v>
      </c>
      <c r="G90" s="329">
        <v>128</v>
      </c>
      <c r="H90" s="331">
        <f t="shared" si="7"/>
        <v>1.015625</v>
      </c>
    </row>
    <row r="91" spans="1:8" ht="12.75" customHeight="1" x14ac:dyDescent="0.2">
      <c r="A91">
        <f t="shared" si="6"/>
        <v>88</v>
      </c>
      <c r="B91" s="326" t="s">
        <v>264</v>
      </c>
      <c r="C91" s="327" t="s">
        <v>228</v>
      </c>
      <c r="D91" s="328">
        <v>195</v>
      </c>
      <c r="E91" s="327" t="s">
        <v>178</v>
      </c>
      <c r="F91" s="329" t="s">
        <v>174</v>
      </c>
      <c r="G91" s="329">
        <v>128</v>
      </c>
      <c r="H91" s="331">
        <f t="shared" si="7"/>
        <v>1.5234375</v>
      </c>
    </row>
    <row r="92" spans="1:8" ht="12.75" customHeight="1" x14ac:dyDescent="0.2">
      <c r="A92">
        <f t="shared" si="6"/>
        <v>89</v>
      </c>
      <c r="B92" s="326" t="s">
        <v>265</v>
      </c>
      <c r="C92" s="327" t="s">
        <v>228</v>
      </c>
      <c r="D92" s="328">
        <v>19</v>
      </c>
      <c r="E92" s="327" t="s">
        <v>174</v>
      </c>
      <c r="F92" s="329" t="s">
        <v>174</v>
      </c>
      <c r="G92" s="329">
        <v>1</v>
      </c>
      <c r="H92" s="330">
        <f t="shared" si="7"/>
        <v>19</v>
      </c>
    </row>
    <row r="93" spans="1:8" ht="12.75" customHeight="1" x14ac:dyDescent="0.2">
      <c r="A93">
        <f t="shared" si="6"/>
        <v>90</v>
      </c>
      <c r="B93" s="326" t="s">
        <v>266</v>
      </c>
      <c r="C93" s="327" t="s">
        <v>228</v>
      </c>
      <c r="D93" s="328">
        <v>60</v>
      </c>
      <c r="E93" s="327" t="s">
        <v>178</v>
      </c>
      <c r="F93" s="329" t="s">
        <v>179</v>
      </c>
      <c r="G93" s="329">
        <v>8</v>
      </c>
      <c r="H93" s="330">
        <f t="shared" si="7"/>
        <v>7.5</v>
      </c>
    </row>
    <row r="94" spans="1:8" ht="12.75" customHeight="1" x14ac:dyDescent="0.2">
      <c r="A94">
        <f t="shared" si="6"/>
        <v>91</v>
      </c>
      <c r="B94" s="326" t="s">
        <v>267</v>
      </c>
      <c r="C94" s="327" t="s">
        <v>228</v>
      </c>
      <c r="D94" s="328">
        <v>500</v>
      </c>
      <c r="E94" s="327" t="s">
        <v>178</v>
      </c>
      <c r="F94" s="329" t="s">
        <v>174</v>
      </c>
      <c r="G94" s="329">
        <v>128</v>
      </c>
      <c r="H94" s="331">
        <f t="shared" si="7"/>
        <v>3.90625</v>
      </c>
    </row>
    <row r="95" spans="1:8" ht="12.75" customHeight="1" x14ac:dyDescent="0.2">
      <c r="A95">
        <f t="shared" si="6"/>
        <v>92</v>
      </c>
      <c r="B95" s="326" t="s">
        <v>268</v>
      </c>
      <c r="C95" s="327" t="s">
        <v>228</v>
      </c>
      <c r="D95" s="328">
        <v>470</v>
      </c>
      <c r="E95" s="327" t="s">
        <v>178</v>
      </c>
      <c r="F95" s="329" t="s">
        <v>174</v>
      </c>
      <c r="G95" s="329">
        <v>128</v>
      </c>
      <c r="H95" s="330">
        <f t="shared" si="7"/>
        <v>3.671875</v>
      </c>
    </row>
    <row r="96" spans="1:8" ht="12.75" customHeight="1" x14ac:dyDescent="0.2">
      <c r="A96">
        <f t="shared" si="6"/>
        <v>93</v>
      </c>
      <c r="B96" s="326" t="s">
        <v>889</v>
      </c>
      <c r="C96" s="327" t="s">
        <v>228</v>
      </c>
      <c r="D96" s="328">
        <v>25</v>
      </c>
      <c r="E96" s="327" t="s">
        <v>178</v>
      </c>
      <c r="F96" s="329" t="s">
        <v>174</v>
      </c>
      <c r="G96" s="329">
        <v>128</v>
      </c>
      <c r="H96" s="330">
        <f t="shared" si="7"/>
        <v>0.1953125</v>
      </c>
    </row>
    <row r="97" spans="1:8" ht="12.75" customHeight="1" x14ac:dyDescent="0.2">
      <c r="A97">
        <f t="shared" si="6"/>
        <v>94</v>
      </c>
      <c r="B97" s="326" t="s">
        <v>269</v>
      </c>
      <c r="C97" s="327" t="s">
        <v>228</v>
      </c>
      <c r="D97" s="328">
        <v>35</v>
      </c>
      <c r="E97" s="327" t="s">
        <v>178</v>
      </c>
      <c r="F97" s="329" t="s">
        <v>174</v>
      </c>
      <c r="G97" s="329">
        <v>128</v>
      </c>
      <c r="H97" s="331">
        <f t="shared" si="7"/>
        <v>0.2734375</v>
      </c>
    </row>
    <row r="98" spans="1:8" ht="12.75" customHeight="1" x14ac:dyDescent="0.2">
      <c r="A98">
        <f t="shared" si="6"/>
        <v>95</v>
      </c>
      <c r="B98" s="326" t="s">
        <v>270</v>
      </c>
      <c r="C98" s="327" t="s">
        <v>228</v>
      </c>
      <c r="D98" s="328">
        <v>44</v>
      </c>
      <c r="E98" s="327" t="s">
        <v>178</v>
      </c>
      <c r="F98" s="329" t="s">
        <v>231</v>
      </c>
      <c r="G98" s="329">
        <v>4</v>
      </c>
      <c r="H98" s="330">
        <f t="shared" si="7"/>
        <v>11</v>
      </c>
    </row>
    <row r="99" spans="1:8" ht="12.75" customHeight="1" x14ac:dyDescent="0.2">
      <c r="A99">
        <f t="shared" si="6"/>
        <v>96</v>
      </c>
      <c r="B99" s="326" t="s">
        <v>271</v>
      </c>
      <c r="C99" s="327" t="s">
        <v>228</v>
      </c>
      <c r="D99" s="328">
        <v>70</v>
      </c>
      <c r="E99" s="327" t="s">
        <v>178</v>
      </c>
      <c r="F99" s="329" t="s">
        <v>179</v>
      </c>
      <c r="G99" s="329">
        <v>8</v>
      </c>
      <c r="H99" s="330">
        <f t="shared" si="7"/>
        <v>8.75</v>
      </c>
    </row>
    <row r="100" spans="1:8" ht="12.75" customHeight="1" x14ac:dyDescent="0.2">
      <c r="A100">
        <f t="shared" si="6"/>
        <v>97</v>
      </c>
      <c r="B100" s="326" t="s">
        <v>273</v>
      </c>
      <c r="C100" s="327" t="s">
        <v>228</v>
      </c>
      <c r="D100" s="328">
        <v>130</v>
      </c>
      <c r="E100" s="327" t="s">
        <v>178</v>
      </c>
      <c r="F100" s="329" t="s">
        <v>174</v>
      </c>
      <c r="G100" s="329">
        <v>128</v>
      </c>
      <c r="H100" s="331">
        <f t="shared" si="7"/>
        <v>1.015625</v>
      </c>
    </row>
    <row r="101" spans="1:8" ht="12.75" customHeight="1" x14ac:dyDescent="0.2">
      <c r="A101">
        <f t="shared" si="6"/>
        <v>98</v>
      </c>
      <c r="B101" s="326" t="s">
        <v>274</v>
      </c>
      <c r="C101" s="327" t="s">
        <v>228</v>
      </c>
      <c r="D101" s="328">
        <v>1090</v>
      </c>
      <c r="E101" s="327" t="s">
        <v>178</v>
      </c>
      <c r="F101" s="329" t="s">
        <v>174</v>
      </c>
      <c r="G101" s="329">
        <v>128</v>
      </c>
      <c r="H101" s="330">
        <f t="shared" si="7"/>
        <v>8.515625</v>
      </c>
    </row>
    <row r="102" spans="1:8" ht="12.75" customHeight="1" x14ac:dyDescent="0.2">
      <c r="A102">
        <f t="shared" si="6"/>
        <v>99</v>
      </c>
      <c r="B102" s="326" t="s">
        <v>886</v>
      </c>
      <c r="C102" s="327" t="s">
        <v>228</v>
      </c>
      <c r="D102" s="328">
        <v>60</v>
      </c>
      <c r="E102" s="327" t="s">
        <v>178</v>
      </c>
      <c r="F102" s="329" t="s">
        <v>179</v>
      </c>
      <c r="G102" s="329">
        <v>8</v>
      </c>
      <c r="H102" s="331">
        <f t="shared" si="7"/>
        <v>7.5</v>
      </c>
    </row>
    <row r="103" spans="1:8" ht="12.75" customHeight="1" x14ac:dyDescent="0.2">
      <c r="A103">
        <f t="shared" si="6"/>
        <v>100</v>
      </c>
      <c r="B103" s="326" t="s">
        <v>275</v>
      </c>
      <c r="C103" s="327" t="s">
        <v>228</v>
      </c>
      <c r="D103" s="328">
        <v>140</v>
      </c>
      <c r="E103" s="327" t="s">
        <v>178</v>
      </c>
      <c r="F103" s="329" t="s">
        <v>174</v>
      </c>
      <c r="G103" s="329">
        <v>128</v>
      </c>
      <c r="H103" s="331">
        <f t="shared" si="7"/>
        <v>1.09375</v>
      </c>
    </row>
    <row r="104" spans="1:8" ht="12.75" customHeight="1" x14ac:dyDescent="0.2">
      <c r="A104">
        <f t="shared" si="6"/>
        <v>101</v>
      </c>
      <c r="B104" s="326" t="s">
        <v>276</v>
      </c>
      <c r="C104" s="327" t="s">
        <v>228</v>
      </c>
      <c r="D104" s="328">
        <v>5.5</v>
      </c>
      <c r="E104" s="327" t="s">
        <v>174</v>
      </c>
      <c r="F104" s="329" t="s">
        <v>174</v>
      </c>
      <c r="G104" s="329">
        <v>1</v>
      </c>
      <c r="H104" s="331">
        <f t="shared" si="7"/>
        <v>5.5</v>
      </c>
    </row>
    <row r="105" spans="1:8" ht="12.75" customHeight="1" x14ac:dyDescent="0.2">
      <c r="A105">
        <f t="shared" si="6"/>
        <v>102</v>
      </c>
      <c r="B105" s="326" t="s">
        <v>277</v>
      </c>
      <c r="C105" s="327" t="s">
        <v>228</v>
      </c>
      <c r="D105" s="328">
        <v>55</v>
      </c>
      <c r="E105" s="327" t="s">
        <v>178</v>
      </c>
      <c r="F105" s="329" t="s">
        <v>174</v>
      </c>
      <c r="G105" s="329">
        <v>128</v>
      </c>
      <c r="H105" s="330">
        <f t="shared" si="7"/>
        <v>0.4296875</v>
      </c>
    </row>
    <row r="106" spans="1:8" ht="12.75" customHeight="1" x14ac:dyDescent="0.2">
      <c r="A106">
        <f t="shared" si="6"/>
        <v>103</v>
      </c>
      <c r="B106" s="326" t="s">
        <v>278</v>
      </c>
      <c r="C106" s="327" t="s">
        <v>228</v>
      </c>
      <c r="D106" s="328">
        <v>62</v>
      </c>
      <c r="E106" s="327" t="s">
        <v>172</v>
      </c>
      <c r="F106" s="329" t="s">
        <v>174</v>
      </c>
      <c r="G106" s="329">
        <v>16</v>
      </c>
      <c r="H106" s="331">
        <f t="shared" si="7"/>
        <v>3.875</v>
      </c>
    </row>
    <row r="107" spans="1:8" ht="12.75" customHeight="1" x14ac:dyDescent="0.2">
      <c r="A107">
        <f t="shared" si="6"/>
        <v>104</v>
      </c>
      <c r="B107" s="326" t="s">
        <v>279</v>
      </c>
      <c r="C107" s="327" t="s">
        <v>228</v>
      </c>
      <c r="D107" s="328">
        <v>115</v>
      </c>
      <c r="E107" s="327" t="s">
        <v>178</v>
      </c>
      <c r="F107" s="329" t="s">
        <v>179</v>
      </c>
      <c r="G107" s="329">
        <v>8</v>
      </c>
      <c r="H107" s="330">
        <f t="shared" si="7"/>
        <v>14.375</v>
      </c>
    </row>
    <row r="108" spans="1:8" ht="12.75" customHeight="1" x14ac:dyDescent="0.2">
      <c r="A108">
        <f t="shared" si="6"/>
        <v>105</v>
      </c>
      <c r="B108" s="326" t="s">
        <v>280</v>
      </c>
      <c r="C108" s="327" t="s">
        <v>228</v>
      </c>
      <c r="D108" s="328">
        <v>560</v>
      </c>
      <c r="E108" s="327" t="s">
        <v>178</v>
      </c>
      <c r="F108" s="329" t="s">
        <v>174</v>
      </c>
      <c r="G108" s="329">
        <v>128</v>
      </c>
      <c r="H108" s="331">
        <f t="shared" si="7"/>
        <v>4.375</v>
      </c>
    </row>
    <row r="109" spans="1:8" ht="12.75" customHeight="1" x14ac:dyDescent="0.2">
      <c r="A109">
        <f t="shared" si="6"/>
        <v>106</v>
      </c>
      <c r="B109" s="197" t="s">
        <v>888</v>
      </c>
      <c r="C109" s="204" t="s">
        <v>228</v>
      </c>
      <c r="D109" s="205">
        <v>50</v>
      </c>
      <c r="E109" s="204" t="s">
        <v>178</v>
      </c>
      <c r="F109" s="201" t="s">
        <v>179</v>
      </c>
      <c r="G109" s="201">
        <v>16</v>
      </c>
      <c r="H109" s="198">
        <f t="shared" ref="H109" si="8">IF(G109=0,0,D109/G109)</f>
        <v>3.125</v>
      </c>
    </row>
    <row r="110" spans="1:8" ht="12.75" customHeight="1" x14ac:dyDescent="0.2">
      <c r="A110">
        <f t="shared" si="6"/>
        <v>107</v>
      </c>
      <c r="B110" s="197" t="s">
        <v>281</v>
      </c>
      <c r="C110" s="204" t="s">
        <v>228</v>
      </c>
      <c r="D110" s="205">
        <v>70</v>
      </c>
      <c r="E110" s="204" t="s">
        <v>178</v>
      </c>
      <c r="F110" s="201" t="s">
        <v>174</v>
      </c>
      <c r="G110" s="201">
        <v>128</v>
      </c>
      <c r="H110" s="198">
        <f t="shared" si="7"/>
        <v>0.546875</v>
      </c>
    </row>
    <row r="111" spans="1:8" ht="12.75" customHeight="1" x14ac:dyDescent="0.2">
      <c r="A111">
        <f t="shared" si="6"/>
        <v>108</v>
      </c>
      <c r="B111" s="197" t="s">
        <v>282</v>
      </c>
      <c r="C111" s="204" t="s">
        <v>228</v>
      </c>
      <c r="D111" s="205">
        <v>640</v>
      </c>
      <c r="E111" s="204" t="s">
        <v>178</v>
      </c>
      <c r="F111" s="201" t="s">
        <v>174</v>
      </c>
      <c r="G111" s="201">
        <v>128</v>
      </c>
      <c r="H111" s="198">
        <f t="shared" si="7"/>
        <v>5</v>
      </c>
    </row>
    <row r="112" spans="1:8" ht="12.75" customHeight="1" x14ac:dyDescent="0.2">
      <c r="A112">
        <f t="shared" si="6"/>
        <v>109</v>
      </c>
      <c r="B112" s="197" t="s">
        <v>283</v>
      </c>
      <c r="C112" s="204" t="s">
        <v>228</v>
      </c>
      <c r="D112" s="205">
        <v>930</v>
      </c>
      <c r="E112" s="204" t="s">
        <v>178</v>
      </c>
      <c r="F112" s="201" t="s">
        <v>174</v>
      </c>
      <c r="G112" s="201">
        <v>128</v>
      </c>
      <c r="H112" s="262">
        <f t="shared" si="7"/>
        <v>7.265625</v>
      </c>
    </row>
    <row r="113" spans="1:8" ht="12.75" customHeight="1" x14ac:dyDescent="0.2">
      <c r="A113">
        <f t="shared" si="6"/>
        <v>110</v>
      </c>
      <c r="B113" s="197" t="s">
        <v>284</v>
      </c>
      <c r="C113" s="204" t="s">
        <v>285</v>
      </c>
      <c r="D113" s="205">
        <v>85</v>
      </c>
      <c r="E113" s="204" t="s">
        <v>178</v>
      </c>
      <c r="F113" s="201" t="s">
        <v>174</v>
      </c>
      <c r="G113" s="201">
        <v>128</v>
      </c>
      <c r="H113" s="198">
        <f t="shared" si="7"/>
        <v>0.6640625</v>
      </c>
    </row>
    <row r="114" spans="1:8" ht="12.75" customHeight="1" x14ac:dyDescent="0.2">
      <c r="A114">
        <f t="shared" si="6"/>
        <v>111</v>
      </c>
      <c r="B114" s="197" t="s">
        <v>286</v>
      </c>
      <c r="C114" s="204" t="s">
        <v>285</v>
      </c>
      <c r="D114" s="205">
        <v>130</v>
      </c>
      <c r="E114" s="204" t="s">
        <v>178</v>
      </c>
      <c r="F114" s="201" t="s">
        <v>174</v>
      </c>
      <c r="G114" s="201">
        <v>128</v>
      </c>
      <c r="H114" s="262">
        <f t="shared" si="7"/>
        <v>1.015625</v>
      </c>
    </row>
    <row r="115" spans="1:8" ht="12.75" customHeight="1" x14ac:dyDescent="0.2">
      <c r="A115">
        <f t="shared" si="6"/>
        <v>112</v>
      </c>
      <c r="B115" s="197" t="s">
        <v>287</v>
      </c>
      <c r="C115" s="204" t="s">
        <v>285</v>
      </c>
      <c r="D115" s="205">
        <v>185</v>
      </c>
      <c r="E115" s="204" t="s">
        <v>178</v>
      </c>
      <c r="F115" s="201" t="s">
        <v>174</v>
      </c>
      <c r="G115" s="201">
        <v>128</v>
      </c>
      <c r="H115" s="198">
        <f t="shared" si="7"/>
        <v>1.4453125</v>
      </c>
    </row>
    <row r="116" spans="1:8" ht="12.75" customHeight="1" x14ac:dyDescent="0.2">
      <c r="A116">
        <f t="shared" si="6"/>
        <v>113</v>
      </c>
      <c r="B116" s="197" t="s">
        <v>288</v>
      </c>
      <c r="C116" s="204" t="s">
        <v>285</v>
      </c>
      <c r="D116" s="205">
        <v>160</v>
      </c>
      <c r="E116" s="204" t="s">
        <v>178</v>
      </c>
      <c r="F116" s="201" t="s">
        <v>174</v>
      </c>
      <c r="G116" s="201">
        <v>128</v>
      </c>
      <c r="H116" s="198">
        <f t="shared" ref="H116:H146" si="9">IF(G116=0,0,D116/G116)</f>
        <v>1.25</v>
      </c>
    </row>
    <row r="117" spans="1:8" ht="12.75" customHeight="1" x14ac:dyDescent="0.2">
      <c r="A117">
        <f t="shared" si="6"/>
        <v>114</v>
      </c>
      <c r="B117" s="197" t="s">
        <v>289</v>
      </c>
      <c r="C117" s="204" t="s">
        <v>285</v>
      </c>
      <c r="D117" s="205">
        <v>14</v>
      </c>
      <c r="E117" s="204" t="s">
        <v>174</v>
      </c>
      <c r="F117" s="201" t="s">
        <v>174</v>
      </c>
      <c r="G117" s="201">
        <v>1</v>
      </c>
      <c r="H117" s="262">
        <f t="shared" si="9"/>
        <v>14</v>
      </c>
    </row>
    <row r="118" spans="1:8" ht="12.75" customHeight="1" x14ac:dyDescent="0.2">
      <c r="A118">
        <f t="shared" si="6"/>
        <v>115</v>
      </c>
      <c r="B118" s="197" t="s">
        <v>290</v>
      </c>
      <c r="C118" s="204" t="s">
        <v>285</v>
      </c>
      <c r="D118" s="205">
        <v>410</v>
      </c>
      <c r="E118" s="204" t="s">
        <v>178</v>
      </c>
      <c r="F118" s="201" t="s">
        <v>174</v>
      </c>
      <c r="G118" s="201">
        <v>128</v>
      </c>
      <c r="H118" s="198">
        <f t="shared" si="9"/>
        <v>3.203125</v>
      </c>
    </row>
    <row r="119" spans="1:8" ht="12.75" customHeight="1" x14ac:dyDescent="0.2">
      <c r="A119">
        <f t="shared" si="6"/>
        <v>116</v>
      </c>
      <c r="B119" s="197" t="s">
        <v>291</v>
      </c>
      <c r="C119" s="204" t="s">
        <v>292</v>
      </c>
      <c r="D119" s="205">
        <v>52</v>
      </c>
      <c r="E119" s="204" t="s">
        <v>176</v>
      </c>
      <c r="F119" s="201" t="s">
        <v>176</v>
      </c>
      <c r="G119" s="201">
        <v>1</v>
      </c>
      <c r="H119" s="264">
        <f t="shared" si="9"/>
        <v>52</v>
      </c>
    </row>
    <row r="120" spans="1:8" ht="12.75" customHeight="1" x14ac:dyDescent="0.2">
      <c r="A120">
        <f t="shared" si="6"/>
        <v>117</v>
      </c>
      <c r="B120" s="197" t="s">
        <v>293</v>
      </c>
      <c r="C120" s="204" t="s">
        <v>292</v>
      </c>
      <c r="D120" s="205">
        <v>0.08</v>
      </c>
      <c r="E120" s="204" t="s">
        <v>294</v>
      </c>
      <c r="F120" s="201" t="s">
        <v>294</v>
      </c>
      <c r="G120" s="201">
        <v>1</v>
      </c>
      <c r="H120" s="198">
        <f t="shared" si="9"/>
        <v>0.08</v>
      </c>
    </row>
    <row r="121" spans="1:8" ht="12.75" customHeight="1" x14ac:dyDescent="0.2">
      <c r="A121">
        <f t="shared" si="6"/>
        <v>118</v>
      </c>
      <c r="B121" s="197" t="s">
        <v>295</v>
      </c>
      <c r="C121" s="204" t="s">
        <v>292</v>
      </c>
      <c r="D121" s="205">
        <v>300</v>
      </c>
      <c r="E121" s="204" t="s">
        <v>296</v>
      </c>
      <c r="F121" s="201" t="s">
        <v>176</v>
      </c>
      <c r="G121" s="201">
        <v>130</v>
      </c>
      <c r="H121" s="264">
        <f t="shared" si="9"/>
        <v>2.3076923076923075</v>
      </c>
    </row>
    <row r="122" spans="1:8" ht="12.75" customHeight="1" x14ac:dyDescent="0.2">
      <c r="A122">
        <f t="shared" si="6"/>
        <v>119</v>
      </c>
      <c r="B122" s="197" t="s">
        <v>297</v>
      </c>
      <c r="C122" s="204" t="s">
        <v>292</v>
      </c>
      <c r="D122" s="205">
        <v>40</v>
      </c>
      <c r="E122" s="204" t="s">
        <v>176</v>
      </c>
      <c r="F122" s="201" t="s">
        <v>176</v>
      </c>
      <c r="G122" s="201">
        <v>1</v>
      </c>
      <c r="H122" s="198">
        <f t="shared" si="9"/>
        <v>40</v>
      </c>
    </row>
    <row r="123" spans="1:8" ht="12.75" customHeight="1" x14ac:dyDescent="0.2">
      <c r="A123">
        <f t="shared" si="6"/>
        <v>120</v>
      </c>
      <c r="B123" s="197" t="s">
        <v>298</v>
      </c>
      <c r="C123" s="204" t="s">
        <v>292</v>
      </c>
      <c r="D123" s="205">
        <v>40</v>
      </c>
      <c r="E123" s="204" t="s">
        <v>299</v>
      </c>
      <c r="F123" s="201" t="s">
        <v>299</v>
      </c>
      <c r="G123" s="201">
        <v>1</v>
      </c>
      <c r="H123" s="264">
        <f t="shared" si="9"/>
        <v>40</v>
      </c>
    </row>
    <row r="124" spans="1:8" ht="12.75" customHeight="1" x14ac:dyDescent="0.2">
      <c r="A124">
        <f t="shared" si="6"/>
        <v>121</v>
      </c>
      <c r="B124" s="197" t="s">
        <v>300</v>
      </c>
      <c r="C124" s="204" t="s">
        <v>292</v>
      </c>
      <c r="D124" s="205">
        <v>1.7</v>
      </c>
      <c r="E124" s="204" t="s">
        <v>186</v>
      </c>
      <c r="F124" s="201" t="s">
        <v>187</v>
      </c>
      <c r="G124" s="201">
        <f>1539/2000</f>
        <v>0.76949999999999996</v>
      </c>
      <c r="H124" s="198">
        <f t="shared" si="9"/>
        <v>2.2092267706302793</v>
      </c>
    </row>
    <row r="125" spans="1:8" ht="12.75" customHeight="1" x14ac:dyDescent="0.2">
      <c r="A125">
        <f t="shared" si="6"/>
        <v>122</v>
      </c>
      <c r="B125" s="197" t="s">
        <v>301</v>
      </c>
      <c r="C125" s="204" t="s">
        <v>292</v>
      </c>
      <c r="D125" s="205">
        <v>1.35</v>
      </c>
      <c r="E125" s="204" t="s">
        <v>186</v>
      </c>
      <c r="F125" s="201" t="s">
        <v>187</v>
      </c>
      <c r="G125" s="201">
        <f>1362/2000</f>
        <v>0.68100000000000005</v>
      </c>
      <c r="H125" s="264">
        <f t="shared" si="9"/>
        <v>1.9823788546255507</v>
      </c>
    </row>
    <row r="126" spans="1:8" ht="12.75" customHeight="1" x14ac:dyDescent="0.2">
      <c r="A126">
        <f t="shared" si="6"/>
        <v>123</v>
      </c>
      <c r="B126" s="197" t="s">
        <v>302</v>
      </c>
      <c r="C126" s="204" t="s">
        <v>292</v>
      </c>
      <c r="D126" s="205">
        <v>0.6</v>
      </c>
      <c r="E126" s="204" t="s">
        <v>186</v>
      </c>
      <c r="F126" s="201" t="s">
        <v>187</v>
      </c>
      <c r="G126" s="201">
        <v>0.03</v>
      </c>
      <c r="H126" s="198">
        <v>15</v>
      </c>
    </row>
    <row r="127" spans="1:8" ht="12.75" customHeight="1" x14ac:dyDescent="0.2">
      <c r="A127">
        <f t="shared" si="6"/>
        <v>124</v>
      </c>
      <c r="B127" s="197" t="s">
        <v>303</v>
      </c>
      <c r="C127" s="204" t="s">
        <v>292</v>
      </c>
      <c r="D127" s="205">
        <v>1</v>
      </c>
      <c r="E127" s="204" t="s">
        <v>176</v>
      </c>
      <c r="F127" s="201" t="s">
        <v>176</v>
      </c>
      <c r="G127" s="201">
        <v>1</v>
      </c>
      <c r="H127" s="198">
        <f t="shared" si="9"/>
        <v>1</v>
      </c>
    </row>
    <row r="128" spans="1:8" ht="12.75" customHeight="1" x14ac:dyDescent="0.2">
      <c r="A128">
        <f t="shared" si="6"/>
        <v>125</v>
      </c>
      <c r="B128" s="197" t="s">
        <v>304</v>
      </c>
      <c r="C128" s="204" t="s">
        <v>305</v>
      </c>
      <c r="D128" s="205">
        <v>25</v>
      </c>
      <c r="E128" s="204" t="s">
        <v>176</v>
      </c>
      <c r="F128" s="201" t="s">
        <v>176</v>
      </c>
      <c r="G128" s="201">
        <v>1</v>
      </c>
      <c r="H128" s="264">
        <f t="shared" si="9"/>
        <v>25</v>
      </c>
    </row>
    <row r="129" spans="1:8" ht="12.75" customHeight="1" x14ac:dyDescent="0.2">
      <c r="A129">
        <f t="shared" si="6"/>
        <v>126</v>
      </c>
      <c r="B129" s="197" t="s">
        <v>306</v>
      </c>
      <c r="C129" s="204" t="s">
        <v>305</v>
      </c>
      <c r="D129" s="205">
        <v>20</v>
      </c>
      <c r="E129" s="204" t="s">
        <v>176</v>
      </c>
      <c r="F129" s="201" t="s">
        <v>176</v>
      </c>
      <c r="G129" s="201">
        <v>1</v>
      </c>
      <c r="H129" s="198">
        <f t="shared" si="9"/>
        <v>20</v>
      </c>
    </row>
    <row r="130" spans="1:8" ht="12.75" customHeight="1" x14ac:dyDescent="0.2">
      <c r="A130">
        <f t="shared" si="6"/>
        <v>127</v>
      </c>
      <c r="B130" s="197" t="s">
        <v>307</v>
      </c>
      <c r="C130" s="204" t="s">
        <v>308</v>
      </c>
      <c r="D130" s="205">
        <v>13</v>
      </c>
      <c r="E130" s="204" t="s">
        <v>176</v>
      </c>
      <c r="F130" s="201" t="s">
        <v>176</v>
      </c>
      <c r="G130" s="201">
        <v>1</v>
      </c>
      <c r="H130" s="264">
        <f t="shared" si="9"/>
        <v>13</v>
      </c>
    </row>
    <row r="131" spans="1:8" ht="12.75" customHeight="1" x14ac:dyDescent="0.2">
      <c r="A131">
        <f t="shared" si="6"/>
        <v>128</v>
      </c>
      <c r="B131" s="197" t="s">
        <v>309</v>
      </c>
      <c r="C131" s="204" t="s">
        <v>308</v>
      </c>
      <c r="D131" s="205">
        <v>10</v>
      </c>
      <c r="E131" s="204" t="s">
        <v>176</v>
      </c>
      <c r="F131" s="201" t="s">
        <v>176</v>
      </c>
      <c r="G131" s="201">
        <v>1</v>
      </c>
      <c r="H131" s="198">
        <f t="shared" si="9"/>
        <v>10</v>
      </c>
    </row>
    <row r="132" spans="1:8" ht="12.75" customHeight="1" x14ac:dyDescent="0.2">
      <c r="A132">
        <f t="shared" si="6"/>
        <v>129</v>
      </c>
      <c r="B132" s="197" t="s">
        <v>310</v>
      </c>
      <c r="C132" s="204" t="s">
        <v>308</v>
      </c>
      <c r="D132" s="205">
        <v>10</v>
      </c>
      <c r="E132" s="204" t="s">
        <v>176</v>
      </c>
      <c r="F132" s="201" t="s">
        <v>176</v>
      </c>
      <c r="G132" s="201">
        <v>1</v>
      </c>
      <c r="H132" s="264">
        <f t="shared" si="9"/>
        <v>10</v>
      </c>
    </row>
    <row r="133" spans="1:8" ht="12.75" customHeight="1" x14ac:dyDescent="0.2">
      <c r="A133">
        <f t="shared" si="6"/>
        <v>130</v>
      </c>
      <c r="B133" s="197" t="s">
        <v>311</v>
      </c>
      <c r="C133" s="204" t="s">
        <v>308</v>
      </c>
      <c r="D133" s="205">
        <v>10</v>
      </c>
      <c r="E133" s="204" t="s">
        <v>176</v>
      </c>
      <c r="F133" s="201" t="s">
        <v>176</v>
      </c>
      <c r="G133" s="201">
        <v>1</v>
      </c>
      <c r="H133" s="198">
        <f t="shared" si="9"/>
        <v>10</v>
      </c>
    </row>
    <row r="134" spans="1:8" ht="12.75" customHeight="1" x14ac:dyDescent="0.2">
      <c r="A134">
        <f t="shared" si="6"/>
        <v>131</v>
      </c>
      <c r="B134" s="197" t="s">
        <v>312</v>
      </c>
      <c r="C134" s="204" t="s">
        <v>308</v>
      </c>
      <c r="D134" s="205">
        <v>10</v>
      </c>
      <c r="E134" s="204" t="s">
        <v>176</v>
      </c>
      <c r="F134" s="201" t="s">
        <v>176</v>
      </c>
      <c r="G134" s="201">
        <v>1</v>
      </c>
      <c r="H134" s="264">
        <f t="shared" si="9"/>
        <v>10</v>
      </c>
    </row>
    <row r="135" spans="1:8" ht="12.75" customHeight="1" x14ac:dyDescent="0.2">
      <c r="A135">
        <f t="shared" si="6"/>
        <v>132</v>
      </c>
      <c r="B135" s="197" t="s">
        <v>313</v>
      </c>
      <c r="C135" s="204" t="s">
        <v>308</v>
      </c>
      <c r="D135" s="205">
        <v>13</v>
      </c>
      <c r="E135" s="204" t="s">
        <v>176</v>
      </c>
      <c r="F135" s="201" t="s">
        <v>176</v>
      </c>
      <c r="G135" s="201">
        <v>1</v>
      </c>
      <c r="H135" s="198">
        <f t="shared" si="9"/>
        <v>13</v>
      </c>
    </row>
    <row r="136" spans="1:8" ht="12.75" customHeight="1" x14ac:dyDescent="0.2">
      <c r="A136">
        <f t="shared" si="6"/>
        <v>133</v>
      </c>
      <c r="B136" s="197" t="s">
        <v>314</v>
      </c>
      <c r="C136" s="204" t="s">
        <v>308</v>
      </c>
      <c r="D136" s="205">
        <v>13</v>
      </c>
      <c r="E136" s="204" t="s">
        <v>176</v>
      </c>
      <c r="F136" s="201" t="s">
        <v>176</v>
      </c>
      <c r="G136" s="201">
        <v>1</v>
      </c>
      <c r="H136" s="264">
        <f t="shared" si="9"/>
        <v>13</v>
      </c>
    </row>
    <row r="137" spans="1:8" ht="12.75" customHeight="1" x14ac:dyDescent="0.2">
      <c r="A137">
        <f t="shared" si="6"/>
        <v>134</v>
      </c>
      <c r="B137" s="197" t="s">
        <v>315</v>
      </c>
      <c r="C137" s="204" t="s">
        <v>308</v>
      </c>
      <c r="D137" s="205">
        <v>10</v>
      </c>
      <c r="E137" s="204" t="s">
        <v>176</v>
      </c>
      <c r="F137" s="201" t="s">
        <v>176</v>
      </c>
      <c r="G137" s="201">
        <v>1</v>
      </c>
      <c r="H137" s="198">
        <f t="shared" si="9"/>
        <v>10</v>
      </c>
    </row>
    <row r="138" spans="1:8" ht="12.75" customHeight="1" x14ac:dyDescent="0.2">
      <c r="A138">
        <f t="shared" ref="A138:A170" si="10">A137+1</f>
        <v>135</v>
      </c>
      <c r="B138" s="197" t="s">
        <v>316</v>
      </c>
      <c r="C138" s="204" t="s">
        <v>308</v>
      </c>
      <c r="D138" s="205">
        <v>19</v>
      </c>
      <c r="E138" s="204" t="s">
        <v>176</v>
      </c>
      <c r="F138" s="201" t="s">
        <v>176</v>
      </c>
      <c r="G138" s="201">
        <v>1</v>
      </c>
      <c r="H138" s="264">
        <f t="shared" si="9"/>
        <v>19</v>
      </c>
    </row>
    <row r="139" spans="1:8" ht="12.75" customHeight="1" x14ac:dyDescent="0.2">
      <c r="A139">
        <f t="shared" si="10"/>
        <v>136</v>
      </c>
      <c r="B139" s="197" t="s">
        <v>317</v>
      </c>
      <c r="C139" s="204" t="s">
        <v>318</v>
      </c>
      <c r="D139" s="205">
        <v>10.5</v>
      </c>
      <c r="E139" s="204" t="s">
        <v>172</v>
      </c>
      <c r="F139" s="204" t="s">
        <v>172</v>
      </c>
      <c r="G139" s="201">
        <v>1</v>
      </c>
      <c r="H139" s="198">
        <f t="shared" si="9"/>
        <v>10.5</v>
      </c>
    </row>
    <row r="140" spans="1:8" ht="12.75" customHeight="1" x14ac:dyDescent="0.2">
      <c r="A140">
        <f t="shared" si="10"/>
        <v>137</v>
      </c>
      <c r="B140" s="197" t="s">
        <v>319</v>
      </c>
      <c r="C140" s="201" t="s">
        <v>318</v>
      </c>
      <c r="D140" s="202">
        <v>6.25</v>
      </c>
      <c r="E140" s="203" t="s">
        <v>172</v>
      </c>
      <c r="F140" s="201" t="s">
        <v>172</v>
      </c>
      <c r="G140" s="201">
        <v>1</v>
      </c>
      <c r="H140" s="264">
        <f t="shared" si="9"/>
        <v>6.25</v>
      </c>
    </row>
    <row r="141" spans="1:8" ht="12.75" customHeight="1" x14ac:dyDescent="0.2">
      <c r="A141">
        <f t="shared" si="10"/>
        <v>138</v>
      </c>
      <c r="B141" s="197" t="s">
        <v>320</v>
      </c>
      <c r="C141" s="204" t="s">
        <v>318</v>
      </c>
      <c r="D141" s="205">
        <v>280</v>
      </c>
      <c r="E141" s="204" t="s">
        <v>321</v>
      </c>
      <c r="F141" s="201" t="s">
        <v>322</v>
      </c>
      <c r="G141" s="201">
        <v>80</v>
      </c>
      <c r="H141" s="198">
        <f t="shared" si="9"/>
        <v>3.5</v>
      </c>
    </row>
    <row r="142" spans="1:8" ht="12.75" customHeight="1" x14ac:dyDescent="0.2">
      <c r="A142">
        <f t="shared" si="10"/>
        <v>139</v>
      </c>
      <c r="B142" s="197" t="s">
        <v>323</v>
      </c>
      <c r="C142" s="204" t="s">
        <v>318</v>
      </c>
      <c r="D142" s="205">
        <v>310</v>
      </c>
      <c r="E142" s="204" t="s">
        <v>321</v>
      </c>
      <c r="F142" s="201" t="s">
        <v>322</v>
      </c>
      <c r="G142" s="201">
        <v>80</v>
      </c>
      <c r="H142" s="264">
        <f t="shared" si="9"/>
        <v>3.875</v>
      </c>
    </row>
    <row r="143" spans="1:8" ht="12.75" customHeight="1" x14ac:dyDescent="0.2">
      <c r="A143">
        <f t="shared" si="10"/>
        <v>140</v>
      </c>
      <c r="B143" s="197" t="s">
        <v>324</v>
      </c>
      <c r="C143" s="204" t="s">
        <v>318</v>
      </c>
      <c r="D143" s="205">
        <v>310</v>
      </c>
      <c r="E143" s="204" t="s">
        <v>321</v>
      </c>
      <c r="F143" s="201" t="s">
        <v>322</v>
      </c>
      <c r="G143" s="201">
        <v>80</v>
      </c>
      <c r="H143" s="198">
        <f t="shared" si="9"/>
        <v>3.875</v>
      </c>
    </row>
    <row r="144" spans="1:8" ht="12.75" customHeight="1" x14ac:dyDescent="0.2">
      <c r="A144">
        <f t="shared" si="10"/>
        <v>141</v>
      </c>
      <c r="B144" s="197" t="s">
        <v>325</v>
      </c>
      <c r="C144" s="204" t="s">
        <v>318</v>
      </c>
      <c r="D144" s="205">
        <v>340</v>
      </c>
      <c r="E144" s="204" t="s">
        <v>321</v>
      </c>
      <c r="F144" s="201" t="s">
        <v>322</v>
      </c>
      <c r="G144" s="201">
        <v>80</v>
      </c>
      <c r="H144" s="264">
        <f t="shared" si="9"/>
        <v>4.25</v>
      </c>
    </row>
    <row r="145" spans="1:8" ht="12.75" customHeight="1" x14ac:dyDescent="0.2">
      <c r="A145">
        <f t="shared" si="10"/>
        <v>142</v>
      </c>
      <c r="B145" s="197" t="s">
        <v>326</v>
      </c>
      <c r="C145" s="204" t="s">
        <v>318</v>
      </c>
      <c r="D145" s="205">
        <v>340</v>
      </c>
      <c r="E145" s="204" t="s">
        <v>321</v>
      </c>
      <c r="F145" s="201" t="s">
        <v>322</v>
      </c>
      <c r="G145" s="201">
        <v>80</v>
      </c>
      <c r="H145" s="198">
        <f t="shared" si="9"/>
        <v>4.25</v>
      </c>
    </row>
    <row r="146" spans="1:8" ht="12.75" customHeight="1" x14ac:dyDescent="0.2">
      <c r="A146">
        <f t="shared" si="10"/>
        <v>143</v>
      </c>
      <c r="B146" s="197" t="s">
        <v>327</v>
      </c>
      <c r="C146" s="204" t="s">
        <v>318</v>
      </c>
      <c r="D146" s="205">
        <v>300</v>
      </c>
      <c r="E146" s="204" t="s">
        <v>321</v>
      </c>
      <c r="F146" s="201" t="s">
        <v>322</v>
      </c>
      <c r="G146" s="201">
        <v>80</v>
      </c>
      <c r="H146" s="264">
        <f t="shared" si="9"/>
        <v>3.75</v>
      </c>
    </row>
    <row r="147" spans="1:8" ht="12.75" customHeight="1" x14ac:dyDescent="0.2">
      <c r="A147">
        <f t="shared" si="10"/>
        <v>144</v>
      </c>
      <c r="B147" s="197" t="s">
        <v>328</v>
      </c>
      <c r="C147" s="204" t="s">
        <v>318</v>
      </c>
      <c r="D147" s="205">
        <v>300</v>
      </c>
      <c r="E147" s="204" t="s">
        <v>321</v>
      </c>
      <c r="F147" s="201" t="s">
        <v>322</v>
      </c>
      <c r="G147" s="201">
        <v>80</v>
      </c>
      <c r="H147" s="198">
        <f t="shared" ref="H147:H172" si="11">IF(G147=0,0,D147/G147)</f>
        <v>3.75</v>
      </c>
    </row>
    <row r="148" spans="1:8" ht="12.75" customHeight="1" x14ac:dyDescent="0.2">
      <c r="A148">
        <f t="shared" si="10"/>
        <v>145</v>
      </c>
      <c r="B148" s="197" t="s">
        <v>329</v>
      </c>
      <c r="C148" s="204" t="s">
        <v>318</v>
      </c>
      <c r="D148" s="205">
        <v>350</v>
      </c>
      <c r="E148" s="204" t="s">
        <v>321</v>
      </c>
      <c r="F148" s="201" t="s">
        <v>322</v>
      </c>
      <c r="G148" s="201">
        <v>80</v>
      </c>
      <c r="H148" s="262">
        <f t="shared" si="11"/>
        <v>4.375</v>
      </c>
    </row>
    <row r="149" spans="1:8" ht="12.75" customHeight="1" x14ac:dyDescent="0.2">
      <c r="A149">
        <f t="shared" si="10"/>
        <v>146</v>
      </c>
      <c r="B149" s="197" t="s">
        <v>330</v>
      </c>
      <c r="C149" s="204" t="s">
        <v>318</v>
      </c>
      <c r="D149" s="205">
        <v>22</v>
      </c>
      <c r="E149" s="204" t="s">
        <v>176</v>
      </c>
      <c r="F149" s="201" t="s">
        <v>176</v>
      </c>
      <c r="G149" s="201">
        <v>1</v>
      </c>
      <c r="H149" s="198">
        <f t="shared" si="11"/>
        <v>22</v>
      </c>
    </row>
    <row r="150" spans="1:8" ht="12.75" customHeight="1" x14ac:dyDescent="0.2">
      <c r="A150">
        <f t="shared" si="10"/>
        <v>147</v>
      </c>
      <c r="B150" s="197" t="s">
        <v>331</v>
      </c>
      <c r="C150" s="204" t="s">
        <v>318</v>
      </c>
      <c r="D150" s="205">
        <v>33</v>
      </c>
      <c r="E150" s="204" t="s">
        <v>176</v>
      </c>
      <c r="F150" s="201" t="s">
        <v>176</v>
      </c>
      <c r="G150" s="201">
        <v>1</v>
      </c>
      <c r="H150" s="264">
        <f t="shared" si="11"/>
        <v>33</v>
      </c>
    </row>
    <row r="151" spans="1:8" ht="12.75" customHeight="1" x14ac:dyDescent="0.2">
      <c r="A151">
        <f t="shared" si="10"/>
        <v>148</v>
      </c>
      <c r="B151" s="197" t="s">
        <v>332</v>
      </c>
      <c r="C151" s="204" t="s">
        <v>318</v>
      </c>
      <c r="D151" s="205">
        <v>100</v>
      </c>
      <c r="E151" s="204" t="s">
        <v>195</v>
      </c>
      <c r="F151" s="201" t="s">
        <v>195</v>
      </c>
      <c r="G151" s="201">
        <v>1</v>
      </c>
      <c r="H151" s="264">
        <f t="shared" si="11"/>
        <v>100</v>
      </c>
    </row>
    <row r="152" spans="1:8" ht="12.75" customHeight="1" x14ac:dyDescent="0.2">
      <c r="A152">
        <f t="shared" si="10"/>
        <v>149</v>
      </c>
      <c r="B152" s="197" t="s">
        <v>333</v>
      </c>
      <c r="C152" s="204" t="s">
        <v>318</v>
      </c>
      <c r="D152" s="205">
        <v>80</v>
      </c>
      <c r="E152" s="204" t="s">
        <v>176</v>
      </c>
      <c r="F152" s="201" t="s">
        <v>176</v>
      </c>
      <c r="G152" s="201">
        <v>1</v>
      </c>
      <c r="H152" s="198">
        <f t="shared" si="11"/>
        <v>80</v>
      </c>
    </row>
    <row r="153" spans="1:8" ht="12.75" customHeight="1" x14ac:dyDescent="0.2">
      <c r="A153">
        <f t="shared" si="10"/>
        <v>150</v>
      </c>
      <c r="B153" s="197" t="s">
        <v>334</v>
      </c>
      <c r="C153" s="204" t="s">
        <v>318</v>
      </c>
      <c r="D153" s="205">
        <v>0.55000000000000004</v>
      </c>
      <c r="E153" s="204" t="s">
        <v>172</v>
      </c>
      <c r="F153" s="201" t="s">
        <v>172</v>
      </c>
      <c r="G153" s="201">
        <v>1</v>
      </c>
      <c r="H153" s="264">
        <f t="shared" si="11"/>
        <v>0.55000000000000004</v>
      </c>
    </row>
    <row r="154" spans="1:8" ht="12.75" customHeight="1" x14ac:dyDescent="0.2">
      <c r="A154">
        <f t="shared" si="10"/>
        <v>151</v>
      </c>
      <c r="B154" s="197" t="s">
        <v>335</v>
      </c>
      <c r="C154" s="204" t="s">
        <v>318</v>
      </c>
      <c r="D154" s="205">
        <v>12</v>
      </c>
      <c r="E154" s="204" t="s">
        <v>191</v>
      </c>
      <c r="F154" s="201" t="s">
        <v>191</v>
      </c>
      <c r="G154" s="201">
        <v>1</v>
      </c>
      <c r="H154" s="198">
        <f t="shared" si="11"/>
        <v>12</v>
      </c>
    </row>
    <row r="155" spans="1:8" ht="12.75" customHeight="1" x14ac:dyDescent="0.2">
      <c r="A155">
        <f t="shared" si="10"/>
        <v>152</v>
      </c>
      <c r="B155" s="197" t="s">
        <v>883</v>
      </c>
      <c r="C155" s="204" t="s">
        <v>318</v>
      </c>
      <c r="D155" s="205">
        <v>28</v>
      </c>
      <c r="E155" s="204" t="s">
        <v>321</v>
      </c>
      <c r="F155" s="201" t="s">
        <v>191</v>
      </c>
      <c r="G155" s="201">
        <v>1</v>
      </c>
      <c r="H155" s="264">
        <f t="shared" si="11"/>
        <v>28</v>
      </c>
    </row>
    <row r="156" spans="1:8" ht="12.75" customHeight="1" x14ac:dyDescent="0.2">
      <c r="A156">
        <f t="shared" si="10"/>
        <v>153</v>
      </c>
      <c r="B156" s="197" t="s">
        <v>946</v>
      </c>
      <c r="C156" s="204" t="s">
        <v>318</v>
      </c>
      <c r="D156" s="205">
        <v>325</v>
      </c>
      <c r="E156" s="204" t="s">
        <v>321</v>
      </c>
      <c r="F156" s="201" t="s">
        <v>322</v>
      </c>
      <c r="G156" s="201">
        <v>100</v>
      </c>
      <c r="H156" s="264">
        <f t="shared" si="11"/>
        <v>3.25</v>
      </c>
    </row>
    <row r="157" spans="1:8" ht="12.75" customHeight="1" x14ac:dyDescent="0.2">
      <c r="A157">
        <f t="shared" si="10"/>
        <v>154</v>
      </c>
      <c r="B157" s="197" t="s">
        <v>337</v>
      </c>
      <c r="C157" s="204" t="s">
        <v>318</v>
      </c>
      <c r="D157" s="205">
        <v>70</v>
      </c>
      <c r="E157" s="204" t="s">
        <v>321</v>
      </c>
      <c r="F157" s="201" t="s">
        <v>321</v>
      </c>
      <c r="G157" s="201">
        <v>1</v>
      </c>
      <c r="H157" s="198">
        <f t="shared" si="11"/>
        <v>70</v>
      </c>
    </row>
    <row r="158" spans="1:8" ht="12.75" customHeight="1" x14ac:dyDescent="0.2">
      <c r="A158">
        <f t="shared" si="10"/>
        <v>155</v>
      </c>
      <c r="B158" s="197" t="s">
        <v>338</v>
      </c>
      <c r="C158" s="204" t="s">
        <v>318</v>
      </c>
      <c r="D158" s="205">
        <v>83</v>
      </c>
      <c r="E158" s="204" t="s">
        <v>321</v>
      </c>
      <c r="F158" s="201" t="s">
        <v>321</v>
      </c>
      <c r="G158" s="201">
        <v>1</v>
      </c>
      <c r="H158" s="264">
        <f t="shared" si="11"/>
        <v>83</v>
      </c>
    </row>
    <row r="159" spans="1:8" x14ac:dyDescent="0.2">
      <c r="A159">
        <f t="shared" si="10"/>
        <v>156</v>
      </c>
      <c r="B159" s="197" t="s">
        <v>339</v>
      </c>
      <c r="C159" s="204" t="s">
        <v>318</v>
      </c>
      <c r="D159" s="205">
        <v>70</v>
      </c>
      <c r="E159" s="204" t="s">
        <v>321</v>
      </c>
      <c r="F159" s="201" t="s">
        <v>322</v>
      </c>
      <c r="G159" s="201">
        <v>1</v>
      </c>
      <c r="H159" s="198">
        <f>IF(G159=0,0,D159/G159)</f>
        <v>70</v>
      </c>
    </row>
    <row r="160" spans="1:8" x14ac:dyDescent="0.2">
      <c r="A160">
        <f t="shared" si="10"/>
        <v>157</v>
      </c>
      <c r="B160" s="197" t="s">
        <v>340</v>
      </c>
      <c r="C160" s="204" t="s">
        <v>318</v>
      </c>
      <c r="D160" s="205">
        <v>83</v>
      </c>
      <c r="E160" s="204" t="s">
        <v>321</v>
      </c>
      <c r="F160" s="201" t="s">
        <v>322</v>
      </c>
      <c r="G160" s="201">
        <v>1</v>
      </c>
      <c r="H160" s="264">
        <f>IF(G160=0,0,D160/G160)</f>
        <v>83</v>
      </c>
    </row>
    <row r="161" spans="1:8" x14ac:dyDescent="0.2">
      <c r="A161">
        <f t="shared" si="10"/>
        <v>158</v>
      </c>
      <c r="B161" s="197" t="s">
        <v>341</v>
      </c>
      <c r="C161" s="204" t="s">
        <v>318</v>
      </c>
      <c r="D161" s="205">
        <v>83</v>
      </c>
      <c r="E161" s="204" t="s">
        <v>321</v>
      </c>
      <c r="F161" s="201" t="s">
        <v>322</v>
      </c>
      <c r="G161" s="201">
        <v>1</v>
      </c>
      <c r="H161" s="264">
        <f>IF(G161=0,0,D161/G161)</f>
        <v>83</v>
      </c>
    </row>
    <row r="162" spans="1:8" x14ac:dyDescent="0.2">
      <c r="A162">
        <f t="shared" si="10"/>
        <v>159</v>
      </c>
      <c r="B162" s="197" t="s">
        <v>342</v>
      </c>
      <c r="C162" s="204" t="s">
        <v>218</v>
      </c>
      <c r="D162" s="205">
        <v>7</v>
      </c>
      <c r="E162" s="204" t="s">
        <v>176</v>
      </c>
      <c r="F162" s="201" t="s">
        <v>176</v>
      </c>
      <c r="G162" s="201">
        <v>1</v>
      </c>
      <c r="H162" s="264">
        <f>IF(G162=0,0,D162/G162)</f>
        <v>7</v>
      </c>
    </row>
    <row r="163" spans="1:8" ht="12.75" customHeight="1" x14ac:dyDescent="0.2">
      <c r="A163">
        <f t="shared" si="10"/>
        <v>160</v>
      </c>
      <c r="B163" s="197" t="s">
        <v>343</v>
      </c>
      <c r="C163" s="204" t="s">
        <v>318</v>
      </c>
      <c r="D163" s="205">
        <v>3.7</v>
      </c>
      <c r="E163" s="204" t="s">
        <v>172</v>
      </c>
      <c r="F163" s="201" t="s">
        <v>172</v>
      </c>
      <c r="G163" s="201">
        <v>1</v>
      </c>
      <c r="H163" s="198">
        <f t="shared" si="11"/>
        <v>3.7</v>
      </c>
    </row>
    <row r="164" spans="1:8" ht="12.75" customHeight="1" x14ac:dyDescent="0.2">
      <c r="A164">
        <f t="shared" si="10"/>
        <v>161</v>
      </c>
      <c r="B164" s="197" t="s">
        <v>344</v>
      </c>
      <c r="C164" s="204" t="s">
        <v>318</v>
      </c>
      <c r="D164" s="205">
        <v>1.1000000000000001</v>
      </c>
      <c r="E164" s="204" t="s">
        <v>172</v>
      </c>
      <c r="F164" s="201" t="s">
        <v>172</v>
      </c>
      <c r="G164" s="201">
        <v>1</v>
      </c>
      <c r="H164" s="264">
        <f t="shared" si="11"/>
        <v>1.1000000000000001</v>
      </c>
    </row>
    <row r="165" spans="1:8" ht="12.75" customHeight="1" x14ac:dyDescent="0.2">
      <c r="A165">
        <f t="shared" si="10"/>
        <v>162</v>
      </c>
      <c r="B165" s="197" t="s">
        <v>345</v>
      </c>
      <c r="C165" s="204" t="s">
        <v>318</v>
      </c>
      <c r="D165" s="205">
        <v>1.25</v>
      </c>
      <c r="E165" s="204" t="s">
        <v>172</v>
      </c>
      <c r="F165" s="201" t="s">
        <v>172</v>
      </c>
      <c r="G165" s="201">
        <v>1</v>
      </c>
      <c r="H165" s="198">
        <f t="shared" si="11"/>
        <v>1.25</v>
      </c>
    </row>
    <row r="166" spans="1:8" x14ac:dyDescent="0.2">
      <c r="A166">
        <f t="shared" si="10"/>
        <v>163</v>
      </c>
      <c r="B166" s="197" t="s">
        <v>346</v>
      </c>
      <c r="C166" s="204" t="s">
        <v>318</v>
      </c>
      <c r="D166" s="205">
        <v>1.65</v>
      </c>
      <c r="E166" s="204" t="s">
        <v>172</v>
      </c>
      <c r="F166" s="201" t="s">
        <v>172</v>
      </c>
      <c r="G166" s="201">
        <v>1</v>
      </c>
      <c r="H166" s="264">
        <f t="shared" si="11"/>
        <v>1.65</v>
      </c>
    </row>
    <row r="167" spans="1:8" x14ac:dyDescent="0.2">
      <c r="A167">
        <f t="shared" si="10"/>
        <v>164</v>
      </c>
      <c r="B167" s="197" t="s">
        <v>347</v>
      </c>
      <c r="C167" s="204" t="s">
        <v>318</v>
      </c>
      <c r="D167" s="205">
        <v>1.4</v>
      </c>
      <c r="E167" s="204" t="s">
        <v>172</v>
      </c>
      <c r="F167" s="201" t="s">
        <v>172</v>
      </c>
      <c r="G167" s="201">
        <v>1</v>
      </c>
      <c r="H167" s="198">
        <f t="shared" si="11"/>
        <v>1.4</v>
      </c>
    </row>
    <row r="168" spans="1:8" x14ac:dyDescent="0.2">
      <c r="A168">
        <f t="shared" si="10"/>
        <v>165</v>
      </c>
      <c r="B168" s="265" t="s">
        <v>348</v>
      </c>
      <c r="C168" s="266" t="s">
        <v>318</v>
      </c>
      <c r="D168" s="267">
        <v>220</v>
      </c>
      <c r="E168" s="266" t="s">
        <v>176</v>
      </c>
      <c r="F168" s="268" t="s">
        <v>176</v>
      </c>
      <c r="G168" s="268">
        <v>1</v>
      </c>
      <c r="H168" s="269">
        <f t="shared" si="11"/>
        <v>220</v>
      </c>
    </row>
    <row r="169" spans="1:8" x14ac:dyDescent="0.2">
      <c r="A169">
        <f t="shared" si="10"/>
        <v>166</v>
      </c>
      <c r="B169" s="197" t="s">
        <v>349</v>
      </c>
      <c r="C169" s="204" t="s">
        <v>318</v>
      </c>
      <c r="D169" s="205">
        <v>420</v>
      </c>
      <c r="E169" s="204" t="s">
        <v>321</v>
      </c>
      <c r="F169" s="201" t="s">
        <v>322</v>
      </c>
      <c r="G169" s="201">
        <v>200</v>
      </c>
      <c r="H169" s="262">
        <f t="shared" si="11"/>
        <v>2.1</v>
      </c>
    </row>
    <row r="170" spans="1:8" x14ac:dyDescent="0.2">
      <c r="A170">
        <f t="shared" si="10"/>
        <v>167</v>
      </c>
      <c r="B170" s="197" t="s">
        <v>350</v>
      </c>
      <c r="C170" s="204" t="s">
        <v>318</v>
      </c>
      <c r="D170" s="205">
        <v>0.41</v>
      </c>
      <c r="E170" s="204" t="s">
        <v>172</v>
      </c>
      <c r="F170" s="201" t="s">
        <v>172</v>
      </c>
      <c r="G170" s="201">
        <v>1</v>
      </c>
      <c r="H170" s="262">
        <f t="shared" si="11"/>
        <v>0.41</v>
      </c>
    </row>
    <row r="171" spans="1:8" x14ac:dyDescent="0.2">
      <c r="A171">
        <v>170</v>
      </c>
      <c r="B171" s="365" t="s">
        <v>931</v>
      </c>
      <c r="C171" s="367" t="s">
        <v>318</v>
      </c>
      <c r="D171" s="366">
        <v>0.31</v>
      </c>
      <c r="E171" s="367" t="s">
        <v>172</v>
      </c>
      <c r="F171" s="201" t="s">
        <v>172</v>
      </c>
      <c r="G171" s="201">
        <v>1</v>
      </c>
      <c r="H171" s="262">
        <f t="shared" si="11"/>
        <v>0.31</v>
      </c>
    </row>
    <row r="172" spans="1:8" x14ac:dyDescent="0.2">
      <c r="A172">
        <v>171</v>
      </c>
      <c r="B172" s="197" t="s">
        <v>351</v>
      </c>
      <c r="C172" s="204" t="s">
        <v>318</v>
      </c>
      <c r="D172" s="205">
        <v>0.33</v>
      </c>
      <c r="E172" s="204" t="s">
        <v>172</v>
      </c>
      <c r="F172" s="201" t="s">
        <v>172</v>
      </c>
      <c r="G172" s="201">
        <v>1</v>
      </c>
      <c r="H172" s="198">
        <f t="shared" si="11"/>
        <v>0.33</v>
      </c>
    </row>
  </sheetData>
  <pageMargins left="0.7" right="0.7" top="0.75" bottom="0.75" header="0.3" footer="0.3"/>
  <pageSetup scale="96" fitToHeight="4"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1">
    <pageSetUpPr fitToPage="1"/>
  </sheetPr>
  <dimension ref="A2:M256"/>
  <sheetViews>
    <sheetView zoomScaleNormal="100" workbookViewId="0">
      <selection activeCell="A38" sqref="A38:XFD3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709</v>
      </c>
      <c r="D2" s="187"/>
      <c r="E2" s="187"/>
      <c r="F2" s="128" t="s">
        <v>648</v>
      </c>
      <c r="G2" s="392" t="s">
        <v>720</v>
      </c>
      <c r="H2" s="392"/>
      <c r="J2" s="128" t="s">
        <v>649</v>
      </c>
      <c r="K2" s="401" t="s">
        <v>74</v>
      </c>
      <c r="L2" s="401"/>
    </row>
    <row r="3" spans="1:13" hidden="1" x14ac:dyDescent="0.2">
      <c r="B3" s="103" t="s">
        <v>38</v>
      </c>
      <c r="C3" s="391" t="s">
        <v>46</v>
      </c>
      <c r="D3" s="391"/>
      <c r="E3" s="391"/>
      <c r="G3" s="128" t="s">
        <v>650</v>
      </c>
      <c r="H3" s="187" t="s">
        <v>723</v>
      </c>
      <c r="J3" s="128" t="s">
        <v>651</v>
      </c>
      <c r="K3" s="187"/>
    </row>
    <row r="4" spans="1:13" hidden="1" x14ac:dyDescent="0.2">
      <c r="B4" s="103" t="s">
        <v>652</v>
      </c>
      <c r="C4" s="392" t="s">
        <v>722</v>
      </c>
      <c r="D4" s="392"/>
      <c r="E4" s="392"/>
      <c r="G4" s="103">
        <f>IFERROR(VALUE(LEFT($H$3,FIND(" ",$H$3))),"")</f>
        <v>195</v>
      </c>
      <c r="H4" s="103" t="str">
        <f>IFERROR(RIGHT(H3,LEN(H3)-LEN(G4)-1),"")</f>
        <v>bushel</v>
      </c>
      <c r="J4" s="128" t="s">
        <v>653</v>
      </c>
      <c r="K4" s="188" t="s">
        <v>681</v>
      </c>
    </row>
    <row r="5" spans="1:13" ht="15.75" hidden="1" customHeight="1" x14ac:dyDescent="0.2">
      <c r="B5" s="103" t="s">
        <v>655</v>
      </c>
      <c r="C5" s="103" t="str">
        <f ca="1">MID(CELL("filename",C5),FIND("]",CELL("filename",C5))+1,255)</f>
        <v>24-Corn</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24-Corn, Bt, ECB, &amp; RIB, Eastern Nebraska, No Till, after Beans, 195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24-Corn, Bt, ECB, &amp; RIB, Eastern Nebraska, No Till, after Beans, 195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943</v>
      </c>
      <c r="C18" s="174">
        <f>$G$4</f>
        <v>195</v>
      </c>
      <c r="D18" s="174"/>
      <c r="E18" s="109">
        <f>IF(B18=0,"",IF(C18&gt;9999,"",ROUND('General Variables'!$B$4*VLOOKUP(B18,Operations!$A$2:$U$79,10,FALSE)/VLOOKUP(B18,Operations!$A$2:$U$79,9,FALSE)*C18,2))/100)</f>
        <v>4.4550000000000001</v>
      </c>
      <c r="F18" s="109">
        <f>IF(B18=0,0,IF(C18&gt;9999,"",ROUND(IF(VLOOKUP(B18,Operations!$A$2:$U$79,12,FALSE)=0,VLOOKUP(B18,Operations!$A$2:$U$79,13,FALSE)*'General Variables'!$B$8,VLOOKUP(B18,Operations!$A$2:$U$79,12,FALSE)*'General Variables'!$B$7)/VLOOKUP(B18,Operations!$A$2:$U$79,9,FALSE)*C18,2))/100)</f>
        <v>5.0352999999999994</v>
      </c>
      <c r="G18" s="109">
        <f>IF(B18=0,0,IF(C18&gt;9999,"",ROUND(VLOOKUP(VLOOKUP(B18,Operations!$A$2:$U$79,11,FALSE),PowerUnits[],10,FALSE)/VLOOKUP(B18,Operations!$A$2:$U$79,9,FALSE)*C18,2))/100)</f>
        <v>7.7412000000000001</v>
      </c>
      <c r="H18" s="109">
        <f>IF(B18=0,"",IF(C18&gt;9999,"",ROUND(VLOOKUP($B18,Operations!$A$2:$U$79,15,FALSE)*C18,2))/100)</f>
        <v>1.8362000000000001</v>
      </c>
      <c r="I18" s="109">
        <f>IF(B18=0,0,IF(C18&gt;9999,"",ROUND(VLOOKUP(VLOOKUP(B18,Operations!$A$2:$U$79,11,FALSE),PowerUnits[],16,FALSE)/VLOOKUP(B18,Operations!$A$2:$U$79,9,FALSE)*C18,2))/100)</f>
        <v>18.642900000000001</v>
      </c>
      <c r="J18" s="109">
        <f>IF(B18=0,"",IF(C18&gt;9999,"",ROUND(VLOOKUP($B18,Operations!$A$2:$U$79,21,FALSE)*$C18,2))/100)</f>
        <v>8.4941999999999993</v>
      </c>
      <c r="K18" s="109">
        <f>IF(C18&gt;9999,"",ROUND(SUM(E18:J18),2))</f>
        <v>46.2</v>
      </c>
      <c r="L18" s="110"/>
    </row>
    <row r="19" spans="1:12" x14ac:dyDescent="0.2">
      <c r="A19" s="170">
        <v>8</v>
      </c>
      <c r="B19" s="213" t="s">
        <v>414</v>
      </c>
      <c r="C19" s="214">
        <f>$G$4</f>
        <v>195</v>
      </c>
      <c r="D19" s="214" t="s">
        <v>706</v>
      </c>
      <c r="E19" s="215">
        <f>IF(B19=0,"",IF(C19&gt;9999,"",ROUND('General Variables'!$B$4*VLOOKUP(B19,Operations!$A$2:$U$79,10,FALSE)/VLOOKUP(B19,Operations!$A$2:$U$79,9,FALSE)*C19,2)))</f>
        <v>1.76</v>
      </c>
      <c r="F19" s="215">
        <f>IF(B19=0,0,IF(C19&gt;9999,"",ROUND(IF(VLOOKUP(B19,Operations!$A$2:$U$79,12,FALSE)=0,VLOOKUP(B19,Operations!$A$2:$U$79,13,FALSE)*'General Variables'!$B$8,VLOOKUP(B19,Operations!$A$2:$U$79,12,FALSE)*'General Variables'!$B$7)/VLOOKUP(B19,Operations!$A$2:$U$79,9,FALSE)*C19,2)))</f>
        <v>0.56999999999999995</v>
      </c>
      <c r="G19" s="215">
        <f>IF(B19=0,0,IF(C19&gt;9999,"",ROUND(VLOOKUP(VLOOKUP(B19,Operations!$A$2:$U$79,11,FALSE),PowerUnits[],10,FALSE)/VLOOKUP(B19,Operations!$A$2:$U$79,9,FALSE)*C19,2)))</f>
        <v>0.05</v>
      </c>
      <c r="H19" s="215">
        <f>IF(B19=0,"",IF(C19&gt;9999,"",ROUND(VLOOKUP($B19,Operations!$A$2:$U$79,15,FALSE)*C19,2)))</f>
        <v>1.08</v>
      </c>
      <c r="I19" s="215">
        <f>IF(B19=0,0,IF(C19&gt;9999,"",ROUND(VLOOKUP(VLOOKUP(B19,Operations!$A$2:$U$79,11,FALSE),PowerUnits[],16,FALSE)/VLOOKUP(B19,Operations!$A$2:$U$79,9,FALSE)*C19,2)))</f>
        <v>2.56</v>
      </c>
      <c r="J19" s="215">
        <f>IF(B19=0,"",IF(C19&gt;9999,"",ROUND(VLOOKUP($B19,Operations!$A$2:$U$79,21,FALSE)*$C19,2)))</f>
        <v>2.15</v>
      </c>
      <c r="K19" s="215">
        <f t="shared" si="0"/>
        <v>8.17</v>
      </c>
      <c r="L19" s="216"/>
    </row>
    <row r="20" spans="1:12" x14ac:dyDescent="0.2">
      <c r="A20" s="170">
        <v>9</v>
      </c>
      <c r="B20" s="180" t="s">
        <v>565</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496</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13.025</v>
      </c>
      <c r="F33" s="109">
        <f t="shared" ref="F33:K33" si="1">SUM(F12:F31)</f>
        <v>7.5952999999999999</v>
      </c>
      <c r="G33" s="109">
        <f t="shared" si="1"/>
        <v>7.9711999999999996</v>
      </c>
      <c r="H33" s="109">
        <f t="shared" si="1"/>
        <v>12.986199999999998</v>
      </c>
      <c r="I33" s="109">
        <f t="shared" si="1"/>
        <v>30.122900000000001</v>
      </c>
      <c r="J33" s="109">
        <f t="shared" si="1"/>
        <v>26.504199999999997</v>
      </c>
      <c r="K33" s="109">
        <f t="shared" si="1"/>
        <v>98.2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299">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300">
        <v>1</v>
      </c>
      <c r="I38" s="120" t="str">
        <f>IF($B38=0,"",VLOOKUP($B38,Table2[],5,FALSE))</f>
        <v>pint</v>
      </c>
      <c r="J38" s="109">
        <f>IF($B38=0,"",VLOOKUP($B38,Table2[],7,FALSE))</f>
        <v>2.5</v>
      </c>
      <c r="K38" s="109">
        <f t="shared" ref="K38:K55" si="2">IF(B38=0,0,ROUND(G38*H38*J38,2))</f>
        <v>1.25</v>
      </c>
      <c r="L38" s="110"/>
    </row>
    <row r="39" spans="1:12" x14ac:dyDescent="0.2">
      <c r="A39" s="105"/>
      <c r="B39" s="180" t="s">
        <v>170</v>
      </c>
      <c r="C39" s="388" t="str">
        <f>IF(B39=0,"",VLOOKUP($B39,Table2[],2,FALSE))</f>
        <v>Additive</v>
      </c>
      <c r="D39" s="388"/>
      <c r="E39" s="388"/>
      <c r="F39" s="174">
        <v>1</v>
      </c>
      <c r="G39" s="175">
        <v>0.5</v>
      </c>
      <c r="H39" s="300">
        <v>1.7</v>
      </c>
      <c r="I39" s="120" t="str">
        <f>IF($B39=0,"",VLOOKUP($B39,Table2[],5,FALSE))</f>
        <v>pound</v>
      </c>
      <c r="J39" s="109">
        <f>IF($B39=0,"",VLOOKUP($B39,Table2[],7,FALSE))</f>
        <v>0.4</v>
      </c>
      <c r="K39" s="109">
        <f t="shared" si="2"/>
        <v>0.34</v>
      </c>
      <c r="L39" s="110"/>
    </row>
    <row r="40" spans="1:12" x14ac:dyDescent="0.2">
      <c r="A40" s="105"/>
      <c r="B40" s="213" t="s">
        <v>207</v>
      </c>
      <c r="C40" s="387" t="str">
        <f>IF(B40=0,"",VLOOKUP($B40,Table2[],2,FALSE))</f>
        <v>Fertilizer</v>
      </c>
      <c r="D40" s="387"/>
      <c r="E40" s="387"/>
      <c r="F40" s="214">
        <v>2</v>
      </c>
      <c r="G40" s="221">
        <v>1</v>
      </c>
      <c r="H40" s="301">
        <v>125</v>
      </c>
      <c r="I40" s="223" t="str">
        <f>IF($B40=0,"",VLOOKUP($B40,Table2[],5,FALSE))</f>
        <v>lbs N</v>
      </c>
      <c r="J40" s="215">
        <f>IF($B40=0,"",VLOOKUP($B40,Table2[],7,FALSE))</f>
        <v>0.5</v>
      </c>
      <c r="K40" s="215">
        <f t="shared" si="2"/>
        <v>62.5</v>
      </c>
      <c r="L40" s="216"/>
    </row>
    <row r="41" spans="1:12" x14ac:dyDescent="0.2">
      <c r="A41" s="105"/>
      <c r="B41" s="180" t="s">
        <v>323</v>
      </c>
      <c r="C41" s="388" t="str">
        <f>IF(B41=0,"",VLOOKUP($B41,Table2[],2,FALSE))</f>
        <v>Seed</v>
      </c>
      <c r="D41" s="388"/>
      <c r="E41" s="388"/>
      <c r="F41" s="174">
        <v>3</v>
      </c>
      <c r="G41" s="175">
        <v>1</v>
      </c>
      <c r="H41" s="300">
        <v>27.1</v>
      </c>
      <c r="I41" s="120" t="str">
        <f>IF($B41=0,"",VLOOKUP($B41,Table2[],5,FALSE))</f>
        <v>k seed</v>
      </c>
      <c r="J41" s="109">
        <f>IF($B41=0,"",VLOOKUP($B41,Table2[],7,FALSE))</f>
        <v>3.875</v>
      </c>
      <c r="K41" s="109">
        <f t="shared" si="2"/>
        <v>105.01</v>
      </c>
      <c r="L41" s="110"/>
    </row>
    <row r="42" spans="1:12" x14ac:dyDescent="0.2">
      <c r="A42" s="105"/>
      <c r="B42" s="180" t="s">
        <v>201</v>
      </c>
      <c r="C42" s="388" t="str">
        <f>IF(B42=0,"",VLOOKUP($B42,Table2[],2,FALSE))</f>
        <v>Fertilizer</v>
      </c>
      <c r="D42" s="388"/>
      <c r="E42" s="388"/>
      <c r="F42" s="174">
        <v>3</v>
      </c>
      <c r="G42" s="175">
        <v>1</v>
      </c>
      <c r="H42" s="176">
        <v>6</v>
      </c>
      <c r="I42" s="120" t="str">
        <f>IF($B42=0,"",VLOOKUP($B42,Table2[],5,FALSE))</f>
        <v>gallon</v>
      </c>
      <c r="J42" s="109">
        <f>IF($B42=0,"",VLOOKUP($B42,Table2[],7,FALSE))</f>
        <v>3.1</v>
      </c>
      <c r="K42" s="109">
        <f t="shared" si="2"/>
        <v>18.600000000000001</v>
      </c>
      <c r="L42" s="110"/>
    </row>
    <row r="43" spans="1:12" x14ac:dyDescent="0.2">
      <c r="A43" s="105"/>
      <c r="B43" s="180" t="s">
        <v>232</v>
      </c>
      <c r="C43" s="388" t="str">
        <f>IF(B43=0,"",VLOOKUP($B43,Table2[],2,FALSE))</f>
        <v>Herbicide</v>
      </c>
      <c r="D43" s="388"/>
      <c r="E43" s="388"/>
      <c r="F43" s="174">
        <v>4</v>
      </c>
      <c r="G43" s="175">
        <v>1</v>
      </c>
      <c r="H43" s="176">
        <v>2.5</v>
      </c>
      <c r="I43" s="120" t="str">
        <f>IF($B43=0,"",VLOOKUP($B43,Table2[],5,FALSE))</f>
        <v>quart</v>
      </c>
      <c r="J43" s="109">
        <f>IF($B43=0,"",VLOOKUP($B43,Table2[],7,FALSE))</f>
        <v>21.25</v>
      </c>
      <c r="K43" s="109">
        <f t="shared" si="2"/>
        <v>53.13</v>
      </c>
      <c r="L43" s="110"/>
    </row>
    <row r="44" spans="1:12" x14ac:dyDescent="0.2">
      <c r="A44" s="105"/>
      <c r="B44" s="213" t="s">
        <v>177</v>
      </c>
      <c r="C44" s="387" t="str">
        <f>IF(B44=0,"",VLOOKUP($B44,Table2[],2,FALSE))</f>
        <v>Additive</v>
      </c>
      <c r="D44" s="387"/>
      <c r="E44" s="387"/>
      <c r="F44" s="214">
        <v>4</v>
      </c>
      <c r="G44" s="221">
        <v>1</v>
      </c>
      <c r="H44" s="222">
        <v>1.6</v>
      </c>
      <c r="I44" s="223" t="str">
        <f>IF($B44=0,"",VLOOKUP($B44,Table2[],5,FALSE))</f>
        <v>pint</v>
      </c>
      <c r="J44" s="215">
        <f>IF($B44=0,"",VLOOKUP($B44,Table2[],7,FALSE))</f>
        <v>1.875</v>
      </c>
      <c r="K44" s="215">
        <f t="shared" si="2"/>
        <v>3</v>
      </c>
      <c r="L44" s="216"/>
    </row>
    <row r="45" spans="1:12" x14ac:dyDescent="0.2">
      <c r="A45" s="105"/>
      <c r="B45" s="180" t="s">
        <v>170</v>
      </c>
      <c r="C45" s="388" t="str">
        <f>IF(B45=0,"",VLOOKUP($B45,Table2[],2,FALSE))</f>
        <v>Additive</v>
      </c>
      <c r="D45" s="388"/>
      <c r="E45" s="388"/>
      <c r="F45" s="174">
        <v>4</v>
      </c>
      <c r="G45" s="175">
        <v>1</v>
      </c>
      <c r="H45" s="176">
        <v>2.5</v>
      </c>
      <c r="I45" s="120" t="str">
        <f>IF($B45=0,"",VLOOKUP($B45,Table2[],5,FALSE))</f>
        <v>pound</v>
      </c>
      <c r="J45" s="109">
        <f>IF($B45=0,"",VLOOKUP($B45,Table2[],7,FALSE))</f>
        <v>0.4</v>
      </c>
      <c r="K45" s="109">
        <f t="shared" si="2"/>
        <v>1</v>
      </c>
      <c r="L45" s="110"/>
    </row>
    <row r="46" spans="1:12" x14ac:dyDescent="0.2">
      <c r="A46" s="143"/>
      <c r="B46" s="180" t="s">
        <v>236</v>
      </c>
      <c r="C46" s="388" t="str">
        <f>IF(B46=0,"",VLOOKUP($B46,Table2[],2,FALSE))</f>
        <v>Herbicide</v>
      </c>
      <c r="D46" s="388"/>
      <c r="E46" s="388"/>
      <c r="F46" s="174">
        <v>5</v>
      </c>
      <c r="G46" s="175">
        <v>1</v>
      </c>
      <c r="H46" s="176">
        <v>14</v>
      </c>
      <c r="I46" s="120" t="str">
        <f>IF($B46=0,"",VLOOKUP($B46,Table2[],5,FALSE))</f>
        <v>ounce</v>
      </c>
      <c r="J46" s="109">
        <f>IF($B46=0,"",VLOOKUP($B46,Table2[],7,FALSE))</f>
        <v>1.640625</v>
      </c>
      <c r="K46" s="109">
        <f t="shared" si="2"/>
        <v>22.97</v>
      </c>
      <c r="L46" s="110"/>
    </row>
    <row r="47" spans="1:12" x14ac:dyDescent="0.2">
      <c r="B47" s="180" t="s">
        <v>238</v>
      </c>
      <c r="C47" s="388" t="str">
        <f>IF(B47=0,"",VLOOKUP($B47,Table2[],2,FALSE))</f>
        <v>Herbicide</v>
      </c>
      <c r="D47" s="388"/>
      <c r="E47" s="388"/>
      <c r="F47" s="174">
        <v>5</v>
      </c>
      <c r="G47" s="175">
        <v>1</v>
      </c>
      <c r="H47" s="176">
        <v>0.5</v>
      </c>
      <c r="I47" s="120" t="str">
        <f>IF($B47=0,"",VLOOKUP($B47,Table2[],5,FALSE))</f>
        <v>pound</v>
      </c>
      <c r="J47" s="109">
        <f>IF($B47=0,"",VLOOKUP($B47,Table2[],7,FALSE))</f>
        <v>4.3</v>
      </c>
      <c r="K47" s="109">
        <f t="shared" si="2"/>
        <v>2.15</v>
      </c>
      <c r="L47" s="110"/>
    </row>
    <row r="48" spans="1:12" x14ac:dyDescent="0.2">
      <c r="B48" s="213" t="s">
        <v>177</v>
      </c>
      <c r="C48" s="387" t="str">
        <f>IF(B48=0,"",VLOOKUP($B48,Table2[],2,FALSE))</f>
        <v>Additive</v>
      </c>
      <c r="D48" s="387"/>
      <c r="E48" s="387"/>
      <c r="F48" s="214">
        <v>5</v>
      </c>
      <c r="G48" s="221">
        <v>1</v>
      </c>
      <c r="H48" s="222">
        <v>1</v>
      </c>
      <c r="I48" s="223" t="str">
        <f>IF($B48=0,"",VLOOKUP($B48,Table2[],5,FALSE))</f>
        <v>pint</v>
      </c>
      <c r="J48" s="215">
        <f>IF($B48=0,"",VLOOKUP($B48,Table2[],7,FALSE))</f>
        <v>1.875</v>
      </c>
      <c r="K48" s="215">
        <f t="shared" si="2"/>
        <v>1.88</v>
      </c>
      <c r="L48" s="216"/>
    </row>
    <row r="49" spans="1:12" x14ac:dyDescent="0.2">
      <c r="B49" s="180" t="s">
        <v>182</v>
      </c>
      <c r="C49" s="388" t="str">
        <f>IF(B49=0,"",VLOOKUP($B49,Table2[],2,FALSE))</f>
        <v>Additive</v>
      </c>
      <c r="D49" s="388"/>
      <c r="E49" s="388"/>
      <c r="F49" s="174">
        <v>5</v>
      </c>
      <c r="G49" s="175">
        <v>1</v>
      </c>
      <c r="H49" s="176">
        <v>3</v>
      </c>
      <c r="I49" s="120" t="str">
        <f>IF($B49=0,"",VLOOKUP($B49,Table2[],5,FALSE))</f>
        <v>pint</v>
      </c>
      <c r="J49" s="109">
        <f>IF($B49=0,"",VLOOKUP($B49,Table2[],7,FALSE))</f>
        <v>0.22500000000000001</v>
      </c>
      <c r="K49" s="109">
        <f t="shared" si="2"/>
        <v>0.68</v>
      </c>
      <c r="L49" s="110"/>
    </row>
    <row r="50" spans="1:12" x14ac:dyDescent="0.2">
      <c r="A50" s="143"/>
      <c r="B50" s="180" t="s">
        <v>200</v>
      </c>
      <c r="C50" s="388" t="str">
        <f>IF(B50=0,"",VLOOKUP($B50,Table2[],2,FALSE))</f>
        <v>Custom</v>
      </c>
      <c r="D50" s="388"/>
      <c r="E50" s="388"/>
      <c r="F50" s="174">
        <v>6</v>
      </c>
      <c r="G50" s="175">
        <v>0.2</v>
      </c>
      <c r="H50" s="176">
        <v>1</v>
      </c>
      <c r="I50" s="120" t="str">
        <f>IF($B50=0,"",VLOOKUP($B50,Table2[],5,FALSE))</f>
        <v>acre</v>
      </c>
      <c r="J50" s="109">
        <f>IF($B50=0,"",VLOOKUP($B50,Table2[],7,FALSE))</f>
        <v>9</v>
      </c>
      <c r="K50" s="109">
        <f t="shared" si="2"/>
        <v>1.8</v>
      </c>
      <c r="L50" s="110"/>
    </row>
    <row r="51" spans="1:12" x14ac:dyDescent="0.2">
      <c r="A51" s="143" t="s">
        <v>638</v>
      </c>
      <c r="B51" s="180" t="s">
        <v>286</v>
      </c>
      <c r="C51" s="388" t="str">
        <f>IF(B51=0,"",VLOOKUP($B51,Table2[],2,FALSE))</f>
        <v>Insecticide</v>
      </c>
      <c r="D51" s="388"/>
      <c r="E51" s="388"/>
      <c r="F51" s="174">
        <v>6</v>
      </c>
      <c r="G51" s="175">
        <v>0.1</v>
      </c>
      <c r="H51" s="176">
        <v>5.12</v>
      </c>
      <c r="I51" s="120" t="str">
        <f>IF($B51=0,"",VLOOKUP($B51,Table2[],5,FALSE))</f>
        <v>ounce</v>
      </c>
      <c r="J51" s="109">
        <f>IF($B51=0,"",VLOOKUP($B51,Table2[],7,FALSE))</f>
        <v>1.015625</v>
      </c>
      <c r="K51" s="109">
        <f t="shared" si="2"/>
        <v>0.52</v>
      </c>
      <c r="L51" s="110"/>
    </row>
    <row r="52" spans="1:12" x14ac:dyDescent="0.2">
      <c r="A52" s="143" t="s">
        <v>638</v>
      </c>
      <c r="B52" s="213" t="s">
        <v>288</v>
      </c>
      <c r="C52" s="387" t="str">
        <f>IF(B52=0,"",VLOOKUP($B52,Table2[],2,FALSE))</f>
        <v>Insecticide</v>
      </c>
      <c r="D52" s="387"/>
      <c r="E52" s="387"/>
      <c r="F52" s="214">
        <v>6</v>
      </c>
      <c r="G52" s="221">
        <v>0.2</v>
      </c>
      <c r="H52" s="222">
        <v>3</v>
      </c>
      <c r="I52" s="223" t="str">
        <f>IF($B52=0,"",VLOOKUP($B52,Table2[],5,FALSE))</f>
        <v>ounce</v>
      </c>
      <c r="J52" s="215">
        <f>IF($B52=0,"",VLOOKUP($B52,Table2[],7,FALSE))</f>
        <v>1.25</v>
      </c>
      <c r="K52" s="215">
        <f t="shared" si="2"/>
        <v>0.75</v>
      </c>
      <c r="L52" s="216"/>
    </row>
    <row r="53" spans="1:12" x14ac:dyDescent="0.2">
      <c r="B53" s="180" t="s">
        <v>198</v>
      </c>
      <c r="C53" s="388" t="str">
        <f>IF(B53=0,"",VLOOKUP($B53,Table2[],2,FALSE))</f>
        <v>Custom</v>
      </c>
      <c r="D53" s="388"/>
      <c r="E53" s="388"/>
      <c r="F53" s="174">
        <v>9</v>
      </c>
      <c r="G53" s="175">
        <v>1</v>
      </c>
      <c r="H53" s="176">
        <f>$G$4</f>
        <v>195</v>
      </c>
      <c r="I53" s="120" t="str">
        <f>IF($B53=0,"",VLOOKUP($B53,Table2[],5,FALSE))</f>
        <v>bushel</v>
      </c>
      <c r="J53" s="109">
        <f>IF($B53=0,"",VLOOKUP($B53,Table2[],7,FALSE))</f>
        <v>0.15</v>
      </c>
      <c r="K53" s="109">
        <f t="shared" si="2"/>
        <v>29.25</v>
      </c>
      <c r="L53" s="110"/>
    </row>
    <row r="54" spans="1:12" x14ac:dyDescent="0.2">
      <c r="B54" s="180" t="s">
        <v>190</v>
      </c>
      <c r="C54" s="388" t="str">
        <f>IF(B54=0,"",VLOOKUP($B54,Table2[],2,FALSE))</f>
        <v>Custom</v>
      </c>
      <c r="D54" s="388"/>
      <c r="E54" s="388"/>
      <c r="F54" s="174">
        <v>10</v>
      </c>
      <c r="G54" s="175">
        <v>0.2</v>
      </c>
      <c r="H54" s="176">
        <f>$G$4</f>
        <v>195</v>
      </c>
      <c r="I54" s="120" t="str">
        <f>IF($B54=0,"",VLOOKUP($B54,Table2[],5,FALSE))</f>
        <v>bushel</v>
      </c>
      <c r="J54" s="109">
        <f>IF($B54=0,"",VLOOKUP($B54,Table2[],7,FALSE))</f>
        <v>0.1</v>
      </c>
      <c r="K54" s="109">
        <f>IF(B54=0,0,ROUND(G54*H54*J54,2))</f>
        <v>3.9</v>
      </c>
      <c r="L54" s="110"/>
    </row>
    <row r="55" spans="1:12" x14ac:dyDescent="0.2">
      <c r="B55" s="111" t="s">
        <v>309</v>
      </c>
      <c r="C55" s="388" t="str">
        <f>IF(B55=0,"",VLOOKUP($B55,Table2[],2,FALSE))</f>
        <v>Scouting</v>
      </c>
      <c r="D55" s="388"/>
      <c r="E55" s="388"/>
      <c r="F55" s="112"/>
      <c r="G55" s="177">
        <v>1</v>
      </c>
      <c r="H55" s="178">
        <v>1</v>
      </c>
      <c r="I55" s="120" t="str">
        <f>IF($B55=0,"",VLOOKUP($B55,Table2[],5,FALSE))</f>
        <v>acre</v>
      </c>
      <c r="J55" s="109">
        <f>IF($B55=0,"",VLOOKUP($B55,Table2[],7,FALSE))</f>
        <v>10</v>
      </c>
      <c r="K55" s="109">
        <f t="shared" si="2"/>
        <v>10</v>
      </c>
      <c r="L55" s="113"/>
    </row>
    <row r="56" spans="1:12" hidden="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9</v>
      </c>
      <c r="K61" s="109">
        <f ca="1">IF(B61=0,0,J61)</f>
        <v>9</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329.85999999999996</v>
      </c>
      <c r="L63" s="110"/>
    </row>
    <row r="64" spans="1:12" x14ac:dyDescent="0.2">
      <c r="B64" s="144" t="s">
        <v>715</v>
      </c>
      <c r="K64" s="127"/>
    </row>
    <row r="65" spans="2:12" x14ac:dyDescent="0.2">
      <c r="B65" s="107" t="s">
        <v>672</v>
      </c>
      <c r="K65" s="127">
        <f ca="1">K33+K63</f>
        <v>428.05999999999995</v>
      </c>
      <c r="L65" s="110"/>
    </row>
    <row r="66" spans="2:12" ht="13.5" thickBot="1" x14ac:dyDescent="0.25">
      <c r="D66" s="128" t="s">
        <v>673</v>
      </c>
      <c r="E66" s="129">
        <f ca="1">ROUND(SUM($E$33:$H$33)+$K$63,2)</f>
        <v>371.44</v>
      </c>
      <c r="F66" s="388" t="s">
        <v>674</v>
      </c>
      <c r="G66" s="388"/>
      <c r="H66" s="130">
        <f>'General Variables'!$B$11</f>
        <v>7.4999999999999997E-2</v>
      </c>
      <c r="I66" s="131" t="str">
        <f>CONCATENATE("for ",TEXT('General Variables'!$B$12,"0.0")," mo.")</f>
        <v>for 6.0 mo.</v>
      </c>
      <c r="K66" s="132">
        <f ca="1">E66*H66*'General Variables'!$B$12/12</f>
        <v>13.929</v>
      </c>
      <c r="L66" s="133"/>
    </row>
    <row r="67" spans="2:12" ht="13.5" thickTop="1" x14ac:dyDescent="0.2">
      <c r="B67" s="107" t="s">
        <v>675</v>
      </c>
      <c r="K67" s="127">
        <f ca="1">SUM(K65:K66)</f>
        <v>441.98899999999992</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54</v>
      </c>
      <c r="D70" s="399"/>
      <c r="E70" s="400"/>
      <c r="F70" s="136">
        <f>IF(C70=0,0,VLOOKUP(C70,RETable,2,FALSE))</f>
        <v>8510</v>
      </c>
      <c r="G70" s="388" t="s">
        <v>678</v>
      </c>
      <c r="H70" s="388"/>
      <c r="I70" s="130">
        <f>'General Variables'!$B$10</f>
        <v>0.03</v>
      </c>
      <c r="K70" s="137">
        <f>ROUND(F70*I70,2)</f>
        <v>255.3</v>
      </c>
      <c r="L70" s="110"/>
    </row>
    <row r="71" spans="2:12" ht="13.5" thickBot="1" x14ac:dyDescent="0.25">
      <c r="B71" s="103" t="s">
        <v>679</v>
      </c>
      <c r="F71" s="138">
        <f>IF(C70=0,0,VLOOKUP(C70,RETable,2,FALSE))</f>
        <v>8510</v>
      </c>
      <c r="G71" s="397" t="s">
        <v>678</v>
      </c>
      <c r="H71" s="397"/>
      <c r="I71" s="139">
        <f>'General Variables'!$B$13</f>
        <v>1.2999999999999999E-2</v>
      </c>
      <c r="J71" s="105"/>
      <c r="K71" s="140">
        <f>ROUND(F71*I71,2)</f>
        <v>110.63</v>
      </c>
      <c r="L71" s="133"/>
    </row>
    <row r="72" spans="2:12" ht="13.5" thickTop="1" x14ac:dyDescent="0.2">
      <c r="B72" s="107" t="s">
        <v>680</v>
      </c>
      <c r="K72" s="127">
        <f ca="1">SUM(K67:K71)</f>
        <v>834.91899999999998</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2.6820461538461537</v>
      </c>
      <c r="L74" s="148"/>
    </row>
    <row r="75" spans="2:12" x14ac:dyDescent="0.2">
      <c r="B75" s="107" t="str">
        <f>IF(G4="","","Cost of production per "&amp;H4)</f>
        <v>Cost of production per bushel</v>
      </c>
      <c r="K75" s="141">
        <f ca="1">IF(G4="","",K72/G4)</f>
        <v>4.2816358974358977</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66:G66"/>
    <mergeCell ref="C70:E70"/>
    <mergeCell ref="G70:H70"/>
    <mergeCell ref="G71:H71"/>
    <mergeCell ref="C56:E56"/>
    <mergeCell ref="C57:E57"/>
    <mergeCell ref="C58:E58"/>
    <mergeCell ref="C59:E59"/>
    <mergeCell ref="C60:E60"/>
    <mergeCell ref="C61:E61"/>
    <mergeCell ref="C55:E55"/>
    <mergeCell ref="C44:E44"/>
    <mergeCell ref="C45:E45"/>
    <mergeCell ref="C46:E46"/>
    <mergeCell ref="C47:E47"/>
    <mergeCell ref="C48:E48"/>
    <mergeCell ref="C49:E49"/>
    <mergeCell ref="C50:E50"/>
    <mergeCell ref="C51:E51"/>
    <mergeCell ref="C52:E52"/>
    <mergeCell ref="C53:E53"/>
    <mergeCell ref="C54:E54"/>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K4" xr:uid="{00000000-0002-0000-1E00-000000000000}">
      <formula1>$K$111:$K$113</formula1>
    </dataValidation>
    <dataValidation type="list" showInputMessage="1" showErrorMessage="1" sqref="B62" xr:uid="{00000000-0002-0000-1E00-000001000000}">
      <formula1>$C$111:$C$234</formula1>
    </dataValidation>
    <dataValidation type="list" allowBlank="1" showInputMessage="1" showErrorMessage="1" sqref="B32" xr:uid="{00000000-0002-0000-1E00-000002000000}">
      <formula1>$B$111:$B$208</formula1>
    </dataValidation>
    <dataValidation type="list" allowBlank="1" showInputMessage="1" showErrorMessage="1" sqref="B37:B60" xr:uid="{00000000-0002-0000-1E00-000003000000}">
      <formula1>MaterialList</formula1>
    </dataValidation>
    <dataValidation type="list" allowBlank="1" showInputMessage="1" showErrorMessage="1" sqref="C70:E70" xr:uid="{00000000-0002-0000-1E00-000004000000}">
      <formula1>RealEstateList</formula1>
    </dataValidation>
    <dataValidation type="list" allowBlank="1" showInputMessage="1" showErrorMessage="1" sqref="B12:B31" xr:uid="{00000000-0002-0000-1E00-000005000000}">
      <formula1>OperationList</formula1>
    </dataValidation>
    <dataValidation type="list" allowBlank="1" showInputMessage="1" showErrorMessage="1" sqref="D12:D32" xr:uid="{00000000-0002-0000-1E00-000006000000}">
      <formula1>#REF!</formula1>
    </dataValidation>
    <dataValidation type="list" allowBlank="1" showInputMessage="1" showErrorMessage="1" sqref="K2" xr:uid="{00000000-0002-0000-1E00-000007000000}">
      <formula1>watersource</formula1>
    </dataValidation>
    <dataValidation type="list" allowBlank="1" showInputMessage="1" showErrorMessage="1" sqref="C3" xr:uid="{00000000-0002-0000-1E00-000008000000}">
      <formula1>TillageSystem</formula1>
    </dataValidation>
  </dataValidations>
  <pageMargins left="0.7" right="0.7" top="0.75" bottom="0.75" header="0.3" footer="0.3"/>
  <pageSetup scale="71" orientation="portrait" r:id="rId1"/>
  <ignoredErrors>
    <ignoredError sqref="C18" unlockedFormula="1"/>
    <ignoredError sqref="E18:J18"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9">
    <pageSetUpPr fitToPage="1"/>
  </sheetPr>
  <dimension ref="A2:M257"/>
  <sheetViews>
    <sheetView zoomScaleNormal="100" workbookViewId="0">
      <selection activeCell="I45" sqref="I4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724</v>
      </c>
      <c r="D2" s="187"/>
      <c r="E2" s="187"/>
      <c r="F2" s="128" t="s">
        <v>648</v>
      </c>
      <c r="G2" s="392" t="s">
        <v>713</v>
      </c>
      <c r="H2" s="392"/>
      <c r="J2" s="128" t="s">
        <v>649</v>
      </c>
      <c r="K2" s="401" t="s">
        <v>74</v>
      </c>
      <c r="L2" s="401"/>
    </row>
    <row r="3" spans="1:13" hidden="1" x14ac:dyDescent="0.2">
      <c r="B3" s="103" t="s">
        <v>38</v>
      </c>
      <c r="C3" s="391" t="s">
        <v>57</v>
      </c>
      <c r="D3" s="391"/>
      <c r="E3" s="391"/>
      <c r="G3" s="128" t="s">
        <v>650</v>
      </c>
      <c r="H3" s="187" t="s">
        <v>725</v>
      </c>
      <c r="J3" s="128" t="s">
        <v>651</v>
      </c>
      <c r="K3" s="187"/>
    </row>
    <row r="4" spans="1:13" hidden="1" x14ac:dyDescent="0.2">
      <c r="B4" s="103" t="s">
        <v>652</v>
      </c>
      <c r="C4" s="392" t="s">
        <v>726</v>
      </c>
      <c r="D4" s="392"/>
      <c r="E4" s="392"/>
      <c r="G4" s="103">
        <f>IFERROR(VALUE(LEFT($H$3,FIND(" ",$H$3))),"")</f>
        <v>130</v>
      </c>
      <c r="H4" s="103" t="str">
        <f>IFERROR(RIGHT(H3,LEN(H3)-LEN(G4)-1),"")</f>
        <v>bushel</v>
      </c>
      <c r="J4" s="128" t="s">
        <v>653</v>
      </c>
      <c r="K4" s="188" t="s">
        <v>654</v>
      </c>
    </row>
    <row r="5" spans="1:13" ht="15.75" hidden="1" customHeight="1" x14ac:dyDescent="0.2">
      <c r="B5" s="103" t="s">
        <v>655</v>
      </c>
      <c r="C5" s="103" t="str">
        <f ca="1">MID(CELL("filename",C5),FIND("]",CELL("filename",C5))+1,255)</f>
        <v>25-Corn</v>
      </c>
      <c r="E5" s="103">
        <f ca="1">VLOOKUP($C$5,CropInsurance,5,FALSE)</f>
        <v>6</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25-Corn, Bt, ECB, RR2, LL, &amp; RIB, Southwest, Ecofallow, Follows Wheat, Two Crops in Three Years, 130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25-Corn, Bt, ECB, RR2, LL, &amp; RIB, Southwest, Ecofallow, Follows Wheat, Two Crops in Three Years, 130 bushel Yield</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546</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546</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550</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0.33</v>
      </c>
      <c r="I14" s="109">
        <f>IF(B14=0,0,IF(C14&gt;9999,"",ROUND(VLOOKUP(VLOOKUP(B14,Operations!$A$2:$U$79,11,FALSE),PowerUnits[],16,FALSE)/VLOOKUP(B14,Operations!$A$2:$U$79,9,FALSE)*C14,2)))</f>
        <v>1.31</v>
      </c>
      <c r="J14" s="109">
        <f>IF(B14=0,"",IF(C14&gt;9999,"",ROUND(VLOOKUP($B14,Operations!$A$2:$U$79,21,FALSE)*$C14,2)))</f>
        <v>4.2</v>
      </c>
      <c r="K14" s="109">
        <f t="shared" si="0"/>
        <v>7.15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943</v>
      </c>
      <c r="C18" s="174">
        <f>$G$4</f>
        <v>130</v>
      </c>
      <c r="D18" s="174"/>
      <c r="E18" s="109">
        <f>IF(B18=0,"",IF(C18&gt;9999,"",ROUND('General Variables'!$B$4*VLOOKUP(B18,Operations!$A$2:$U$79,10,FALSE)/VLOOKUP(B18,Operations!$A$2:$U$79,9,FALSE)*C18,2))/100)</f>
        <v>2.97</v>
      </c>
      <c r="F18" s="109">
        <f>IF(B18=0,0,IF(C18&gt;9999,"",ROUND(IF(VLOOKUP(B18,Operations!$A$2:$U$79,12,FALSE)=0,VLOOKUP(B18,Operations!$A$2:$U$79,13,FALSE)*'General Variables'!$B$8,VLOOKUP(B18,Operations!$A$2:$U$79,12,FALSE)*'General Variables'!$B$7)/VLOOKUP(B18,Operations!$A$2:$U$79,9,FALSE)*C18,2))/100)</f>
        <v>3.3569</v>
      </c>
      <c r="G18" s="109">
        <f>IF(B18=0,0,IF(C18&gt;9999,"",ROUND(VLOOKUP(VLOOKUP(B18,Operations!$A$2:$U$79,11,FALSE),PowerUnits[],10,FALSE)/VLOOKUP(B18,Operations!$A$2:$U$79,9,FALSE)*C18,2))/100)</f>
        <v>5.1608000000000001</v>
      </c>
      <c r="H18" s="109">
        <f>IF(B18=0,"",IF(C18&gt;9999,"",ROUND(VLOOKUP($B18,Operations!$A$2:$U$79,15,FALSE)*C18,2))/100)</f>
        <v>1.2241</v>
      </c>
      <c r="I18" s="109">
        <f>IF(B18=0,0,IF(C18&gt;9999,"",ROUND(VLOOKUP(VLOOKUP(B18,Operations!$A$2:$U$79,11,FALSE),PowerUnits[],16,FALSE)/VLOOKUP(B18,Operations!$A$2:$U$79,9,FALSE)*C18,2))/100)</f>
        <v>12.428599999999999</v>
      </c>
      <c r="J18" s="109">
        <f>IF(B18=0,"",IF(C18&gt;9999,"",ROUND(VLOOKUP($B18,Operations!$A$2:$U$79,21,FALSE)*$C18,2))/100)</f>
        <v>5.6627999999999998</v>
      </c>
      <c r="K18" s="109">
        <f>IF(C18&gt;9999,"",ROUND(SUM(E18:J18),2))</f>
        <v>30.8</v>
      </c>
      <c r="L18" s="110"/>
    </row>
    <row r="19" spans="1:12" x14ac:dyDescent="0.2">
      <c r="A19" s="170">
        <v>8</v>
      </c>
      <c r="B19" s="213" t="s">
        <v>414</v>
      </c>
      <c r="C19" s="214">
        <f>$G$4</f>
        <v>130</v>
      </c>
      <c r="D19" s="214" t="s">
        <v>706</v>
      </c>
      <c r="E19" s="215">
        <f>IF(B19=0,"",IF(C19&gt;9999,"",ROUND('General Variables'!$B$4*VLOOKUP(B19,Operations!$A$2:$U$79,10,FALSE)/VLOOKUP(B19,Operations!$A$2:$U$79,9,FALSE)*C19,2)))</f>
        <v>1.17</v>
      </c>
      <c r="F19" s="215">
        <f>IF(B19=0,0,IF(C19&gt;9999,"",ROUND(IF(VLOOKUP(B19,Operations!$A$2:$U$79,12,FALSE)=0,VLOOKUP(B19,Operations!$A$2:$U$79,13,FALSE)*'General Variables'!$B$8,VLOOKUP(B19,Operations!$A$2:$U$79,12,FALSE)*'General Variables'!$B$7)/VLOOKUP(B19,Operations!$A$2:$U$79,9,FALSE)*C19,2)))</f>
        <v>0.38</v>
      </c>
      <c r="G19" s="215">
        <f>IF(B19=0,0,IF(C19&gt;9999,"",ROUND(VLOOKUP(VLOOKUP(B19,Operations!$A$2:$U$79,11,FALSE),PowerUnits[],10,FALSE)/VLOOKUP(B19,Operations!$A$2:$U$79,9,FALSE)*C19,2)))</f>
        <v>0.03</v>
      </c>
      <c r="H19" s="215">
        <f>IF(B19=0,"",IF(C19&gt;9999,"",ROUND(VLOOKUP($B19,Operations!$A$2:$U$79,15,FALSE)*C19,2)))</f>
        <v>0.72</v>
      </c>
      <c r="I19" s="215">
        <f>IF(B19=0,0,IF(C19&gt;9999,"",ROUND(VLOOKUP(VLOOKUP(B19,Operations!$A$2:$U$79,11,FALSE),PowerUnits[],16,FALSE)/VLOOKUP(B19,Operations!$A$2:$U$79,9,FALSE)*C19,2)))</f>
        <v>1.71</v>
      </c>
      <c r="J19" s="215">
        <f>IF(B19=0,"",IF(C19&gt;9999,"",ROUND(VLOOKUP($B19,Operations!$A$2:$U$79,21,FALSE)*$C19,2)))</f>
        <v>1.44</v>
      </c>
      <c r="K19" s="215">
        <f>IF(C19&gt;9999,"",ROUND(SUM(E19:J19),2))</f>
        <v>5.45</v>
      </c>
      <c r="L19" s="216"/>
    </row>
    <row r="20" spans="1:12" x14ac:dyDescent="0.2">
      <c r="A20" s="170">
        <v>9</v>
      </c>
      <c r="B20" s="180" t="s">
        <v>565</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496</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291"/>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11.46</v>
      </c>
      <c r="F33" s="109">
        <f t="shared" ref="F33:K33" si="1">SUM(F12:F31)</f>
        <v>5.6468999999999996</v>
      </c>
      <c r="G33" s="109">
        <f t="shared" si="1"/>
        <v>5.3908000000000005</v>
      </c>
      <c r="H33" s="109">
        <f t="shared" si="1"/>
        <v>12.5741</v>
      </c>
      <c r="I33" s="109">
        <f t="shared" si="1"/>
        <v>23.708600000000001</v>
      </c>
      <c r="J33" s="109">
        <f t="shared" si="1"/>
        <v>23.972800000000003</v>
      </c>
      <c r="K33" s="109">
        <f t="shared" si="1"/>
        <v>82.75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
        <v>179</v>
      </c>
      <c r="J38" s="109">
        <v>2.5</v>
      </c>
      <c r="K38" s="109">
        <f>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ref="K39:K56" si="2">IF(B39=0,0,ROUND(G39*H39*J39,2))</f>
        <v>0.68</v>
      </c>
      <c r="L39" s="110"/>
    </row>
    <row r="40" spans="1:12" x14ac:dyDescent="0.2">
      <c r="A40" s="105"/>
      <c r="B40" s="180" t="s">
        <v>270</v>
      </c>
      <c r="C40" s="388" t="str">
        <f>IF(B40=0,"",VLOOKUP($B40,Table2[],2,FALSE))</f>
        <v>Herbicide</v>
      </c>
      <c r="D40" s="388"/>
      <c r="E40" s="388"/>
      <c r="F40" s="174">
        <v>1</v>
      </c>
      <c r="G40" s="175">
        <v>1</v>
      </c>
      <c r="H40" s="176">
        <v>1</v>
      </c>
      <c r="I40" s="120" t="str">
        <f>IF($B40=0,"",VLOOKUP($B40,Table2[],5,FALSE))</f>
        <v>quart</v>
      </c>
      <c r="J40" s="109">
        <f>IF($B40=0,"",VLOOKUP($B40,Table2[],7,FALSE))</f>
        <v>11</v>
      </c>
      <c r="K40" s="109">
        <f t="shared" si="2"/>
        <v>11</v>
      </c>
      <c r="L40" s="110"/>
    </row>
    <row r="41" spans="1:12" x14ac:dyDescent="0.2">
      <c r="A41" s="105"/>
      <c r="B41" s="213" t="s">
        <v>230</v>
      </c>
      <c r="C41" s="387" t="str">
        <f>IF(B41=0,"",VLOOKUP($B41,Table2[],2,FALSE))</f>
        <v>Herbicide</v>
      </c>
      <c r="D41" s="387"/>
      <c r="E41" s="387"/>
      <c r="F41" s="214">
        <v>2</v>
      </c>
      <c r="G41" s="221">
        <v>1</v>
      </c>
      <c r="H41" s="222">
        <v>1.5</v>
      </c>
      <c r="I41" s="223" t="str">
        <f>IF($B41=0,"",VLOOKUP($B41,Table2[],5,FALSE))</f>
        <v>quart</v>
      </c>
      <c r="J41" s="215">
        <f>IF($B41=0,"",VLOOKUP($B41,Table2[],7,FALSE))</f>
        <v>5.5</v>
      </c>
      <c r="K41" s="215">
        <f t="shared" si="2"/>
        <v>8.25</v>
      </c>
      <c r="L41" s="216"/>
    </row>
    <row r="42" spans="1:12" x14ac:dyDescent="0.2">
      <c r="A42" s="105"/>
      <c r="B42" s="180" t="s">
        <v>259</v>
      </c>
      <c r="C42" s="388" t="str">
        <f>IF(B42=0,"",VLOOKUP($B42,Table2[],2,FALSE))</f>
        <v>Herbicide</v>
      </c>
      <c r="D42" s="388"/>
      <c r="E42" s="388"/>
      <c r="F42" s="174">
        <v>2</v>
      </c>
      <c r="G42" s="175">
        <v>1</v>
      </c>
      <c r="H42" s="176">
        <v>32</v>
      </c>
      <c r="I42" s="120" t="str">
        <f>IF($B42=0,"",VLOOKUP($B42,Table2[],5,FALSE))</f>
        <v>ounce</v>
      </c>
      <c r="J42" s="109">
        <f>IF($B42=0,"",VLOOKUP($B42,Table2[],7,FALSE))</f>
        <v>0.1328125</v>
      </c>
      <c r="K42" s="109">
        <f t="shared" si="2"/>
        <v>4.25</v>
      </c>
      <c r="L42" s="110"/>
    </row>
    <row r="43" spans="1:12" x14ac:dyDescent="0.2">
      <c r="A43" s="105"/>
      <c r="B43" s="180" t="s">
        <v>170</v>
      </c>
      <c r="C43" s="388" t="str">
        <f>IF(B43=0,"",VLOOKUP($B43,Table2[],2,FALSE))</f>
        <v>Additive</v>
      </c>
      <c r="D43" s="388"/>
      <c r="E43" s="388"/>
      <c r="F43" s="174">
        <v>2</v>
      </c>
      <c r="G43" s="175">
        <v>1</v>
      </c>
      <c r="H43" s="176">
        <v>1.7</v>
      </c>
      <c r="I43" s="120" t="str">
        <f>IF($B43=0,"",VLOOKUP($B43,Table2[],5,FALSE))</f>
        <v>pound</v>
      </c>
      <c r="J43" s="109">
        <f>IF($B43=0,"",VLOOKUP($B43,Table2[],7,FALSE))</f>
        <v>0.4</v>
      </c>
      <c r="K43" s="109">
        <f t="shared" si="2"/>
        <v>0.68</v>
      </c>
      <c r="L43" s="110"/>
    </row>
    <row r="44" spans="1:12" x14ac:dyDescent="0.2">
      <c r="A44" s="105"/>
      <c r="B44" s="180" t="s">
        <v>207</v>
      </c>
      <c r="C44" s="388" t="str">
        <f>IF(B44=0,"",VLOOKUP($B44,Table2[],2,FALSE))</f>
        <v>Fertilizer</v>
      </c>
      <c r="D44" s="388"/>
      <c r="E44" s="388"/>
      <c r="F44" s="174">
        <v>3</v>
      </c>
      <c r="G44" s="175">
        <v>1</v>
      </c>
      <c r="H44" s="299">
        <v>125</v>
      </c>
      <c r="I44" s="120" t="str">
        <f>IF($B44=0,"",VLOOKUP($B44,Table2[],5,FALSE))</f>
        <v>lbs N</v>
      </c>
      <c r="J44" s="109">
        <f>IF($B44=0,"",VLOOKUP($B44,Table2[],7,FALSE))</f>
        <v>0.5</v>
      </c>
      <c r="K44" s="109">
        <f t="shared" si="2"/>
        <v>62.5</v>
      </c>
      <c r="L44" s="110"/>
    </row>
    <row r="45" spans="1:12" x14ac:dyDescent="0.2">
      <c r="A45" s="105"/>
      <c r="B45" s="213" t="s">
        <v>230</v>
      </c>
      <c r="C45" s="387" t="str">
        <f>IF(B45=0,"",VLOOKUP($B45,Table2[],2,FALSE))</f>
        <v>Herbicide</v>
      </c>
      <c r="D45" s="387"/>
      <c r="E45" s="387"/>
      <c r="F45" s="214">
        <v>3</v>
      </c>
      <c r="G45" s="221">
        <v>1</v>
      </c>
      <c r="H45" s="222">
        <v>0.5</v>
      </c>
      <c r="I45" s="223" t="str">
        <f>IF($B45=0,"",VLOOKUP($B45,Table2[],5,FALSE))</f>
        <v>quart</v>
      </c>
      <c r="J45" s="215">
        <f>IF($B45=0,"",VLOOKUP($B45,Table2[],7,FALSE))</f>
        <v>5.5</v>
      </c>
      <c r="K45" s="215">
        <f t="shared" si="2"/>
        <v>2.75</v>
      </c>
      <c r="L45" s="216"/>
    </row>
    <row r="46" spans="1:12" x14ac:dyDescent="0.2">
      <c r="A46" s="105"/>
      <c r="B46" s="180" t="s">
        <v>241</v>
      </c>
      <c r="C46" s="388" t="str">
        <f>IF(B46=0,"",VLOOKUP($B46,Table2[],2,FALSE))</f>
        <v>Herbicide</v>
      </c>
      <c r="D46" s="388"/>
      <c r="E46" s="388"/>
      <c r="F46" s="174">
        <v>3</v>
      </c>
      <c r="G46" s="175">
        <v>1</v>
      </c>
      <c r="H46" s="176">
        <v>4</v>
      </c>
      <c r="I46" s="120" t="str">
        <f>IF($B46=0,"",VLOOKUP($B46,Table2[],5,FALSE))</f>
        <v>ounce</v>
      </c>
      <c r="J46" s="109">
        <f>IF($B46=0,"",VLOOKUP($B46,Table2[],7,FALSE))</f>
        <v>6.5</v>
      </c>
      <c r="K46" s="109">
        <f t="shared" si="2"/>
        <v>26</v>
      </c>
      <c r="L46" s="110"/>
    </row>
    <row r="47" spans="1:12" x14ac:dyDescent="0.2">
      <c r="A47" s="105"/>
      <c r="B47" s="180" t="s">
        <v>201</v>
      </c>
      <c r="C47" s="388" t="str">
        <f>IF(B47=0,"",VLOOKUP($B47,Table2[],2,FALSE))</f>
        <v>Fertilizer</v>
      </c>
      <c r="D47" s="388"/>
      <c r="E47" s="388"/>
      <c r="F47" s="174">
        <v>4</v>
      </c>
      <c r="G47" s="175">
        <v>1</v>
      </c>
      <c r="H47" s="176">
        <v>6</v>
      </c>
      <c r="I47" s="120" t="str">
        <f>IF($B47=0,"",VLOOKUP($B47,Table2[],5,FALSE))</f>
        <v>gallon</v>
      </c>
      <c r="J47" s="109">
        <f>IF($B47=0,"",VLOOKUP($B47,Table2[],7,FALSE))</f>
        <v>3.1</v>
      </c>
      <c r="K47" s="109">
        <f t="shared" si="2"/>
        <v>18.600000000000001</v>
      </c>
      <c r="L47" s="110"/>
    </row>
    <row r="48" spans="1:12" x14ac:dyDescent="0.2">
      <c r="A48" s="105"/>
      <c r="B48" s="180" t="s">
        <v>324</v>
      </c>
      <c r="C48" s="388" t="str">
        <f>IF(B48=0,"",VLOOKUP($B48,Table2[],2,FALSE))</f>
        <v>Seed</v>
      </c>
      <c r="D48" s="388"/>
      <c r="E48" s="388"/>
      <c r="F48" s="174">
        <v>4</v>
      </c>
      <c r="G48" s="175">
        <v>1</v>
      </c>
      <c r="H48" s="300">
        <v>18</v>
      </c>
      <c r="I48" s="120" t="str">
        <f>IF($B48=0,"",VLOOKUP($B48,Table2[],5,FALSE))</f>
        <v>k seed</v>
      </c>
      <c r="J48" s="109">
        <f>IF($B48=0,"",VLOOKUP($B48,Table2[],7,FALSE))</f>
        <v>3.875</v>
      </c>
      <c r="K48" s="109">
        <f t="shared" si="2"/>
        <v>69.75</v>
      </c>
      <c r="L48" s="110"/>
    </row>
    <row r="49" spans="1:12" x14ac:dyDescent="0.2">
      <c r="A49" s="105"/>
      <c r="B49" s="213" t="s">
        <v>259</v>
      </c>
      <c r="C49" s="387" t="str">
        <f>IF(B49=0,"",VLOOKUP($B49,Table2[],2,FALSE))</f>
        <v>Herbicide</v>
      </c>
      <c r="D49" s="387"/>
      <c r="E49" s="387"/>
      <c r="F49" s="214">
        <v>5</v>
      </c>
      <c r="G49" s="221">
        <v>1</v>
      </c>
      <c r="H49" s="222">
        <v>32</v>
      </c>
      <c r="I49" s="223" t="str">
        <f>IF($B49=0,"",VLOOKUP($B49,Table2[],5,FALSE))</f>
        <v>ounce</v>
      </c>
      <c r="J49" s="215">
        <f>IF($B49=0,"",VLOOKUP($B49,Table2[],7,FALSE))</f>
        <v>0.1328125</v>
      </c>
      <c r="K49" s="215">
        <f t="shared" si="2"/>
        <v>4.25</v>
      </c>
      <c r="L49" s="216"/>
    </row>
    <row r="50" spans="1:12" x14ac:dyDescent="0.2">
      <c r="A50" s="143"/>
      <c r="B50" s="180" t="s">
        <v>170</v>
      </c>
      <c r="C50" s="388" t="str">
        <f>IF(B50=0,"",VLOOKUP($B50,Table2[],2,FALSE))</f>
        <v>Additive</v>
      </c>
      <c r="D50" s="388"/>
      <c r="E50" s="388"/>
      <c r="F50" s="174">
        <v>5</v>
      </c>
      <c r="G50" s="175">
        <v>1</v>
      </c>
      <c r="H50" s="176">
        <v>1.7</v>
      </c>
      <c r="I50" s="120" t="str">
        <f>IF($B50=0,"",VLOOKUP($B50,Table2[],5,FALSE))</f>
        <v>pound</v>
      </c>
      <c r="J50" s="109">
        <f>IF($B50=0,"",VLOOKUP($B50,Table2[],7,FALSE))</f>
        <v>0.4</v>
      </c>
      <c r="K50" s="109">
        <f t="shared" si="2"/>
        <v>0.68</v>
      </c>
      <c r="L50" s="110"/>
    </row>
    <row r="51" spans="1:12" x14ac:dyDescent="0.2">
      <c r="A51" s="143"/>
      <c r="B51" s="180" t="s">
        <v>262</v>
      </c>
      <c r="C51" s="388" t="str">
        <f>IF(B51=0,"",VLOOKUP($B51,Table2[],2,FALSE))</f>
        <v>Herbicide</v>
      </c>
      <c r="D51" s="388"/>
      <c r="E51" s="388"/>
      <c r="F51" s="174">
        <v>5</v>
      </c>
      <c r="G51" s="175">
        <v>1</v>
      </c>
      <c r="H51" s="176">
        <v>3</v>
      </c>
      <c r="I51" s="120" t="str">
        <f>IF($B51=0,"",VLOOKUP($B51,Table2[],5,FALSE))</f>
        <v>ounce</v>
      </c>
      <c r="J51" s="109">
        <f>IF($B51=0,"",VLOOKUP($B51,Table2[],7,FALSE))</f>
        <v>6.25</v>
      </c>
      <c r="K51" s="109">
        <f t="shared" si="2"/>
        <v>18.75</v>
      </c>
      <c r="L51" s="110"/>
    </row>
    <row r="52" spans="1:12" x14ac:dyDescent="0.2">
      <c r="A52" s="143"/>
      <c r="B52" s="180" t="s">
        <v>200</v>
      </c>
      <c r="C52" s="388" t="str">
        <f>IF(B52=0,"",VLOOKUP($B52,Table2[],2,FALSE))</f>
        <v>Custom</v>
      </c>
      <c r="D52" s="388"/>
      <c r="E52" s="388"/>
      <c r="F52" s="174">
        <v>6</v>
      </c>
      <c r="G52" s="175">
        <v>0.2</v>
      </c>
      <c r="H52" s="176">
        <v>1</v>
      </c>
      <c r="I52" s="120" t="str">
        <f>IF($B52=0,"",VLOOKUP($B52,Table2[],5,FALSE))</f>
        <v>acre</v>
      </c>
      <c r="J52" s="109">
        <f>IF($B52=0,"",VLOOKUP($B52,Table2[],7,FALSE))</f>
        <v>9</v>
      </c>
      <c r="K52" s="109">
        <f t="shared" si="2"/>
        <v>1.8</v>
      </c>
      <c r="L52" s="110"/>
    </row>
    <row r="53" spans="1:12" x14ac:dyDescent="0.2">
      <c r="A53" s="143" t="s">
        <v>638</v>
      </c>
      <c r="B53" s="213" t="s">
        <v>286</v>
      </c>
      <c r="C53" s="387" t="str">
        <f>IF(B53=0,"",VLOOKUP($B53,Table2[],2,FALSE))</f>
        <v>Insecticide</v>
      </c>
      <c r="D53" s="387"/>
      <c r="E53" s="387"/>
      <c r="F53" s="214">
        <v>6</v>
      </c>
      <c r="G53" s="221">
        <v>0.1</v>
      </c>
      <c r="H53" s="222">
        <v>5.12</v>
      </c>
      <c r="I53" s="223" t="str">
        <f>IF($B53=0,"",VLOOKUP($B53,Table2[],5,FALSE))</f>
        <v>ounce</v>
      </c>
      <c r="J53" s="215">
        <f>IF($B53=0,"",VLOOKUP($B53,Table2[],7,FALSE))</f>
        <v>1.015625</v>
      </c>
      <c r="K53" s="215">
        <f t="shared" si="2"/>
        <v>0.52</v>
      </c>
      <c r="L53" s="216"/>
    </row>
    <row r="54" spans="1:12" x14ac:dyDescent="0.2">
      <c r="A54" s="143" t="s">
        <v>638</v>
      </c>
      <c r="B54" s="180" t="s">
        <v>288</v>
      </c>
      <c r="C54" s="388" t="str">
        <f>IF(B54=0,"",VLOOKUP($B54,Table2[],2,FALSE))</f>
        <v>Insecticide</v>
      </c>
      <c r="D54" s="388"/>
      <c r="E54" s="388"/>
      <c r="F54" s="174">
        <v>6</v>
      </c>
      <c r="G54" s="175">
        <v>0.2</v>
      </c>
      <c r="H54" s="176">
        <v>3</v>
      </c>
      <c r="I54" s="120" t="str">
        <f>IF($B54=0,"",VLOOKUP($B54,Table2[],5,FALSE))</f>
        <v>ounce</v>
      </c>
      <c r="J54" s="109">
        <f>IF($B54=0,"",VLOOKUP($B54,Table2[],7,FALSE))</f>
        <v>1.25</v>
      </c>
      <c r="K54" s="109">
        <f t="shared" si="2"/>
        <v>0.75</v>
      </c>
      <c r="L54" s="110"/>
    </row>
    <row r="55" spans="1:12" x14ac:dyDescent="0.2">
      <c r="A55" s="105"/>
      <c r="B55" s="180" t="s">
        <v>198</v>
      </c>
      <c r="C55" s="388" t="str">
        <f>IF(B55=0,"",VLOOKUP($B55,Table2[],2,FALSE))</f>
        <v>Custom</v>
      </c>
      <c r="D55" s="388"/>
      <c r="E55" s="388"/>
      <c r="F55" s="174">
        <v>9</v>
      </c>
      <c r="G55" s="175">
        <v>1</v>
      </c>
      <c r="H55" s="176">
        <f>$G$4</f>
        <v>130</v>
      </c>
      <c r="I55" s="120" t="str">
        <f>IF($B55=0,"",VLOOKUP($B55,Table2[],5,FALSE))</f>
        <v>bushel</v>
      </c>
      <c r="J55" s="109">
        <f>IF($B55=0,"",VLOOKUP($B55,Table2[],7,FALSE))</f>
        <v>0.15</v>
      </c>
      <c r="K55" s="109">
        <f t="shared" si="2"/>
        <v>19.5</v>
      </c>
      <c r="L55" s="110"/>
    </row>
    <row r="56" spans="1:12" x14ac:dyDescent="0.2">
      <c r="B56" s="180" t="s">
        <v>190</v>
      </c>
      <c r="C56" s="388" t="str">
        <f>IF(B56=0,"",VLOOKUP($B56,Table2[],2,FALSE))</f>
        <v>Custom</v>
      </c>
      <c r="D56" s="388"/>
      <c r="E56" s="388"/>
      <c r="F56" s="174">
        <v>10</v>
      </c>
      <c r="G56" s="175">
        <v>0.1</v>
      </c>
      <c r="H56" s="176">
        <f>$G$4</f>
        <v>130</v>
      </c>
      <c r="I56" s="120" t="str">
        <f>IF($B56=0,"",VLOOKUP($B56,Table2[],5,FALSE))</f>
        <v>bushel</v>
      </c>
      <c r="J56" s="109">
        <f>IF($B56=0,"",VLOOKUP($B56,Table2[],7,FALSE))</f>
        <v>0.1</v>
      </c>
      <c r="K56" s="109">
        <f t="shared" si="2"/>
        <v>1.3</v>
      </c>
      <c r="L56" s="113"/>
    </row>
    <row r="57" spans="1:12" x14ac:dyDescent="0.2">
      <c r="B57" s="217" t="s">
        <v>309</v>
      </c>
      <c r="C57" s="387" t="str">
        <f>IF(B57=0,"",VLOOKUP($B57,Table2[],2,FALSE))</f>
        <v>Scouting</v>
      </c>
      <c r="D57" s="387"/>
      <c r="E57" s="387"/>
      <c r="F57" s="218"/>
      <c r="G57" s="221">
        <v>1</v>
      </c>
      <c r="H57" s="225">
        <v>1</v>
      </c>
      <c r="I57" s="223" t="str">
        <f>IF($B57=0,"",VLOOKUP($B57,Table2[],5,FALSE))</f>
        <v>acre</v>
      </c>
      <c r="J57" s="215">
        <f>IF($B57=0,"",VLOOKUP($B57,Table2[],7,FALSE))</f>
        <v>10</v>
      </c>
      <c r="K57" s="215">
        <f>IF(B57=0,0,ROUND(G57*H57*J57,2))</f>
        <v>10</v>
      </c>
      <c r="L57" s="227"/>
    </row>
    <row r="58" spans="1:12" hidden="1" x14ac:dyDescent="0.2">
      <c r="B58" s="180"/>
      <c r="C58" s="388" t="str">
        <f>IF(B58=0,"",VLOOKUP($B58,Table2[],2,FALSE))</f>
        <v/>
      </c>
      <c r="D58" s="388"/>
      <c r="E58" s="388"/>
      <c r="F58" s="174"/>
      <c r="G58" s="175"/>
      <c r="H58" s="176"/>
      <c r="I58" s="120" t="str">
        <f>IF($B58=0,"",VLOOKUP($B58,Table2[],5,FALSE))</f>
        <v/>
      </c>
      <c r="J58" s="109" t="str">
        <f>IF($B58=0,"",VLOOKUP($B58,Table2[],7,FALSE))</f>
        <v/>
      </c>
      <c r="K58" s="109">
        <f>IF(B58=0,0,ROUND(G58*H58*J58,2))</f>
        <v>0</v>
      </c>
      <c r="L58" s="113"/>
    </row>
    <row r="59" spans="1:12" ht="12.75" hidden="1" customHeight="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5"/>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1"/>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5"/>
      <c r="H62" s="178"/>
      <c r="I62" s="170"/>
      <c r="J62" s="109">
        <f ca="1">IF(F5=0,E5,F5)</f>
        <v>6</v>
      </c>
      <c r="K62" s="109">
        <f ca="1">IF(B62=0,0,J62)</f>
        <v>6</v>
      </c>
      <c r="L62" s="113"/>
    </row>
    <row r="63" spans="1:12" ht="3.75" customHeight="1" thickBot="1" x14ac:dyDescent="0.25">
      <c r="B63" s="114"/>
      <c r="C63" s="121"/>
      <c r="D63" s="121"/>
      <c r="E63" s="121"/>
      <c r="F63" s="115"/>
      <c r="G63" s="149"/>
      <c r="H63" s="114"/>
      <c r="I63" s="123"/>
      <c r="J63" s="124"/>
      <c r="K63" s="125"/>
      <c r="L63" s="117"/>
    </row>
    <row r="64" spans="1:12" ht="13.5" thickTop="1" x14ac:dyDescent="0.2">
      <c r="C64" s="108" t="s">
        <v>671</v>
      </c>
      <c r="D64" s="108"/>
      <c r="E64" s="161"/>
      <c r="F64" s="105"/>
      <c r="J64" s="126"/>
      <c r="K64" s="127">
        <f ca="1">SUM(K37:K62)</f>
        <v>274.76000000000005</v>
      </c>
      <c r="L64" s="110"/>
    </row>
    <row r="65" spans="2:12" x14ac:dyDescent="0.2">
      <c r="B65" s="144" t="s">
        <v>715</v>
      </c>
      <c r="K65" s="127"/>
    </row>
    <row r="66" spans="2:12" x14ac:dyDescent="0.2">
      <c r="B66" s="107" t="s">
        <v>672</v>
      </c>
      <c r="K66" s="127">
        <f ca="1">K33+K64</f>
        <v>357.51000000000005</v>
      </c>
      <c r="L66" s="110"/>
    </row>
    <row r="67" spans="2:12" ht="13.5" thickBot="1" x14ac:dyDescent="0.25">
      <c r="D67" s="128" t="s">
        <v>673</v>
      </c>
      <c r="E67" s="129">
        <f ca="1">ROUND(SUM($E$33:$H$33)+$K$64,2)</f>
        <v>309.83</v>
      </c>
      <c r="F67" s="388" t="s">
        <v>674</v>
      </c>
      <c r="G67" s="388"/>
      <c r="H67" s="130">
        <f>'General Variables'!$B$11</f>
        <v>7.4999999999999997E-2</v>
      </c>
      <c r="I67" s="131" t="str">
        <f>CONCATENATE("for ",TEXT('General Variables'!$B$12,"0.0")," mo.")</f>
        <v>for 6.0 mo.</v>
      </c>
      <c r="K67" s="132">
        <f ca="1">E67*H67*'General Variables'!$B$12/12</f>
        <v>11.618625</v>
      </c>
      <c r="L67" s="133"/>
    </row>
    <row r="68" spans="2:12" ht="13.5" thickTop="1" x14ac:dyDescent="0.2">
      <c r="B68" s="107" t="s">
        <v>675</v>
      </c>
      <c r="K68" s="127">
        <f ca="1">SUM(K66:K67)</f>
        <v>369.12862500000006</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45</v>
      </c>
      <c r="D71" s="399"/>
      <c r="E71" s="400"/>
      <c r="F71" s="136">
        <f>IF(C71=0,0,VLOOKUP(C71,RETable,2,FALSE))</f>
        <v>1825</v>
      </c>
      <c r="G71" s="388" t="s">
        <v>678</v>
      </c>
      <c r="H71" s="388"/>
      <c r="I71" s="130">
        <f>'General Variables'!$B$10</f>
        <v>0.03</v>
      </c>
      <c r="K71" s="137">
        <f>ROUND(F71*I71,2)</f>
        <v>54.75</v>
      </c>
      <c r="L71" s="110"/>
    </row>
    <row r="72" spans="2:12" ht="13.5" thickBot="1" x14ac:dyDescent="0.25">
      <c r="B72" s="103" t="s">
        <v>679</v>
      </c>
      <c r="F72" s="138">
        <f>IF(C71=0,0,VLOOKUP(C71,RETable,2,FALSE))</f>
        <v>1825</v>
      </c>
      <c r="G72" s="397" t="s">
        <v>678</v>
      </c>
      <c r="H72" s="397"/>
      <c r="I72" s="139">
        <f>'General Variables'!$B$13</f>
        <v>1.2999999999999999E-2</v>
      </c>
      <c r="J72" s="105"/>
      <c r="K72" s="140">
        <f>ROUND(F72*I72,2)</f>
        <v>23.73</v>
      </c>
      <c r="L72" s="133"/>
    </row>
    <row r="73" spans="2:12" ht="13.5" thickTop="1" x14ac:dyDescent="0.2">
      <c r="B73" s="107" t="s">
        <v>680</v>
      </c>
      <c r="K73" s="127">
        <f ca="1">SUM(K68:K72)</f>
        <v>474.60862500000007</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2.8629125000000002</v>
      </c>
      <c r="L75" s="148"/>
    </row>
    <row r="76" spans="2:12" x14ac:dyDescent="0.2">
      <c r="B76" s="107" t="str">
        <f>IF(G4="","","Cost of production per "&amp;H4)</f>
        <v>Cost of production per bushel</v>
      </c>
      <c r="K76" s="141">
        <f ca="1">IF(G4="","",K73/G4)</f>
        <v>3.6508355769230776</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9:E49"/>
    <mergeCell ref="C37:E37"/>
    <mergeCell ref="C39:E39"/>
    <mergeCell ref="C40:E40"/>
    <mergeCell ref="C41:E41"/>
    <mergeCell ref="C42:E42"/>
    <mergeCell ref="C43:E43"/>
    <mergeCell ref="C44:E44"/>
    <mergeCell ref="C45:E45"/>
    <mergeCell ref="C46:E46"/>
    <mergeCell ref="C47:E47"/>
    <mergeCell ref="C48:E48"/>
    <mergeCell ref="C38:E38"/>
    <mergeCell ref="A6:M6"/>
    <mergeCell ref="C3:E3"/>
    <mergeCell ref="K2:L2"/>
    <mergeCell ref="G2:H2"/>
    <mergeCell ref="C4:E4"/>
  </mergeCells>
  <dataValidations count="9">
    <dataValidation type="list" allowBlank="1" showInputMessage="1" showErrorMessage="1" sqref="B32" xr:uid="{00000000-0002-0000-1F00-000000000000}">
      <formula1>$B$112:$B$209</formula1>
    </dataValidation>
    <dataValidation type="list" allowBlank="1" showInputMessage="1" showErrorMessage="1" sqref="B63" xr:uid="{00000000-0002-0000-1F00-000001000000}">
      <formula1>$C$112:$C$235</formula1>
    </dataValidation>
    <dataValidation type="list" allowBlank="1" showInputMessage="1" showErrorMessage="1" sqref="K4" xr:uid="{00000000-0002-0000-1F00-000002000000}">
      <formula1>$K$112:$K$114</formula1>
    </dataValidation>
    <dataValidation type="list" allowBlank="1" showInputMessage="1" showErrorMessage="1" sqref="B37:B61" xr:uid="{00000000-0002-0000-1F00-000003000000}">
      <formula1>MaterialList</formula1>
    </dataValidation>
    <dataValidation type="list" allowBlank="1" showInputMessage="1" showErrorMessage="1" sqref="C71:E71" xr:uid="{00000000-0002-0000-1F00-000004000000}">
      <formula1>RealEstateList</formula1>
    </dataValidation>
    <dataValidation type="list" allowBlank="1" showInputMessage="1" showErrorMessage="1" sqref="B12:B31" xr:uid="{00000000-0002-0000-1F00-000005000000}">
      <formula1>OperationList</formula1>
    </dataValidation>
    <dataValidation type="list" allowBlank="1" showInputMessage="1" showErrorMessage="1" sqref="D12:D32" xr:uid="{00000000-0002-0000-1F00-000006000000}">
      <formula1>#REF!</formula1>
    </dataValidation>
    <dataValidation type="list" allowBlank="1" showInputMessage="1" showErrorMessage="1" sqref="K2" xr:uid="{00000000-0002-0000-1F00-000007000000}">
      <formula1>watersource</formula1>
    </dataValidation>
    <dataValidation type="list" allowBlank="1" showInputMessage="1" showErrorMessage="1" sqref="C3" xr:uid="{00000000-0002-0000-1F00-000008000000}">
      <formula1>TillageSystem</formula1>
    </dataValidation>
  </dataValidations>
  <pageMargins left="0.7" right="0.7" top="0.75" bottom="0.75" header="0.3" footer="0.3"/>
  <pageSetup scale="71" orientation="portrait" r:id="rId1"/>
  <ignoredErrors>
    <ignoredError sqref="C18" unlockedFormula="1"/>
    <ignoredError sqref="E18:J18"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20">
    <pageSetUpPr fitToPage="1"/>
  </sheetPr>
  <dimension ref="A2:M258"/>
  <sheetViews>
    <sheetView topLeftCell="A8" zoomScaleNormal="100" workbookViewId="0">
      <selection activeCell="F21" sqref="F2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727</v>
      </c>
      <c r="H2" s="392"/>
      <c r="J2" s="128" t="s">
        <v>649</v>
      </c>
      <c r="K2" s="401" t="s">
        <v>71</v>
      </c>
      <c r="L2" s="401"/>
    </row>
    <row r="3" spans="1:13" hidden="1" x14ac:dyDescent="0.2">
      <c r="B3" s="103" t="s">
        <v>38</v>
      </c>
      <c r="C3" s="391" t="s">
        <v>50</v>
      </c>
      <c r="D3" s="391"/>
      <c r="E3" s="391"/>
      <c r="G3" s="128" t="s">
        <v>650</v>
      </c>
      <c r="H3" s="187" t="s">
        <v>728</v>
      </c>
      <c r="J3" s="128" t="s">
        <v>651</v>
      </c>
      <c r="K3" s="187">
        <v>18</v>
      </c>
    </row>
    <row r="4" spans="1:13" hidden="1" x14ac:dyDescent="0.2">
      <c r="B4" s="103" t="s">
        <v>652</v>
      </c>
      <c r="C4" s="392" t="s">
        <v>62</v>
      </c>
      <c r="D4" s="392"/>
      <c r="E4" s="392"/>
      <c r="G4" s="103">
        <f>IFERROR(VALUE(LEFT($H$3,FIND(" ",$H$3))),"")</f>
        <v>245</v>
      </c>
      <c r="H4" s="103" t="str">
        <f>IFERROR(RIGHT(H3,LEN(H3)-LEN(G4)-1),"")</f>
        <v>bushel</v>
      </c>
      <c r="J4" s="128" t="s">
        <v>653</v>
      </c>
      <c r="K4" s="188" t="s">
        <v>654</v>
      </c>
    </row>
    <row r="5" spans="1:13" ht="15.75" hidden="1" customHeight="1" x14ac:dyDescent="0.2">
      <c r="B5" s="103" t="s">
        <v>655</v>
      </c>
      <c r="C5" s="103" t="str">
        <f ca="1">MID(CELL("filename",C5),FIND("]",CELL("filename",C5))+1,255)</f>
        <v>26-Corn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26-Corn, Bt, ECB, RW, &amp; RIB, Ridge Till, Continuous, 245 bushel Yield, Gravity Irrigated Diesel, fed by a well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26-Corn, Bt, ECB, RW, &amp; RIB, Ridge Till, Continuous, 245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Diesel, fed by a well, 18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2" si="0">IF(C13&gt;9999,"",ROUND(SUM(E13:J13),2))</f>
        <v>14.98</v>
      </c>
      <c r="L13" s="110"/>
    </row>
    <row r="14" spans="1:13" x14ac:dyDescent="0.2">
      <c r="A14" s="170">
        <v>3</v>
      </c>
      <c r="B14" s="180" t="s">
        <v>536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1.0900000000000001</v>
      </c>
      <c r="G14" s="109">
        <f>IF(B14=0,0,IF(C14&gt;9999,"",ROUND(VLOOKUP(VLOOKUP(B14,Operations!$A$2:$U$79,11,FALSE),PowerUnits[],10,FALSE)/VLOOKUP(B14,Operations!$A$2:$U$79,9,FALSE)*C14,2)))</f>
        <v>0.34</v>
      </c>
      <c r="H14" s="109">
        <f>IF(B14=0,"",IF(C14&gt;9999,"",ROUND(VLOOKUP($B14,Operations!$A$2:$U$79,15,FALSE)*C14,2)))</f>
        <v>5.7</v>
      </c>
      <c r="I14" s="109">
        <f>IF(B14=0,0,IF(C14&gt;9999,"",ROUND(VLOOKUP(VLOOKUP(B14,Operations!$A$2:$U$79,11,FALSE),PowerUnits[],16,FALSE)/VLOOKUP(B14,Operations!$A$2:$U$79,9,FALSE)*C14,2)))</f>
        <v>9.23</v>
      </c>
      <c r="J14" s="109">
        <f>IF(B14=0,"",IF(C14&gt;9999,"",ROUND(VLOOKUP($B14,Operations!$A$2:$U$79,21,FALSE)*$C14,2)))</f>
        <v>5.64</v>
      </c>
      <c r="K14" s="109">
        <f t="shared" si="0"/>
        <v>25.24</v>
      </c>
      <c r="L14" s="110"/>
    </row>
    <row r="15" spans="1:13" x14ac:dyDescent="0.2">
      <c r="A15" s="170">
        <v>4</v>
      </c>
      <c r="B15" s="213" t="s">
        <v>545</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1.02</v>
      </c>
      <c r="G15" s="215">
        <f>IF(B15=0,0,IF(C15&gt;9999,"",ROUND(VLOOKUP(VLOOKUP(B15,Operations!$A$2:$U$79,11,FALSE),PowerUnits[],10,FALSE)/VLOOKUP(B15,Operations!$A$2:$U$79,9,FALSE)*C15,2)))</f>
        <v>0.08</v>
      </c>
      <c r="H15" s="215">
        <f>IF(B15=0,"",IF(C15&gt;9999,"",ROUND(VLOOKUP($B15,Operations!$A$2:$U$79,15,FALSE)*C15,2)))</f>
        <v>1.4</v>
      </c>
      <c r="I15" s="215">
        <f>IF(B15=0,0,IF(C15&gt;9999,"",ROUND(VLOOKUP(VLOOKUP(B15,Operations!$A$2:$U$79,11,FALSE),PowerUnits[],16,FALSE)/VLOOKUP(B15,Operations!$A$2:$U$79,9,FALSE)*C15,2)))</f>
        <v>3.93</v>
      </c>
      <c r="J15" s="215">
        <f>IF(B15=0,"",IF(C15&gt;9999,"",ROUND(VLOOKUP($B15,Operations!$A$2:$U$79,21,FALSE)*$C15,2)))</f>
        <v>3.2</v>
      </c>
      <c r="K15" s="215">
        <f t="shared" si="0"/>
        <v>12.33</v>
      </c>
      <c r="L15" s="216"/>
    </row>
    <row r="16" spans="1:13" x14ac:dyDescent="0.2">
      <c r="A16" s="170">
        <v>5</v>
      </c>
      <c r="B16" s="180" t="s">
        <v>533</v>
      </c>
      <c r="C16" s="174">
        <v>1</v>
      </c>
      <c r="D16" s="174"/>
      <c r="E16" s="109">
        <f>IF(B16=0,"",IF(C16&gt;9999,"",ROUND('General Variables'!$B$4*VLOOKUP(B16,Operations!$A$2:$U$79,10,FALSE)/VLOOKUP(B16,Operations!$A$2:$U$79,9,FALSE)*C16,2)))</f>
        <v>2.97</v>
      </c>
      <c r="F16" s="109">
        <f>IF(B16=0,0,IF(C16&gt;9999,"",ROUND(IF(VLOOKUP(B16,Operations!$A$2:$U$79,12,FALSE)=0,VLOOKUP(B16,Operations!$A$2:$U$79,13,FALSE)*'General Variables'!$B$8,VLOOKUP(B16,Operations!$A$2:$U$79,12,FALSE)*'General Variables'!$B$7)/VLOOKUP(B16,Operations!$A$2:$U$79,9,FALSE)*C16,2)))</f>
        <v>1.7</v>
      </c>
      <c r="G16" s="109">
        <f>IF(B16=0,0,IF(C16&gt;9999,"",ROUND(VLOOKUP(VLOOKUP(B16,Operations!$A$2:$U$79,11,FALSE),PowerUnits[],10,FALSE)/VLOOKUP(B16,Operations!$A$2:$U$79,9,FALSE)*C16,2)))</f>
        <v>0.34</v>
      </c>
      <c r="H16" s="109">
        <f>IF(B16=0,"",IF(C16&gt;9999,"",ROUND(VLOOKUP($B16,Operations!$A$2:$U$79,15,FALSE)*C16,2)))</f>
        <v>1.87</v>
      </c>
      <c r="I16" s="109">
        <f>IF(B16=0,0,IF(C16&gt;9999,"",ROUND(VLOOKUP(VLOOKUP(B16,Operations!$A$2:$U$79,11,FALSE),PowerUnits[],16,FALSE)/VLOOKUP(B16,Operations!$A$2:$U$79,9,FALSE)*C16,2)))</f>
        <v>9.23</v>
      </c>
      <c r="J16" s="109">
        <f>IF(B16=0,"",IF(C16&gt;9999,"",ROUND(VLOOKUP($B16,Operations!$A$2:$U$79,21,FALSE)*$C16,2)))</f>
        <v>5.18</v>
      </c>
      <c r="K16" s="109">
        <f t="shared" si="0"/>
        <v>21.29</v>
      </c>
      <c r="L16" s="110"/>
    </row>
    <row r="17" spans="1:12" x14ac:dyDescent="0.2">
      <c r="A17" s="170">
        <v>6</v>
      </c>
      <c r="B17" s="180" t="s">
        <v>551</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552</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890</v>
      </c>
      <c r="C19" s="214" t="s">
        <v>184</v>
      </c>
      <c r="D19" s="214"/>
      <c r="E19" s="215"/>
      <c r="F19" s="215"/>
      <c r="G19" s="215"/>
      <c r="H19" s="215"/>
      <c r="I19" s="215"/>
      <c r="J19" s="215"/>
      <c r="K19" s="215"/>
      <c r="L19" s="216"/>
    </row>
    <row r="20" spans="1:12" x14ac:dyDescent="0.2">
      <c r="A20" s="170">
        <v>9</v>
      </c>
      <c r="B20" s="180" t="s">
        <v>521</v>
      </c>
      <c r="C20" s="174">
        <f>$K$3</f>
        <v>18</v>
      </c>
      <c r="D20" s="174" t="s">
        <v>693</v>
      </c>
      <c r="E20" s="109">
        <f>IF(B20=0,"",IF(C20&gt;9999,"",ROUND('General Variables'!$B$4*VLOOKUP(B20,Operations!$A$2:$U$79,10,FALSE)/VLOOKUP(B20,Operations!$A$2:$U$79,9,FALSE)*C20,2)))</f>
        <v>45</v>
      </c>
      <c r="F20" s="109">
        <f>IF(B20=0,0,IF(C20&gt;9999,"",ROUND(IF(VLOOKUP(B20,Operations!$A$2:$U$79,12,FALSE)=0,VLOOKUP(B20,Operations!$A$2:$U$79,13,FALSE)*'General Variables'!$B$8,VLOOKUP(B20,Operations!$A$2:$U$79,12,FALSE)*'General Variables'!$B$7)/VLOOKUP(B20,Operations!$A$2:$U$79,9,FALSE)*C20,2)))</f>
        <v>77.5</v>
      </c>
      <c r="G20" s="109">
        <f>IF(B20=0,0,IF(C20&gt;9999,"",ROUND(VLOOKUP(VLOOKUP(B20,Operations!$A$2:$U$79,11,FALSE),PowerUnits[],10,FALSE)/VLOOKUP(B20,Operations!$A$2:$U$79,9,FALSE)*C20,2)))</f>
        <v>6.9</v>
      </c>
      <c r="H20" s="109">
        <f>IF(B20=0,"",IF(C20&gt;9999,"",ROUND(VLOOKUP($B20,Operations!$A$2:$U$79,15,FALSE)*C20,2)))</f>
        <v>2.64</v>
      </c>
      <c r="I20" s="109">
        <f>IF(B20=0,0,IF(C20&gt;9999,"",ROUND(VLOOKUP(VLOOKUP(B20,Operations!$A$2:$U$79,11,FALSE),PowerUnits[],16,FALSE)/VLOOKUP(B20,Operations!$A$2:$U$79,9,FALSE)*C20,2)))</f>
        <v>15.46</v>
      </c>
      <c r="J20" s="109">
        <f>IF(B20=0,"",IF(C20&gt;9999,"",ROUND(VLOOKUP($B20,Operations!$A$2:$U$79,21,FALSE)*$C20,2)))</f>
        <v>4.29</v>
      </c>
      <c r="K20" s="109">
        <f>IF(C20&gt;9999,"",ROUND(SUM(E20:J20),2))</f>
        <v>151.79</v>
      </c>
      <c r="L20" s="110"/>
    </row>
    <row r="21" spans="1:12" x14ac:dyDescent="0.2">
      <c r="A21" s="170">
        <v>10</v>
      </c>
      <c r="B21" s="180" t="s">
        <v>944</v>
      </c>
      <c r="C21" s="174">
        <v>220</v>
      </c>
      <c r="D21" s="112"/>
      <c r="E21" s="109">
        <f>IF(B21=0,"",IF(C21&gt;9999,"",ROUND('General Variables'!$B$4*VLOOKUP(B21,Operations!$A$2:$U$79,10,FALSE)/VLOOKUP(B21,Operations!$A$2:$U$79,9,FALSE)*C21,2))/100)</f>
        <v>5.269400000000001</v>
      </c>
      <c r="F21" s="109">
        <f>IF(B21=0,0,IF(C21&gt;9999,"",ROUND(IF(VLOOKUP(B21,Operations!$A$2:$U$79,12,FALSE)=0,VLOOKUP(B21,Operations!$A$2:$U$79,13,FALSE)*'General Variables'!$B$8,VLOOKUP(B21,Operations!$A$2:$U$79,12,FALSE)*'General Variables'!$B$7)/VLOOKUP(B21,Operations!$A$2:$U$79,9,FALSE)*C21,2))/100)</f>
        <v>5.9557000000000002</v>
      </c>
      <c r="G21" s="109">
        <f>IF(B21=0,0,IF(C21&gt;9999,"",ROUND(VLOOKUP(VLOOKUP(B21,Operations!$A$2:$U$79,11,FALSE),PowerUnits[],10,FALSE)/VLOOKUP(B21,Operations!$A$2:$U$79,9,FALSE)*C21,2))/100)</f>
        <v>9.1562999999999999</v>
      </c>
      <c r="H21" s="109">
        <f>IF(B21=0,"",IF(C21&gt;9999,"",ROUND(VLOOKUP($B21,Operations!$A$2:$U$79,15,FALSE)*C21,2))/100)</f>
        <v>2.3637000000000001</v>
      </c>
      <c r="I21" s="109">
        <f>IF(B21=0,0,IF(C21&gt;9999,"",ROUND(VLOOKUP(VLOOKUP(B21,Operations!$A$2:$U$79,11,FALSE),PowerUnits[],16,FALSE)/VLOOKUP(B21,Operations!$A$2:$U$79,9,FALSE)*C21,2))/100)</f>
        <v>22.050700000000003</v>
      </c>
      <c r="J21" s="109">
        <f>IF(B21=0,"",IF(C21&gt;9999,"",ROUND(VLOOKUP($B21,Operations!$A$2:$U$79,21,FALSE)*$C21,2))/100)</f>
        <v>9.8083000000000009</v>
      </c>
      <c r="K21" s="109">
        <f>IF(C21&gt;9999,"",ROUND(SUM(E21:J21),2))</f>
        <v>54.6</v>
      </c>
      <c r="L21" s="110"/>
    </row>
    <row r="22" spans="1:12" x14ac:dyDescent="0.2">
      <c r="A22" s="170">
        <v>11</v>
      </c>
      <c r="B22" s="180" t="s">
        <v>414</v>
      </c>
      <c r="C22" s="174">
        <f>$G$4</f>
        <v>245</v>
      </c>
      <c r="D22" s="112" t="s">
        <v>706</v>
      </c>
      <c r="E22" s="109">
        <f>IF(B22=0,"",IF(C22&gt;9999,"",ROUND('General Variables'!$B$4*VLOOKUP(B22,Operations!$A$2:$U$79,10,FALSE)/VLOOKUP(B22,Operations!$A$2:$U$79,9,FALSE)*C22,2)))</f>
        <v>2.21</v>
      </c>
      <c r="F22" s="109">
        <f>IF(B22=0,0,IF(C22&gt;9999,"",ROUND(IF(VLOOKUP(B22,Operations!$A$2:$U$79,12,FALSE)=0,VLOOKUP(B22,Operations!$A$2:$U$79,13,FALSE)*'General Variables'!$B$8,VLOOKUP(B22,Operations!$A$2:$U$79,12,FALSE)*'General Variables'!$B$7)/VLOOKUP(B22,Operations!$A$2:$U$79,9,FALSE)*C22,2)))</f>
        <v>0.71</v>
      </c>
      <c r="G22" s="109">
        <f>IF(B22=0,0,IF(C22&gt;9999,"",ROUND(VLOOKUP(VLOOKUP(B22,Operations!$A$2:$U$79,11,FALSE),PowerUnits[],10,FALSE)/VLOOKUP(B22,Operations!$A$2:$U$79,9,FALSE)*C22,2)))</f>
        <v>0.06</v>
      </c>
      <c r="H22" s="109">
        <f>IF(B22=0,"",IF(C22&gt;9999,"",ROUND(VLOOKUP($B22,Operations!$A$2:$U$79,15,FALSE)*C22,2)))</f>
        <v>1.36</v>
      </c>
      <c r="I22" s="109">
        <f>IF(B22=0,0,IF(C22&gt;9999,"",ROUND(VLOOKUP(VLOOKUP(B22,Operations!$A$2:$U$79,11,FALSE),PowerUnits[],16,FALSE)/VLOOKUP(B22,Operations!$A$2:$U$79,9,FALSE)*C22,2)))</f>
        <v>3.21</v>
      </c>
      <c r="J22" s="109">
        <f>IF(B22=0,"",IF(C22&gt;9999,"",ROUND(VLOOKUP($B22,Operations!$A$2:$U$79,21,FALSE)*$C22,2)))</f>
        <v>2.71</v>
      </c>
      <c r="K22" s="109">
        <f>IF(C22&gt;9999,"",ROUND(SUM(E22:J22),2))</f>
        <v>10.26</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x14ac:dyDescent="0.2">
      <c r="A24" s="170">
        <v>13</v>
      </c>
      <c r="B24" s="180" t="s">
        <v>496</v>
      </c>
      <c r="C24" s="174" t="s">
        <v>184</v>
      </c>
      <c r="D24" s="112"/>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110"/>
    </row>
    <row r="25" spans="1:12" x14ac:dyDescent="0.2">
      <c r="A25" s="170">
        <v>14</v>
      </c>
      <c r="B25" s="180" t="s">
        <v>437</v>
      </c>
      <c r="C25" s="174">
        <v>1</v>
      </c>
      <c r="D25" s="112"/>
      <c r="E25" s="109">
        <f>IF(B25=0,"",IF(C25&gt;9999,"",ROUND('General Variables'!$B$4*VLOOKUP(B25,Operations!$A$2:$U$79,10,FALSE)/VLOOKUP(B25,Operations!$A$2:$U$79,9,FALSE)*C25,2)))</f>
        <v>2.41</v>
      </c>
      <c r="F25" s="109">
        <f>IF(B25=0,0,IF(C25&gt;9999,"",ROUND(IF(VLOOKUP(B25,Operations!$A$2:$U$79,12,FALSE)=0,VLOOKUP(B25,Operations!$A$2:$U$79,13,FALSE)*'General Variables'!$B$8,VLOOKUP(B25,Operations!$A$2:$U$79,12,FALSE)*'General Variables'!$B$7)/VLOOKUP(B25,Operations!$A$2:$U$79,9,FALSE)*C25,2)))</f>
        <v>1.49</v>
      </c>
      <c r="G25" s="109">
        <f>IF(B25=0,0,IF(C25&gt;9999,"",ROUND(VLOOKUP(VLOOKUP(B25,Operations!$A$2:$U$79,11,FALSE),PowerUnits[],10,FALSE)/VLOOKUP(B25,Operations!$A$2:$U$79,9,FALSE)*C25,2)))</f>
        <v>7.0000000000000007E-2</v>
      </c>
      <c r="H25" s="109">
        <f>IF(B25=0,"",IF(C25&gt;9999,"",ROUND(VLOOKUP($B25,Operations!$A$2:$U$79,15,FALSE)*C25,2)))</f>
        <v>0.67</v>
      </c>
      <c r="I25" s="109">
        <f>IF(B25=0,0,IF(C25&gt;9999,"",ROUND(VLOOKUP(VLOOKUP(B25,Operations!$A$2:$U$79,11,FALSE),PowerUnits[],16,FALSE)/VLOOKUP(B25,Operations!$A$2:$U$79,9,FALSE)*C25,2)))</f>
        <v>3.51</v>
      </c>
      <c r="J25" s="109">
        <f>IF(B25=0,"",IF(C25&gt;9999,"",ROUND(VLOOKUP($B25,Operations!$A$2:$U$79,21,FALSE)*$C25,2)))</f>
        <v>3.04</v>
      </c>
      <c r="K25" s="109">
        <f t="shared" si="0"/>
        <v>11.19</v>
      </c>
      <c r="L25" s="110"/>
    </row>
    <row r="26" spans="1:12" hidden="1" x14ac:dyDescent="0.2">
      <c r="A26" s="170">
        <v>14</v>
      </c>
      <c r="B26" s="180"/>
      <c r="C26" s="290"/>
      <c r="D26" s="291"/>
      <c r="E26" s="292" t="str">
        <f>IF(B26=0,"",IF(C26&gt;9999,"",ROUND('General Variables'!$B$4*VLOOKUP(B26,Operations!$A$2:$U$79,10,FALSE)/VLOOKUP(B26,Operations!$A$2:$U$79,9,FALSE)*C26,2)))</f>
        <v/>
      </c>
      <c r="F26" s="292">
        <f>IF(B26=0,0,IF(C26&gt;9999,"",ROUND(IF(VLOOKUP(B26,Operations!$A$2:$U$79,12,FALSE)=0,VLOOKUP(B26,Operations!$A$2:$U$79,13,FALSE)*'General Variables'!$B$8,VLOOKUP(B26,Operations!$A$2:$U$79,12,FALSE)*'General Variables'!$B$7)/VLOOKUP(B26,Operations!$A$2:$U$79,9,FALSE)*C26,2)))</f>
        <v>0</v>
      </c>
      <c r="G26" s="292">
        <f>IF(B26=0,0,IF(C26&gt;9999,"",ROUND(VLOOKUP(VLOOKUP(B26,Operations!$A$2:$U$79,11,FALSE),PowerUnits[],10,FALSE)/VLOOKUP(B26,Operations!$A$2:$U$79,9,FALSE)*C26,2)))</f>
        <v>0</v>
      </c>
      <c r="H26" s="292" t="str">
        <f>IF(B26=0,"",IF(C26&gt;9999,"",ROUND(VLOOKUP($B26,Operations!$A$2:$U$79,15,FALSE)*C26,2)))</f>
        <v/>
      </c>
      <c r="I26" s="292">
        <f>IF(B26=0,0,IF(C26&gt;9999,"",ROUND(VLOOKUP(VLOOKUP(B26,Operations!$A$2:$U$79,11,FALSE),PowerUnits[],16,FALSE)/VLOOKUP(B26,Operations!$A$2:$U$79,9,FALSE)*C26,2)))</f>
        <v>0</v>
      </c>
      <c r="J26" s="292" t="str">
        <f>IF(B26=0,"",IF(C26&gt;9999,"",ROUND(VLOOKUP($B26,Operations!$A$2:$U$79,21,FALSE)*$C26,2)))</f>
        <v/>
      </c>
      <c r="K26" s="292">
        <f t="shared" si="0"/>
        <v>0</v>
      </c>
      <c r="L26" s="110"/>
    </row>
    <row r="27" spans="1:12" hidden="1" x14ac:dyDescent="0.2">
      <c r="A27" s="170">
        <v>15</v>
      </c>
      <c r="B27" s="111"/>
      <c r="C27" s="283"/>
      <c r="D27" s="283"/>
      <c r="E27" s="284" t="str">
        <f>IF(B27=0,"",IF(C27&gt;9999,"",ROUND('General Variables'!$B$4*VLOOKUP(B27,Operations!$A$2:$U$79,10,FALSE)/VLOOKUP(B27,Operations!$A$2:$U$79,9,FALSE)*C27,2)))</f>
        <v/>
      </c>
      <c r="F27" s="284">
        <f>IF(B27=0,0,IF(C27&gt;9999,"",ROUND(IF(VLOOKUP(B27,Operations!$A$2:$U$79,12,FALSE)=0,VLOOKUP(B27,Operations!$A$2:$U$79,13,FALSE)*'General Variables'!$B$8,VLOOKUP(B27,Operations!$A$2:$U$79,12,FALSE)*'General Variables'!$B$7)/VLOOKUP(B27,Operations!$A$2:$U$79,9,FALSE)*C27,2)))</f>
        <v>0</v>
      </c>
      <c r="G27" s="284">
        <f>IF(B27=0,0,IF(C27&gt;9999,"",ROUND(VLOOKUP(VLOOKUP(B27,Operations!$A$2:$U$79,11,FALSE),PowerUnits[],10,FALSE)/VLOOKUP(B27,Operations!$A$2:$U$79,9,FALSE)*C27,2)))</f>
        <v>0</v>
      </c>
      <c r="H27" s="284" t="str">
        <f>IF(B27=0,"",IF(C27&gt;9999,"",ROUND(VLOOKUP($B27,Operations!$A$2:$U$79,15,FALSE)*C27,2)))</f>
        <v/>
      </c>
      <c r="I27" s="284">
        <f>IF(B27=0,0,IF(C27&gt;9999,"",ROUND(VLOOKUP(VLOOKUP(B27,Operations!$A$2:$U$79,11,FALSE),PowerUnits[],16,FALSE)/VLOOKUP(B27,Operations!$A$2:$U$79,9,FALSE)*C27,2)))</f>
        <v>0</v>
      </c>
      <c r="J27" s="284" t="str">
        <f>IF(B27=0,"",IF(C27&gt;9999,"",ROUND(VLOOKUP($B27,Operations!$A$2:$U$79,21,FALSE)*$C27,2)))</f>
        <v/>
      </c>
      <c r="K27" s="284">
        <f t="shared" si="0"/>
        <v>0</v>
      </c>
      <c r="L27" s="110"/>
    </row>
    <row r="28" spans="1:12" hidden="1" x14ac:dyDescent="0.2">
      <c r="A28" s="170">
        <v>16</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66.289400000000001</v>
      </c>
      <c r="F34" s="109">
        <f t="shared" ref="F34:K34" si="1">SUM(F12:F32)</f>
        <v>90.295699999999982</v>
      </c>
      <c r="G34" s="109">
        <f t="shared" si="1"/>
        <v>17.186299999999999</v>
      </c>
      <c r="H34" s="109">
        <f t="shared" si="1"/>
        <v>17.953700000000005</v>
      </c>
      <c r="I34" s="109">
        <f t="shared" si="1"/>
        <v>73.430700000000002</v>
      </c>
      <c r="J34" s="109">
        <f t="shared" si="1"/>
        <v>39.398299999999999</v>
      </c>
      <c r="K34" s="109">
        <f t="shared" si="1"/>
        <v>304.55</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IF(B38=0,0,ROUND(G38*H38*J38,2))</f>
        <v>2.5</v>
      </c>
      <c r="L38" s="110"/>
    </row>
    <row r="39" spans="1:12" x14ac:dyDescent="0.2">
      <c r="A39" s="105"/>
      <c r="B39" s="180" t="s">
        <v>259</v>
      </c>
      <c r="C39" s="388" t="str">
        <f>IF(B39=0,"",VLOOKUP($B39,Table2[],2,FALSE))</f>
        <v>Herbicide</v>
      </c>
      <c r="D39" s="388"/>
      <c r="E39" s="388"/>
      <c r="F39" s="174">
        <v>1</v>
      </c>
      <c r="G39" s="175">
        <v>1</v>
      </c>
      <c r="H39" s="176">
        <v>32</v>
      </c>
      <c r="I39" s="120" t="str">
        <f>IF($B39=0,"",VLOOKUP($B39,Table2[],5,FALSE))</f>
        <v>ounce</v>
      </c>
      <c r="J39" s="109">
        <f>IF($B39=0,"",VLOOKUP($B39,Table2[],7,FALSE))</f>
        <v>0.1328125</v>
      </c>
      <c r="K39" s="109">
        <f t="shared" ref="K39:K57" si="2">IF(B39=0,0,ROUND(G39*H39*J39,2))</f>
        <v>4.25</v>
      </c>
      <c r="L39" s="110"/>
    </row>
    <row r="40" spans="1:12" x14ac:dyDescent="0.2">
      <c r="A40" s="105"/>
      <c r="B40" s="180" t="s">
        <v>170</v>
      </c>
      <c r="C40" s="388" t="str">
        <f>IF(B40=0,"",VLOOKUP($B40,Table2[],2,FALSE))</f>
        <v>Additive</v>
      </c>
      <c r="D40" s="388"/>
      <c r="E40" s="388"/>
      <c r="F40" s="174">
        <v>1</v>
      </c>
      <c r="G40" s="175">
        <v>1</v>
      </c>
      <c r="H40" s="176">
        <v>1.7</v>
      </c>
      <c r="I40" s="120" t="str">
        <f>IF($B40=0,"",VLOOKUP($B40,Table2[],5,FALSE))</f>
        <v>pound</v>
      </c>
      <c r="J40" s="109">
        <f>IF($B40=0,"",VLOOKUP($B40,Table2[],7,FALSE))</f>
        <v>0.4</v>
      </c>
      <c r="K40" s="109">
        <f t="shared" si="2"/>
        <v>0.68</v>
      </c>
      <c r="L40" s="110"/>
    </row>
    <row r="41" spans="1:12" x14ac:dyDescent="0.2">
      <c r="A41" s="105"/>
      <c r="B41" s="213" t="s">
        <v>211</v>
      </c>
      <c r="C41" s="387" t="str">
        <f>IF(B41=0,"",VLOOKUP($B41,Table2[],2,FALSE))</f>
        <v>Fertilizer</v>
      </c>
      <c r="D41" s="387"/>
      <c r="E41" s="387"/>
      <c r="F41" s="214">
        <v>2</v>
      </c>
      <c r="G41" s="221">
        <v>1</v>
      </c>
      <c r="H41" s="301">
        <v>215</v>
      </c>
      <c r="I41" s="223" t="str">
        <f>IF($B41=0,"",VLOOKUP($B41,Table2[],5,FALSE))</f>
        <v>lbs N</v>
      </c>
      <c r="J41" s="215">
        <f>IF($B41=0,"",VLOOKUP($B41,Table2[],7,FALSE))</f>
        <v>0.38</v>
      </c>
      <c r="K41" s="215">
        <f t="shared" si="2"/>
        <v>81.7</v>
      </c>
      <c r="L41" s="216"/>
    </row>
    <row r="42" spans="1:12" x14ac:dyDescent="0.2">
      <c r="A42" s="105"/>
      <c r="B42" s="180" t="s">
        <v>325</v>
      </c>
      <c r="C42" s="388" t="str">
        <f>IF(B42=0,"",VLOOKUP($B42,Table2[],2,FALSE))</f>
        <v>Seed</v>
      </c>
      <c r="D42" s="388"/>
      <c r="E42" s="388"/>
      <c r="F42" s="174">
        <v>3</v>
      </c>
      <c r="G42" s="175">
        <v>1</v>
      </c>
      <c r="H42" s="300">
        <v>34</v>
      </c>
      <c r="I42" s="120" t="str">
        <f>IF($B42=0,"",VLOOKUP($B42,Table2[],5,FALSE))</f>
        <v>k seed</v>
      </c>
      <c r="J42" s="109">
        <f>IF($B42=0,"",VLOOKUP($B42,Table2[],7,FALSE))</f>
        <v>4.25</v>
      </c>
      <c r="K42" s="109">
        <f t="shared" si="2"/>
        <v>144.5</v>
      </c>
      <c r="L42" s="110"/>
    </row>
    <row r="43" spans="1:12" x14ac:dyDescent="0.2">
      <c r="A43" s="105"/>
      <c r="B43" s="180" t="s">
        <v>201</v>
      </c>
      <c r="C43" s="388" t="str">
        <f>IF(B43=0,"",VLOOKUP($B43,Table2[],2,FALSE))</f>
        <v>Fertilizer</v>
      </c>
      <c r="D43" s="388"/>
      <c r="E43" s="388"/>
      <c r="F43" s="174">
        <v>3</v>
      </c>
      <c r="G43" s="175">
        <v>1</v>
      </c>
      <c r="H43" s="176">
        <v>6</v>
      </c>
      <c r="I43" s="120" t="str">
        <f>IF($B43=0,"",VLOOKUP($B43,Table2[],5,FALSE))</f>
        <v>gallon</v>
      </c>
      <c r="J43" s="109">
        <f>IF($B43=0,"",VLOOKUP($B43,Table2[],7,FALSE))</f>
        <v>3.1</v>
      </c>
      <c r="K43" s="109">
        <f t="shared" si="2"/>
        <v>18.600000000000001</v>
      </c>
      <c r="L43" s="110"/>
    </row>
    <row r="44" spans="1:12" x14ac:dyDescent="0.2">
      <c r="A44" s="105"/>
      <c r="B44" s="180" t="s">
        <v>244</v>
      </c>
      <c r="C44" s="388" t="str">
        <f>IF(B44=0,"",VLOOKUP($B44,Table2[],2,FALSE))</f>
        <v>Herbicide</v>
      </c>
      <c r="D44" s="388"/>
      <c r="E44" s="388"/>
      <c r="F44" s="174">
        <v>3</v>
      </c>
      <c r="G44" s="175">
        <v>0.4</v>
      </c>
      <c r="H44" s="176">
        <v>1.8</v>
      </c>
      <c r="I44" s="120" t="str">
        <f>IF($B44=0,"",VLOOKUP($B44,Table2[],5,FALSE))</f>
        <v>quart</v>
      </c>
      <c r="J44" s="109">
        <f>IF($B44=0,"",VLOOKUP($B44,Table2[],7,FALSE))</f>
        <v>13.25</v>
      </c>
      <c r="K44" s="109">
        <f t="shared" si="2"/>
        <v>9.5399999999999991</v>
      </c>
      <c r="L44" s="110"/>
    </row>
    <row r="45" spans="1:12" x14ac:dyDescent="0.2">
      <c r="A45" s="105"/>
      <c r="B45" s="180" t="s">
        <v>259</v>
      </c>
      <c r="C45" s="388" t="str">
        <f>IF(B45=0,"",VLOOKUP($B45,Table2[],2,FALSE))</f>
        <v>Herbicide</v>
      </c>
      <c r="D45" s="388"/>
      <c r="E45" s="388"/>
      <c r="F45" s="174">
        <v>3</v>
      </c>
      <c r="G45" s="175">
        <v>0.4</v>
      </c>
      <c r="H45" s="176">
        <v>32</v>
      </c>
      <c r="I45" s="120" t="s">
        <v>174</v>
      </c>
      <c r="J45" s="109">
        <f>IF($B45=0,"",VLOOKUP($B45,Table2[],7,FALSE))</f>
        <v>0.1328125</v>
      </c>
      <c r="K45" s="109">
        <f t="shared" si="2"/>
        <v>1.7</v>
      </c>
      <c r="L45" s="110"/>
    </row>
    <row r="46" spans="1:12" x14ac:dyDescent="0.2">
      <c r="A46" s="143"/>
      <c r="B46" s="213" t="s">
        <v>200</v>
      </c>
      <c r="C46" s="387" t="str">
        <f>IF(B46=0,"",VLOOKUP($B46,Table2[],2,FALSE))</f>
        <v>Custom</v>
      </c>
      <c r="D46" s="387"/>
      <c r="E46" s="387"/>
      <c r="F46" s="214">
        <v>6</v>
      </c>
      <c r="G46" s="221">
        <v>1</v>
      </c>
      <c r="H46" s="222">
        <v>1</v>
      </c>
      <c r="I46" s="223" t="str">
        <f>IF($B46=0,"",VLOOKUP($B46,Table2[],5,FALSE))</f>
        <v>acre</v>
      </c>
      <c r="J46" s="215">
        <f>IF($B46=0,"",VLOOKUP($B46,Table2[],7,FALSE))</f>
        <v>9</v>
      </c>
      <c r="K46" s="215">
        <f>IF(B46=0,0,ROUND(G46*H46*J46,2))</f>
        <v>9</v>
      </c>
      <c r="L46" s="216"/>
    </row>
    <row r="47" spans="1:12" x14ac:dyDescent="0.2">
      <c r="A47" s="143"/>
      <c r="B47" s="180" t="s">
        <v>262</v>
      </c>
      <c r="C47" s="388" t="str">
        <f>IF(B47=0,"",VLOOKUP($B47,Table2[],2,FALSE))</f>
        <v>Herbicide</v>
      </c>
      <c r="D47" s="388"/>
      <c r="E47" s="388"/>
      <c r="F47" s="174">
        <v>6</v>
      </c>
      <c r="G47" s="175">
        <v>1</v>
      </c>
      <c r="H47" s="176">
        <v>3</v>
      </c>
      <c r="I47" s="120" t="str">
        <f>IF($B47=0,"",VLOOKUP($B47,Table2[],5,FALSE))</f>
        <v>ounce</v>
      </c>
      <c r="J47" s="109">
        <f>IF($B47=0,"",VLOOKUP($B47,Table2[],7,FALSE))</f>
        <v>6.25</v>
      </c>
      <c r="K47" s="109">
        <f>IF(B47=0,0,ROUND(G47*H47*J47,2))</f>
        <v>18.75</v>
      </c>
      <c r="L47" s="110"/>
    </row>
    <row r="48" spans="1:12" x14ac:dyDescent="0.2">
      <c r="A48" s="143"/>
      <c r="B48" s="180" t="s">
        <v>238</v>
      </c>
      <c r="C48" s="388" t="str">
        <f>IF(B48=0,"",VLOOKUP($B48,Table2[],2,FALSE))</f>
        <v>Herbicide</v>
      </c>
      <c r="D48" s="388"/>
      <c r="E48" s="388"/>
      <c r="F48" s="174">
        <v>6</v>
      </c>
      <c r="G48" s="175">
        <v>1</v>
      </c>
      <c r="H48" s="176">
        <v>0.5</v>
      </c>
      <c r="I48" s="120" t="str">
        <f>IF($B48=0,"",VLOOKUP($B48,Table2[],5,FALSE))</f>
        <v>pound</v>
      </c>
      <c r="J48" s="109">
        <f>IF($B48=0,"",VLOOKUP($B48,Table2[],7,FALSE))</f>
        <v>4.3</v>
      </c>
      <c r="K48" s="109">
        <f t="shared" si="2"/>
        <v>2.15</v>
      </c>
      <c r="L48" s="110"/>
    </row>
    <row r="49" spans="1:12" x14ac:dyDescent="0.2">
      <c r="A49" s="143"/>
      <c r="B49" s="180" t="s">
        <v>177</v>
      </c>
      <c r="C49" s="388" t="str">
        <f>IF(B49=0,"",VLOOKUP($B49,Table2[],2,FALSE))</f>
        <v>Additive</v>
      </c>
      <c r="D49" s="388"/>
      <c r="E49" s="388"/>
      <c r="F49" s="174">
        <v>6</v>
      </c>
      <c r="G49" s="175">
        <v>1</v>
      </c>
      <c r="H49" s="176">
        <v>1</v>
      </c>
      <c r="I49" s="120" t="str">
        <f>IF($B49=0,"",VLOOKUP($B49,Table2[],5,FALSE))</f>
        <v>pint</v>
      </c>
      <c r="J49" s="109">
        <f>IF($B49=0,"",VLOOKUP($B49,Table2[],7,FALSE))</f>
        <v>1.875</v>
      </c>
      <c r="K49" s="109">
        <f t="shared" si="2"/>
        <v>1.88</v>
      </c>
      <c r="L49" s="110"/>
    </row>
    <row r="50" spans="1:12" x14ac:dyDescent="0.2">
      <c r="A50" s="143"/>
      <c r="B50" s="213" t="s">
        <v>182</v>
      </c>
      <c r="C50" s="387" t="str">
        <f>IF(B50=0,"",VLOOKUP($B50,Table2[],2,FALSE))</f>
        <v>Additive</v>
      </c>
      <c r="D50" s="387"/>
      <c r="E50" s="387"/>
      <c r="F50" s="214">
        <v>6</v>
      </c>
      <c r="G50" s="221">
        <v>1</v>
      </c>
      <c r="H50" s="222">
        <v>3</v>
      </c>
      <c r="I50" s="223" t="str">
        <f>IF($B50=0,"",VLOOKUP($B50,Table2[],5,FALSE))</f>
        <v>pint</v>
      </c>
      <c r="J50" s="215">
        <f>IF($B50=0,"",VLOOKUP($B50,Table2[],7,FALSE))</f>
        <v>0.22500000000000001</v>
      </c>
      <c r="K50" s="215">
        <f t="shared" si="2"/>
        <v>0.68</v>
      </c>
      <c r="L50" s="216"/>
    </row>
    <row r="51" spans="1:12" x14ac:dyDescent="0.2">
      <c r="A51" s="143" t="s">
        <v>638</v>
      </c>
      <c r="B51" s="180" t="s">
        <v>200</v>
      </c>
      <c r="C51" s="388" t="str">
        <f>IF(B51=0,"",VLOOKUP($B51,Table2[],2,FALSE))</f>
        <v>Custom</v>
      </c>
      <c r="D51" s="388"/>
      <c r="E51" s="388"/>
      <c r="F51" s="174">
        <v>7</v>
      </c>
      <c r="G51" s="175">
        <v>0.2</v>
      </c>
      <c r="H51" s="176">
        <v>1</v>
      </c>
      <c r="I51" s="120" t="str">
        <f>IF($B51=0,"",VLOOKUP($B51,Table2[],5,FALSE))</f>
        <v>acre</v>
      </c>
      <c r="J51" s="109">
        <f>IF($B51=0,"",VLOOKUP($B51,Table2[],7,FALSE))</f>
        <v>9</v>
      </c>
      <c r="K51" s="109">
        <f t="shared" si="2"/>
        <v>1.8</v>
      </c>
      <c r="L51" s="110"/>
    </row>
    <row r="52" spans="1:12" x14ac:dyDescent="0.2">
      <c r="A52" s="143" t="s">
        <v>638</v>
      </c>
      <c r="B52" s="180" t="s">
        <v>286</v>
      </c>
      <c r="C52" s="388" t="str">
        <f>IF(B52=0,"",VLOOKUP($B52,Table2[],2,FALSE))</f>
        <v>Insecticide</v>
      </c>
      <c r="D52" s="388"/>
      <c r="E52" s="388"/>
      <c r="F52" s="174">
        <v>7</v>
      </c>
      <c r="G52" s="175">
        <v>0.1</v>
      </c>
      <c r="H52" s="176">
        <v>5.12</v>
      </c>
      <c r="I52" s="120" t="str">
        <f>IF($B52=0,"",VLOOKUP($B52,Table2[],5,FALSE))</f>
        <v>ounce</v>
      </c>
      <c r="J52" s="109">
        <f>IF($B52=0,"",VLOOKUP($B52,Table2[],7,FALSE))</f>
        <v>1.015625</v>
      </c>
      <c r="K52" s="109">
        <f>IF(B52=0,0,ROUND(G52*H52*J52,2))</f>
        <v>0.52</v>
      </c>
      <c r="L52" s="110"/>
    </row>
    <row r="53" spans="1:12" x14ac:dyDescent="0.2">
      <c r="A53" s="143"/>
      <c r="B53" s="180" t="s">
        <v>288</v>
      </c>
      <c r="C53" s="388" t="str">
        <f>IF(B53=0,"",VLOOKUP($B53,Table2[],2,FALSE))</f>
        <v>Insecticide</v>
      </c>
      <c r="D53" s="388"/>
      <c r="E53" s="388"/>
      <c r="F53" s="174">
        <v>7</v>
      </c>
      <c r="G53" s="175">
        <v>0.2</v>
      </c>
      <c r="H53" s="176">
        <v>3</v>
      </c>
      <c r="I53" s="120" t="s">
        <v>174</v>
      </c>
      <c r="J53" s="109">
        <f>IF($B53=0,"",VLOOKUP($B53,Table2[],7,FALSE))</f>
        <v>1.25</v>
      </c>
      <c r="K53" s="109">
        <f>IF(B53=0,0,ROUND(G53*H53*J53,2))</f>
        <v>0.75</v>
      </c>
      <c r="L53" s="110"/>
    </row>
    <row r="54" spans="1:12" x14ac:dyDescent="0.2">
      <c r="A54" s="105"/>
      <c r="B54" s="180" t="s">
        <v>200</v>
      </c>
      <c r="C54" s="388" t="str">
        <f>IF(B54=0,"",VLOOKUP($B54,Table2[],2,FALSE))</f>
        <v>Custom</v>
      </c>
      <c r="D54" s="388"/>
      <c r="E54" s="388"/>
      <c r="F54" s="174">
        <v>8</v>
      </c>
      <c r="G54" s="175">
        <v>0.2</v>
      </c>
      <c r="H54" s="176">
        <v>1</v>
      </c>
      <c r="I54" s="120" t="str">
        <f>IF($B54=0,"",VLOOKUP($B54,Table2[],5,FALSE))</f>
        <v>acre</v>
      </c>
      <c r="J54" s="109">
        <f>IF($B54=0,"",VLOOKUP($B54,Table2[],7,FALSE))</f>
        <v>9</v>
      </c>
      <c r="K54" s="109">
        <f t="shared" si="2"/>
        <v>1.8</v>
      </c>
      <c r="L54" s="110"/>
    </row>
    <row r="55" spans="1:12" x14ac:dyDescent="0.2">
      <c r="B55" s="213" t="s">
        <v>217</v>
      </c>
      <c r="C55" s="387" t="str">
        <f>IF(B55=0,"",VLOOKUP($B55,Table2[],2,FALSE))</f>
        <v>Fungicide</v>
      </c>
      <c r="D55" s="387"/>
      <c r="E55" s="387"/>
      <c r="F55" s="214">
        <v>8</v>
      </c>
      <c r="G55" s="221">
        <v>0.2</v>
      </c>
      <c r="H55" s="222">
        <v>10</v>
      </c>
      <c r="I55" s="223" t="str">
        <f>IF($B55=0,"",VLOOKUP($B55,Table2[],5,FALSE))</f>
        <v>ounce</v>
      </c>
      <c r="J55" s="215">
        <f>IF($B55=0,"",VLOOKUP($B55,Table2[],7,FALSE))</f>
        <v>2.03125</v>
      </c>
      <c r="K55" s="215">
        <f t="shared" si="2"/>
        <v>4.0599999999999996</v>
      </c>
      <c r="L55" s="216"/>
    </row>
    <row r="56" spans="1:12" x14ac:dyDescent="0.2">
      <c r="B56" s="180" t="s">
        <v>198</v>
      </c>
      <c r="C56" s="388" t="str">
        <f>IF(B56=0,"",VLOOKUP($B56,Table2[],2,FALSE))</f>
        <v>Custom</v>
      </c>
      <c r="D56" s="388"/>
      <c r="E56" s="388"/>
      <c r="F56" s="174">
        <v>12</v>
      </c>
      <c r="G56" s="175">
        <v>1</v>
      </c>
      <c r="H56" s="176">
        <f>$G$4</f>
        <v>245</v>
      </c>
      <c r="I56" s="120" t="str">
        <f>IF($B56=0,"",VLOOKUP($B56,Table2[],5,FALSE))</f>
        <v>bushel</v>
      </c>
      <c r="J56" s="109">
        <f>IF($B56=0,"",VLOOKUP($B56,Table2[],7,FALSE))</f>
        <v>0.15</v>
      </c>
      <c r="K56" s="109">
        <f t="shared" si="2"/>
        <v>36.75</v>
      </c>
      <c r="L56" s="110"/>
    </row>
    <row r="57" spans="1:12" x14ac:dyDescent="0.2">
      <c r="B57" s="180" t="s">
        <v>190</v>
      </c>
      <c r="C57" s="388" t="str">
        <f>IF(B57=0,"",VLOOKUP($B57,Table2[],2,FALSE))</f>
        <v>Custom</v>
      </c>
      <c r="D57" s="388"/>
      <c r="E57" s="388"/>
      <c r="F57" s="174">
        <v>13</v>
      </c>
      <c r="G57" s="175">
        <v>0.2</v>
      </c>
      <c r="H57" s="176">
        <f>$G$4</f>
        <v>245</v>
      </c>
      <c r="I57" s="120" t="str">
        <f>IF($B57=0,"",VLOOKUP($B57,Table2[],5,FALSE))</f>
        <v>bushel</v>
      </c>
      <c r="J57" s="109">
        <f>IF($B57=0,"",VLOOKUP($B57,Table2[],7,FALSE))</f>
        <v>0.1</v>
      </c>
      <c r="K57" s="109">
        <f t="shared" si="2"/>
        <v>4.9000000000000004</v>
      </c>
      <c r="L57" s="113"/>
    </row>
    <row r="58" spans="1:12" x14ac:dyDescent="0.2">
      <c r="B58" s="217" t="s">
        <v>313</v>
      </c>
      <c r="C58" s="387" t="str">
        <f>IF(B58=0,"",VLOOKUP($B58,Table2[],2,FALSE))</f>
        <v>Scouting</v>
      </c>
      <c r="D58" s="387"/>
      <c r="E58" s="387"/>
      <c r="F58" s="218"/>
      <c r="G58" s="221">
        <v>1</v>
      </c>
      <c r="H58" s="225">
        <v>1</v>
      </c>
      <c r="I58" s="223" t="str">
        <f>IF($B58=0,"",VLOOKUP($B58,Table2[],5,FALSE))</f>
        <v>acre</v>
      </c>
      <c r="J58" s="215">
        <f>IF($B58=0,"",VLOOKUP($B58,Table2[],7,FALSE))</f>
        <v>13</v>
      </c>
      <c r="K58" s="215">
        <f>IF(B58=0,0,ROUND(G58*H58*J58,2))</f>
        <v>13</v>
      </c>
      <c r="L58" s="227"/>
    </row>
    <row r="59" spans="1:12" hidden="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113"/>
    </row>
    <row r="60" spans="1:12" hidden="1" x14ac:dyDescent="0.2">
      <c r="B60" s="111"/>
      <c r="C60" s="388" t="str">
        <f>IF(B60=0,"",VLOOKUP($B60,Table2[],2,FALSE))</f>
        <v/>
      </c>
      <c r="D60" s="388"/>
      <c r="E60" s="388"/>
      <c r="F60" s="112"/>
      <c r="G60" s="175"/>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5"/>
      <c r="H61" s="178"/>
      <c r="I61" s="120" t="str">
        <f>IF($B61=0,"",VLOOKUP($B61,Table2[],5,FALSE))</f>
        <v/>
      </c>
      <c r="J61" s="109" t="str">
        <f>IF($B61=0,"",VLOOKUP($B61,Table2[],7,FALSE))</f>
        <v/>
      </c>
      <c r="K61" s="109">
        <f>IF(B61=0,0,ROUND(G61*H61*J61,2))</f>
        <v>0</v>
      </c>
      <c r="L61" s="113"/>
    </row>
    <row r="62" spans="1: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215">
        <f>IF(B62=0,0,ROUND(G62*H62*J62,2))</f>
        <v>0</v>
      </c>
      <c r="L62" s="227"/>
    </row>
    <row r="63" spans="1:12" x14ac:dyDescent="0.2">
      <c r="B63" s="185" t="s">
        <v>430</v>
      </c>
      <c r="C63" s="388" t="s">
        <v>655</v>
      </c>
      <c r="D63" s="388"/>
      <c r="E63" s="388"/>
      <c r="F63" s="112"/>
      <c r="G63" s="177"/>
      <c r="H63" s="178"/>
      <c r="I63" s="170"/>
      <c r="J63" s="109">
        <f ca="1">IF(F5=0,E5,F5)</f>
        <v>5</v>
      </c>
      <c r="K63" s="109">
        <f ca="1">IF(B63=0,0,J63)</f>
        <v>5</v>
      </c>
      <c r="L63" s="113"/>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E65" s="161"/>
      <c r="F65" s="105"/>
      <c r="J65" s="126"/>
      <c r="K65" s="127">
        <f ca="1">SUM(K38:K63)</f>
        <v>364.50999999999993</v>
      </c>
      <c r="L65" s="110"/>
    </row>
    <row r="66" spans="2:12" x14ac:dyDescent="0.2">
      <c r="B66" s="144" t="s">
        <v>715</v>
      </c>
      <c r="K66" s="127"/>
    </row>
    <row r="67" spans="2:12" x14ac:dyDescent="0.2">
      <c r="B67" s="107" t="s">
        <v>672</v>
      </c>
      <c r="K67" s="127">
        <f ca="1">K34+K65</f>
        <v>669.06</v>
      </c>
      <c r="L67" s="110"/>
    </row>
    <row r="68" spans="2:12" ht="13.5" thickBot="1" x14ac:dyDescent="0.25">
      <c r="D68" s="128" t="s">
        <v>673</v>
      </c>
      <c r="E68" s="129">
        <f ca="1">ROUND(SUM($E$34:$H$34)+$K$65,2)</f>
        <v>556.24</v>
      </c>
      <c r="F68" s="388" t="s">
        <v>674</v>
      </c>
      <c r="G68" s="388"/>
      <c r="H68" s="130">
        <f>'General Variables'!$B$11</f>
        <v>7.4999999999999997E-2</v>
      </c>
      <c r="I68" s="131" t="str">
        <f>CONCATENATE("for ",TEXT('General Variables'!$B$12,"0.0")," mo.")</f>
        <v>for 6.0 mo.</v>
      </c>
      <c r="K68" s="132">
        <f ca="1">E68*H68*'General Variables'!$B$12/12</f>
        <v>20.858999999999998</v>
      </c>
      <c r="L68" s="133"/>
    </row>
    <row r="69" spans="2:12" ht="13.5" thickTop="1" x14ac:dyDescent="0.2">
      <c r="B69" s="107" t="s">
        <v>675</v>
      </c>
      <c r="K69" s="127">
        <f ca="1">SUM(K67:K68)</f>
        <v>689.91899999999998</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34</v>
      </c>
      <c r="D72" s="399"/>
      <c r="E72" s="400"/>
      <c r="F72" s="136">
        <f>IF(C72=0,0,VLOOKUP(C72,RETable,2,FALSE))</f>
        <v>8145</v>
      </c>
      <c r="G72" s="388" t="s">
        <v>678</v>
      </c>
      <c r="H72" s="388"/>
      <c r="I72" s="130">
        <f>'General Variables'!$B$10</f>
        <v>0.03</v>
      </c>
      <c r="K72" s="137">
        <f>ROUND(F72*I72,2)</f>
        <v>244.35</v>
      </c>
      <c r="L72" s="110"/>
    </row>
    <row r="73" spans="2:12" ht="13.5" thickBot="1" x14ac:dyDescent="0.25">
      <c r="B73" s="103" t="s">
        <v>679</v>
      </c>
      <c r="F73" s="138">
        <f>IF(C72=0,0,VLOOKUP(C72,RETable,2,FALSE))</f>
        <v>8145</v>
      </c>
      <c r="G73" s="397" t="s">
        <v>678</v>
      </c>
      <c r="H73" s="397"/>
      <c r="I73" s="139">
        <f>'General Variables'!$B$13</f>
        <v>1.2999999999999999E-2</v>
      </c>
      <c r="J73" s="105"/>
      <c r="K73" s="140">
        <f>ROUND(F73*I73,2)</f>
        <v>105.89</v>
      </c>
      <c r="L73" s="133"/>
    </row>
    <row r="74" spans="2:12" ht="13.5" thickTop="1" x14ac:dyDescent="0.2">
      <c r="B74" s="107" t="s">
        <v>680</v>
      </c>
      <c r="K74" s="127">
        <f ca="1">SUM(K69:K73)</f>
        <v>1075.1590000000001</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2.9305673469387759</v>
      </c>
      <c r="L76" s="148"/>
    </row>
    <row r="77" spans="2:12" x14ac:dyDescent="0.2">
      <c r="B77" s="107" t="str">
        <f>IF(G4="","","Cost of production per "&amp;H4)</f>
        <v>Cost of production per bushel</v>
      </c>
      <c r="K77" s="141">
        <f ca="1">IF(G4="","",K74/G4)</f>
        <v>4.3884040816326531</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03" t="s">
        <v>681</v>
      </c>
    </row>
    <row r="115" spans="2:11" x14ac:dyDescent="0.2">
      <c r="B115" s="105"/>
      <c r="C115" s="105"/>
      <c r="D115" s="105"/>
      <c r="H115" s="103" t="e">
        <f>'General Variables'!#REF!</f>
        <v>#REF!</v>
      </c>
      <c r="K115" s="103"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9">
    <mergeCell ref="L36:L37"/>
    <mergeCell ref="F68:G68"/>
    <mergeCell ref="I10:J10"/>
    <mergeCell ref="H36:I36"/>
    <mergeCell ref="G36:G37"/>
    <mergeCell ref="F36:F37"/>
    <mergeCell ref="J36:J37"/>
    <mergeCell ref="C72:E72"/>
    <mergeCell ref="G72:H72"/>
    <mergeCell ref="C55:E55"/>
    <mergeCell ref="C38:E38"/>
    <mergeCell ref="C39:E39"/>
    <mergeCell ref="C40:E40"/>
    <mergeCell ref="C41:E41"/>
    <mergeCell ref="C58:E58"/>
    <mergeCell ref="C59:E59"/>
    <mergeCell ref="C60:E60"/>
    <mergeCell ref="C61:E61"/>
    <mergeCell ref="C62:E62"/>
    <mergeCell ref="C45:E45"/>
    <mergeCell ref="G73:H73"/>
    <mergeCell ref="C48:E48"/>
    <mergeCell ref="C46:E46"/>
    <mergeCell ref="C47:E47"/>
    <mergeCell ref="C42:E42"/>
    <mergeCell ref="C43:E43"/>
    <mergeCell ref="C44:E44"/>
    <mergeCell ref="C56:E56"/>
    <mergeCell ref="C57:E57"/>
    <mergeCell ref="C63:E63"/>
    <mergeCell ref="C49:E49"/>
    <mergeCell ref="C50:E50"/>
    <mergeCell ref="C51:E51"/>
    <mergeCell ref="C52:E52"/>
    <mergeCell ref="C54:E54"/>
    <mergeCell ref="C53:E53"/>
    <mergeCell ref="B10:B11"/>
    <mergeCell ref="C10:C11"/>
    <mergeCell ref="E10:E11"/>
    <mergeCell ref="F10:F11"/>
    <mergeCell ref="K2:L2"/>
    <mergeCell ref="G2:H2"/>
    <mergeCell ref="C4:E4"/>
    <mergeCell ref="B7:L7"/>
    <mergeCell ref="C3:E3"/>
    <mergeCell ref="A6:M6"/>
    <mergeCell ref="K10:K11"/>
    <mergeCell ref="G10:H10"/>
    <mergeCell ref="L10:L11"/>
  </mergeCells>
  <dataValidations count="9">
    <dataValidation type="list" allowBlank="1" showInputMessage="1" showErrorMessage="1" sqref="B33" xr:uid="{00000000-0002-0000-2000-000000000000}">
      <formula1>$B$113:$B$210</formula1>
    </dataValidation>
    <dataValidation type="list" showInputMessage="1" showErrorMessage="1" sqref="B64" xr:uid="{00000000-0002-0000-2000-000001000000}">
      <formula1>$C$113:$C$236</formula1>
    </dataValidation>
    <dataValidation type="list" allowBlank="1" showInputMessage="1" showErrorMessage="1" sqref="K4" xr:uid="{00000000-0002-0000-2000-000002000000}">
      <formula1>$K$113:$K$115</formula1>
    </dataValidation>
    <dataValidation type="list" allowBlank="1" showInputMessage="1" showErrorMessage="1" sqref="C72:E72" xr:uid="{00000000-0002-0000-2000-000004000000}">
      <formula1>RealEstateList</formula1>
    </dataValidation>
    <dataValidation type="list" allowBlank="1" showInputMessage="1" showErrorMessage="1" sqref="B12:B32" xr:uid="{00000000-0002-0000-2000-000005000000}">
      <formula1>OperationList</formula1>
    </dataValidation>
    <dataValidation type="list" allowBlank="1" showInputMessage="1" showErrorMessage="1" sqref="D12:D33" xr:uid="{00000000-0002-0000-2000-000006000000}">
      <formula1>#REF!</formula1>
    </dataValidation>
    <dataValidation type="list" allowBlank="1" showInputMessage="1" showErrorMessage="1" sqref="K2" xr:uid="{00000000-0002-0000-2000-000007000000}">
      <formula1>watersource</formula1>
    </dataValidation>
    <dataValidation type="list" allowBlank="1" showInputMessage="1" showErrorMessage="1" sqref="C3" xr:uid="{00000000-0002-0000-2000-000008000000}">
      <formula1>TillageSystem</formula1>
    </dataValidation>
    <dataValidation type="list" allowBlank="1" showInputMessage="1" showErrorMessage="1" sqref="B38:B62" xr:uid="{00000000-0002-0000-2000-000003000000}">
      <formula1>MaterialList</formula1>
    </dataValidation>
  </dataValidations>
  <pageMargins left="0.7" right="0.7" top="0.75" bottom="0.75" header="0.3" footer="0.3"/>
  <pageSetup scale="71" orientation="portrait" r:id="rId1"/>
  <ignoredErrors>
    <ignoredError sqref="E21"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5">
    <pageSetUpPr fitToPage="1"/>
  </sheetPr>
  <dimension ref="A2:M258"/>
  <sheetViews>
    <sheetView zoomScaleNormal="100" workbookViewId="0">
      <selection activeCell="G52" sqref="G5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720</v>
      </c>
      <c r="H2" s="392"/>
      <c r="J2" s="128" t="s">
        <v>649</v>
      </c>
      <c r="K2" s="401" t="s">
        <v>71</v>
      </c>
      <c r="L2" s="401"/>
    </row>
    <row r="3" spans="1:13" hidden="1" x14ac:dyDescent="0.2">
      <c r="B3" s="103" t="s">
        <v>38</v>
      </c>
      <c r="C3" s="391" t="s">
        <v>50</v>
      </c>
      <c r="D3" s="391"/>
      <c r="E3" s="391"/>
      <c r="G3" s="128" t="s">
        <v>650</v>
      </c>
      <c r="H3" s="187" t="s">
        <v>729</v>
      </c>
      <c r="J3" s="128" t="s">
        <v>651</v>
      </c>
      <c r="K3" s="187">
        <v>18</v>
      </c>
    </row>
    <row r="4" spans="1:13" hidden="1" x14ac:dyDescent="0.2">
      <c r="B4" s="103" t="s">
        <v>652</v>
      </c>
      <c r="C4" s="392" t="s">
        <v>722</v>
      </c>
      <c r="D4" s="392"/>
      <c r="E4" s="392"/>
      <c r="G4" s="103">
        <f>IFERROR(VALUE(LEFT($H$3,FIND(" ",$H$3))),"")</f>
        <v>255</v>
      </c>
      <c r="H4" s="103" t="str">
        <f>IFERROR(RIGHT(H3,LEN(H3)-LEN(G4)-1),"")</f>
        <v>bushel</v>
      </c>
      <c r="J4" s="128" t="s">
        <v>653</v>
      </c>
      <c r="K4" s="188" t="s">
        <v>681</v>
      </c>
    </row>
    <row r="5" spans="1:13" ht="15.75" hidden="1" customHeight="1" x14ac:dyDescent="0.2">
      <c r="B5" s="103" t="s">
        <v>655</v>
      </c>
      <c r="C5" s="103" t="str">
        <f ca="1">MID(CELL("filename",C5),FIND("]",CELL("filename",C5))+1,255)</f>
        <v>27-Corn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27-Corn, Bt, ECB, &amp; RIB, Ridge Till, after Beans, 255 bushel Yield, Gravity Irrigated Diesel, fed by a well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27-Corn, Bt, ECB, &amp; RIB, Ridge Till, after Beans, 255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Diesel, fed by a well, 18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2" si="0">IF(C13&gt;9999,"",ROUND(SUM(E13:J13),2))</f>
        <v>14.98</v>
      </c>
      <c r="L13" s="110"/>
    </row>
    <row r="14" spans="1:13" x14ac:dyDescent="0.2">
      <c r="A14" s="170">
        <v>3</v>
      </c>
      <c r="B14" s="180" t="s">
        <v>536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1.0900000000000001</v>
      </c>
      <c r="G14" s="109">
        <f>IF(B14=0,0,IF(C14&gt;9999,"",ROUND(VLOOKUP(VLOOKUP(B14,Operations!$A$2:$U$79,11,FALSE),PowerUnits[],10,FALSE)/VLOOKUP(B14,Operations!$A$2:$U$79,9,FALSE)*C14,2)))</f>
        <v>0.34</v>
      </c>
      <c r="H14" s="109">
        <f>IF(B14=0,"",IF(C14&gt;9999,"",ROUND(VLOOKUP($B14,Operations!$A$2:$U$79,15,FALSE)*C14,2)))</f>
        <v>5.7</v>
      </c>
      <c r="I14" s="109">
        <f>IF(B14=0,0,IF(C14&gt;9999,"",ROUND(VLOOKUP(VLOOKUP(B14,Operations!$A$2:$U$79,11,FALSE),PowerUnits[],16,FALSE)/VLOOKUP(B14,Operations!$A$2:$U$79,9,FALSE)*C14,2)))</f>
        <v>9.23</v>
      </c>
      <c r="J14" s="109">
        <f>IF(B14=0,"",IF(C14&gt;9999,"",ROUND(VLOOKUP($B14,Operations!$A$2:$U$79,21,FALSE)*$C14,2)))</f>
        <v>5.64</v>
      </c>
      <c r="K14" s="109">
        <f t="shared" si="0"/>
        <v>25.24</v>
      </c>
      <c r="L14" s="110"/>
    </row>
    <row r="15" spans="1:13" x14ac:dyDescent="0.2">
      <c r="A15" s="170">
        <v>4</v>
      </c>
      <c r="B15" s="213" t="s">
        <v>545</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1.02</v>
      </c>
      <c r="G15" s="215">
        <f>IF(B15=0,0,IF(C15&gt;9999,"",ROUND(VLOOKUP(VLOOKUP(B15,Operations!$A$2:$U$79,11,FALSE),PowerUnits[],10,FALSE)/VLOOKUP(B15,Operations!$A$2:$U$79,9,FALSE)*C15,2)))</f>
        <v>0.08</v>
      </c>
      <c r="H15" s="215">
        <f>IF(B15=0,"",IF(C15&gt;9999,"",ROUND(VLOOKUP($B15,Operations!$A$2:$U$79,15,FALSE)*C15,2)))</f>
        <v>1.4</v>
      </c>
      <c r="I15" s="215">
        <f>IF(B15=0,0,IF(C15&gt;9999,"",ROUND(VLOOKUP(VLOOKUP(B15,Operations!$A$2:$U$79,11,FALSE),PowerUnits[],16,FALSE)/VLOOKUP(B15,Operations!$A$2:$U$79,9,FALSE)*C15,2)))</f>
        <v>3.93</v>
      </c>
      <c r="J15" s="215">
        <f>IF(B15=0,"",IF(C15&gt;9999,"",ROUND(VLOOKUP($B15,Operations!$A$2:$U$79,21,FALSE)*$C15,2)))</f>
        <v>3.2</v>
      </c>
      <c r="K15" s="215">
        <f t="shared" si="0"/>
        <v>12.33</v>
      </c>
      <c r="L15" s="216"/>
    </row>
    <row r="16" spans="1:13" x14ac:dyDescent="0.2">
      <c r="A16" s="170">
        <v>5</v>
      </c>
      <c r="B16" s="180" t="s">
        <v>533</v>
      </c>
      <c r="C16" s="174">
        <v>1</v>
      </c>
      <c r="D16" s="174"/>
      <c r="E16" s="109">
        <f>IF(B16=0,"",IF(C16&gt;9999,"",ROUND('General Variables'!$B$4*VLOOKUP(B16,Operations!$A$2:$U$79,10,FALSE)/VLOOKUP(B16,Operations!$A$2:$U$79,9,FALSE)*C16,2)))</f>
        <v>2.97</v>
      </c>
      <c r="F16" s="109">
        <f>IF(B16=0,0,IF(C16&gt;9999,"",ROUND(IF(VLOOKUP(B16,Operations!$A$2:$U$79,12,FALSE)=0,VLOOKUP(B16,Operations!$A$2:$U$79,13,FALSE)*'General Variables'!$B$8,VLOOKUP(B16,Operations!$A$2:$U$79,12,FALSE)*'General Variables'!$B$7)/VLOOKUP(B16,Operations!$A$2:$U$79,9,FALSE)*C16,2)))</f>
        <v>1.7</v>
      </c>
      <c r="G16" s="109">
        <f>IF(B16=0,0,IF(C16&gt;9999,"",ROUND(VLOOKUP(VLOOKUP(B16,Operations!$A$2:$U$79,11,FALSE),PowerUnits[],10,FALSE)/VLOOKUP(B16,Operations!$A$2:$U$79,9,FALSE)*C16,2)))</f>
        <v>0.34</v>
      </c>
      <c r="H16" s="109">
        <f>IF(B16=0,"",IF(C16&gt;9999,"",ROUND(VLOOKUP($B16,Operations!$A$2:$U$79,15,FALSE)*C16,2)))</f>
        <v>1.87</v>
      </c>
      <c r="I16" s="109">
        <f>IF(B16=0,0,IF(C16&gt;9999,"",ROUND(VLOOKUP(VLOOKUP(B16,Operations!$A$2:$U$79,11,FALSE),PowerUnits[],16,FALSE)/VLOOKUP(B16,Operations!$A$2:$U$79,9,FALSE)*C16,2)))</f>
        <v>9.23</v>
      </c>
      <c r="J16" s="109">
        <f>IF(B16=0,"",IF(C16&gt;9999,"",ROUND(VLOOKUP($B16,Operations!$A$2:$U$79,21,FALSE)*$C16,2)))</f>
        <v>5.18</v>
      </c>
      <c r="K16" s="109">
        <f t="shared" si="0"/>
        <v>21.29</v>
      </c>
      <c r="L16" s="110"/>
    </row>
    <row r="17" spans="1:12" x14ac:dyDescent="0.2">
      <c r="A17" s="170">
        <v>6</v>
      </c>
      <c r="B17" s="180" t="s">
        <v>551</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552</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890</v>
      </c>
      <c r="C19" s="214" t="s">
        <v>184</v>
      </c>
      <c r="D19" s="214"/>
      <c r="E19" s="215"/>
      <c r="F19" s="215"/>
      <c r="G19" s="215"/>
      <c r="H19" s="215"/>
      <c r="I19" s="215"/>
      <c r="J19" s="215"/>
      <c r="K19" s="215"/>
      <c r="L19" s="216"/>
    </row>
    <row r="20" spans="1:12" x14ac:dyDescent="0.2">
      <c r="A20" s="170">
        <v>9</v>
      </c>
      <c r="B20" s="180" t="s">
        <v>521</v>
      </c>
      <c r="C20" s="174">
        <f>$K$3</f>
        <v>18</v>
      </c>
      <c r="D20" s="174" t="s">
        <v>693</v>
      </c>
      <c r="E20" s="109">
        <f>IF(B20=0,"",IF(C20&gt;9999,"",ROUND('General Variables'!$B$4*VLOOKUP(B20,Operations!$A$2:$U$79,10,FALSE)/VLOOKUP(B20,Operations!$A$2:$U$79,9,FALSE)*C20,2)))</f>
        <v>45</v>
      </c>
      <c r="F20" s="109">
        <f>IF(B20=0,0,IF(C20&gt;9999,"",ROUND(IF(VLOOKUP(B20,Operations!$A$2:$U$79,12,FALSE)=0,VLOOKUP(B20,Operations!$A$2:$U$79,13,FALSE)*'General Variables'!$B$8,VLOOKUP(B20,Operations!$A$2:$U$79,12,FALSE)*'General Variables'!$B$7)/VLOOKUP(B20,Operations!$A$2:$U$79,9,FALSE)*C20,2)))</f>
        <v>77.5</v>
      </c>
      <c r="G20" s="109">
        <f>IF(B20=0,0,IF(C20&gt;9999,"",ROUND(VLOOKUP(VLOOKUP(B20,Operations!$A$2:$U$79,11,FALSE),PowerUnits[],10,FALSE)/VLOOKUP(B20,Operations!$A$2:$U$79,9,FALSE)*C20,2)))</f>
        <v>6.9</v>
      </c>
      <c r="H20" s="109">
        <f>IF(B20=0,"",IF(C20&gt;9999,"",ROUND(VLOOKUP($B20,Operations!$A$2:$U$79,15,FALSE)*C20,2)))</f>
        <v>2.64</v>
      </c>
      <c r="I20" s="109">
        <f>IF(B20=0,0,IF(C20&gt;9999,"",ROUND(VLOOKUP(VLOOKUP(B20,Operations!$A$2:$U$79,11,FALSE),PowerUnits[],16,FALSE)/VLOOKUP(B20,Operations!$A$2:$U$79,9,FALSE)*C20,2)))</f>
        <v>15.46</v>
      </c>
      <c r="J20" s="109">
        <f>IF(B20=0,"",IF(C20&gt;9999,"",ROUND(VLOOKUP($B20,Operations!$A$2:$U$79,21,FALSE)*$C20,2)))</f>
        <v>4.29</v>
      </c>
      <c r="K20" s="109">
        <f>IF(C20&gt;9999,"",ROUND(SUM(E20:J20),2))</f>
        <v>151.79</v>
      </c>
      <c r="L20" s="110"/>
    </row>
    <row r="21" spans="1:12" x14ac:dyDescent="0.2">
      <c r="A21" s="170">
        <v>10</v>
      </c>
      <c r="B21" s="180" t="s">
        <v>944</v>
      </c>
      <c r="C21" s="174">
        <v>225</v>
      </c>
      <c r="D21" s="112"/>
      <c r="E21" s="109">
        <f>IF(B21=0,"",IF(C21&gt;9999,"",ROUND('General Variables'!$B$4*VLOOKUP(B21,Operations!$A$2:$U$79,10,FALSE)/VLOOKUP(B21,Operations!$A$2:$U$79,9,FALSE)*C21,2))/100)</f>
        <v>5.3891</v>
      </c>
      <c r="F21" s="109">
        <f>IF(B21=0,0,IF(C21&gt;9999,"",ROUND(IF(VLOOKUP(B21,Operations!$A$2:$U$79,12,FALSE)=0,VLOOKUP(B21,Operations!$A$2:$U$79,13,FALSE)*'General Variables'!$B$8,VLOOKUP(B21,Operations!$A$2:$U$79,12,FALSE)*'General Variables'!$B$7)/VLOOKUP(B21,Operations!$A$2:$U$79,9,FALSE)*C21,2))/100)</f>
        <v>6.0911</v>
      </c>
      <c r="G21" s="109">
        <f>IF(B21=0,0,IF(C21&gt;9999,"",ROUND(VLOOKUP(VLOOKUP(B21,Operations!$A$2:$U$79,11,FALSE),PowerUnits[],10,FALSE)/VLOOKUP(B21,Operations!$A$2:$U$79,9,FALSE)*C21,2))/100)</f>
        <v>9.3643999999999998</v>
      </c>
      <c r="H21" s="109">
        <f>IF(B21=0,"",IF(C21&gt;9999,"",ROUND(VLOOKUP($B21,Operations!$A$2:$U$79,15,FALSE)*C21,2))/100)</f>
        <v>2.4174000000000002</v>
      </c>
      <c r="I21" s="109">
        <f>IF(B21=0,0,IF(C21&gt;9999,"",ROUND(VLOOKUP(VLOOKUP(B21,Operations!$A$2:$U$79,11,FALSE),PowerUnits[],16,FALSE)/VLOOKUP(B21,Operations!$A$2:$U$79,9,FALSE)*C21,2))/100)</f>
        <v>22.5518</v>
      </c>
      <c r="J21" s="109">
        <f>IF(B21=0,"",IF(C21&gt;9999,"",ROUND(VLOOKUP($B21,Operations!$A$2:$U$79,21,FALSE)*$C21,2))/100)</f>
        <v>10.0312</v>
      </c>
      <c r="K21" s="109">
        <f>IF(C21&gt;9999,"",ROUND(SUM(E21:J21),2))</f>
        <v>55.85</v>
      </c>
      <c r="L21" s="110"/>
    </row>
    <row r="22" spans="1:12" x14ac:dyDescent="0.2">
      <c r="A22" s="170">
        <v>11</v>
      </c>
      <c r="B22" s="180" t="s">
        <v>414</v>
      </c>
      <c r="C22" s="174">
        <f>$G$4</f>
        <v>255</v>
      </c>
      <c r="D22" s="112" t="s">
        <v>706</v>
      </c>
      <c r="E22" s="109">
        <f>IF(B22=0,"",IF(C22&gt;9999,"",ROUND('General Variables'!$B$4*VLOOKUP(B22,Operations!$A$2:$U$79,10,FALSE)/VLOOKUP(B22,Operations!$A$2:$U$79,9,FALSE)*C22,2)))</f>
        <v>2.2999999999999998</v>
      </c>
      <c r="F22" s="109">
        <f>IF(B22=0,0,IF(C22&gt;9999,"",ROUND(IF(VLOOKUP(B22,Operations!$A$2:$U$79,12,FALSE)=0,VLOOKUP(B22,Operations!$A$2:$U$79,13,FALSE)*'General Variables'!$B$8,VLOOKUP(B22,Operations!$A$2:$U$79,12,FALSE)*'General Variables'!$B$7)/VLOOKUP(B22,Operations!$A$2:$U$79,9,FALSE)*C22,2)))</f>
        <v>0.74</v>
      </c>
      <c r="G22" s="109">
        <f>IF(B22=0,0,IF(C22&gt;9999,"",ROUND(VLOOKUP(VLOOKUP(B22,Operations!$A$2:$U$79,11,FALSE),PowerUnits[],10,FALSE)/VLOOKUP(B22,Operations!$A$2:$U$79,9,FALSE)*C22,2)))</f>
        <v>0.06</v>
      </c>
      <c r="H22" s="109">
        <f>IF(B22=0,"",IF(C22&gt;9999,"",ROUND(VLOOKUP($B22,Operations!$A$2:$U$79,15,FALSE)*C22,2)))</f>
        <v>1.41</v>
      </c>
      <c r="I22" s="109">
        <f>IF(B22=0,0,IF(C22&gt;9999,"",ROUND(VLOOKUP(VLOOKUP(B22,Operations!$A$2:$U$79,11,FALSE),PowerUnits[],16,FALSE)/VLOOKUP(B22,Operations!$A$2:$U$79,9,FALSE)*C22,2)))</f>
        <v>3.34</v>
      </c>
      <c r="J22" s="109">
        <f>IF(B22=0,"",IF(C22&gt;9999,"",ROUND(VLOOKUP($B22,Operations!$A$2:$U$79,21,FALSE)*$C22,2)))</f>
        <v>2.82</v>
      </c>
      <c r="K22" s="109">
        <f>IF(C22&gt;9999,"",ROUND(SUM(E22:J22),2))</f>
        <v>10.67</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x14ac:dyDescent="0.2">
      <c r="A24" s="170">
        <v>13</v>
      </c>
      <c r="B24" s="180" t="s">
        <v>496</v>
      </c>
      <c r="C24" s="174" t="s">
        <v>184</v>
      </c>
      <c r="D24" s="112"/>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110"/>
    </row>
    <row r="25" spans="1:12" hidden="1" x14ac:dyDescent="0.2">
      <c r="A25" s="170">
        <v>12</v>
      </c>
      <c r="B25" s="180"/>
      <c r="C25" s="290"/>
      <c r="D25" s="291"/>
      <c r="E25" s="292" t="str">
        <f>IF(B25=0,"",IF(C25&gt;9999,"",ROUND('General Variables'!$B$4*VLOOKUP(B25,Operations!$A$2:$U$79,10,FALSE)/VLOOKUP(B25,Operations!$A$2:$U$79,9,FALSE)*C25,2)))</f>
        <v/>
      </c>
      <c r="F25" s="292">
        <f>IF(B25=0,0,IF(C25&gt;9999,"",ROUND(IF(VLOOKUP(B25,Operations!$A$2:$U$79,12,FALSE)=0,VLOOKUP(B25,Operations!$A$2:$U$79,13,FALSE)*'General Variables'!$B$8,VLOOKUP(B25,Operations!$A$2:$U$79,12,FALSE)*'General Variables'!$B$7)/VLOOKUP(B25,Operations!$A$2:$U$79,9,FALSE)*C25,2)))</f>
        <v>0</v>
      </c>
      <c r="G25" s="292">
        <f>IF(B25=0,0,IF(C25&gt;9999,"",ROUND(VLOOKUP(VLOOKUP(B25,Operations!$A$2:$U$79,11,FALSE),PowerUnits[],10,FALSE)/VLOOKUP(B25,Operations!$A$2:$U$79,9,FALSE)*C25,2)))</f>
        <v>0</v>
      </c>
      <c r="H25" s="292" t="str">
        <f>IF(B25=0,"",IF(C25&gt;9999,"",ROUND(VLOOKUP($B25,Operations!$A$2:$U$79,15,FALSE)*C25,2)))</f>
        <v/>
      </c>
      <c r="I25" s="292">
        <f>IF(B25=0,0,IF(C25&gt;9999,"",ROUND(VLOOKUP(VLOOKUP(B25,Operations!$A$2:$U$79,11,FALSE),PowerUnits[],16,FALSE)/VLOOKUP(B25,Operations!$A$2:$U$79,9,FALSE)*C25,2)))</f>
        <v>0</v>
      </c>
      <c r="J25" s="292" t="str">
        <f>IF(B25=0,"",IF(C25&gt;9999,"",ROUND(VLOOKUP($B25,Operations!$A$2:$U$79,21,FALSE)*$C25,2)))</f>
        <v/>
      </c>
      <c r="K25" s="292">
        <f t="shared" si="0"/>
        <v>0</v>
      </c>
      <c r="L25" s="110"/>
    </row>
    <row r="26" spans="1:12" hidden="1" x14ac:dyDescent="0.2">
      <c r="A26" s="170">
        <v>13</v>
      </c>
      <c r="B26" s="180"/>
      <c r="C26" s="285"/>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14</v>
      </c>
      <c r="B27" s="111"/>
      <c r="C27" s="283"/>
      <c r="D27" s="283"/>
      <c r="E27" s="284" t="str">
        <f>IF(B27=0,"",IF(C27&gt;9999,"",ROUND('General Variables'!$B$4*VLOOKUP(B27,Operations!$A$2:$U$79,10,FALSE)/VLOOKUP(B27,Operations!$A$2:$U$79,9,FALSE)*C27,2)))</f>
        <v/>
      </c>
      <c r="F27" s="284">
        <f>IF(B27=0,0,IF(C27&gt;9999,"",ROUND(IF(VLOOKUP(B27,Operations!$A$2:$U$79,12,FALSE)=0,VLOOKUP(B27,Operations!$A$2:$U$79,13,FALSE)*'General Variables'!$B$8,VLOOKUP(B27,Operations!$A$2:$U$79,12,FALSE)*'General Variables'!$B$7)/VLOOKUP(B27,Operations!$A$2:$U$79,9,FALSE)*C27,2)))</f>
        <v>0</v>
      </c>
      <c r="G27" s="284">
        <f>IF(B27=0,0,IF(C27&gt;9999,"",ROUND(VLOOKUP(VLOOKUP(B27,Operations!$A$2:$U$79,11,FALSE),PowerUnits[],10,FALSE)/VLOOKUP(B27,Operations!$A$2:$U$79,9,FALSE)*C27,2)))</f>
        <v>0</v>
      </c>
      <c r="H27" s="284" t="str">
        <f>IF(B27=0,"",IF(C27&gt;9999,"",ROUND(VLOOKUP($B27,Operations!$A$2:$U$79,15,FALSE)*C27,2)))</f>
        <v/>
      </c>
      <c r="I27" s="284">
        <f>IF(B27=0,0,IF(C27&gt;9999,"",ROUND(VLOOKUP(VLOOKUP(B27,Operations!$A$2:$U$79,11,FALSE),PowerUnits[],16,FALSE)/VLOOKUP(B27,Operations!$A$2:$U$79,9,FALSE)*C27,2)))</f>
        <v>0</v>
      </c>
      <c r="J27" s="284" t="str">
        <f>IF(B27=0,"",IF(C27&gt;9999,"",ROUND(VLOOKUP($B27,Operations!$A$2:$U$79,21,FALSE)*$C27,2)))</f>
        <v/>
      </c>
      <c r="K27" s="284">
        <f t="shared" si="0"/>
        <v>0</v>
      </c>
      <c r="L27" s="110"/>
    </row>
    <row r="28" spans="1:12" hidden="1" x14ac:dyDescent="0.2">
      <c r="A28" s="170">
        <v>15</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16</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17</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18</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19</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v>20</v>
      </c>
      <c r="B33" s="114"/>
      <c r="C33" s="115"/>
      <c r="D33" s="115"/>
      <c r="E33" s="116"/>
      <c r="F33" s="116"/>
      <c r="G33" s="116"/>
      <c r="H33" s="116"/>
      <c r="I33" s="116"/>
      <c r="J33" s="116"/>
      <c r="K33" s="116"/>
      <c r="L33" s="117"/>
    </row>
    <row r="34" spans="1:12" ht="13.5" thickTop="1" x14ac:dyDescent="0.2">
      <c r="A34" s="170"/>
      <c r="C34" s="108" t="s">
        <v>664</v>
      </c>
      <c r="D34" s="108"/>
      <c r="E34" s="109">
        <f>SUM(E12:E32)</f>
        <v>64.089100000000002</v>
      </c>
      <c r="F34" s="109">
        <f t="shared" ref="F34:K34" si="1">SUM(F12:F32)</f>
        <v>88.971099999999993</v>
      </c>
      <c r="G34" s="109">
        <f t="shared" si="1"/>
        <v>17.324400000000001</v>
      </c>
      <c r="H34" s="109">
        <f t="shared" si="1"/>
        <v>17.387400000000003</v>
      </c>
      <c r="I34" s="109">
        <f t="shared" si="1"/>
        <v>70.5518</v>
      </c>
      <c r="J34" s="109">
        <f t="shared" si="1"/>
        <v>36.691199999999995</v>
      </c>
      <c r="K34" s="109">
        <f t="shared" si="1"/>
        <v>295.02000000000004</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A37" s="103"/>
      <c r="B37" s="119" t="s">
        <v>668</v>
      </c>
      <c r="C37" s="171"/>
      <c r="D37" s="171"/>
      <c r="E37" s="171"/>
      <c r="F37" s="386"/>
      <c r="G37" s="386"/>
      <c r="H37" s="152" t="s">
        <v>669</v>
      </c>
      <c r="I37" s="153" t="s">
        <v>352</v>
      </c>
      <c r="J37" s="386"/>
      <c r="K37" s="171" t="s">
        <v>670</v>
      </c>
      <c r="L37" s="386"/>
    </row>
    <row r="38" spans="1:12" ht="13.5" thickTop="1" x14ac:dyDescent="0.2">
      <c r="A38" s="118"/>
      <c r="B38" s="180" t="s">
        <v>229</v>
      </c>
      <c r="C38" s="388" t="str">
        <f>IF(B38=0,"",VLOOKUP($B38,Table2[],2,FALSE))</f>
        <v>Herbicide</v>
      </c>
      <c r="D38" s="388"/>
      <c r="E38" s="388"/>
      <c r="F38" s="174">
        <v>1</v>
      </c>
      <c r="G38" s="175">
        <v>0.5</v>
      </c>
      <c r="H38" s="176">
        <v>1</v>
      </c>
      <c r="I38" s="120" t="str">
        <f>IF($B38=0,"",VLOOKUP($B38,Table2[],5,FALSE))</f>
        <v>pint</v>
      </c>
      <c r="J38" s="109">
        <f>IF($B38=0,"",VLOOKUP($B38,Table2[],7,FALSE))</f>
        <v>2.5</v>
      </c>
      <c r="K38" s="109">
        <f>IF(B38=0,0,ROUND(G38*H38*J38,2))</f>
        <v>1.25</v>
      </c>
      <c r="L38" s="110"/>
    </row>
    <row r="39" spans="1:12" x14ac:dyDescent="0.2">
      <c r="A39" s="105"/>
      <c r="B39" s="180" t="s">
        <v>259</v>
      </c>
      <c r="C39" s="388" t="str">
        <f>IF(B39=0,"",VLOOKUP($B39,Table2[],2,FALSE))</f>
        <v>Herbicide</v>
      </c>
      <c r="D39" s="388"/>
      <c r="E39" s="388"/>
      <c r="F39" s="174">
        <v>1</v>
      </c>
      <c r="G39" s="175">
        <v>0.5</v>
      </c>
      <c r="H39" s="176">
        <v>32</v>
      </c>
      <c r="I39" s="120" t="str">
        <f>IF($B39=0,"",VLOOKUP($B39,Table2[],5,FALSE))</f>
        <v>ounce</v>
      </c>
      <c r="J39" s="109">
        <f>IF($B39=0,"",VLOOKUP($B39,Table2[],7,FALSE))</f>
        <v>0.1328125</v>
      </c>
      <c r="K39" s="109">
        <f t="shared" ref="K39:K57" si="2">IF(B39=0,0,ROUND(G39*H39*J39,2))</f>
        <v>2.13</v>
      </c>
      <c r="L39" s="110"/>
    </row>
    <row r="40" spans="1:12" x14ac:dyDescent="0.2">
      <c r="A40" s="105"/>
      <c r="B40" s="180" t="s">
        <v>170</v>
      </c>
      <c r="C40" s="388" t="str">
        <f>IF(B40=0,"",VLOOKUP($B40,Table2[],2,FALSE))</f>
        <v>Additive</v>
      </c>
      <c r="D40" s="388"/>
      <c r="E40" s="388"/>
      <c r="F40" s="174">
        <v>1</v>
      </c>
      <c r="G40" s="175">
        <v>0.5</v>
      </c>
      <c r="H40" s="176">
        <v>1.7</v>
      </c>
      <c r="I40" s="120" t="str">
        <f>IF($B40=0,"",VLOOKUP($B40,Table2[],5,FALSE))</f>
        <v>pound</v>
      </c>
      <c r="J40" s="109">
        <f>IF($B40=0,"",VLOOKUP($B40,Table2[],7,FALSE))</f>
        <v>0.4</v>
      </c>
      <c r="K40" s="109">
        <f t="shared" si="2"/>
        <v>0.34</v>
      </c>
      <c r="L40" s="110"/>
    </row>
    <row r="41" spans="1:12" x14ac:dyDescent="0.2">
      <c r="A41" s="105"/>
      <c r="B41" s="213" t="s">
        <v>211</v>
      </c>
      <c r="C41" s="387" t="str">
        <f>IF(B41=0,"",VLOOKUP($B41,Table2[],2,FALSE))</f>
        <v>Fertilizer</v>
      </c>
      <c r="D41" s="387"/>
      <c r="E41" s="387"/>
      <c r="F41" s="214">
        <v>2</v>
      </c>
      <c r="G41" s="221">
        <v>1</v>
      </c>
      <c r="H41" s="301">
        <v>180</v>
      </c>
      <c r="I41" s="223" t="str">
        <f>IF($B41=0,"",VLOOKUP($B41,Table2[],5,FALSE))</f>
        <v>lbs N</v>
      </c>
      <c r="J41" s="215">
        <f>IF($B41=0,"",VLOOKUP($B41,Table2[],7,FALSE))</f>
        <v>0.38</v>
      </c>
      <c r="K41" s="215">
        <f t="shared" si="2"/>
        <v>68.400000000000006</v>
      </c>
      <c r="L41" s="216"/>
    </row>
    <row r="42" spans="1:12" x14ac:dyDescent="0.2">
      <c r="A42" s="105"/>
      <c r="B42" s="180" t="s">
        <v>323</v>
      </c>
      <c r="C42" s="388" t="str">
        <f>IF(B42=0,"",VLOOKUP($B42,Table2[],2,FALSE))</f>
        <v>Seed</v>
      </c>
      <c r="D42" s="388"/>
      <c r="E42" s="388"/>
      <c r="F42" s="174">
        <v>3</v>
      </c>
      <c r="G42" s="175">
        <v>1</v>
      </c>
      <c r="H42" s="300">
        <v>35.4</v>
      </c>
      <c r="I42" s="120" t="str">
        <f>IF($B42=0,"",VLOOKUP($B42,Table2[],5,FALSE))</f>
        <v>k seed</v>
      </c>
      <c r="J42" s="109">
        <f>IF($B42=0,"",VLOOKUP($B42,Table2[],7,FALSE))</f>
        <v>3.875</v>
      </c>
      <c r="K42" s="109">
        <f t="shared" si="2"/>
        <v>137.18</v>
      </c>
      <c r="L42" s="110"/>
    </row>
    <row r="43" spans="1:12" x14ac:dyDescent="0.2">
      <c r="A43" s="105"/>
      <c r="B43" s="180" t="s">
        <v>201</v>
      </c>
      <c r="C43" s="388" t="str">
        <f>IF(B43=0,"",VLOOKUP($B43,Table2[],2,FALSE))</f>
        <v>Fertilizer</v>
      </c>
      <c r="D43" s="388"/>
      <c r="E43" s="388"/>
      <c r="F43" s="174">
        <v>3</v>
      </c>
      <c r="G43" s="175">
        <v>1</v>
      </c>
      <c r="H43" s="176">
        <v>6</v>
      </c>
      <c r="I43" s="120" t="str">
        <f>IF($B43=0,"",VLOOKUP($B43,Table2[],5,FALSE))</f>
        <v>gallon</v>
      </c>
      <c r="J43" s="109">
        <f>IF($B43=0,"",VLOOKUP($B43,Table2[],7,FALSE))</f>
        <v>3.1</v>
      </c>
      <c r="K43" s="109">
        <f t="shared" si="2"/>
        <v>18.600000000000001</v>
      </c>
      <c r="L43" s="110"/>
    </row>
    <row r="44" spans="1:12" x14ac:dyDescent="0.2">
      <c r="A44" s="105"/>
      <c r="B44" s="180" t="s">
        <v>244</v>
      </c>
      <c r="C44" s="388" t="str">
        <f>IF(B44=0,"",VLOOKUP($B44,Table2[],2,FALSE))</f>
        <v>Herbicide</v>
      </c>
      <c r="D44" s="388"/>
      <c r="E44" s="388"/>
      <c r="F44" s="174">
        <v>3</v>
      </c>
      <c r="G44" s="175">
        <v>0.4</v>
      </c>
      <c r="H44" s="176">
        <v>1.8</v>
      </c>
      <c r="I44" s="120" t="str">
        <f>IF($B44=0,"",VLOOKUP($B44,Table2[],5,FALSE))</f>
        <v>quart</v>
      </c>
      <c r="J44" s="109">
        <f>IF($B44=0,"",VLOOKUP($B44,Table2[],7,FALSE))</f>
        <v>13.25</v>
      </c>
      <c r="K44" s="109">
        <f t="shared" si="2"/>
        <v>9.5399999999999991</v>
      </c>
      <c r="L44" s="110"/>
    </row>
    <row r="45" spans="1:12" x14ac:dyDescent="0.2">
      <c r="A45" s="105"/>
      <c r="B45" s="180" t="s">
        <v>259</v>
      </c>
      <c r="C45" s="388" t="str">
        <f>IF(B45=0,"",VLOOKUP($B45,Table2[],2,FALSE))</f>
        <v>Herbicide</v>
      </c>
      <c r="D45" s="388"/>
      <c r="E45" s="388"/>
      <c r="F45" s="174">
        <v>3</v>
      </c>
      <c r="G45" s="175">
        <v>0.4</v>
      </c>
      <c r="H45" s="176">
        <v>32</v>
      </c>
      <c r="I45" s="120" t="str">
        <f>IF($B45=0,"",VLOOKUP($B45,Table2[],5,FALSE))</f>
        <v>ounce</v>
      </c>
      <c r="J45" s="109">
        <f>IF($B45=0,"",VLOOKUP($B45,Table2[],7,FALSE))</f>
        <v>0.1328125</v>
      </c>
      <c r="K45" s="109">
        <f t="shared" si="2"/>
        <v>1.7</v>
      </c>
      <c r="L45" s="110"/>
    </row>
    <row r="46" spans="1:12" x14ac:dyDescent="0.2">
      <c r="A46" s="105"/>
      <c r="B46" s="213" t="s">
        <v>200</v>
      </c>
      <c r="C46" s="387" t="str">
        <f>IF(B46=0,"",VLOOKUP($B46,Table2[],2,FALSE))</f>
        <v>Custom</v>
      </c>
      <c r="D46" s="387"/>
      <c r="E46" s="387"/>
      <c r="F46" s="214">
        <v>6</v>
      </c>
      <c r="G46" s="221">
        <v>1</v>
      </c>
      <c r="H46" s="222">
        <v>1</v>
      </c>
      <c r="I46" s="223" t="str">
        <f>IF($B46=0,"",VLOOKUP($B46,Table2[],5,FALSE))</f>
        <v>acre</v>
      </c>
      <c r="J46" s="215">
        <f>IF($B46=0,"",VLOOKUP($B46,Table2[],7,FALSE))</f>
        <v>9</v>
      </c>
      <c r="K46" s="215">
        <f>IF(B46=0,0,ROUND(G46*H46*J46,2))</f>
        <v>9</v>
      </c>
      <c r="L46" s="216"/>
    </row>
    <row r="47" spans="1:12" x14ac:dyDescent="0.2">
      <c r="A47" s="143"/>
      <c r="B47" s="180" t="s">
        <v>262</v>
      </c>
      <c r="C47" s="388" t="str">
        <f>IF(B47=0,"",VLOOKUP($B47,Table2[],2,FALSE))</f>
        <v>Herbicide</v>
      </c>
      <c r="D47" s="388"/>
      <c r="E47" s="388"/>
      <c r="F47" s="174">
        <v>6</v>
      </c>
      <c r="G47" s="175">
        <v>1</v>
      </c>
      <c r="H47" s="176">
        <v>3</v>
      </c>
      <c r="I47" s="120" t="str">
        <f>IF($B47=0,"",VLOOKUP($B47,Table2[],5,FALSE))</f>
        <v>ounce</v>
      </c>
      <c r="J47" s="109">
        <f>IF($B47=0,"",VLOOKUP($B47,Table2[],7,FALSE))</f>
        <v>6.25</v>
      </c>
      <c r="K47" s="109">
        <f>IF(B47=0,0,ROUND(G47*H47*J47,2))</f>
        <v>18.75</v>
      </c>
      <c r="L47" s="110"/>
    </row>
    <row r="48" spans="1:12" x14ac:dyDescent="0.2">
      <c r="A48" s="143"/>
      <c r="B48" s="180" t="s">
        <v>238</v>
      </c>
      <c r="C48" s="388" t="str">
        <f>IF(B48=0,"",VLOOKUP($B48,Table2[],2,FALSE))</f>
        <v>Herbicide</v>
      </c>
      <c r="D48" s="388"/>
      <c r="E48" s="388"/>
      <c r="F48" s="174">
        <v>6</v>
      </c>
      <c r="G48" s="175">
        <v>1</v>
      </c>
      <c r="H48" s="176">
        <v>0.5</v>
      </c>
      <c r="I48" s="120" t="str">
        <f>IF($B48=0,"",VLOOKUP($B48,Table2[],5,FALSE))</f>
        <v>pound</v>
      </c>
      <c r="J48" s="109">
        <f>IF($B48=0,"",VLOOKUP($B48,Table2[],7,FALSE))</f>
        <v>4.3</v>
      </c>
      <c r="K48" s="109">
        <f t="shared" si="2"/>
        <v>2.15</v>
      </c>
      <c r="L48" s="110"/>
    </row>
    <row r="49" spans="1:12" x14ac:dyDescent="0.2">
      <c r="A49" s="143"/>
      <c r="B49" s="180" t="s">
        <v>177</v>
      </c>
      <c r="C49" s="388" t="str">
        <f>IF(B49=0,"",VLOOKUP($B49,Table2[],2,FALSE))</f>
        <v>Additive</v>
      </c>
      <c r="D49" s="388"/>
      <c r="E49" s="388"/>
      <c r="F49" s="174">
        <v>6</v>
      </c>
      <c r="G49" s="175">
        <v>1</v>
      </c>
      <c r="H49" s="176">
        <v>1</v>
      </c>
      <c r="I49" s="120" t="str">
        <f>IF($B49=0,"",VLOOKUP($B49,Table2[],5,FALSE))</f>
        <v>pint</v>
      </c>
      <c r="J49" s="109">
        <f>IF($B49=0,"",VLOOKUP($B49,Table2[],7,FALSE))</f>
        <v>1.875</v>
      </c>
      <c r="K49" s="109">
        <f t="shared" si="2"/>
        <v>1.88</v>
      </c>
      <c r="L49" s="110"/>
    </row>
    <row r="50" spans="1:12" x14ac:dyDescent="0.2">
      <c r="A50" s="143"/>
      <c r="B50" s="213" t="s">
        <v>182</v>
      </c>
      <c r="C50" s="387" t="str">
        <f>IF(B50=0,"",VLOOKUP($B50,Table2[],2,FALSE))</f>
        <v>Additive</v>
      </c>
      <c r="D50" s="387"/>
      <c r="E50" s="387"/>
      <c r="F50" s="214">
        <v>6</v>
      </c>
      <c r="G50" s="221">
        <v>1</v>
      </c>
      <c r="H50" s="222">
        <v>3</v>
      </c>
      <c r="I50" s="223" t="str">
        <f>IF($B50=0,"",VLOOKUP($B50,Table2[],5,FALSE))</f>
        <v>pint</v>
      </c>
      <c r="J50" s="215">
        <f>IF($B50=0,"",VLOOKUP($B50,Table2[],7,FALSE))</f>
        <v>0.22500000000000001</v>
      </c>
      <c r="K50" s="215">
        <f t="shared" si="2"/>
        <v>0.68</v>
      </c>
      <c r="L50" s="216"/>
    </row>
    <row r="51" spans="1:12" x14ac:dyDescent="0.2">
      <c r="A51" s="143" t="s">
        <v>638</v>
      </c>
      <c r="B51" s="180" t="s">
        <v>200</v>
      </c>
      <c r="C51" s="388" t="str">
        <f>IF(B51=0,"",VLOOKUP($B51,Table2[],2,FALSE))</f>
        <v>Custom</v>
      </c>
      <c r="D51" s="388"/>
      <c r="E51" s="388"/>
      <c r="F51" s="174">
        <v>7</v>
      </c>
      <c r="G51" s="175">
        <v>0.2</v>
      </c>
      <c r="H51" s="176">
        <v>1</v>
      </c>
      <c r="I51" s="120" t="str">
        <f>IF($B51=0,"",VLOOKUP($B51,Table2[],5,FALSE))</f>
        <v>acre</v>
      </c>
      <c r="J51" s="109">
        <f>IF($B51=0,"",VLOOKUP($B51,Table2[],7,FALSE))</f>
        <v>9</v>
      </c>
      <c r="K51" s="109">
        <f t="shared" si="2"/>
        <v>1.8</v>
      </c>
      <c r="L51" s="110"/>
    </row>
    <row r="52" spans="1:12" x14ac:dyDescent="0.2">
      <c r="A52" s="143" t="s">
        <v>638</v>
      </c>
      <c r="B52" s="180" t="s">
        <v>286</v>
      </c>
      <c r="C52" s="388" t="str">
        <f>IF(B52=0,"",VLOOKUP($B52,Table2[],2,FALSE))</f>
        <v>Insecticide</v>
      </c>
      <c r="D52" s="388"/>
      <c r="E52" s="388"/>
      <c r="F52" s="174">
        <v>7</v>
      </c>
      <c r="G52" s="175">
        <v>0.1</v>
      </c>
      <c r="H52" s="176">
        <v>5.12</v>
      </c>
      <c r="I52" s="120" t="str">
        <f>IF($B52=0,"",VLOOKUP($B52,Table2[],5,FALSE))</f>
        <v>ounce</v>
      </c>
      <c r="J52" s="109">
        <f>IF($B52=0,"",VLOOKUP($B52,Table2[],7,FALSE))</f>
        <v>1.015625</v>
      </c>
      <c r="K52" s="109">
        <f t="shared" si="2"/>
        <v>0.52</v>
      </c>
      <c r="L52" s="110"/>
    </row>
    <row r="53" spans="1:12" x14ac:dyDescent="0.2">
      <c r="A53" s="143" t="s">
        <v>638</v>
      </c>
      <c r="B53" s="180" t="s">
        <v>288</v>
      </c>
      <c r="C53" s="388" t="str">
        <f>IF(B53=0,"",VLOOKUP($B53,Table2[],2,FALSE))</f>
        <v>Insecticide</v>
      </c>
      <c r="D53" s="388"/>
      <c r="E53" s="388"/>
      <c r="F53" s="174">
        <v>7</v>
      </c>
      <c r="G53" s="175">
        <v>0.2</v>
      </c>
      <c r="H53" s="176">
        <v>3</v>
      </c>
      <c r="I53" s="120" t="str">
        <f>IF($B53=0,"",VLOOKUP($B53,Table2[],5,FALSE))</f>
        <v>ounce</v>
      </c>
      <c r="J53" s="109">
        <f>IF($B53=0,"",VLOOKUP($B53,Table2[],7,FALSE))</f>
        <v>1.25</v>
      </c>
      <c r="K53" s="109">
        <f t="shared" si="2"/>
        <v>0.75</v>
      </c>
      <c r="L53" s="110"/>
    </row>
    <row r="54" spans="1:12" x14ac:dyDescent="0.2">
      <c r="A54" s="143"/>
      <c r="B54" s="213" t="s">
        <v>200</v>
      </c>
      <c r="C54" s="387" t="str">
        <f>IF(B54=0,"",VLOOKUP($B54,Table2[],2,FALSE))</f>
        <v>Custom</v>
      </c>
      <c r="D54" s="387"/>
      <c r="E54" s="387"/>
      <c r="F54" s="214">
        <v>8</v>
      </c>
      <c r="G54" s="221">
        <v>0.2</v>
      </c>
      <c r="H54" s="222">
        <v>1</v>
      </c>
      <c r="I54" s="223" t="str">
        <f>IF($B54=0,"",VLOOKUP($B54,Table2[],5,FALSE))</f>
        <v>acre</v>
      </c>
      <c r="J54" s="215">
        <f>IF($B54=0,"",VLOOKUP($B54,Table2[],7,FALSE))</f>
        <v>9</v>
      </c>
      <c r="K54" s="215">
        <f t="shared" si="2"/>
        <v>1.8</v>
      </c>
      <c r="L54" s="216"/>
    </row>
    <row r="55" spans="1:12" x14ac:dyDescent="0.2">
      <c r="A55" s="105"/>
      <c r="B55" s="180" t="s">
        <v>224</v>
      </c>
      <c r="C55" s="388" t="str">
        <f>IF(B55=0,"",VLOOKUP($B55,Table2[],2,FALSE))</f>
        <v>Fungicide</v>
      </c>
      <c r="D55" s="388"/>
      <c r="E55" s="388"/>
      <c r="F55" s="174">
        <v>8</v>
      </c>
      <c r="G55" s="175">
        <v>0.2</v>
      </c>
      <c r="H55" s="176">
        <v>8</v>
      </c>
      <c r="I55" s="120" t="str">
        <f>IF($B55=0,"",VLOOKUP($B55,Table2[],5,FALSE))</f>
        <v>ounce</v>
      </c>
      <c r="J55" s="109">
        <f>IF($B55=0,"",VLOOKUP($B55,Table2[],7,FALSE))</f>
        <v>3.90625</v>
      </c>
      <c r="K55" s="109">
        <f t="shared" si="2"/>
        <v>6.25</v>
      </c>
      <c r="L55" s="110"/>
    </row>
    <row r="56" spans="1:12" x14ac:dyDescent="0.2">
      <c r="B56" s="180" t="s">
        <v>198</v>
      </c>
      <c r="C56" s="388" t="str">
        <f>IF(B56=0,"",VLOOKUP($B56,Table2[],2,FALSE))</f>
        <v>Custom</v>
      </c>
      <c r="D56" s="388"/>
      <c r="E56" s="388"/>
      <c r="F56" s="174">
        <v>12</v>
      </c>
      <c r="G56" s="175">
        <v>1</v>
      </c>
      <c r="H56" s="176">
        <f>$G$4</f>
        <v>255</v>
      </c>
      <c r="I56" s="120" t="str">
        <f>IF($B56=0,"",VLOOKUP($B56,Table2[],5,FALSE))</f>
        <v>bushel</v>
      </c>
      <c r="J56" s="109">
        <f>IF($B56=0,"",VLOOKUP($B56,Table2[],7,FALSE))</f>
        <v>0.15</v>
      </c>
      <c r="K56" s="109">
        <f t="shared" si="2"/>
        <v>38.25</v>
      </c>
      <c r="L56" s="110"/>
    </row>
    <row r="57" spans="1:12" x14ac:dyDescent="0.2">
      <c r="B57" s="180" t="s">
        <v>190</v>
      </c>
      <c r="C57" s="388" t="str">
        <f>IF(B57=0,"",VLOOKUP($B57,Table2[],2,FALSE))</f>
        <v>Custom</v>
      </c>
      <c r="D57" s="388"/>
      <c r="E57" s="388"/>
      <c r="F57" s="174">
        <v>13</v>
      </c>
      <c r="G57" s="175">
        <v>0.2</v>
      </c>
      <c r="H57" s="176">
        <f>$G$4</f>
        <v>255</v>
      </c>
      <c r="I57" s="120" t="str">
        <f>IF($B57=0,"",VLOOKUP($B57,Table2[],5,FALSE))</f>
        <v>bushel</v>
      </c>
      <c r="J57" s="109">
        <f>IF($B57=0,"",VLOOKUP($B57,Table2[],7,FALSE))</f>
        <v>0.1</v>
      </c>
      <c r="K57" s="109">
        <f t="shared" si="2"/>
        <v>5.0999999999999996</v>
      </c>
      <c r="L57" s="113"/>
    </row>
    <row r="58" spans="1:12" x14ac:dyDescent="0.2">
      <c r="B58" s="217" t="s">
        <v>313</v>
      </c>
      <c r="C58" s="387" t="str">
        <f>IF(B58=0,"",VLOOKUP($B58,Table2[],2,FALSE))</f>
        <v>Scouting</v>
      </c>
      <c r="D58" s="387"/>
      <c r="E58" s="387"/>
      <c r="F58" s="218"/>
      <c r="G58" s="221">
        <v>1</v>
      </c>
      <c r="H58" s="225">
        <v>1</v>
      </c>
      <c r="I58" s="223" t="str">
        <f>IF($B58=0,"",VLOOKUP($B58,Table2[],5,FALSE))</f>
        <v>acre</v>
      </c>
      <c r="J58" s="215">
        <f>IF($B58=0,"",VLOOKUP($B58,Table2[],7,FALSE))</f>
        <v>13</v>
      </c>
      <c r="K58" s="215">
        <f>IF(B58=0,0,ROUND(G58*H58*J58,2))</f>
        <v>13</v>
      </c>
      <c r="L58" s="227"/>
    </row>
    <row r="59" spans="1:12" hidden="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113"/>
    </row>
    <row r="60" spans="1:12" hidden="1" x14ac:dyDescent="0.2">
      <c r="B60" s="111"/>
      <c r="C60" s="388" t="str">
        <f>IF(B60=0,"",VLOOKUP($B60,Table2[],2,FALSE))</f>
        <v/>
      </c>
      <c r="D60" s="388"/>
      <c r="E60" s="388"/>
      <c r="F60" s="112"/>
      <c r="G60" s="175"/>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5"/>
      <c r="H61" s="178"/>
      <c r="I61" s="120" t="str">
        <f>IF($B61=0,"",VLOOKUP($B61,Table2[],5,FALSE))</f>
        <v/>
      </c>
      <c r="J61" s="109" t="str">
        <f>IF($B61=0,"",VLOOKUP($B61,Table2[],7,FALSE))</f>
        <v/>
      </c>
      <c r="K61" s="109">
        <f>IF(B61=0,0,ROUND(G61*H61*J61,2))</f>
        <v>0</v>
      </c>
      <c r="L61" s="113"/>
    </row>
    <row r="62" spans="1: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215">
        <f>IF(B62=0,0,ROUND(G62*H62*J62,2))</f>
        <v>0</v>
      </c>
      <c r="L62" s="227"/>
    </row>
    <row r="63" spans="1:12" x14ac:dyDescent="0.2">
      <c r="B63" s="185" t="s">
        <v>430</v>
      </c>
      <c r="C63" s="388" t="s">
        <v>655</v>
      </c>
      <c r="D63" s="388"/>
      <c r="E63" s="388"/>
      <c r="F63" s="112"/>
      <c r="G63" s="177"/>
      <c r="H63" s="178"/>
      <c r="I63" s="170"/>
      <c r="J63" s="109">
        <f ca="1">IF(F5=0,E5,F5)</f>
        <v>5</v>
      </c>
      <c r="K63" s="109">
        <f ca="1">IF(B63=0,0,J63)</f>
        <v>5</v>
      </c>
      <c r="L63" s="113"/>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E65" s="161"/>
      <c r="F65" s="105"/>
      <c r="J65" s="126"/>
      <c r="K65" s="127">
        <f ca="1">SUM(K38:K63)</f>
        <v>344.07</v>
      </c>
      <c r="L65" s="110"/>
    </row>
    <row r="66" spans="2:12" x14ac:dyDescent="0.2">
      <c r="B66" s="144" t="s">
        <v>715</v>
      </c>
      <c r="K66" s="127"/>
    </row>
    <row r="67" spans="2:12" x14ac:dyDescent="0.2">
      <c r="B67" s="107" t="s">
        <v>672</v>
      </c>
      <c r="K67" s="127">
        <f ca="1">K34+K65</f>
        <v>639.09</v>
      </c>
      <c r="L67" s="110"/>
    </row>
    <row r="68" spans="2:12" ht="13.5" thickBot="1" x14ac:dyDescent="0.25">
      <c r="D68" s="128" t="s">
        <v>673</v>
      </c>
      <c r="E68" s="129">
        <f ca="1">ROUND(SUM($E$34:$H$34)+$K$65,2)</f>
        <v>531.84</v>
      </c>
      <c r="F68" s="388" t="s">
        <v>674</v>
      </c>
      <c r="G68" s="388"/>
      <c r="H68" s="130">
        <f>'General Variables'!$B$11</f>
        <v>7.4999999999999997E-2</v>
      </c>
      <c r="I68" s="131" t="str">
        <f>CONCATENATE("for ",TEXT('General Variables'!$B$12,"0.0")," mo.")</f>
        <v>for 6.0 mo.</v>
      </c>
      <c r="K68" s="132">
        <f ca="1">E68*H68*'General Variables'!$B$12/12</f>
        <v>19.943999999999999</v>
      </c>
      <c r="L68" s="133"/>
    </row>
    <row r="69" spans="2:12" ht="13.5" thickTop="1" x14ac:dyDescent="0.2">
      <c r="B69" s="107" t="s">
        <v>675</v>
      </c>
      <c r="K69" s="127">
        <f ca="1">SUM(K67:K68)</f>
        <v>659.03399999999999</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34</v>
      </c>
      <c r="D72" s="399"/>
      <c r="E72" s="400"/>
      <c r="F72" s="136">
        <f>IF(C72=0,0,VLOOKUP(C72,RETable,2,FALSE))</f>
        <v>8145</v>
      </c>
      <c r="G72" s="388" t="s">
        <v>678</v>
      </c>
      <c r="H72" s="388"/>
      <c r="I72" s="130">
        <f>'General Variables'!$B$10</f>
        <v>0.03</v>
      </c>
      <c r="K72" s="137">
        <f>ROUND(F72*I72,2)</f>
        <v>244.35</v>
      </c>
      <c r="L72" s="110"/>
    </row>
    <row r="73" spans="2:12" ht="13.5" thickBot="1" x14ac:dyDescent="0.25">
      <c r="B73" s="103" t="s">
        <v>679</v>
      </c>
      <c r="F73" s="138">
        <f>IF(C72=0,0,VLOOKUP(C72,RETable,2,FALSE))</f>
        <v>8145</v>
      </c>
      <c r="G73" s="397" t="s">
        <v>678</v>
      </c>
      <c r="H73" s="397"/>
      <c r="I73" s="139">
        <f>'General Variables'!$B$13</f>
        <v>1.2999999999999999E-2</v>
      </c>
      <c r="J73" s="105"/>
      <c r="K73" s="140">
        <f>ROUND(F73*I73,2)</f>
        <v>105.89</v>
      </c>
      <c r="L73" s="133"/>
    </row>
    <row r="74" spans="2:12" ht="13.5" thickTop="1" x14ac:dyDescent="0.2">
      <c r="B74" s="107" t="s">
        <v>680</v>
      </c>
      <c r="K74" s="127">
        <f ca="1">SUM(K69:K73)</f>
        <v>1044.2740000000001</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2.7163686274509802</v>
      </c>
      <c r="L76" s="148"/>
    </row>
    <row r="77" spans="2:12" x14ac:dyDescent="0.2">
      <c r="B77" s="107" t="str">
        <f>IF(G4="","","Cost of production per "&amp;H4)</f>
        <v>Cost of production per bushel</v>
      </c>
      <c r="K77" s="141">
        <f ca="1">IF(G4="","",K74/G4)</f>
        <v>4.0951921568627458</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03" t="s">
        <v>681</v>
      </c>
    </row>
    <row r="115" spans="2:11" x14ac:dyDescent="0.2">
      <c r="B115" s="105"/>
      <c r="C115" s="105"/>
      <c r="D115" s="105"/>
      <c r="H115" s="103" t="e">
        <f>'General Variables'!#REF!</f>
        <v>#REF!</v>
      </c>
      <c r="K115" s="103"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9">
    <mergeCell ref="F68:G68"/>
    <mergeCell ref="C72:E72"/>
    <mergeCell ref="G72:H72"/>
    <mergeCell ref="G73:H73"/>
    <mergeCell ref="C58:E58"/>
    <mergeCell ref="C59:E59"/>
    <mergeCell ref="C60:E60"/>
    <mergeCell ref="C61:E61"/>
    <mergeCell ref="C62:E62"/>
    <mergeCell ref="C63:E63"/>
    <mergeCell ref="C57:E57"/>
    <mergeCell ref="C46:E46"/>
    <mergeCell ref="C47:E47"/>
    <mergeCell ref="C48:E48"/>
    <mergeCell ref="C49:E49"/>
    <mergeCell ref="C50:E50"/>
    <mergeCell ref="C51:E51"/>
    <mergeCell ref="C52:E52"/>
    <mergeCell ref="C53:E53"/>
    <mergeCell ref="C54:E54"/>
    <mergeCell ref="C55:E55"/>
    <mergeCell ref="C56:E56"/>
    <mergeCell ref="C44:E44"/>
    <mergeCell ref="F36:F37"/>
    <mergeCell ref="G36:G37"/>
    <mergeCell ref="H36:I36"/>
    <mergeCell ref="J36:J37"/>
    <mergeCell ref="C39:E39"/>
    <mergeCell ref="C40:E40"/>
    <mergeCell ref="C41:E41"/>
    <mergeCell ref="C42:E42"/>
    <mergeCell ref="C43:E43"/>
    <mergeCell ref="C38:E38"/>
    <mergeCell ref="C45:E45"/>
    <mergeCell ref="K2:L2"/>
    <mergeCell ref="G2:H2"/>
    <mergeCell ref="C4:E4"/>
    <mergeCell ref="L36:L37"/>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12:B32" xr:uid="{00000000-0002-0000-2100-000000000000}">
      <formula1>OperationList</formula1>
    </dataValidation>
    <dataValidation type="list" allowBlank="1" showInputMessage="1" showErrorMessage="1" sqref="C72:E72" xr:uid="{00000000-0002-0000-2100-000001000000}">
      <formula1>RealEstateList</formula1>
    </dataValidation>
    <dataValidation type="list" allowBlank="1" showInputMessage="1" showErrorMessage="1" sqref="B38:B62" xr:uid="{00000000-0002-0000-2100-000002000000}">
      <formula1>MaterialList</formula1>
    </dataValidation>
    <dataValidation type="list" allowBlank="1" showInputMessage="1" showErrorMessage="1" sqref="K4" xr:uid="{00000000-0002-0000-2100-000003000000}">
      <formula1>$K$113:$K$115</formula1>
    </dataValidation>
    <dataValidation type="list" showInputMessage="1" showErrorMessage="1" sqref="B64" xr:uid="{00000000-0002-0000-2100-000004000000}">
      <formula1>$C$113:$C$236</formula1>
    </dataValidation>
    <dataValidation type="list" allowBlank="1" showInputMessage="1" showErrorMessage="1" sqref="B33" xr:uid="{00000000-0002-0000-2100-000005000000}">
      <formula1>$B$113:$B$210</formula1>
    </dataValidation>
    <dataValidation type="list" allowBlank="1" showInputMessage="1" showErrorMessage="1" sqref="D12:D33" xr:uid="{00000000-0002-0000-2100-000006000000}">
      <formula1>#REF!</formula1>
    </dataValidation>
    <dataValidation type="list" allowBlank="1" showInputMessage="1" showErrorMessage="1" sqref="K2" xr:uid="{00000000-0002-0000-2100-000007000000}">
      <formula1>watersource</formula1>
    </dataValidation>
    <dataValidation type="list" allowBlank="1" showInputMessage="1" showErrorMessage="1" sqref="C3" xr:uid="{00000000-0002-0000-2100-000008000000}">
      <formula1>TillageSystem</formula1>
    </dataValidation>
  </dataValidations>
  <pageMargins left="0.7" right="0.7" top="0.75" bottom="0.75" header="0.3" footer="0.3"/>
  <pageSetup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1">
    <pageSetUpPr fitToPage="1"/>
  </sheetPr>
  <dimension ref="A1:M258"/>
  <sheetViews>
    <sheetView topLeftCell="A7" zoomScaleNormal="100" workbookViewId="0">
      <selection activeCell="G48" sqref="G4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1" spans="1:13" ht="12.6" customHeight="1" x14ac:dyDescent="0.2"/>
    <row r="2" spans="1:13" ht="14.25" hidden="1" customHeight="1" x14ac:dyDescent="0.2">
      <c r="B2" s="103" t="s">
        <v>20</v>
      </c>
      <c r="C2" s="187"/>
      <c r="D2" s="187"/>
      <c r="E2" s="187"/>
      <c r="F2" s="128" t="s">
        <v>648</v>
      </c>
      <c r="G2" s="392" t="s">
        <v>717</v>
      </c>
      <c r="H2" s="392"/>
      <c r="J2" s="128" t="s">
        <v>649</v>
      </c>
      <c r="K2" s="401" t="s">
        <v>71</v>
      </c>
      <c r="L2" s="401"/>
    </row>
    <row r="3" spans="1:13" hidden="1" x14ac:dyDescent="0.2">
      <c r="B3" s="103" t="s">
        <v>38</v>
      </c>
      <c r="C3" s="391" t="s">
        <v>50</v>
      </c>
      <c r="D3" s="391"/>
      <c r="E3" s="391"/>
      <c r="G3" s="128" t="s">
        <v>650</v>
      </c>
      <c r="H3" s="187" t="s">
        <v>730</v>
      </c>
      <c r="J3" s="128" t="s">
        <v>651</v>
      </c>
      <c r="K3" s="187">
        <v>18</v>
      </c>
    </row>
    <row r="4" spans="1:13" hidden="1" x14ac:dyDescent="0.2">
      <c r="B4" s="103" t="s">
        <v>652</v>
      </c>
      <c r="C4" s="392" t="s">
        <v>62</v>
      </c>
      <c r="D4" s="392"/>
      <c r="E4" s="392"/>
      <c r="G4" s="103">
        <f>IFERROR(VALUE(LEFT($H$3,FIND(" ",$H$3))),"")</f>
        <v>250</v>
      </c>
      <c r="H4" s="103" t="str">
        <f>IFERROR(RIGHT(H3,LEN(H3)-LEN(G4)-1),"")</f>
        <v>bushel</v>
      </c>
      <c r="J4" s="128" t="s">
        <v>653</v>
      </c>
      <c r="K4" s="188" t="s">
        <v>654</v>
      </c>
    </row>
    <row r="5" spans="1:13" ht="15.75" hidden="1" customHeight="1" x14ac:dyDescent="0.2">
      <c r="B5" s="103" t="s">
        <v>655</v>
      </c>
      <c r="C5" s="103" t="str">
        <f ca="1">MID(CELL("filename",C5),FIND("]",CELL("filename",C5))+1,255)</f>
        <v>28-Corn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28-Corn, SmartStax RIB Complete, Ridge Till, Continuous, 250 bushel Yield, Gravity Irrigated Diesel, fed by a well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28-Corn, SmartStax RIB Complete, Ridge Till, Continuous, 250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Diesel, fed by a well, 18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 t="shared" ref="K12:K19" si="0">IF(C12&gt;9999,"",ROUND(SUM(E12:J12),2))</f>
        <v>2.87</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si="0"/>
        <v>14.98</v>
      </c>
      <c r="L13" s="110"/>
    </row>
    <row r="14" spans="1:13" x14ac:dyDescent="0.2">
      <c r="A14" s="170">
        <v>3</v>
      </c>
      <c r="B14" s="180" t="s">
        <v>536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1.0900000000000001</v>
      </c>
      <c r="G14" s="109">
        <f>IF(B14=0,0,IF(C14&gt;9999,"",ROUND(VLOOKUP(VLOOKUP(B14,Operations!$A$2:$U$79,11,FALSE),PowerUnits[],10,FALSE)/VLOOKUP(B14,Operations!$A$2:$U$79,9,FALSE)*C14,2)))</f>
        <v>0.34</v>
      </c>
      <c r="H14" s="109">
        <f>IF(B14=0,"",IF(C14&gt;9999,"",ROUND(VLOOKUP($B14,Operations!$A$2:$U$79,15,FALSE)*C14,2)))</f>
        <v>5.7</v>
      </c>
      <c r="I14" s="109">
        <f>IF(B14=0,0,IF(C14&gt;9999,"",ROUND(VLOOKUP(VLOOKUP(B14,Operations!$A$2:$U$79,11,FALSE),PowerUnits[],16,FALSE)/VLOOKUP(B14,Operations!$A$2:$U$79,9,FALSE)*C14,2)))</f>
        <v>9.23</v>
      </c>
      <c r="J14" s="109">
        <f>IF(B14=0,"",IF(C14&gt;9999,"",ROUND(VLOOKUP($B14,Operations!$A$2:$U$79,21,FALSE)*$C14,2)))</f>
        <v>5.64</v>
      </c>
      <c r="K14" s="109">
        <f t="shared" si="0"/>
        <v>25.24</v>
      </c>
      <c r="L14" s="110"/>
    </row>
    <row r="15" spans="1:13" x14ac:dyDescent="0.2">
      <c r="A15" s="170">
        <v>4</v>
      </c>
      <c r="B15" s="213" t="s">
        <v>545</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1.02</v>
      </c>
      <c r="G15" s="215">
        <f>IF(B15=0,0,IF(C15&gt;9999,"",ROUND(VLOOKUP(VLOOKUP(B15,Operations!$A$2:$U$79,11,FALSE),PowerUnits[],10,FALSE)/VLOOKUP(B15,Operations!$A$2:$U$79,9,FALSE)*C15,2)))</f>
        <v>0.08</v>
      </c>
      <c r="H15" s="215">
        <f>IF(B15=0,"",IF(C15&gt;9999,"",ROUND(VLOOKUP($B15,Operations!$A$2:$U$79,15,FALSE)*C15,2)))</f>
        <v>1.4</v>
      </c>
      <c r="I15" s="215">
        <f>IF(B15=0,0,IF(C15&gt;9999,"",ROUND(VLOOKUP(VLOOKUP(B15,Operations!$A$2:$U$79,11,FALSE),PowerUnits[],16,FALSE)/VLOOKUP(B15,Operations!$A$2:$U$79,9,FALSE)*C15,2)))</f>
        <v>3.93</v>
      </c>
      <c r="J15" s="215">
        <f>IF(B15=0,"",IF(C15&gt;9999,"",ROUND(VLOOKUP($B15,Operations!$A$2:$U$79,21,FALSE)*$C15,2)))</f>
        <v>3.2</v>
      </c>
      <c r="K15" s="215">
        <f t="shared" si="0"/>
        <v>12.33</v>
      </c>
      <c r="L15" s="216"/>
    </row>
    <row r="16" spans="1:13" x14ac:dyDescent="0.2">
      <c r="A16" s="170">
        <v>5</v>
      </c>
      <c r="B16" s="180" t="s">
        <v>533</v>
      </c>
      <c r="C16" s="174">
        <v>1</v>
      </c>
      <c r="D16" s="174"/>
      <c r="E16" s="109">
        <f>IF(B16=0,"",IF(C16&gt;9999,"",ROUND('General Variables'!$B$4*VLOOKUP(B16,Operations!$A$2:$U$79,10,FALSE)/VLOOKUP(B16,Operations!$A$2:$U$79,9,FALSE)*C16,2)))</f>
        <v>2.97</v>
      </c>
      <c r="F16" s="109">
        <f>IF(B16=0,0,IF(C16&gt;9999,"",ROUND(IF(VLOOKUP(B16,Operations!$A$2:$U$79,12,FALSE)=0,VLOOKUP(B16,Operations!$A$2:$U$79,13,FALSE)*'General Variables'!$B$8,VLOOKUP(B16,Operations!$A$2:$U$79,12,FALSE)*'General Variables'!$B$7)/VLOOKUP(B16,Operations!$A$2:$U$79,9,FALSE)*C16,2)))</f>
        <v>1.7</v>
      </c>
      <c r="G16" s="109">
        <f>IF(B16=0,0,IF(C16&gt;9999,"",ROUND(VLOOKUP(VLOOKUP(B16,Operations!$A$2:$U$79,11,FALSE),PowerUnits[],10,FALSE)/VLOOKUP(B16,Operations!$A$2:$U$79,9,FALSE)*C16,2)))</f>
        <v>0.34</v>
      </c>
      <c r="H16" s="109">
        <f>IF(B16=0,"",IF(C16&gt;9999,"",ROUND(VLOOKUP($B16,Operations!$A$2:$U$79,15,FALSE)*C16,2)))</f>
        <v>1.87</v>
      </c>
      <c r="I16" s="109">
        <f>IF(B16=0,0,IF(C16&gt;9999,"",ROUND(VLOOKUP(VLOOKUP(B16,Operations!$A$2:$U$79,11,FALSE),PowerUnits[],16,FALSE)/VLOOKUP(B16,Operations!$A$2:$U$79,9,FALSE)*C16,2)))</f>
        <v>9.23</v>
      </c>
      <c r="J16" s="109">
        <f>IF(B16=0,"",IF(C16&gt;9999,"",ROUND(VLOOKUP($B16,Operations!$A$2:$U$79,21,FALSE)*$C16,2)))</f>
        <v>5.18</v>
      </c>
      <c r="K16" s="109">
        <f t="shared" si="0"/>
        <v>21.29</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552</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890</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521</v>
      </c>
      <c r="C20" s="174">
        <f>$K$3</f>
        <v>18</v>
      </c>
      <c r="D20" s="174" t="s">
        <v>693</v>
      </c>
      <c r="E20" s="109">
        <f>IF(B20=0,"",IF(C20&gt;9999,"",ROUND('General Variables'!$B$4*VLOOKUP(B20,Operations!$A$2:$U$79,10,FALSE)/VLOOKUP(B20,Operations!$A$2:$U$79,9,FALSE)*C20,2)))</f>
        <v>45</v>
      </c>
      <c r="F20" s="109">
        <f>IF(B20=0,0,IF(C20&gt;9999,"",ROUND(IF(VLOOKUP(B20,Operations!$A$2:$U$79,12,FALSE)=0,VLOOKUP(B20,Operations!$A$2:$U$79,13,FALSE)*'General Variables'!$B$8,VLOOKUP(B20,Operations!$A$2:$U$79,12,FALSE)*'General Variables'!$B$7)/VLOOKUP(B20,Operations!$A$2:$U$79,9,FALSE)*C20,2)))</f>
        <v>77.5</v>
      </c>
      <c r="G20" s="109">
        <f>IF(B20=0,0,IF(C20&gt;9999,"",ROUND(VLOOKUP(VLOOKUP(B20,Operations!$A$2:$U$79,11,FALSE),PowerUnits[],10,FALSE)/VLOOKUP(B20,Operations!$A$2:$U$79,9,FALSE)*C20,2)))</f>
        <v>6.9</v>
      </c>
      <c r="H20" s="109">
        <f>IF(B20=0,"",IF(C20&gt;9999,"",ROUND(VLOOKUP($B20,Operations!$A$2:$U$79,15,FALSE)*C20,2)))</f>
        <v>2.64</v>
      </c>
      <c r="I20" s="109">
        <f>IF(B20=0,0,IF(C20&gt;9999,"",ROUND(VLOOKUP(VLOOKUP(B20,Operations!$A$2:$U$79,11,FALSE),PowerUnits[],16,FALSE)/VLOOKUP(B20,Operations!$A$2:$U$79,9,FALSE)*C20,2)))</f>
        <v>15.46</v>
      </c>
      <c r="J20" s="109">
        <f>IF(B20=0,"",IF(C20&gt;9999,"",ROUND(VLOOKUP($B20,Operations!$A$2:$U$79,21,FALSE)*$C20,2)))</f>
        <v>4.29</v>
      </c>
      <c r="K20" s="109">
        <f t="shared" ref="K20:K25" si="1">IF(C20&gt;9999,"",ROUND(SUM(E20:J20),2))</f>
        <v>151.79</v>
      </c>
      <c r="L20" s="110"/>
    </row>
    <row r="21" spans="1:12" x14ac:dyDescent="0.2">
      <c r="A21" s="170">
        <v>10</v>
      </c>
      <c r="B21" s="180" t="s">
        <v>944</v>
      </c>
      <c r="C21" s="174">
        <v>225</v>
      </c>
      <c r="D21" s="112"/>
      <c r="E21" s="109">
        <f>IF(B21=0,"",IF(C21&gt;9999,"",ROUND('General Variables'!$B$4*VLOOKUP(B21,Operations!$A$2:$U$79,10,FALSE)/VLOOKUP(B21,Operations!$A$2:$U$79,9,FALSE)*C21,2))/100)</f>
        <v>5.3891</v>
      </c>
      <c r="F21" s="109">
        <f>IF(B21=0,0,IF(C21&gt;9999,"",ROUND(IF(VLOOKUP(B21,Operations!$A$2:$U$79,12,FALSE)=0,VLOOKUP(B21,Operations!$A$2:$U$79,13,FALSE)*'General Variables'!$B$8,VLOOKUP(B21,Operations!$A$2:$U$79,12,FALSE)*'General Variables'!$B$7)/VLOOKUP(B21,Operations!$A$2:$U$79,9,FALSE)*C21,2))/100)</f>
        <v>6.0911</v>
      </c>
      <c r="G21" s="109">
        <f>IF(B21=0,0,IF(C21&gt;9999,"",ROUND(VLOOKUP(VLOOKUP(B21,Operations!$A$2:$U$79,11,FALSE),PowerUnits[],10,FALSE)/VLOOKUP(B21,Operations!$A$2:$U$79,9,FALSE)*C21,2))/100)</f>
        <v>9.3643999999999998</v>
      </c>
      <c r="H21" s="109">
        <f>IF(B21=0,"",IF(C21&gt;9999,"",ROUND(VLOOKUP($B21,Operations!$A$2:$U$79,15,FALSE)*C21,2))/100)</f>
        <v>2.4174000000000002</v>
      </c>
      <c r="I21" s="109">
        <f>IF(B21=0,0,IF(C21&gt;9999,"",ROUND(VLOOKUP(VLOOKUP(B21,Operations!$A$2:$U$79,11,FALSE),PowerUnits[],16,FALSE)/VLOOKUP(B21,Operations!$A$2:$U$79,9,FALSE)*C21,2))/100)</f>
        <v>22.5518</v>
      </c>
      <c r="J21" s="109">
        <f>IF(B21=0,"",IF(C21&gt;9999,"",ROUND(VLOOKUP($B21,Operations!$A$2:$U$79,21,FALSE)*$C21,2))/100)</f>
        <v>10.0312</v>
      </c>
      <c r="K21" s="109">
        <f>IF(C21&gt;9999,"",ROUND(SUM(E21:J21),2))</f>
        <v>55.85</v>
      </c>
      <c r="L21" s="110"/>
    </row>
    <row r="22" spans="1:12" x14ac:dyDescent="0.2">
      <c r="A22" s="170">
        <v>11</v>
      </c>
      <c r="B22" s="180" t="s">
        <v>414</v>
      </c>
      <c r="C22" s="174">
        <f>$G$4</f>
        <v>250</v>
      </c>
      <c r="D22" s="112" t="s">
        <v>706</v>
      </c>
      <c r="E22" s="109">
        <f>IF(B22=0,"",IF(C22&gt;9999,"",ROUND('General Variables'!$B$4*VLOOKUP(B22,Operations!$A$2:$U$79,10,FALSE)/VLOOKUP(B22,Operations!$A$2:$U$79,9,FALSE)*C22,2)))</f>
        <v>2.25</v>
      </c>
      <c r="F22" s="109">
        <f>IF(B22=0,0,IF(C22&gt;9999,"",ROUND(IF(VLOOKUP(B22,Operations!$A$2:$U$79,12,FALSE)=0,VLOOKUP(B22,Operations!$A$2:$U$79,13,FALSE)*'General Variables'!$B$8,VLOOKUP(B22,Operations!$A$2:$U$79,12,FALSE)*'General Variables'!$B$7)/VLOOKUP(B22,Operations!$A$2:$U$79,9,FALSE)*C22,2)))</f>
        <v>0.73</v>
      </c>
      <c r="G22" s="109">
        <f>IF(B22=0,0,IF(C22&gt;9999,"",ROUND(VLOOKUP(VLOOKUP(B22,Operations!$A$2:$U$79,11,FALSE),PowerUnits[],10,FALSE)/VLOOKUP(B22,Operations!$A$2:$U$79,9,FALSE)*C22,2)))</f>
        <v>0.06</v>
      </c>
      <c r="H22" s="109">
        <f>IF(B22=0,"",IF(C22&gt;9999,"",ROUND(VLOOKUP($B22,Operations!$A$2:$U$79,15,FALSE)*C22,2)))</f>
        <v>1.38</v>
      </c>
      <c r="I22" s="109">
        <f>IF(B22=0,0,IF(C22&gt;9999,"",ROUND(VLOOKUP(VLOOKUP(B22,Operations!$A$2:$U$79,11,FALSE),PowerUnits[],16,FALSE)/VLOOKUP(B22,Operations!$A$2:$U$79,9,FALSE)*C22,2)))</f>
        <v>3.28</v>
      </c>
      <c r="J22" s="109">
        <f>IF(B22=0,"",IF(C22&gt;9999,"",ROUND(VLOOKUP($B22,Operations!$A$2:$U$79,21,FALSE)*$C22,2)))</f>
        <v>2.76</v>
      </c>
      <c r="K22" s="109">
        <f t="shared" si="1"/>
        <v>10.46</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1"/>
        <v/>
      </c>
      <c r="L23" s="216"/>
    </row>
    <row r="24" spans="1:12" x14ac:dyDescent="0.2">
      <c r="A24" s="170">
        <v>13</v>
      </c>
      <c r="B24" s="180" t="s">
        <v>496</v>
      </c>
      <c r="C24" s="174" t="s">
        <v>184</v>
      </c>
      <c r="D24" s="112"/>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1"/>
        <v/>
      </c>
      <c r="L24" s="110"/>
    </row>
    <row r="25" spans="1:12" x14ac:dyDescent="0.2">
      <c r="A25" s="170">
        <v>14</v>
      </c>
      <c r="B25" s="180" t="s">
        <v>437</v>
      </c>
      <c r="C25" s="174">
        <v>1</v>
      </c>
      <c r="D25" s="112"/>
      <c r="E25" s="109">
        <f>IF(B25=0,"",IF(C25&gt;9999,"",ROUND('General Variables'!$B$4*VLOOKUP(B25,Operations!$A$2:$U$79,10,FALSE)/VLOOKUP(B25,Operations!$A$2:$U$79,9,FALSE)*C25,2)))</f>
        <v>2.41</v>
      </c>
      <c r="F25" s="109">
        <f>IF(B25=0,0,IF(C25&gt;9999,"",ROUND(IF(VLOOKUP(B25,Operations!$A$2:$U$79,12,FALSE)=0,VLOOKUP(B25,Operations!$A$2:$U$79,13,FALSE)*'General Variables'!$B$8,VLOOKUP(B25,Operations!$A$2:$U$79,12,FALSE)*'General Variables'!$B$7)/VLOOKUP(B25,Operations!$A$2:$U$79,9,FALSE)*C25,2)))</f>
        <v>1.49</v>
      </c>
      <c r="G25" s="109">
        <f>IF(B25=0,0,IF(C25&gt;9999,"",ROUND(VLOOKUP(VLOOKUP(B25,Operations!$A$2:$U$79,11,FALSE),PowerUnits[],10,FALSE)/VLOOKUP(B25,Operations!$A$2:$U$79,9,FALSE)*C25,2)))</f>
        <v>7.0000000000000007E-2</v>
      </c>
      <c r="H25" s="109">
        <f>IF(B25=0,"",IF(C25&gt;9999,"",ROUND(VLOOKUP($B25,Operations!$A$2:$U$79,15,FALSE)*C25,2)))</f>
        <v>0.67</v>
      </c>
      <c r="I25" s="109">
        <f>IF(B25=0,0,IF(C25&gt;9999,"",ROUND(VLOOKUP(VLOOKUP(B25,Operations!$A$2:$U$79,11,FALSE),PowerUnits[],16,FALSE)/VLOOKUP(B25,Operations!$A$2:$U$79,9,FALSE)*C25,2)))</f>
        <v>3.51</v>
      </c>
      <c r="J25" s="109">
        <f>IF(B25=0,"",IF(C25&gt;9999,"",ROUND(VLOOKUP($B25,Operations!$A$2:$U$79,21,FALSE)*$C25,2)))</f>
        <v>3.04</v>
      </c>
      <c r="K25" s="109">
        <f t="shared" si="1"/>
        <v>11.19</v>
      </c>
      <c r="L25" s="110"/>
    </row>
    <row r="26" spans="1:12" hidden="1" x14ac:dyDescent="0.2">
      <c r="A26" s="170">
        <v>15</v>
      </c>
      <c r="B26" s="180"/>
      <c r="C26" s="290"/>
      <c r="D26" s="291"/>
      <c r="E26" s="292" t="str">
        <f>IF(B26=0,"",IF(C26&gt;9999,"",ROUND('General Variables'!$B$4*VLOOKUP(B26,Operations!$A$2:$U$79,10,FALSE)/VLOOKUP(B26,Operations!$A$2:$U$79,9,FALSE)*C26,2)))</f>
        <v/>
      </c>
      <c r="F26" s="292">
        <f>IF(B26=0,0,IF(C26&gt;9999,"",ROUND(IF(VLOOKUP(B26,Operations!$A$2:$U$79,12,FALSE)=0,VLOOKUP(B26,Operations!$A$2:$U$79,13,FALSE)*'General Variables'!$B$8,VLOOKUP(B26,Operations!$A$2:$U$79,12,FALSE)*'General Variables'!$B$7)/VLOOKUP(B26,Operations!$A$2:$U$79,9,FALSE)*C26,2)))</f>
        <v>0</v>
      </c>
      <c r="G26" s="292">
        <f>IF(B26=0,0,IF(C26&gt;9999,"",ROUND(VLOOKUP(VLOOKUP(B26,Operations!$A$2:$U$79,11,FALSE),PowerUnits[],10,FALSE)/VLOOKUP(B26,Operations!$A$2:$U$79,9,FALSE)*C26,2)))</f>
        <v>0</v>
      </c>
      <c r="H26" s="292" t="str">
        <f>IF(B26=0,"",IF(C26&gt;9999,"",ROUND(VLOOKUP($B26,Operations!$A$2:$U$79,15,FALSE)*C26,2)))</f>
        <v/>
      </c>
      <c r="I26" s="292">
        <f>IF(B26=0,0,IF(C26&gt;9999,"",ROUND(VLOOKUP(VLOOKUP(B26,Operations!$A$2:$U$79,11,FALSE),PowerUnits[],16,FALSE)/VLOOKUP(B26,Operations!$A$2:$U$79,9,FALSE)*C26,2)))</f>
        <v>0</v>
      </c>
      <c r="J26" s="292" t="str">
        <f>IF(B26=0,"",IF(C26&gt;9999,"",ROUND(VLOOKUP($B26,Operations!$A$2:$U$79,21,FALSE)*$C26,2)))</f>
        <v/>
      </c>
      <c r="K26" s="292">
        <f t="shared" ref="K26:K31" si="2">IF(C26&gt;9999,"",ROUND(SUM(E26:J26),2))</f>
        <v>0</v>
      </c>
      <c r="L26" s="110"/>
    </row>
    <row r="27" spans="1:12" hidden="1" x14ac:dyDescent="0.2">
      <c r="A27" s="170">
        <v>16</v>
      </c>
      <c r="B27" s="213"/>
      <c r="C27" s="214"/>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2"/>
        <v>0</v>
      </c>
      <c r="L27" s="216"/>
    </row>
    <row r="28" spans="1:12" hidden="1" x14ac:dyDescent="0.2">
      <c r="A28" s="170">
        <v>17</v>
      </c>
      <c r="B28" s="180"/>
      <c r="C28" s="174"/>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2"/>
        <v>0</v>
      </c>
      <c r="L28" s="110"/>
    </row>
    <row r="29" spans="1:12" hidden="1" x14ac:dyDescent="0.2">
      <c r="A29" s="170">
        <v>18</v>
      </c>
      <c r="B29" s="180"/>
      <c r="C29" s="174"/>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2"/>
        <v>0</v>
      </c>
      <c r="L29" s="110"/>
    </row>
    <row r="30" spans="1:12" hidden="1" x14ac:dyDescent="0.2">
      <c r="A30" s="170">
        <v>19</v>
      </c>
      <c r="B30" s="180"/>
      <c r="C30" s="174"/>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2"/>
        <v>0</v>
      </c>
      <c r="L30" s="110"/>
    </row>
    <row r="31" spans="1:12" hidden="1" x14ac:dyDescent="0.2">
      <c r="A31" s="170">
        <v>20</v>
      </c>
      <c r="B31" s="213"/>
      <c r="C31" s="214"/>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2"/>
        <v>0</v>
      </c>
      <c r="L31" s="216"/>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3">SUM(E12:E31)</f>
        <v>67.469099999999997</v>
      </c>
      <c r="F33" s="109">
        <f t="shared" si="3"/>
        <v>90.711100000000002</v>
      </c>
      <c r="G33" s="109">
        <f t="shared" si="3"/>
        <v>17.424399999999999</v>
      </c>
      <c r="H33" s="109">
        <f t="shared" si="3"/>
        <v>19.137400000000003</v>
      </c>
      <c r="I33" s="109">
        <f t="shared" si="3"/>
        <v>75.311800000000005</v>
      </c>
      <c r="J33" s="109">
        <f t="shared" si="3"/>
        <v>41.691199999999995</v>
      </c>
      <c r="K33" s="109">
        <f t="shared" si="3"/>
        <v>311.75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229</v>
      </c>
      <c r="C37" s="388" t="str">
        <f>IF(B37=0,"",VLOOKUP($B37,Table2[],2,FALSE))</f>
        <v>Herbicide</v>
      </c>
      <c r="D37" s="388"/>
      <c r="E37" s="388"/>
      <c r="F37" s="174">
        <v>1</v>
      </c>
      <c r="G37" s="175">
        <v>0.5</v>
      </c>
      <c r="H37" s="176">
        <v>1</v>
      </c>
      <c r="I37" s="120" t="str">
        <f>IF($B37=0,"",VLOOKUP($B37,Table2[],5,FALSE))</f>
        <v>pint</v>
      </c>
      <c r="J37" s="109">
        <f>IF($B37=0,"",VLOOKUP($B37,Table2[],7,FALSE))</f>
        <v>2.5</v>
      </c>
      <c r="K37" s="109">
        <f>IF(B37=0,0,ROUND(G37*H37*J37,2))</f>
        <v>1.25</v>
      </c>
      <c r="L37" s="110"/>
    </row>
    <row r="38" spans="1:12" x14ac:dyDescent="0.2">
      <c r="A38" s="105"/>
      <c r="B38" s="180" t="s">
        <v>259</v>
      </c>
      <c r="C38" s="388" t="str">
        <f>IF(B38=0,"",VLOOKUP($B38,Table2[],2,FALSE))</f>
        <v>Herbicide</v>
      </c>
      <c r="D38" s="388"/>
      <c r="E38" s="388"/>
      <c r="F38" s="174">
        <v>1</v>
      </c>
      <c r="G38" s="175">
        <v>0.5</v>
      </c>
      <c r="H38" s="176">
        <v>32</v>
      </c>
      <c r="I38" s="120" t="str">
        <f>IF($B38=0,"",VLOOKUP($B38,Table2[],5,FALSE))</f>
        <v>ounce</v>
      </c>
      <c r="J38" s="109">
        <f>IF($B38=0,"",VLOOKUP($B38,Table2[],7,FALSE))</f>
        <v>0.1328125</v>
      </c>
      <c r="K38" s="109">
        <f t="shared" ref="K38:K58" si="4">IF(B38=0,0,ROUND(G38*H38*J38,2))</f>
        <v>2.13</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4"/>
        <v>0.34</v>
      </c>
      <c r="L39" s="110"/>
    </row>
    <row r="40" spans="1:12" x14ac:dyDescent="0.2">
      <c r="A40" s="105"/>
      <c r="B40" s="213" t="s">
        <v>211</v>
      </c>
      <c r="C40" s="387" t="str">
        <f>IF(B40=0,"",VLOOKUP($B40,Table2[],2,FALSE))</f>
        <v>Fertilizer</v>
      </c>
      <c r="D40" s="387"/>
      <c r="E40" s="387"/>
      <c r="F40" s="214">
        <v>2</v>
      </c>
      <c r="G40" s="221">
        <v>1</v>
      </c>
      <c r="H40" s="301">
        <v>220</v>
      </c>
      <c r="I40" s="223" t="str">
        <f>IF($B40=0,"",VLOOKUP($B40,Table2[],5,FALSE))</f>
        <v>lbs N</v>
      </c>
      <c r="J40" s="215">
        <f>IF($B40=0,"",VLOOKUP($B40,Table2[],7,FALSE))</f>
        <v>0.38</v>
      </c>
      <c r="K40" s="215">
        <f t="shared" si="4"/>
        <v>83.6</v>
      </c>
      <c r="L40" s="216"/>
    </row>
    <row r="41" spans="1:12" x14ac:dyDescent="0.2">
      <c r="A41" s="105"/>
      <c r="B41" s="180" t="s">
        <v>329</v>
      </c>
      <c r="C41" s="388" t="str">
        <f>IF(B41=0,"",VLOOKUP($B41,Table2[],2,FALSE))</f>
        <v>Seed</v>
      </c>
      <c r="D41" s="388"/>
      <c r="E41" s="388"/>
      <c r="F41" s="174">
        <v>3</v>
      </c>
      <c r="G41" s="175">
        <v>1</v>
      </c>
      <c r="H41" s="300">
        <v>34.700000000000003</v>
      </c>
      <c r="I41" s="120" t="str">
        <f>IF($B41=0,"",VLOOKUP($B41,Table2[],5,FALSE))</f>
        <v>k seed</v>
      </c>
      <c r="J41" s="109">
        <f>IF($B41=0,"",VLOOKUP($B41,Table2[],7,FALSE))</f>
        <v>4.375</v>
      </c>
      <c r="K41" s="109">
        <f>IF(B41=0,0,ROUND(G41*H41*J41,2))</f>
        <v>151.81</v>
      </c>
      <c r="L41" s="110"/>
    </row>
    <row r="42" spans="1:12" x14ac:dyDescent="0.2">
      <c r="A42" s="105"/>
      <c r="B42" s="180" t="s">
        <v>201</v>
      </c>
      <c r="C42" s="388" t="str">
        <f>IF(B42=0,"",VLOOKUP($B42,Table2[],2,FALSE))</f>
        <v>Fertilizer</v>
      </c>
      <c r="D42" s="388"/>
      <c r="E42" s="388"/>
      <c r="F42" s="174">
        <v>3</v>
      </c>
      <c r="G42" s="175">
        <v>1</v>
      </c>
      <c r="H42" s="176">
        <v>6</v>
      </c>
      <c r="I42" s="120" t="str">
        <f>IF($B42=0,"",VLOOKUP($B42,Table2[],5,FALSE))</f>
        <v>gallon</v>
      </c>
      <c r="J42" s="109">
        <f>IF($B42=0,"",VLOOKUP($B42,Table2[],7,FALSE))</f>
        <v>3.1</v>
      </c>
      <c r="K42" s="109">
        <f t="shared" si="4"/>
        <v>18.600000000000001</v>
      </c>
      <c r="L42" s="110"/>
    </row>
    <row r="43" spans="1:12" x14ac:dyDescent="0.2">
      <c r="A43" s="105"/>
      <c r="B43" s="180" t="s">
        <v>259</v>
      </c>
      <c r="C43" s="388" t="str">
        <f>IF(B43=0,"",VLOOKUP($B43,Table2[],2,FALSE))</f>
        <v>Herbicide</v>
      </c>
      <c r="D43" s="388"/>
      <c r="E43" s="388"/>
      <c r="F43" s="174">
        <v>3</v>
      </c>
      <c r="G43" s="175">
        <v>0.4</v>
      </c>
      <c r="H43" s="176">
        <v>32</v>
      </c>
      <c r="I43" s="120" t="s">
        <v>174</v>
      </c>
      <c r="J43" s="109">
        <v>0.1328125</v>
      </c>
      <c r="K43" s="109">
        <f t="shared" si="4"/>
        <v>1.7</v>
      </c>
      <c r="L43" s="110"/>
    </row>
    <row r="44" spans="1:12" x14ac:dyDescent="0.2">
      <c r="A44" s="105"/>
      <c r="B44" s="180" t="s">
        <v>244</v>
      </c>
      <c r="C44" s="388" t="str">
        <f>IF(B44=0,"",VLOOKUP($B44,Table2[],2,FALSE))</f>
        <v>Herbicide</v>
      </c>
      <c r="D44" s="388"/>
      <c r="E44" s="388"/>
      <c r="F44" s="174">
        <v>3</v>
      </c>
      <c r="G44" s="175">
        <v>0.4</v>
      </c>
      <c r="H44" s="176">
        <v>1.8</v>
      </c>
      <c r="I44" s="120" t="str">
        <f>IF($B44=0,"",VLOOKUP($B44,Table2[],5,FALSE))</f>
        <v>quart</v>
      </c>
      <c r="J44" s="109">
        <f>IF($B44=0,"",VLOOKUP($B44,Table2[],7,FALSE))</f>
        <v>13.25</v>
      </c>
      <c r="K44" s="109">
        <f t="shared" si="4"/>
        <v>9.5399999999999991</v>
      </c>
      <c r="L44" s="110"/>
    </row>
    <row r="45" spans="1:12" x14ac:dyDescent="0.2">
      <c r="A45" s="105"/>
      <c r="B45" s="213" t="s">
        <v>259</v>
      </c>
      <c r="C45" s="387" t="str">
        <f>IF(B45=0,"",VLOOKUP($B45,Table2[],2,FALSE))</f>
        <v>Herbicide</v>
      </c>
      <c r="D45" s="387"/>
      <c r="E45" s="387"/>
      <c r="F45" s="214">
        <v>6</v>
      </c>
      <c r="G45" s="221">
        <v>1</v>
      </c>
      <c r="H45" s="304">
        <v>32</v>
      </c>
      <c r="I45" s="223" t="str">
        <f>IF($B45=0,"",VLOOKUP($B45,Table2[],5,FALSE))</f>
        <v>ounce</v>
      </c>
      <c r="J45" s="215">
        <f>IF($B45=0,"",VLOOKUP($B45,Table2[],7,FALSE))</f>
        <v>0.1328125</v>
      </c>
      <c r="K45" s="215">
        <f t="shared" si="4"/>
        <v>4.25</v>
      </c>
      <c r="L45" s="216"/>
    </row>
    <row r="46" spans="1:12" x14ac:dyDescent="0.2">
      <c r="A46" s="143"/>
      <c r="B46" s="180" t="s">
        <v>170</v>
      </c>
      <c r="C46" s="388" t="str">
        <f>IF(B46=0,"",VLOOKUP($B46,Table2[],2,FALSE))</f>
        <v>Additive</v>
      </c>
      <c r="D46" s="388"/>
      <c r="E46" s="388"/>
      <c r="F46" s="174">
        <v>6</v>
      </c>
      <c r="G46" s="175">
        <v>1</v>
      </c>
      <c r="H46" s="176">
        <v>1.7</v>
      </c>
      <c r="I46" s="120" t="str">
        <f>IF($B46=0,"",VLOOKUP($B46,Table2[],5,FALSE))</f>
        <v>pound</v>
      </c>
      <c r="J46" s="109">
        <f>IF($B46=0,"",VLOOKUP($B46,Table2[],7,FALSE))</f>
        <v>0.4</v>
      </c>
      <c r="K46" s="109">
        <f t="shared" si="4"/>
        <v>0.68</v>
      </c>
      <c r="L46" s="110"/>
    </row>
    <row r="47" spans="1:12" x14ac:dyDescent="0.2">
      <c r="A47" s="143"/>
      <c r="B47" s="180" t="s">
        <v>276</v>
      </c>
      <c r="C47" s="388" t="str">
        <f>IF(B47=0,"",VLOOKUP($B47,Table2[],2,FALSE))</f>
        <v>Herbicide</v>
      </c>
      <c r="D47" s="388"/>
      <c r="E47" s="388"/>
      <c r="F47" s="174">
        <v>6</v>
      </c>
      <c r="G47" s="175">
        <v>1</v>
      </c>
      <c r="H47" s="176">
        <v>5</v>
      </c>
      <c r="I47" s="120" t="str">
        <f>IF($B47=0,"",VLOOKUP($B47,Table2[],5,FALSE))</f>
        <v>ounce</v>
      </c>
      <c r="J47" s="109">
        <f>IF($B47=0,"",VLOOKUP($B47,Table2[],7,FALSE))</f>
        <v>5.5</v>
      </c>
      <c r="K47" s="109">
        <f t="shared" si="4"/>
        <v>27.5</v>
      </c>
      <c r="L47" s="110"/>
    </row>
    <row r="48" spans="1:12" x14ac:dyDescent="0.2">
      <c r="A48" s="143"/>
      <c r="B48" s="180" t="s">
        <v>200</v>
      </c>
      <c r="C48" s="388" t="str">
        <f>IF(B48=0,"",VLOOKUP($B48,Table2[],2,FALSE))</f>
        <v>Custom</v>
      </c>
      <c r="D48" s="388"/>
      <c r="E48" s="388"/>
      <c r="F48" s="174">
        <v>7</v>
      </c>
      <c r="G48" s="175">
        <v>0.2</v>
      </c>
      <c r="H48" s="176">
        <v>1</v>
      </c>
      <c r="I48" s="120" t="str">
        <f>IF($B48=0,"",VLOOKUP($B48,Table2[],5,FALSE))</f>
        <v>acre</v>
      </c>
      <c r="J48" s="109">
        <f>IF($B48=0,"",VLOOKUP($B48,Table2[],7,FALSE))</f>
        <v>9</v>
      </c>
      <c r="K48" s="109">
        <f t="shared" si="4"/>
        <v>1.8</v>
      </c>
      <c r="L48" s="110"/>
    </row>
    <row r="49" spans="1:12" x14ac:dyDescent="0.2">
      <c r="A49" s="143"/>
      <c r="B49" s="213" t="s">
        <v>286</v>
      </c>
      <c r="C49" s="387" t="str">
        <f>IF(B49=0,"",VLOOKUP($B49,Table2[],2,FALSE))</f>
        <v>Insecticide</v>
      </c>
      <c r="D49" s="387"/>
      <c r="E49" s="387"/>
      <c r="F49" s="214">
        <v>7</v>
      </c>
      <c r="G49" s="221">
        <v>0.1</v>
      </c>
      <c r="H49" s="222">
        <v>5.12</v>
      </c>
      <c r="I49" s="223" t="str">
        <f>IF($B49=0,"",VLOOKUP($B49,Table2[],5,FALSE))</f>
        <v>ounce</v>
      </c>
      <c r="J49" s="215">
        <f>IF($B49=0,"",VLOOKUP($B49,Table2[],7,FALSE))</f>
        <v>1.015625</v>
      </c>
      <c r="K49" s="215">
        <f t="shared" si="4"/>
        <v>0.52</v>
      </c>
      <c r="L49" s="216"/>
    </row>
    <row r="50" spans="1:12" x14ac:dyDescent="0.2">
      <c r="A50" s="143"/>
      <c r="B50" s="180" t="s">
        <v>288</v>
      </c>
      <c r="C50" s="388" t="str">
        <f>IF(B50=0,"",VLOOKUP($B50,Table2[],2,FALSE))</f>
        <v>Insecticide</v>
      </c>
      <c r="D50" s="388"/>
      <c r="E50" s="388"/>
      <c r="F50" s="174">
        <v>7</v>
      </c>
      <c r="G50" s="175">
        <v>0.2</v>
      </c>
      <c r="H50" s="176">
        <v>3</v>
      </c>
      <c r="I50" s="120" t="s">
        <v>174</v>
      </c>
      <c r="J50" s="109">
        <f>IF($B50=0,"",VLOOKUP($B50,Table2[],7,FALSE))</f>
        <v>1.25</v>
      </c>
      <c r="K50" s="109">
        <f t="shared" ref="K50" si="5">IF(B50=0,0,ROUND(G50*H50*J50,2))</f>
        <v>0.75</v>
      </c>
      <c r="L50" s="110"/>
    </row>
    <row r="51" spans="1:12" x14ac:dyDescent="0.2">
      <c r="A51" s="143"/>
      <c r="B51" s="180" t="s">
        <v>200</v>
      </c>
      <c r="C51" s="388" t="str">
        <f>IF(B51=0,"",VLOOKUP($B51,Table2[],2,FALSE))</f>
        <v>Custom</v>
      </c>
      <c r="D51" s="388"/>
      <c r="E51" s="388"/>
      <c r="F51" s="174">
        <v>8</v>
      </c>
      <c r="G51" s="175">
        <v>0.2</v>
      </c>
      <c r="H51" s="176">
        <v>1</v>
      </c>
      <c r="I51" s="120" t="str">
        <f>IF($B51=0,"",VLOOKUP($B51,Table2[],5,FALSE))</f>
        <v>acre</v>
      </c>
      <c r="J51" s="109">
        <f>IF($B51=0,"",VLOOKUP($B51,Table2[],7,FALSE))</f>
        <v>9</v>
      </c>
      <c r="K51" s="109">
        <f t="shared" si="4"/>
        <v>1.8</v>
      </c>
      <c r="L51" s="110"/>
    </row>
    <row r="52" spans="1:12" x14ac:dyDescent="0.2">
      <c r="A52" s="105"/>
      <c r="B52" s="180" t="s">
        <v>928</v>
      </c>
      <c r="C52" s="388" t="str">
        <f>IF(B52=0,"",VLOOKUP($B52,Table2[],2,FALSE))</f>
        <v>Fungicide</v>
      </c>
      <c r="D52" s="388"/>
      <c r="E52" s="388"/>
      <c r="F52" s="174">
        <v>8</v>
      </c>
      <c r="G52" s="175">
        <v>0.2</v>
      </c>
      <c r="H52" s="176">
        <v>8</v>
      </c>
      <c r="I52" s="120" t="str">
        <f>IF($B52=0,"",VLOOKUP($B52,Table2[],5,FALSE))</f>
        <v>ounce</v>
      </c>
      <c r="J52" s="109">
        <f>IF($B52=0,"",VLOOKUP($B52,Table2[],7,FALSE))</f>
        <v>4.140625</v>
      </c>
      <c r="K52" s="109">
        <f t="shared" si="4"/>
        <v>6.63</v>
      </c>
      <c r="L52" s="110"/>
    </row>
    <row r="53" spans="1:12" x14ac:dyDescent="0.2">
      <c r="A53" s="105"/>
      <c r="B53" s="213" t="s">
        <v>198</v>
      </c>
      <c r="C53" s="387" t="str">
        <f>IF(B53=0,"",VLOOKUP($B53,Table2[],2,FALSE))</f>
        <v>Custom</v>
      </c>
      <c r="D53" s="387"/>
      <c r="E53" s="387"/>
      <c r="F53" s="214">
        <v>12</v>
      </c>
      <c r="G53" s="221">
        <v>1</v>
      </c>
      <c r="H53" s="222">
        <f>$G$4</f>
        <v>250</v>
      </c>
      <c r="I53" s="223" t="str">
        <f>IF($B53=0,"",VLOOKUP($B53,Table2[],5,FALSE))</f>
        <v>bushel</v>
      </c>
      <c r="J53" s="215">
        <f>IF($B53=0,"",VLOOKUP($B53,Table2[],7,FALSE))</f>
        <v>0.15</v>
      </c>
      <c r="K53" s="215">
        <f t="shared" si="4"/>
        <v>37.5</v>
      </c>
      <c r="L53" s="216"/>
    </row>
    <row r="54" spans="1:12" x14ac:dyDescent="0.2">
      <c r="A54" s="105"/>
      <c r="B54" s="180" t="s">
        <v>190</v>
      </c>
      <c r="C54" s="388" t="str">
        <f>IF(B54=0,"",VLOOKUP($B54,Table2[],2,FALSE))</f>
        <v>Custom</v>
      </c>
      <c r="D54" s="388"/>
      <c r="E54" s="388"/>
      <c r="F54" s="174">
        <v>13</v>
      </c>
      <c r="G54" s="175">
        <v>0.1</v>
      </c>
      <c r="H54" s="176">
        <f>$G$4</f>
        <v>250</v>
      </c>
      <c r="I54" s="120" t="str">
        <f>IF($B54=0,"",VLOOKUP($B54,Table2[],5,FALSE))</f>
        <v>bushel</v>
      </c>
      <c r="J54" s="109">
        <f>IF($B54=0,"",VLOOKUP($B54,Table2[],7,FALSE))</f>
        <v>0.1</v>
      </c>
      <c r="K54" s="109">
        <f>IF(B54=0,0,ROUND(G54*H54*J54,2))</f>
        <v>2.5</v>
      </c>
      <c r="L54" s="110"/>
    </row>
    <row r="55" spans="1:12" x14ac:dyDescent="0.2">
      <c r="B55" s="111" t="s">
        <v>313</v>
      </c>
      <c r="C55" s="388" t="str">
        <f>IF(B55=0,"",VLOOKUP($B55,Table2[],2,FALSE))</f>
        <v>Scouting</v>
      </c>
      <c r="D55" s="388"/>
      <c r="E55" s="388"/>
      <c r="F55" s="112"/>
      <c r="G55" s="175">
        <v>1</v>
      </c>
      <c r="H55" s="178">
        <v>1</v>
      </c>
      <c r="I55" s="120" t="str">
        <f>IF($B55=0,"",VLOOKUP($B55,Table2[],5,FALSE))</f>
        <v>acre</v>
      </c>
      <c r="J55" s="109">
        <f>IF($B55=0,"",VLOOKUP($B55,Table2[],7,FALSE))</f>
        <v>13</v>
      </c>
      <c r="K55" s="305">
        <f>IF(B55=0,0,ROUND(G55*H55*J55,2))</f>
        <v>13</v>
      </c>
      <c r="L55" s="110"/>
    </row>
    <row r="56" spans="1:12" ht="12.75" hidden="1" customHeight="1" x14ac:dyDescent="0.2">
      <c r="B56" s="111"/>
      <c r="C56" s="388" t="str">
        <f>IF(B56=0,"",VLOOKUP($B56,Table2[],2,FALSE))</f>
        <v/>
      </c>
      <c r="D56" s="388"/>
      <c r="E56" s="388"/>
      <c r="F56" s="112"/>
      <c r="G56" s="175">
        <v>0.3</v>
      </c>
      <c r="H56" s="178"/>
      <c r="I56" s="120" t="str">
        <f>IF($B56=0,"",VLOOKUP($B56,Table2[],5,FALSE))</f>
        <v/>
      </c>
      <c r="J56" s="109" t="str">
        <f>IF($B56=0,"",VLOOKUP($B56,Table2[],7,FALSE))</f>
        <v/>
      </c>
      <c r="K56" s="305">
        <f t="shared" si="4"/>
        <v>0</v>
      </c>
      <c r="L56" s="110"/>
    </row>
    <row r="57" spans="1:12" ht="12.75" hidden="1" customHeight="1" x14ac:dyDescent="0.2">
      <c r="B57" s="111"/>
      <c r="C57" s="388" t="str">
        <f>IF(B57=0,"",VLOOKUP($B57,Table2[],2,FALSE))</f>
        <v/>
      </c>
      <c r="D57" s="388"/>
      <c r="E57" s="388"/>
      <c r="F57" s="112"/>
      <c r="G57" s="175"/>
      <c r="H57" s="178"/>
      <c r="I57" s="120" t="str">
        <f>IF($B57=0,"",VLOOKUP($B57,Table2[],5,FALSE))</f>
        <v/>
      </c>
      <c r="J57" s="109" t="str">
        <f>IF($B57=0,"",VLOOKUP($B57,Table2[],7,FALSE))</f>
        <v/>
      </c>
      <c r="K57" s="109">
        <f t="shared" si="4"/>
        <v>0</v>
      </c>
      <c r="L57" s="110"/>
    </row>
    <row r="58" spans="1:12" ht="12.75" hidden="1" customHeight="1" x14ac:dyDescent="0.2">
      <c r="B58" s="217"/>
      <c r="C58" s="387" t="str">
        <f>IF(B58=0,"",VLOOKUP($B58,Table2[],2,FALSE))</f>
        <v/>
      </c>
      <c r="D58" s="387"/>
      <c r="E58" s="387"/>
      <c r="F58" s="218"/>
      <c r="G58" s="221"/>
      <c r="H58" s="225"/>
      <c r="I58" s="223" t="str">
        <f>IF($B58=0,"",VLOOKUP($B58,Table2[],5,FALSE))</f>
        <v/>
      </c>
      <c r="J58" s="215" t="str">
        <f>IF($B58=0,"",VLOOKUP($B58,Table2[],7,FALSE))</f>
        <v/>
      </c>
      <c r="K58" s="215">
        <f t="shared" si="4"/>
        <v>0</v>
      </c>
      <c r="L58" s="227"/>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215">
        <f>IF(B62=0,0,ROUND(G62*H62*J62,2))</f>
        <v>0</v>
      </c>
      <c r="L62" s="227"/>
    </row>
    <row r="63" spans="1:12" x14ac:dyDescent="0.2">
      <c r="B63" s="185" t="s">
        <v>430</v>
      </c>
      <c r="C63" s="388" t="s">
        <v>655</v>
      </c>
      <c r="D63" s="388"/>
      <c r="E63" s="388"/>
      <c r="F63" s="112"/>
      <c r="G63" s="177"/>
      <c r="H63" s="178"/>
      <c r="I63" s="170"/>
      <c r="J63" s="109">
        <f ca="1">IF(F5=0,E5,F5)</f>
        <v>5</v>
      </c>
      <c r="K63" s="109">
        <f ca="1">IF(B63=0,0,J63)</f>
        <v>5</v>
      </c>
      <c r="L63" s="113"/>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E65" s="161"/>
      <c r="F65" s="105"/>
      <c r="J65" s="126"/>
      <c r="K65" s="141">
        <f ca="1">SUM(K37:K63)</f>
        <v>370.90000000000003</v>
      </c>
      <c r="L65" s="110"/>
    </row>
    <row r="66" spans="2:12" x14ac:dyDescent="0.2">
      <c r="B66" s="144"/>
      <c r="K66" s="128"/>
    </row>
    <row r="67" spans="2:12" x14ac:dyDescent="0.2">
      <c r="B67" s="107" t="s">
        <v>672</v>
      </c>
      <c r="K67" s="141">
        <f ca="1">K33+K65</f>
        <v>682.65000000000009</v>
      </c>
      <c r="L67" s="110"/>
    </row>
    <row r="68" spans="2:12" ht="13.5" thickBot="1" x14ac:dyDescent="0.25">
      <c r="D68" s="128" t="s">
        <v>673</v>
      </c>
      <c r="E68" s="129">
        <f ca="1">ROUND(SUM($E$33:$H$33)+$K$65,2)</f>
        <v>565.64</v>
      </c>
      <c r="F68" s="388" t="s">
        <v>674</v>
      </c>
      <c r="G68" s="388"/>
      <c r="H68" s="130">
        <f>'General Variables'!$B$11</f>
        <v>7.4999999999999997E-2</v>
      </c>
      <c r="I68" s="131" t="str">
        <f>CONCATENATE("for ",TEXT('General Variables'!$B$12,"0.0")," mo.")</f>
        <v>for 6.0 mo.</v>
      </c>
      <c r="K68" s="145">
        <f ca="1">E68*H68*'General Variables'!$B$12/12</f>
        <v>21.211499999999997</v>
      </c>
      <c r="L68" s="133"/>
    </row>
    <row r="69" spans="2:12" ht="13.5" thickTop="1" x14ac:dyDescent="0.2">
      <c r="B69" s="107" t="s">
        <v>675</v>
      </c>
      <c r="K69" s="141">
        <f ca="1">SUM(K67:K68)</f>
        <v>703.86150000000009</v>
      </c>
      <c r="L69" s="110"/>
    </row>
    <row r="70" spans="2:12" x14ac:dyDescent="0.2">
      <c r="K70" s="128"/>
    </row>
    <row r="71" spans="2:12" x14ac:dyDescent="0.2">
      <c r="B71" s="104" t="s">
        <v>676</v>
      </c>
      <c r="C71" s="134"/>
      <c r="D71" s="134"/>
      <c r="E71" s="134"/>
      <c r="F71" s="134"/>
      <c r="G71" s="134"/>
      <c r="H71" s="134"/>
      <c r="I71" s="134"/>
      <c r="J71" s="134"/>
      <c r="K71" s="142">
        <f>'General Variables'!B14</f>
        <v>35</v>
      </c>
      <c r="L71" s="110"/>
    </row>
    <row r="72" spans="2:12" x14ac:dyDescent="0.2">
      <c r="B72" s="103" t="s">
        <v>687</v>
      </c>
      <c r="C72" s="398" t="s">
        <v>34</v>
      </c>
      <c r="D72" s="399"/>
      <c r="E72" s="400"/>
      <c r="F72" s="136">
        <f>IF(C72=0,0,VLOOKUP(C72,RETable,2,FALSE))</f>
        <v>8145</v>
      </c>
      <c r="G72" s="388" t="s">
        <v>678</v>
      </c>
      <c r="H72" s="388"/>
      <c r="I72" s="130">
        <f>'General Variables'!$B$10</f>
        <v>0.03</v>
      </c>
      <c r="K72" s="146">
        <f>ROUND(F72*I72,2)</f>
        <v>244.35</v>
      </c>
      <c r="L72" s="110"/>
    </row>
    <row r="73" spans="2:12" ht="13.5" thickBot="1" x14ac:dyDescent="0.25">
      <c r="B73" s="103" t="s">
        <v>679</v>
      </c>
      <c r="F73" s="138">
        <f>IF(C72=0,0,VLOOKUP(C72,RETable,2,FALSE))</f>
        <v>8145</v>
      </c>
      <c r="G73" s="397" t="s">
        <v>678</v>
      </c>
      <c r="H73" s="397"/>
      <c r="I73" s="139">
        <f>'General Variables'!$B$13</f>
        <v>1.2999999999999999E-2</v>
      </c>
      <c r="J73" s="105"/>
      <c r="K73" s="147">
        <f>ROUND(F73*I73,2)</f>
        <v>105.89</v>
      </c>
      <c r="L73" s="133"/>
    </row>
    <row r="74" spans="2:12" ht="13.5" thickTop="1" x14ac:dyDescent="0.2">
      <c r="B74" s="107" t="s">
        <v>680</v>
      </c>
      <c r="K74" s="127">
        <f ca="1">SUM(K69:K73)</f>
        <v>1089.1015000000002</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2.9109659999999997</v>
      </c>
      <c r="L76" s="148"/>
    </row>
    <row r="77" spans="2:12" x14ac:dyDescent="0.2">
      <c r="B77" s="107" t="str">
        <f>IF(G4="","","Cost of production per "&amp;H4)</f>
        <v>Cost of production per bushel</v>
      </c>
      <c r="K77" s="141">
        <f ca="1">IF(G4="","",K74/G4)</f>
        <v>4.3564060000000007</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hidden="1" x14ac:dyDescent="0.2">
      <c r="B104" s="106"/>
      <c r="C104" s="106"/>
      <c r="D104" s="106"/>
      <c r="H104" s="103" t="e">
        <f>'General Variables'!#REF!</f>
        <v>#REF!</v>
      </c>
    </row>
    <row r="105" spans="2:8" hidden="1" x14ac:dyDescent="0.2">
      <c r="B105" s="106"/>
      <c r="C105" s="106"/>
      <c r="D105" s="106"/>
      <c r="H105" s="103" t="e">
        <f>'General Variables'!#REF!</f>
        <v>#REF!</v>
      </c>
    </row>
    <row r="106" spans="2:8" hidden="1" x14ac:dyDescent="0.2">
      <c r="B106" s="106"/>
      <c r="C106" s="106"/>
      <c r="D106" s="106"/>
      <c r="H106" s="103" t="e">
        <f>'General Variables'!#REF!</f>
        <v>#REF!</v>
      </c>
    </row>
    <row r="107" spans="2:8" hidden="1" x14ac:dyDescent="0.2">
      <c r="B107" s="106"/>
      <c r="C107" s="106"/>
      <c r="D107" s="106"/>
      <c r="H107" s="103" t="e">
        <f>'General Variables'!#REF!</f>
        <v>#REF!</v>
      </c>
    </row>
    <row r="108" spans="2:8" hidden="1" x14ac:dyDescent="0.2">
      <c r="B108" s="106"/>
      <c r="C108" s="106"/>
      <c r="D108" s="106"/>
      <c r="H108" s="103" t="e">
        <f>'General Variables'!#REF!</f>
        <v>#REF!</v>
      </c>
    </row>
    <row r="109" spans="2:8" hidden="1" x14ac:dyDescent="0.2">
      <c r="B109" s="106"/>
      <c r="C109" s="106"/>
      <c r="D109" s="106"/>
      <c r="H109" s="103" t="e">
        <f>'General Variables'!#REF!</f>
        <v>#REF!</v>
      </c>
    </row>
    <row r="110" spans="2:8" hidden="1" x14ac:dyDescent="0.2">
      <c r="B110" s="106"/>
      <c r="C110" s="106"/>
      <c r="D110" s="106"/>
      <c r="H110" s="103" t="e">
        <f>'General Variables'!#REF!</f>
        <v>#REF!</v>
      </c>
    </row>
    <row r="111" spans="2:8" hidden="1" x14ac:dyDescent="0.2">
      <c r="B111" s="106"/>
      <c r="C111" s="106"/>
      <c r="D111" s="106"/>
      <c r="H111" s="103" t="e">
        <f>'General Variables'!#REF!</f>
        <v>#REF!</v>
      </c>
    </row>
    <row r="112" spans="2:8" hidden="1" x14ac:dyDescent="0.2">
      <c r="B112" s="106"/>
      <c r="C112" s="106"/>
      <c r="D112" s="106"/>
      <c r="H112" s="103" t="e">
        <f>'General Variables'!#REF!</f>
        <v>#REF!</v>
      </c>
    </row>
    <row r="113" spans="2:11" hidden="1" x14ac:dyDescent="0.2">
      <c r="B113" s="105"/>
      <c r="C113" s="105"/>
      <c r="D113" s="105"/>
      <c r="H113" s="103" t="e">
        <f>'General Variables'!#REF!</f>
        <v>#REF!</v>
      </c>
    </row>
    <row r="114" spans="2:11" hidden="1" x14ac:dyDescent="0.2">
      <c r="B114" s="105"/>
      <c r="C114" s="105"/>
      <c r="D114" s="105"/>
      <c r="H114" s="103" t="e">
        <f>'General Variables'!#REF!</f>
        <v>#REF!</v>
      </c>
      <c r="K114" s="103" t="s">
        <v>681</v>
      </c>
    </row>
    <row r="115" spans="2:11" hidden="1" x14ac:dyDescent="0.2">
      <c r="B115" s="105"/>
      <c r="C115" s="105"/>
      <c r="D115" s="105"/>
      <c r="H115" s="103" t="e">
        <f>'General Variables'!#REF!</f>
        <v>#REF!</v>
      </c>
      <c r="K115" s="103" t="s">
        <v>654</v>
      </c>
    </row>
    <row r="116" spans="2:11" hidden="1" x14ac:dyDescent="0.2">
      <c r="B116" s="105"/>
      <c r="C116" s="105"/>
      <c r="D116" s="105"/>
      <c r="H116" s="103" t="e">
        <f>'General Variables'!#REF!</f>
        <v>#REF!</v>
      </c>
    </row>
    <row r="117" spans="2:11" hidden="1" x14ac:dyDescent="0.2">
      <c r="B117" s="105"/>
      <c r="C117" s="105"/>
      <c r="D117" s="105"/>
      <c r="H117" s="103" t="e">
        <f>'General Variables'!#REF!</f>
        <v>#REF!</v>
      </c>
    </row>
    <row r="118" spans="2:11" hidden="1" x14ac:dyDescent="0.2">
      <c r="B118" s="105"/>
      <c r="C118" s="105"/>
      <c r="D118" s="105"/>
      <c r="H118" s="103" t="e">
        <f>'General Variables'!#REF!</f>
        <v>#REF!</v>
      </c>
    </row>
    <row r="119" spans="2:11" hidden="1" x14ac:dyDescent="0.2">
      <c r="B119" s="105"/>
      <c r="C119" s="105"/>
      <c r="D119" s="105"/>
      <c r="H119" s="103" t="e">
        <f>'General Variables'!#REF!</f>
        <v>#REF!</v>
      </c>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50">
    <mergeCell ref="B7:L7"/>
    <mergeCell ref="C45:E45"/>
    <mergeCell ref="C46:E46"/>
    <mergeCell ref="C47:E47"/>
    <mergeCell ref="L35:L36"/>
    <mergeCell ref="B10:B11"/>
    <mergeCell ref="C10:C11"/>
    <mergeCell ref="E10:E11"/>
    <mergeCell ref="F10:F11"/>
    <mergeCell ref="G10:H10"/>
    <mergeCell ref="K10:K11"/>
    <mergeCell ref="L10:L11"/>
    <mergeCell ref="I10:J10"/>
    <mergeCell ref="J35:J36"/>
    <mergeCell ref="H35:I35"/>
    <mergeCell ref="G73:H73"/>
    <mergeCell ref="C51:E51"/>
    <mergeCell ref="C52:E52"/>
    <mergeCell ref="C53:E53"/>
    <mergeCell ref="C55:E55"/>
    <mergeCell ref="C56:E56"/>
    <mergeCell ref="C57:E57"/>
    <mergeCell ref="C58:E58"/>
    <mergeCell ref="C63:E63"/>
    <mergeCell ref="F68:G68"/>
    <mergeCell ref="C72:E72"/>
    <mergeCell ref="G72:H72"/>
    <mergeCell ref="C59:E59"/>
    <mergeCell ref="C60:E60"/>
    <mergeCell ref="C61:E61"/>
    <mergeCell ref="C54:E54"/>
    <mergeCell ref="C62:E62"/>
    <mergeCell ref="C48:E48"/>
    <mergeCell ref="F35:F36"/>
    <mergeCell ref="G35:G36"/>
    <mergeCell ref="C49:E49"/>
    <mergeCell ref="C37:E37"/>
    <mergeCell ref="C38:E38"/>
    <mergeCell ref="C39:E39"/>
    <mergeCell ref="C40:E40"/>
    <mergeCell ref="C42:E42"/>
    <mergeCell ref="C44:E44"/>
    <mergeCell ref="C41:E41"/>
    <mergeCell ref="C50:E50"/>
    <mergeCell ref="C43:E43"/>
    <mergeCell ref="A6:M6"/>
    <mergeCell ref="C3:E3"/>
    <mergeCell ref="K2:L2"/>
    <mergeCell ref="G2:H2"/>
    <mergeCell ref="C4:E4"/>
  </mergeCells>
  <dataValidations count="9">
    <dataValidation type="list" allowBlank="1" showInputMessage="1" showErrorMessage="1" sqref="B32" xr:uid="{00000000-0002-0000-2200-000000000000}">
      <formula1>$B$113:$B$210</formula1>
    </dataValidation>
    <dataValidation type="list" showInputMessage="1" showErrorMessage="1" sqref="B64" xr:uid="{00000000-0002-0000-2200-000001000000}">
      <formula1>$C$113:$C$236</formula1>
    </dataValidation>
    <dataValidation type="list" allowBlank="1" showInputMessage="1" showErrorMessage="1" sqref="K4" xr:uid="{00000000-0002-0000-2200-000002000000}">
      <formula1>$K$113:$K$115</formula1>
    </dataValidation>
    <dataValidation type="list" allowBlank="1" showInputMessage="1" showErrorMessage="1" sqref="B37:B62" xr:uid="{00000000-0002-0000-2200-000003000000}">
      <formula1>MaterialList</formula1>
    </dataValidation>
    <dataValidation type="list" allowBlank="1" showInputMessage="1" showErrorMessage="1" sqref="C72:E72" xr:uid="{00000000-0002-0000-2200-000004000000}">
      <formula1>RealEstateList</formula1>
    </dataValidation>
    <dataValidation type="list" allowBlank="1" showInputMessage="1" showErrorMessage="1" sqref="B12:B31" xr:uid="{00000000-0002-0000-2200-000005000000}">
      <formula1>OperationList</formula1>
    </dataValidation>
    <dataValidation type="list" allowBlank="1" showInputMessage="1" showErrorMessage="1" sqref="D12:D32" xr:uid="{00000000-0002-0000-2200-000006000000}">
      <formula1>#REF!</formula1>
    </dataValidation>
    <dataValidation type="list" allowBlank="1" showInputMessage="1" showErrorMessage="1" sqref="K2" xr:uid="{00000000-0002-0000-2200-000007000000}">
      <formula1>watersource</formula1>
    </dataValidation>
    <dataValidation type="list" allowBlank="1" showInputMessage="1" showErrorMessage="1" sqref="C3" xr:uid="{00000000-0002-0000-2200-000008000000}">
      <formula1>TillageSystem</formula1>
    </dataValidation>
  </dataValidations>
  <pageMargins left="0.7" right="0.7" top="0.75" bottom="0.75" header="0.3" footer="0.3"/>
  <pageSetup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2">
    <pageSetUpPr fitToPage="1"/>
  </sheetPr>
  <dimension ref="A2:M261"/>
  <sheetViews>
    <sheetView zoomScaleNormal="100" workbookViewId="0">
      <selection activeCell="G47" sqref="G4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9.570312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717</v>
      </c>
      <c r="H2" s="392"/>
      <c r="J2" s="128" t="s">
        <v>649</v>
      </c>
      <c r="K2" s="401" t="s">
        <v>73</v>
      </c>
      <c r="L2" s="401"/>
    </row>
    <row r="3" spans="1:13" hidden="1" x14ac:dyDescent="0.2">
      <c r="B3" s="103" t="s">
        <v>38</v>
      </c>
      <c r="C3" s="391" t="s">
        <v>43</v>
      </c>
      <c r="D3" s="391"/>
      <c r="E3" s="391"/>
      <c r="G3" s="128" t="s">
        <v>650</v>
      </c>
      <c r="H3" s="187" t="s">
        <v>731</v>
      </c>
      <c r="J3" s="128" t="s">
        <v>651</v>
      </c>
      <c r="K3" s="187">
        <v>15</v>
      </c>
    </row>
    <row r="4" spans="1:13" hidden="1" x14ac:dyDescent="0.2">
      <c r="B4" s="103" t="s">
        <v>652</v>
      </c>
      <c r="C4" s="392" t="s">
        <v>62</v>
      </c>
      <c r="D4" s="392"/>
      <c r="E4" s="392"/>
      <c r="G4" s="103">
        <v>175</v>
      </c>
      <c r="H4" s="103" t="str">
        <f>IFERROR(RIGHT(H3,LEN(H3)-LEN(G4)-1),"")</f>
        <v>bushel</v>
      </c>
      <c r="J4" s="128" t="s">
        <v>653</v>
      </c>
      <c r="K4" s="188" t="s">
        <v>654</v>
      </c>
    </row>
    <row r="5" spans="1:13" ht="15.75" hidden="1" customHeight="1" x14ac:dyDescent="0.2">
      <c r="B5" s="103" t="s">
        <v>655</v>
      </c>
      <c r="C5" s="103" t="str">
        <f ca="1">MID(CELL("filename",C5),FIND("]",CELL("filename",C5))+1,255)</f>
        <v>29-Corn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29-Corn, SmartStax RIB Complete, Panhandle, Conventional Tillage, Continuous, 175 bushel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29-Corn, SmartStax RIB Complete, Panhandle, Conventional Tillage, Continuous, 175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fed by canal, 15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2" si="0">IF(C13&gt;9999,"",ROUND(SUM(E13:J13),2))</f>
        <v>14.68</v>
      </c>
      <c r="L13" s="110"/>
    </row>
    <row r="14" spans="1:13" x14ac:dyDescent="0.2">
      <c r="A14" s="170">
        <v>3</v>
      </c>
      <c r="B14" s="180" t="s">
        <v>550</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0.33</v>
      </c>
      <c r="I14" s="109">
        <f>IF(B14=0,0,IF(C14&gt;9999,"",ROUND(VLOOKUP(VLOOKUP(B14,Operations!$A$2:$U$79,11,FALSE),PowerUnits[],16,FALSE)/VLOOKUP(B14,Operations!$A$2:$U$79,9,FALSE)*C14,2)))</f>
        <v>1.31</v>
      </c>
      <c r="J14" s="109">
        <f>IF(B14=0,"",IF(C14&gt;9999,"",ROUND(VLOOKUP($B14,Operations!$A$2:$U$79,21,FALSE)*$C14,2)))</f>
        <v>4.2</v>
      </c>
      <c r="K14" s="109">
        <f t="shared" si="0"/>
        <v>7.15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556</v>
      </c>
      <c r="C16" s="174">
        <v>1</v>
      </c>
      <c r="D16" s="174"/>
      <c r="E16" s="109">
        <f>IF(B16=0,"",IF(C16&gt;9999,"",ROUND('General Variables'!$B$4*VLOOKUP(B16,Operations!$A$2:$U$79,10,FALSE)/VLOOKUP(B16,Operations!$A$2:$U$79,9,FALSE)*C16,2)))</f>
        <v>2.13</v>
      </c>
      <c r="F16" s="109">
        <f>IF(B16=0,0,IF(C16&gt;9999,"",ROUND(IF(VLOOKUP(B16,Operations!$A$2:$U$79,12,FALSE)=0,VLOOKUP(B16,Operations!$A$2:$U$79,13,FALSE)*'General Variables'!$B$8,VLOOKUP(B16,Operations!$A$2:$U$79,12,FALSE)*'General Variables'!$B$7)/VLOOKUP(B16,Operations!$A$2:$U$79,9,FALSE)*C16,2)))</f>
        <v>0.97</v>
      </c>
      <c r="G16" s="109">
        <f>IF(B16=0,0,IF(C16&gt;9999,"",ROUND(VLOOKUP(VLOOKUP(B16,Operations!$A$2:$U$79,11,FALSE),PowerUnits[],10,FALSE)/VLOOKUP(B16,Operations!$A$2:$U$79,9,FALSE)*C16,2)))</f>
        <v>7.0000000000000007E-2</v>
      </c>
      <c r="H16" s="109">
        <f>IF(B16=0,"",IF(C16&gt;9999,"",ROUND(VLOOKUP($B16,Operations!$A$2:$U$79,15,FALSE)*C16,2)))</f>
        <v>0</v>
      </c>
      <c r="I16" s="109">
        <f>IF(B16=0,0,IF(C16&gt;9999,"",ROUND(VLOOKUP(VLOOKUP(B16,Operations!$A$2:$U$79,11,FALSE),PowerUnits[],16,FALSE)/VLOOKUP(B16,Operations!$A$2:$U$79,9,FALSE)*C16,2)))</f>
        <v>3.41</v>
      </c>
      <c r="J16" s="109">
        <f>IF(B16=0,"",IF(C16&gt;9999,"",ROUND(VLOOKUP($B16,Operations!$A$2:$U$79,21,FALSE)*$C16,2)))</f>
        <v>2.64</v>
      </c>
      <c r="K16" s="109">
        <f t="shared" si="0"/>
        <v>9.2200000000000006</v>
      </c>
      <c r="L16" s="110"/>
    </row>
    <row r="17" spans="1:12" x14ac:dyDescent="0.2">
      <c r="A17" s="170">
        <v>6</v>
      </c>
      <c r="B17" s="180" t="s">
        <v>545</v>
      </c>
      <c r="C17" s="174">
        <v>1</v>
      </c>
      <c r="D17" s="174"/>
      <c r="E17" s="109">
        <f>IF(B17=0,"",IF(C17&gt;9999,"",ROUND('General Variables'!$B$4*VLOOKUP(B17,Operations!$A$2:$U$79,10,FALSE)/VLOOKUP(B17,Operations!$A$2:$U$79,9,FALSE)*C17,2)))</f>
        <v>2.7</v>
      </c>
      <c r="F17" s="109">
        <f>IF(B17=0,0,IF(C17&gt;9999,"",ROUND(IF(VLOOKUP(B17,Operations!$A$2:$U$79,12,FALSE)=0,VLOOKUP(B17,Operations!$A$2:$U$79,13,FALSE)*'General Variables'!$B$8,VLOOKUP(B17,Operations!$A$2:$U$79,12,FALSE)*'General Variables'!$B$7)/VLOOKUP(B17,Operations!$A$2:$U$79,9,FALSE)*C17,2)))</f>
        <v>1.02</v>
      </c>
      <c r="G17" s="109">
        <f>IF(B17=0,0,IF(C17&gt;9999,"",ROUND(VLOOKUP(VLOOKUP(B17,Operations!$A$2:$U$79,11,FALSE),PowerUnits[],10,FALSE)/VLOOKUP(B17,Operations!$A$2:$U$79,9,FALSE)*C17,2)))</f>
        <v>0.08</v>
      </c>
      <c r="H17" s="109">
        <f>IF(B17=0,"",IF(C17&gt;9999,"",ROUND(VLOOKUP($B17,Operations!$A$2:$U$79,15,FALSE)*C17,2)))</f>
        <v>1.4</v>
      </c>
      <c r="I17" s="109">
        <f>IF(B17=0,0,IF(C17&gt;9999,"",ROUND(VLOOKUP(VLOOKUP(B17,Operations!$A$2:$U$79,11,FALSE),PowerUnits[],16,FALSE)/VLOOKUP(B17,Operations!$A$2:$U$79,9,FALSE)*C17,2)))</f>
        <v>3.93</v>
      </c>
      <c r="J17" s="109">
        <f>IF(B17=0,"",IF(C17&gt;9999,"",ROUND(VLOOKUP($B17,Operations!$A$2:$U$79,21,FALSE)*$C17,2)))</f>
        <v>3.2</v>
      </c>
      <c r="K17" s="109">
        <f t="shared" si="0"/>
        <v>12.33</v>
      </c>
      <c r="L17" s="110"/>
    </row>
    <row r="18" spans="1:12" x14ac:dyDescent="0.2">
      <c r="A18" s="170">
        <v>7</v>
      </c>
      <c r="B18" s="180" t="s">
        <v>533</v>
      </c>
      <c r="C18" s="174">
        <v>1</v>
      </c>
      <c r="D18" s="174"/>
      <c r="E18" s="109">
        <f>IF(B18=0,"",IF(C18&gt;9999,"",ROUND('General Variables'!$B$4*VLOOKUP(B18,Operations!$A$2:$U$79,10,FALSE)/VLOOKUP(B18,Operations!$A$2:$U$79,9,FALSE)*C18,2)))</f>
        <v>2.97</v>
      </c>
      <c r="F18" s="109">
        <f>IF(B18=0,0,IF(C18&gt;9999,"",ROUND(IF(VLOOKUP(B18,Operations!$A$2:$U$79,12,FALSE)=0,VLOOKUP(B18,Operations!$A$2:$U$79,13,FALSE)*'General Variables'!$B$8,VLOOKUP(B18,Operations!$A$2:$U$79,12,FALSE)*'General Variables'!$B$7)/VLOOKUP(B18,Operations!$A$2:$U$79,9,FALSE)*C18,2)))</f>
        <v>1.7</v>
      </c>
      <c r="G18" s="109">
        <f>IF(B18=0,0,IF(C18&gt;9999,"",ROUND(VLOOKUP(VLOOKUP(B18,Operations!$A$2:$U$79,11,FALSE),PowerUnits[],10,FALSE)/VLOOKUP(B18,Operations!$A$2:$U$79,9,FALSE)*C18,2)))</f>
        <v>0.34</v>
      </c>
      <c r="H18" s="109">
        <f>IF(B18=0,"",IF(C18&gt;9999,"",ROUND(VLOOKUP($B18,Operations!$A$2:$U$79,15,FALSE)*C18,2)))</f>
        <v>1.87</v>
      </c>
      <c r="I18" s="109">
        <f>IF(B18=0,0,IF(C18&gt;9999,"",ROUND(VLOOKUP(VLOOKUP(B18,Operations!$A$2:$U$79,11,FALSE),PowerUnits[],16,FALSE)/VLOOKUP(B18,Operations!$A$2:$U$79,9,FALSE)*C18,2)))</f>
        <v>9.23</v>
      </c>
      <c r="J18" s="109">
        <f>IF(B18=0,"",IF(C18&gt;9999,"",ROUND(VLOOKUP($B18,Operations!$A$2:$U$79,21,FALSE)*$C18,2)))</f>
        <v>5.18</v>
      </c>
      <c r="K18" s="109">
        <f t="shared" si="0"/>
        <v>21.29</v>
      </c>
      <c r="L18" s="110"/>
    </row>
    <row r="19" spans="1:12" x14ac:dyDescent="0.2">
      <c r="A19" s="170">
        <v>8</v>
      </c>
      <c r="B19" s="213" t="s">
        <v>551</v>
      </c>
      <c r="C19" s="214">
        <v>1</v>
      </c>
      <c r="D19" s="214"/>
      <c r="E19" s="215">
        <f>IF(B19=0,"",IF(C19&gt;9999,"",ROUND('General Variables'!$B$4*VLOOKUP(B19,Operations!$A$2:$U$79,10,FALSE)/VLOOKUP(B19,Operations!$A$2:$U$79,9,FALSE)*C19,2)))</f>
        <v>1.02</v>
      </c>
      <c r="F19" s="215">
        <f>IF(B19=0,0,IF(C19&gt;9999,"",ROUND(IF(VLOOKUP(B19,Operations!$A$2:$U$79,12,FALSE)=0,VLOOKUP(B19,Operations!$A$2:$U$79,13,FALSE)*'General Variables'!$B$8,VLOOKUP(B19,Operations!$A$2:$U$79,12,FALSE)*'General Variables'!$B$7)/VLOOKUP(B19,Operations!$A$2:$U$79,9,FALSE)*C19,2)))</f>
        <v>0.26</v>
      </c>
      <c r="G19" s="215">
        <f>IF(B19=0,0,IF(C19&gt;9999,"",ROUND(VLOOKUP(VLOOKUP(B19,Operations!$A$2:$U$79,11,FALSE),PowerUnits[],10,FALSE)/VLOOKUP(B19,Operations!$A$2:$U$79,9,FALSE)*C19,2)))</f>
        <v>0.03</v>
      </c>
      <c r="H19" s="215">
        <f>IF(B19=0,"",IF(C19&gt;9999,"",ROUND(VLOOKUP($B19,Operations!$A$2:$U$79,15,FALSE)*C19,2)))</f>
        <v>1.1100000000000001</v>
      </c>
      <c r="I19" s="215">
        <f>IF(B19=0,0,IF(C19&gt;9999,"",ROUND(VLOOKUP(VLOOKUP(B19,Operations!$A$2:$U$79,11,FALSE),PowerUnits[],16,FALSE)/VLOOKUP(B19,Operations!$A$2:$U$79,9,FALSE)*C19,2)))</f>
        <v>1.31</v>
      </c>
      <c r="J19" s="215">
        <f>IF(B19=0,"",IF(C19&gt;9999,"",ROUND(VLOOKUP($B19,Operations!$A$2:$U$79,21,FALSE)*$C19,2)))</f>
        <v>2.02</v>
      </c>
      <c r="K19" s="215">
        <f t="shared" si="0"/>
        <v>5.75</v>
      </c>
      <c r="L19" s="216"/>
    </row>
    <row r="20" spans="1:12" x14ac:dyDescent="0.2">
      <c r="A20" s="170">
        <v>9</v>
      </c>
      <c r="B20" s="254" t="s">
        <v>552</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IF(C20&gt;9999,"",ROUND(SUM(E20:J20),2))</f>
        <v/>
      </c>
      <c r="L20" s="257"/>
    </row>
    <row r="21" spans="1:12" x14ac:dyDescent="0.2">
      <c r="A21" s="170">
        <v>10</v>
      </c>
      <c r="B21" s="180" t="s">
        <v>890</v>
      </c>
      <c r="C21" s="174" t="s">
        <v>184</v>
      </c>
      <c r="D21" s="174"/>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482</v>
      </c>
      <c r="C22" s="174">
        <f>$K$3</f>
        <v>15</v>
      </c>
      <c r="D22" s="174" t="s">
        <v>693</v>
      </c>
      <c r="E22" s="109">
        <f>IF(B22=0,"",IF(C22&gt;9999,"",ROUND('General Variables'!$B$4*VLOOKUP(B22,Operations!$A$2:$U$79,10,FALSE)/VLOOKUP(B22,Operations!$A$2:$U$79,9,FALSE)*C22,2)))</f>
        <v>22.5</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7.19</v>
      </c>
      <c r="H22" s="109">
        <f>IF(B22=0,"",IF(C22&gt;9999,"",ROUND(VLOOKUP($B22,Operations!$A$2:$U$79,15,FALSE)*C22,2)))</f>
        <v>0</v>
      </c>
      <c r="I22" s="109">
        <f>IF(B22=0,0,IF(C22&gt;9999,"",ROUND(VLOOKUP(VLOOKUP(B22,Operations!$A$2:$U$79,11,FALSE),PowerUnits[],16,FALSE)/VLOOKUP(B22,Operations!$A$2:$U$79,9,FALSE)*C22,2)))</f>
        <v>16.100000000000001</v>
      </c>
      <c r="J22" s="109">
        <f>IF(B22=0,"",IF(C22&gt;9999,"",ROUND(VLOOKUP($B22,Operations!$A$2:$U$79,21,FALSE)*$C22,2)))</f>
        <v>0</v>
      </c>
      <c r="K22" s="109">
        <f t="shared" si="0"/>
        <v>45.79</v>
      </c>
      <c r="L22" s="110"/>
    </row>
    <row r="23" spans="1:12" x14ac:dyDescent="0.2">
      <c r="A23" s="170">
        <v>12</v>
      </c>
      <c r="B23" s="180" t="s">
        <v>944</v>
      </c>
      <c r="C23" s="174">
        <v>175</v>
      </c>
      <c r="D23" s="174"/>
      <c r="E23" s="109">
        <f>IF(B23=0,"",IF(C23&gt;9999,"",ROUND('General Variables'!$B$4*VLOOKUP(B23,Operations!$A$2:$U$79,10,FALSE)/VLOOKUP(B23,Operations!$A$2:$U$79,9,FALSE)*C23,2))/100)</f>
        <v>4.1914999999999996</v>
      </c>
      <c r="F23" s="109">
        <f>IF(B23=0,0,IF(C23&gt;9999,"",ROUND(IF(VLOOKUP(B23,Operations!$A$2:$U$79,12,FALSE)=0,VLOOKUP(B23,Operations!$A$2:$U$79,13,FALSE)*'General Variables'!$B$8,VLOOKUP(B23,Operations!$A$2:$U$79,12,FALSE)*'General Variables'!$B$7)/VLOOKUP(B23,Operations!$A$2:$U$79,9,FALSE)*C23,2))/100)</f>
        <v>4.7374999999999998</v>
      </c>
      <c r="G23" s="109">
        <f>IF(B23=0,0,IF(C23&gt;9999,"",ROUND(VLOOKUP(VLOOKUP(B23,Operations!$A$2:$U$79,11,FALSE),PowerUnits[],10,FALSE)/VLOOKUP(B23,Operations!$A$2:$U$79,9,FALSE)*C23,2))/100)</f>
        <v>7.2834000000000003</v>
      </c>
      <c r="H23" s="109">
        <f>IF(B23=0,"",IF(C23&gt;9999,"",ROUND(VLOOKUP($B23,Operations!$A$2:$U$79,15,FALSE)*C23,2))/100)</f>
        <v>1.8802000000000001</v>
      </c>
      <c r="I23" s="109">
        <f>IF(B23=0,0,IF(C23&gt;9999,"",ROUND(VLOOKUP(VLOOKUP(B23,Operations!$A$2:$U$79,11,FALSE),PowerUnits[],16,FALSE)/VLOOKUP(B23,Operations!$A$2:$U$79,9,FALSE)*C23,2))/100)</f>
        <v>17.540299999999998</v>
      </c>
      <c r="J23" s="109">
        <f>IF(B23=0,"",IF(C23&gt;9999,"",ROUND(VLOOKUP($B23,Operations!$A$2:$U$79,21,FALSE)*$C23,2))/100)</f>
        <v>7.8020000000000005</v>
      </c>
      <c r="K23" s="109">
        <f>IF(C23&gt;9999,"",ROUND(SUM(E23:J23),2))</f>
        <v>43.43</v>
      </c>
      <c r="L23" s="110"/>
    </row>
    <row r="24" spans="1:12" x14ac:dyDescent="0.2">
      <c r="A24" s="170">
        <v>13</v>
      </c>
      <c r="B24" s="213" t="s">
        <v>414</v>
      </c>
      <c r="C24" s="214">
        <f>$G$4</f>
        <v>175</v>
      </c>
      <c r="D24" s="214" t="s">
        <v>706</v>
      </c>
      <c r="E24" s="215">
        <f>IF(B24=0,"",IF(C24&gt;9999,"",ROUND('General Variables'!$B$4*VLOOKUP(B24,Operations!$A$2:$U$79,10,FALSE)/VLOOKUP(B24,Operations!$A$2:$U$79,9,FALSE)*C24,2)))</f>
        <v>1.58</v>
      </c>
      <c r="F24" s="215">
        <f>IF(B24=0,0,IF(C24&gt;9999,"",ROUND(IF(VLOOKUP(B24,Operations!$A$2:$U$79,12,FALSE)=0,VLOOKUP(B24,Operations!$A$2:$U$79,13,FALSE)*'General Variables'!$B$8,VLOOKUP(B24,Operations!$A$2:$U$79,12,FALSE)*'General Variables'!$B$7)/VLOOKUP(B24,Operations!$A$2:$U$79,9,FALSE)*C24,2)))</f>
        <v>0.51</v>
      </c>
      <c r="G24" s="215">
        <f>IF(B24=0,0,IF(C24&gt;9999,"",ROUND(VLOOKUP(VLOOKUP(B24,Operations!$A$2:$U$79,11,FALSE),PowerUnits[],10,FALSE)/VLOOKUP(B24,Operations!$A$2:$U$79,9,FALSE)*C24,2)))</f>
        <v>0.04</v>
      </c>
      <c r="H24" s="215">
        <f>IF(B24=0,"",IF(C24&gt;9999,"",ROUND(VLOOKUP($B24,Operations!$A$2:$U$79,15,FALSE)*C24,2)))</f>
        <v>0.97</v>
      </c>
      <c r="I24" s="215">
        <f>IF(B24=0,0,IF(C24&gt;9999,"",ROUND(VLOOKUP(VLOOKUP(B24,Operations!$A$2:$U$79,11,FALSE),PowerUnits[],16,FALSE)/VLOOKUP(B24,Operations!$A$2:$U$79,9,FALSE)*C24,2)))</f>
        <v>2.2999999999999998</v>
      </c>
      <c r="J24" s="215">
        <f>IF(B24=0,"",IF(C24&gt;9999,"",ROUND(VLOOKUP($B24,Operations!$A$2:$U$79,21,FALSE)*$C24,2)))</f>
        <v>1.93</v>
      </c>
      <c r="K24" s="215">
        <f t="shared" si="0"/>
        <v>7.33</v>
      </c>
      <c r="L24" s="216"/>
    </row>
    <row r="25" spans="1:12" x14ac:dyDescent="0.2">
      <c r="A25" s="170">
        <v>14</v>
      </c>
      <c r="B25" s="180" t="s">
        <v>565</v>
      </c>
      <c r="C25" s="174" t="s">
        <v>184</v>
      </c>
      <c r="D25" s="174"/>
      <c r="E25" s="109" t="str">
        <f>IF(B25=0,"",IF(C25&gt;9999,"",ROUND('General Variables'!$B$4*VLOOKUP(B25,Operations!$A$2:$U$79,10,FALSE)/VLOOKUP(B25,Operations!$A$2:$U$79,9,FALSE)*C25,2)))</f>
        <v/>
      </c>
      <c r="F25" s="109" t="str">
        <f>IF(B25=0,0,IF(C25&gt;9999,"",ROUND(IF(VLOOKUP(B25,Operations!$A$2:$U$79,12,FALSE)=0,VLOOKUP(B25,Operations!$A$2:$U$79,13,FALSE)*'General Variables'!$B$8,VLOOKUP(B25,Operations!$A$2:$U$79,12,FALSE)*'General Variables'!$B$7)/VLOOKUP(B25,Operations!$A$2:$U$79,9,FALSE)*C25,2)))</f>
        <v/>
      </c>
      <c r="G25" s="109" t="str">
        <f>IF(B25=0,0,IF(C25&gt;9999,"",ROUND(VLOOKUP(VLOOKUP(B25,Operations!$A$2:$U$79,11,FALSE),PowerUnits[],10,FALSE)/VLOOKUP(B25,Operations!$A$2:$U$79,9,FALSE)*C25,2)))</f>
        <v/>
      </c>
      <c r="H25" s="109" t="str">
        <f>IF(B25=0,"",IF(C25&gt;9999,"",ROUND(VLOOKUP($B25,Operations!$A$2:$U$79,15,FALSE)*C25,2)))</f>
        <v/>
      </c>
      <c r="I25" s="109" t="str">
        <f>IF(B25=0,0,IF(C25&gt;9999,"",ROUND(VLOOKUP(VLOOKUP(B25,Operations!$A$2:$U$79,11,FALSE),PowerUnits[],16,FALSE)/VLOOKUP(B25,Operations!$A$2:$U$79,9,FALSE)*C25,2)))</f>
        <v/>
      </c>
      <c r="J25" s="109" t="str">
        <f>IF(B25=0,"",IF(C25&gt;9999,"",ROUND(VLOOKUP($B25,Operations!$A$2:$U$79,21,FALSE)*$C25,2)))</f>
        <v/>
      </c>
      <c r="K25" s="109" t="str">
        <f t="shared" si="0"/>
        <v/>
      </c>
      <c r="L25" s="110"/>
    </row>
    <row r="26" spans="1:12" x14ac:dyDescent="0.2">
      <c r="A26" s="170">
        <v>15</v>
      </c>
      <c r="B26" s="180" t="s">
        <v>496</v>
      </c>
      <c r="C26" s="174" t="s">
        <v>184</v>
      </c>
      <c r="D26" s="174"/>
      <c r="E26" s="109" t="str">
        <f>IF(B26=0,"",IF(C26&gt;9999,"",ROUND('General Variables'!$B$4*VLOOKUP(B26,Operations!$A$2:$U$79,10,FALSE)/VLOOKUP(B26,Operations!$A$2:$U$79,9,FALSE)*C26,2)))</f>
        <v/>
      </c>
      <c r="F26" s="109" t="str">
        <f>IF(B26=0,0,IF(C26&gt;9999,"",ROUND(IF(VLOOKUP(B26,Operations!$A$2:$U$79,12,FALSE)=0,VLOOKUP(B26,Operations!$A$2:$U$79,13,FALSE)*'General Variables'!$B$8,VLOOKUP(B26,Operations!$A$2:$U$79,12,FALSE)*'General Variables'!$B$7)/VLOOKUP(B26,Operations!$A$2:$U$79,9,FALSE)*C26,2)))</f>
        <v/>
      </c>
      <c r="G26" s="109" t="str">
        <f>IF(B26=0,0,IF(C26&gt;9999,"",ROUND(VLOOKUP(VLOOKUP(B26,Operations!$A$2:$U$79,11,FALSE),PowerUnits[],10,FALSE)/VLOOKUP(B26,Operations!$A$2:$U$79,9,FALSE)*C26,2)))</f>
        <v/>
      </c>
      <c r="H26" s="109" t="str">
        <f>IF(B26=0,"",IF(C26&gt;9999,"",ROUND(VLOOKUP($B26,Operations!$A$2:$U$79,15,FALSE)*C26,2)))</f>
        <v/>
      </c>
      <c r="I26" s="109" t="str">
        <f>IF(B26=0,0,IF(C26&gt;9999,"",ROUND(VLOOKUP(VLOOKUP(B26,Operations!$A$2:$U$79,11,FALSE),PowerUnits[],16,FALSE)/VLOOKUP(B26,Operations!$A$2:$U$79,9,FALSE)*C26,2)))</f>
        <v/>
      </c>
      <c r="J26" s="109" t="str">
        <f>IF(B26=0,"",IF(C26&gt;9999,"",ROUND(VLOOKUP($B26,Operations!$A$2:$U$79,21,FALSE)*$C26,2)))</f>
        <v/>
      </c>
      <c r="K26" s="109" t="str">
        <f t="shared" si="0"/>
        <v/>
      </c>
      <c r="L26" s="110"/>
    </row>
    <row r="27" spans="1:12" x14ac:dyDescent="0.2">
      <c r="A27" s="170">
        <v>16</v>
      </c>
      <c r="B27" s="180" t="s">
        <v>437</v>
      </c>
      <c r="C27" s="174">
        <v>1</v>
      </c>
      <c r="D27" s="174"/>
      <c r="E27" s="109">
        <f>IF(B27=0,"",IF(C27&gt;9999,"",ROUND('General Variables'!$B$4*VLOOKUP(B27,Operations!$A$2:$U$79,10,FALSE)/VLOOKUP(B27,Operations!$A$2:$U$79,9,FALSE)*C27,2)))</f>
        <v>2.41</v>
      </c>
      <c r="F27" s="109">
        <f>IF(B27=0,0,IF(C27&gt;9999,"",ROUND(IF(VLOOKUP(B27,Operations!$A$2:$U$79,12,FALSE)=0,VLOOKUP(B27,Operations!$A$2:$U$79,13,FALSE)*'General Variables'!$B$8,VLOOKUP(B27,Operations!$A$2:$U$79,12,FALSE)*'General Variables'!$B$7)/VLOOKUP(B27,Operations!$A$2:$U$79,9,FALSE)*C27,2)))</f>
        <v>1.49</v>
      </c>
      <c r="G27" s="109">
        <f>IF(B27=0,0,IF(C27&gt;9999,"",ROUND(VLOOKUP(VLOOKUP(B27,Operations!$A$2:$U$79,11,FALSE),PowerUnits[],10,FALSE)/VLOOKUP(B27,Operations!$A$2:$U$79,9,FALSE)*C27,2)))</f>
        <v>7.0000000000000007E-2</v>
      </c>
      <c r="H27" s="109">
        <f>IF(B27=0,"",IF(C27&gt;9999,"",ROUND(VLOOKUP($B27,Operations!$A$2:$U$79,15,FALSE)*C27,2)))</f>
        <v>0.67</v>
      </c>
      <c r="I27" s="109">
        <f>IF(B27=0,0,IF(C27&gt;9999,"",ROUND(VLOOKUP(VLOOKUP(B27,Operations!$A$2:$U$79,11,FALSE),PowerUnits[],16,FALSE)/VLOOKUP(B27,Operations!$A$2:$U$79,9,FALSE)*C27,2)))</f>
        <v>3.51</v>
      </c>
      <c r="J27" s="109">
        <f>IF(B27=0,"",IF(C27&gt;9999,"",ROUND(VLOOKUP($B27,Operations!$A$2:$U$79,21,FALSE)*$C27,2)))</f>
        <v>3.04</v>
      </c>
      <c r="K27" s="109">
        <f t="shared" si="0"/>
        <v>11.19</v>
      </c>
      <c r="L27" s="110"/>
    </row>
    <row r="28" spans="1:12" hidden="1" x14ac:dyDescent="0.2">
      <c r="A28" s="170">
        <v>16</v>
      </c>
      <c r="B28" s="213"/>
      <c r="C28" s="214"/>
      <c r="D28" s="214"/>
      <c r="E28" s="215"/>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74"/>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4"/>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48.461500000000001</v>
      </c>
      <c r="F34" s="109">
        <f t="shared" ref="F34:K34" si="1">SUM(F12:F32)</f>
        <v>15.997499999999999</v>
      </c>
      <c r="G34" s="109">
        <f t="shared" si="1"/>
        <v>15.753399999999999</v>
      </c>
      <c r="H34" s="109">
        <f t="shared" si="1"/>
        <v>19.020199999999999</v>
      </c>
      <c r="I34" s="109">
        <f t="shared" si="1"/>
        <v>77.580300000000008</v>
      </c>
      <c r="J34" s="109">
        <f t="shared" si="1"/>
        <v>41.512</v>
      </c>
      <c r="K34" s="109">
        <f t="shared" si="1"/>
        <v>218.32</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207</v>
      </c>
      <c r="C38" s="388" t="str">
        <f>IF(B38=0,"",VLOOKUP($B38,Table2[],2,FALSE))</f>
        <v>Fertilizer</v>
      </c>
      <c r="D38" s="388"/>
      <c r="E38" s="388"/>
      <c r="F38" s="174">
        <v>3</v>
      </c>
      <c r="G38" s="175">
        <v>1</v>
      </c>
      <c r="H38" s="299">
        <v>80</v>
      </c>
      <c r="I38" s="120" t="str">
        <f>IF($B38=0,"",VLOOKUP($B38,Table2[],5,FALSE))</f>
        <v>lbs N</v>
      </c>
      <c r="J38" s="109">
        <f>IF($B38=0,"",VLOOKUP($B38,Table2[],7,FALSE))</f>
        <v>0.5</v>
      </c>
      <c r="K38" s="109">
        <f>IF(B38=0,0,ROUND(G38*H38*J38,2))</f>
        <v>40</v>
      </c>
      <c r="L38" s="110"/>
    </row>
    <row r="39" spans="1:12" x14ac:dyDescent="0.2">
      <c r="A39" s="105"/>
      <c r="B39" s="180" t="s">
        <v>241</v>
      </c>
      <c r="C39" s="388" t="str">
        <f>IF(B39=0,"",VLOOKUP($B39,Table2[],2,FALSE))</f>
        <v>Herbicide</v>
      </c>
      <c r="D39" s="388"/>
      <c r="E39" s="388"/>
      <c r="F39" s="174">
        <v>3</v>
      </c>
      <c r="G39" s="175">
        <v>1</v>
      </c>
      <c r="H39" s="176">
        <v>4</v>
      </c>
      <c r="I39" s="120" t="str">
        <f>IF($B39=0,"",VLOOKUP($B39,Table2[],5,FALSE))</f>
        <v>ounce</v>
      </c>
      <c r="J39" s="109">
        <f>IF($B39=0,"",VLOOKUP($B39,Table2[],7,FALSE))</f>
        <v>6.5</v>
      </c>
      <c r="K39" s="109">
        <f t="shared" ref="K39:K60" si="2">IF(B39=0,0,ROUND(G39*H39*J39,2))</f>
        <v>26</v>
      </c>
      <c r="L39" s="110"/>
    </row>
    <row r="40" spans="1:12" x14ac:dyDescent="0.2">
      <c r="A40" s="105"/>
      <c r="B40" s="180" t="s">
        <v>244</v>
      </c>
      <c r="C40" s="388" t="str">
        <f>IF(B40=0,"",VLOOKUP($B40,Table2[],2,FALSE))</f>
        <v>Herbicide</v>
      </c>
      <c r="D40" s="388"/>
      <c r="E40" s="388"/>
      <c r="F40" s="174">
        <v>3</v>
      </c>
      <c r="G40" s="175">
        <v>1</v>
      </c>
      <c r="H40" s="176">
        <v>2.1</v>
      </c>
      <c r="I40" s="120" t="str">
        <f>IF($B40=0,"",VLOOKUP($B40,Table2[],5,FALSE))</f>
        <v>quart</v>
      </c>
      <c r="J40" s="109">
        <f>IF($B40=0,"",VLOOKUP($B40,Table2[],7,FALSE))</f>
        <v>13.25</v>
      </c>
      <c r="K40" s="109">
        <f t="shared" si="2"/>
        <v>27.83</v>
      </c>
      <c r="L40" s="110"/>
    </row>
    <row r="41" spans="1:12" x14ac:dyDescent="0.2">
      <c r="A41" s="105"/>
      <c r="B41" s="213" t="s">
        <v>201</v>
      </c>
      <c r="C41" s="387" t="str">
        <f>IF(B41=0,"",VLOOKUP($B41,Table2[],2,FALSE))</f>
        <v>Fertilizer</v>
      </c>
      <c r="D41" s="387"/>
      <c r="E41" s="387"/>
      <c r="F41" s="214">
        <v>4</v>
      </c>
      <c r="G41" s="221">
        <v>1</v>
      </c>
      <c r="H41" s="222">
        <v>8</v>
      </c>
      <c r="I41" s="223" t="str">
        <f>IF($B41=0,"",VLOOKUP($B41,Table2[],5,FALSE))</f>
        <v>gallon</v>
      </c>
      <c r="J41" s="215">
        <f>IF($B41=0,"",VLOOKUP($B41,Table2[],7,FALSE))</f>
        <v>3.1</v>
      </c>
      <c r="K41" s="215">
        <f t="shared" si="2"/>
        <v>24.8</v>
      </c>
      <c r="L41" s="216"/>
    </row>
    <row r="42" spans="1:12" x14ac:dyDescent="0.2">
      <c r="A42" s="105"/>
      <c r="B42" s="180" t="s">
        <v>329</v>
      </c>
      <c r="C42" s="388" t="str">
        <f>IF(B42=0,"",VLOOKUP($B42,Table2[],2,FALSE))</f>
        <v>Seed</v>
      </c>
      <c r="D42" s="388"/>
      <c r="E42" s="388"/>
      <c r="F42" s="174">
        <v>4</v>
      </c>
      <c r="G42" s="175">
        <v>1</v>
      </c>
      <c r="H42" s="300">
        <v>27.2</v>
      </c>
      <c r="I42" s="120" t="str">
        <f>IF($B42=0,"",VLOOKUP($B42,Table2[],5,FALSE))</f>
        <v>k seed</v>
      </c>
      <c r="J42" s="109">
        <f>IF($B42=0,"",VLOOKUP($B42,Table2[],7,FALSE))</f>
        <v>4.375</v>
      </c>
      <c r="K42" s="109">
        <f t="shared" si="2"/>
        <v>119</v>
      </c>
      <c r="L42" s="110"/>
    </row>
    <row r="43" spans="1:12" x14ac:dyDescent="0.2">
      <c r="A43" s="105"/>
      <c r="B43" s="180" t="s">
        <v>207</v>
      </c>
      <c r="C43" s="388" t="str">
        <f>IF(B43=0,"",VLOOKUP($B43,Table2[],2,FALSE))</f>
        <v>Fertilizer</v>
      </c>
      <c r="D43" s="388"/>
      <c r="E43" s="388"/>
      <c r="F43" s="174">
        <v>5</v>
      </c>
      <c r="G43" s="175">
        <v>1</v>
      </c>
      <c r="H43" s="181">
        <v>80</v>
      </c>
      <c r="I43" s="120" t="str">
        <f>IF($B43=0,"",VLOOKUP($B43,Table2[],5,FALSE))</f>
        <v>lbs N</v>
      </c>
      <c r="J43" s="109">
        <f>IF($B43=0,"",VLOOKUP($B43,Table2[],7,FALSE))</f>
        <v>0.5</v>
      </c>
      <c r="K43" s="109">
        <f t="shared" si="2"/>
        <v>40</v>
      </c>
      <c r="L43" s="110"/>
    </row>
    <row r="44" spans="1:12" x14ac:dyDescent="0.2">
      <c r="A44" s="105"/>
      <c r="B44" s="213" t="s">
        <v>889</v>
      </c>
      <c r="C44" s="247"/>
      <c r="D44" s="247" t="s">
        <v>228</v>
      </c>
      <c r="E44" s="247"/>
      <c r="F44" s="214">
        <v>8</v>
      </c>
      <c r="G44" s="221">
        <v>1</v>
      </c>
      <c r="H44" s="304">
        <v>28</v>
      </c>
      <c r="I44" s="223" t="str">
        <f>IF($B44=0,"",VLOOKUP($B44,Table2[],5,FALSE))</f>
        <v>ounce</v>
      </c>
      <c r="J44" s="215">
        <f>IF($B44=0,"",VLOOKUP($B44,Table2[],7,FALSE))</f>
        <v>0.1953125</v>
      </c>
      <c r="K44" s="215">
        <f t="shared" ref="K44" si="3">IF(B44=0,0,ROUND(G44*H44*J44,2))</f>
        <v>5.47</v>
      </c>
      <c r="L44" s="216"/>
    </row>
    <row r="45" spans="1:12" x14ac:dyDescent="0.2">
      <c r="A45" s="105"/>
      <c r="B45" s="180" t="s">
        <v>170</v>
      </c>
      <c r="C45" s="170"/>
      <c r="D45" s="170" t="s">
        <v>171</v>
      </c>
      <c r="E45" s="170"/>
      <c r="F45" s="174">
        <v>8</v>
      </c>
      <c r="G45" s="175">
        <v>1</v>
      </c>
      <c r="H45" s="181">
        <v>1.7</v>
      </c>
      <c r="I45" s="120" t="s">
        <v>891</v>
      </c>
      <c r="J45" s="109">
        <f>IF($B45=0,"",VLOOKUP($B45,Table2[],7,FALSE))</f>
        <v>0.4</v>
      </c>
      <c r="K45" s="109">
        <f t="shared" ref="K45" si="4">IF(B45=0,0,ROUND(G45*H45*J45,2))</f>
        <v>0.68</v>
      </c>
      <c r="L45" s="110"/>
    </row>
    <row r="46" spans="1:12" x14ac:dyDescent="0.2">
      <c r="A46" s="105"/>
      <c r="B46" s="180" t="s">
        <v>276</v>
      </c>
      <c r="C46" s="170"/>
      <c r="D46" s="170" t="s">
        <v>228</v>
      </c>
      <c r="E46" s="170"/>
      <c r="F46" s="174">
        <v>8</v>
      </c>
      <c r="G46" s="175">
        <v>1</v>
      </c>
      <c r="H46" s="181">
        <v>5</v>
      </c>
      <c r="I46" s="120" t="s">
        <v>174</v>
      </c>
      <c r="J46" s="109">
        <f>IF($B46=0,"",VLOOKUP($B46,Table2[],7,FALSE))</f>
        <v>5.5</v>
      </c>
      <c r="K46" s="109">
        <f t="shared" ref="K46" si="5">IF(B46=0,0,ROUND(G46*H46*J46,2))</f>
        <v>27.5</v>
      </c>
      <c r="L46" s="110"/>
    </row>
    <row r="47" spans="1:12" x14ac:dyDescent="0.2">
      <c r="A47" s="143"/>
      <c r="B47" s="180" t="s">
        <v>200</v>
      </c>
      <c r="C47" s="388" t="str">
        <f>IF(B47=0,"",VLOOKUP($B47,Table2[],2,FALSE))</f>
        <v>Custom</v>
      </c>
      <c r="D47" s="388"/>
      <c r="E47" s="388"/>
      <c r="F47" s="174">
        <v>9</v>
      </c>
      <c r="G47" s="175">
        <v>0.2</v>
      </c>
      <c r="H47" s="176">
        <v>1</v>
      </c>
      <c r="I47" s="120" t="str">
        <f>IF($B47=0,"",VLOOKUP($B47,Table2[],5,FALSE))</f>
        <v>acre</v>
      </c>
      <c r="J47" s="109">
        <f>IF($B47=0,"",VLOOKUP($B47,Table2[],7,FALSE))</f>
        <v>9</v>
      </c>
      <c r="K47" s="109">
        <f t="shared" si="2"/>
        <v>1.8</v>
      </c>
      <c r="L47" s="110"/>
    </row>
    <row r="48" spans="1:12" x14ac:dyDescent="0.2">
      <c r="A48" s="143"/>
      <c r="B48" s="213" t="s">
        <v>286</v>
      </c>
      <c r="C48" s="387" t="str">
        <f>IF(B48=0,"",VLOOKUP($B48,Table2[],2,FALSE))</f>
        <v>Insecticide</v>
      </c>
      <c r="D48" s="387"/>
      <c r="E48" s="387"/>
      <c r="F48" s="214">
        <v>9</v>
      </c>
      <c r="G48" s="221">
        <v>0.1</v>
      </c>
      <c r="H48" s="222">
        <v>5.12</v>
      </c>
      <c r="I48" s="223" t="str">
        <f>IF($B48=0,"",VLOOKUP($B48,Table2[],5,FALSE))</f>
        <v>ounce</v>
      </c>
      <c r="J48" s="215">
        <f>IF($B48=0,"",VLOOKUP($B48,Table2[],7,FALSE))</f>
        <v>1.015625</v>
      </c>
      <c r="K48" s="215">
        <f t="shared" si="2"/>
        <v>0.52</v>
      </c>
      <c r="L48" s="216"/>
    </row>
    <row r="49" spans="1:12" x14ac:dyDescent="0.2">
      <c r="A49" s="143"/>
      <c r="B49" s="180" t="s">
        <v>288</v>
      </c>
      <c r="C49" s="388" t="str">
        <f>IF(B49=0,"",VLOOKUP($B49,Table2[],2,FALSE))</f>
        <v>Insecticide</v>
      </c>
      <c r="D49" s="388"/>
      <c r="E49" s="388"/>
      <c r="F49" s="174">
        <v>9</v>
      </c>
      <c r="G49" s="175">
        <v>0.2</v>
      </c>
      <c r="H49" s="176">
        <v>3</v>
      </c>
      <c r="I49" s="120" t="s">
        <v>174</v>
      </c>
      <c r="J49" s="109">
        <f>IF($B49=0,"",VLOOKUP($B49,Table2[],7,FALSE))</f>
        <v>1.25</v>
      </c>
      <c r="K49" s="109">
        <f t="shared" ref="K49" si="6">IF(B49=0,0,ROUND(G49*H49*J49,2))</f>
        <v>0.75</v>
      </c>
      <c r="L49" s="110"/>
    </row>
    <row r="50" spans="1:12" x14ac:dyDescent="0.2">
      <c r="A50" s="143"/>
      <c r="B50" s="180" t="s">
        <v>200</v>
      </c>
      <c r="C50" s="388" t="str">
        <f>IF(B50=0,"",VLOOKUP($B50,Table2[],2,FALSE))</f>
        <v>Custom</v>
      </c>
      <c r="D50" s="388"/>
      <c r="E50" s="388"/>
      <c r="F50" s="174">
        <v>10</v>
      </c>
      <c r="G50" s="175">
        <v>0.2</v>
      </c>
      <c r="H50" s="176">
        <v>1</v>
      </c>
      <c r="I50" s="120" t="str">
        <f>IF($B50=0,"",VLOOKUP($B50,Table2[],5,FALSE))</f>
        <v>acre</v>
      </c>
      <c r="J50" s="109">
        <f>IF($B50=0,"",VLOOKUP($B50,Table2[],7,FALSE))</f>
        <v>9</v>
      </c>
      <c r="K50" s="109">
        <f t="shared" si="2"/>
        <v>1.8</v>
      </c>
      <c r="L50" s="110"/>
    </row>
    <row r="51" spans="1:12" x14ac:dyDescent="0.2">
      <c r="A51" s="105"/>
      <c r="B51" s="180" t="s">
        <v>216</v>
      </c>
      <c r="C51" s="388" t="str">
        <f>IF(B51=0,"",VLOOKUP($B51,Table2[],2,FALSE))</f>
        <v>Fungicide</v>
      </c>
      <c r="D51" s="388"/>
      <c r="E51" s="388"/>
      <c r="F51" s="174">
        <v>10</v>
      </c>
      <c r="G51" s="175">
        <v>0.2</v>
      </c>
      <c r="H51" s="176">
        <v>3</v>
      </c>
      <c r="I51" s="120" t="str">
        <f>IF($B51=0,"",VLOOKUP($B51,Table2[],5,FALSE))</f>
        <v>ounce</v>
      </c>
      <c r="J51" s="109">
        <f>IF($B51=0,"",VLOOKUP($B51,Table2[],7,FALSE))</f>
        <v>5.078125</v>
      </c>
      <c r="K51" s="109">
        <f>IF(B51=0,0,ROUND(G51*H51*J51,2))</f>
        <v>3.05</v>
      </c>
      <c r="L51" s="110"/>
    </row>
    <row r="52" spans="1:12" x14ac:dyDescent="0.2">
      <c r="A52" s="143"/>
      <c r="B52" s="213" t="s">
        <v>198</v>
      </c>
      <c r="C52" s="387" t="str">
        <f>IF(B52=0,"",VLOOKUP($B52,Table2[],2,FALSE))</f>
        <v>Custom</v>
      </c>
      <c r="D52" s="387"/>
      <c r="E52" s="387"/>
      <c r="F52" s="214">
        <v>14</v>
      </c>
      <c r="G52" s="221">
        <v>1</v>
      </c>
      <c r="H52" s="222">
        <f>$G$4</f>
        <v>175</v>
      </c>
      <c r="I52" s="223" t="str">
        <f>IF($B52=0,"",VLOOKUP($B52,Table2[],5,FALSE))</f>
        <v>bushel</v>
      </c>
      <c r="J52" s="215">
        <f>IF($B52=0,"",VLOOKUP($B52,Table2[],7,FALSE))</f>
        <v>0.15</v>
      </c>
      <c r="K52" s="215">
        <f t="shared" si="2"/>
        <v>26.25</v>
      </c>
      <c r="L52" s="216"/>
    </row>
    <row r="53" spans="1:12" x14ac:dyDescent="0.2">
      <c r="A53" s="143"/>
      <c r="B53" s="180" t="s">
        <v>190</v>
      </c>
      <c r="C53" s="388" t="str">
        <f>IF(B53=0,"",VLOOKUP($B53,Table2[],2,FALSE))</f>
        <v>Custom</v>
      </c>
      <c r="D53" s="388"/>
      <c r="E53" s="388"/>
      <c r="F53" s="174">
        <v>15</v>
      </c>
      <c r="G53" s="175">
        <v>0.1</v>
      </c>
      <c r="H53" s="176">
        <f>$G$4</f>
        <v>175</v>
      </c>
      <c r="I53" s="120" t="str">
        <f>IF($B53=0,"",VLOOKUP($B53,Table2[],5,FALSE))</f>
        <v>bushel</v>
      </c>
      <c r="J53" s="109">
        <f>IF($B53=0,"",VLOOKUP($B53,Table2[],7,FALSE))</f>
        <v>0.1</v>
      </c>
      <c r="K53" s="109">
        <f t="shared" si="2"/>
        <v>1.75</v>
      </c>
      <c r="L53" s="110"/>
    </row>
    <row r="54" spans="1:12" x14ac:dyDescent="0.2">
      <c r="A54" s="105"/>
      <c r="B54" s="180" t="s">
        <v>297</v>
      </c>
      <c r="C54" s="388" t="str">
        <f>IF(B54=0,"",VLOOKUP($B54,Table2[],2,FALSE))</f>
        <v>Other</v>
      </c>
      <c r="D54" s="388"/>
      <c r="E54" s="388"/>
      <c r="F54" s="174">
        <v>11</v>
      </c>
      <c r="G54" s="175">
        <v>1</v>
      </c>
      <c r="H54" s="176">
        <v>1</v>
      </c>
      <c r="I54" s="120" t="str">
        <f>IF($B54=0,"",VLOOKUP($B54,Table2[],5,FALSE))</f>
        <v>acre</v>
      </c>
      <c r="J54" s="109">
        <f>IF($B54=0,"",VLOOKUP($B54,Table2[],7,FALSE))</f>
        <v>40</v>
      </c>
      <c r="K54" s="109">
        <f t="shared" si="2"/>
        <v>40</v>
      </c>
      <c r="L54" s="110"/>
    </row>
    <row r="55" spans="1:12" x14ac:dyDescent="0.2">
      <c r="B55" s="180" t="s">
        <v>313</v>
      </c>
      <c r="C55" s="388" t="str">
        <f>IF(B55=0,"",VLOOKUP($B55,Table2[],2,FALSE))</f>
        <v>Scouting</v>
      </c>
      <c r="D55" s="388"/>
      <c r="E55" s="388"/>
      <c r="F55" s="174"/>
      <c r="G55" s="175">
        <v>1</v>
      </c>
      <c r="H55" s="176">
        <v>1</v>
      </c>
      <c r="I55" s="120" t="str">
        <f>IF($B55=0,"",VLOOKUP($B55,Table2[],5,FALSE))</f>
        <v>acre</v>
      </c>
      <c r="J55" s="109">
        <f>IF($B55=0,"",VLOOKUP($B55,Table2[],7,FALSE))</f>
        <v>13</v>
      </c>
      <c r="K55" s="109">
        <f t="shared" si="2"/>
        <v>13</v>
      </c>
      <c r="L55" s="110"/>
    </row>
    <row r="56" spans="1:12" ht="12.75" hidden="1" customHeight="1" x14ac:dyDescent="0.2">
      <c r="B56" s="111"/>
      <c r="C56" s="388" t="str">
        <f>IF(B56=0,"",VLOOKUP($B56,Table2[],2,FALSE))</f>
        <v/>
      </c>
      <c r="D56" s="388"/>
      <c r="E56" s="388"/>
      <c r="F56" s="112"/>
      <c r="G56" s="175"/>
      <c r="H56" s="178"/>
      <c r="I56" s="120" t="str">
        <f>IF($B56=0,"",VLOOKUP($B56,Table2[],5,FALSE))</f>
        <v/>
      </c>
      <c r="J56" s="109" t="str">
        <f>IF($B56=0,"",VLOOKUP($B56,Table2[],7,FALSE))</f>
        <v/>
      </c>
      <c r="K56" s="109">
        <f t="shared" si="2"/>
        <v>0</v>
      </c>
      <c r="L56" s="110"/>
    </row>
    <row r="57" spans="1:12" ht="12.75" hidden="1" customHeight="1" x14ac:dyDescent="0.2">
      <c r="B57" s="217"/>
      <c r="C57" s="387" t="str">
        <f>IF(B57=0,"",VLOOKUP($B57,Table2[],2,FALSE))</f>
        <v/>
      </c>
      <c r="D57" s="387"/>
      <c r="E57" s="387"/>
      <c r="F57" s="218"/>
      <c r="G57" s="224">
        <v>0.1</v>
      </c>
      <c r="H57" s="225"/>
      <c r="I57" s="223" t="str">
        <f>IF($B57=0,"",VLOOKUP($B57,Table2[],5,FALSE))</f>
        <v/>
      </c>
      <c r="J57" s="215" t="str">
        <f>IF($B57=0,"",VLOOKUP($B57,Table2[],7,FALSE))</f>
        <v/>
      </c>
      <c r="K57" s="215">
        <f t="shared" si="2"/>
        <v>0</v>
      </c>
      <c r="L57" s="216"/>
    </row>
    <row r="58" spans="1:12" ht="12.75" hidden="1" customHeight="1" x14ac:dyDescent="0.2">
      <c r="B58" s="111"/>
      <c r="C58" s="388" t="str">
        <f>IF(B58=0,"",VLOOKUP($B58,Table2[],2,FALSE))</f>
        <v/>
      </c>
      <c r="D58" s="388"/>
      <c r="E58" s="388"/>
      <c r="F58" s="112"/>
      <c r="G58" s="177">
        <v>0.2</v>
      </c>
      <c r="H58" s="178"/>
      <c r="I58" s="120" t="str">
        <f>IF($B58=0,"",VLOOKUP($B58,Table2[],5,FALSE))</f>
        <v/>
      </c>
      <c r="J58" s="109" t="str">
        <f>IF($B58=0,"",VLOOKUP($B58,Table2[],7,FALSE))</f>
        <v/>
      </c>
      <c r="K58" s="109">
        <f t="shared" si="2"/>
        <v>0</v>
      </c>
      <c r="L58" s="110"/>
    </row>
    <row r="59" spans="1:12" ht="12.75" hidden="1" customHeight="1" x14ac:dyDescent="0.2">
      <c r="B59" s="111"/>
      <c r="C59" s="388" t="str">
        <f>IF(B59=0,"",VLOOKUP($B59,Table2[],2,FALSE))</f>
        <v/>
      </c>
      <c r="D59" s="388"/>
      <c r="E59" s="388"/>
      <c r="F59" s="112"/>
      <c r="G59" s="177">
        <v>0.3</v>
      </c>
      <c r="H59" s="178"/>
      <c r="I59" s="120" t="str">
        <f>IF($B59=0,"",VLOOKUP($B59,Table2[],5,FALSE))</f>
        <v/>
      </c>
      <c r="J59" s="109" t="str">
        <f>IF($B59=0,"",VLOOKUP($B59,Table2[],7,FALSE))</f>
        <v/>
      </c>
      <c r="K59" s="109">
        <f t="shared" si="2"/>
        <v>0</v>
      </c>
      <c r="L59" s="110"/>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 t="shared" si="2"/>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111"/>
      <c r="C63" s="388" t="str">
        <f>IF(B63=0,"",VLOOKUP($B63,Table2[],2,FALSE))</f>
        <v/>
      </c>
      <c r="D63" s="388"/>
      <c r="E63" s="388"/>
      <c r="F63" s="112"/>
      <c r="G63" s="177"/>
      <c r="H63" s="178"/>
      <c r="I63" s="120" t="str">
        <f>IF($B63=0,"",VLOOKUP($B63,Table2[],5,FALSE))</f>
        <v/>
      </c>
      <c r="J63" s="109" t="str">
        <f>IF($B63=0,"",VLOOKUP($B63,Table2[],7,FALSE))</f>
        <v/>
      </c>
      <c r="K63" s="109">
        <f>IF(B63=0,0,ROUND(G63*H63*J63,2))</f>
        <v>0</v>
      </c>
      <c r="L63" s="113"/>
    </row>
    <row r="64" spans="1:12" ht="12.75" hidden="1" customHeight="1" x14ac:dyDescent="0.2">
      <c r="B64" s="111"/>
      <c r="C64" s="388" t="str">
        <f>IF(B64=0,"",VLOOKUP($B64,Table2[],2,FALSE))</f>
        <v/>
      </c>
      <c r="D64" s="388"/>
      <c r="E64" s="388"/>
      <c r="F64" s="112"/>
      <c r="G64" s="177"/>
      <c r="H64" s="178"/>
      <c r="I64" s="120" t="str">
        <f>IF($B64=0,"",VLOOKUP($B64,Table2[],5,FALSE))</f>
        <v/>
      </c>
      <c r="J64" s="109" t="str">
        <f>IF($B64=0,"",VLOOKUP($B64,Table2[],7,FALSE))</f>
        <v/>
      </c>
      <c r="K64" s="109">
        <f>IF(B64=0,0,ROUND(G64*H64*J64,2))</f>
        <v>0</v>
      </c>
      <c r="L64" s="113"/>
    </row>
    <row r="65" spans="2:12" ht="12.75" hidden="1" customHeight="1" x14ac:dyDescent="0.2">
      <c r="B65" s="217"/>
      <c r="C65" s="387" t="str">
        <f>IF(B65=0,"",VLOOKUP($B65,Table2[],2,FALSE))</f>
        <v/>
      </c>
      <c r="D65" s="387"/>
      <c r="E65" s="387"/>
      <c r="F65" s="218"/>
      <c r="G65" s="224"/>
      <c r="H65" s="225"/>
      <c r="I65" s="223" t="str">
        <f>IF($B65=0,"",VLOOKUP($B65,Table2[],5,FALSE))</f>
        <v/>
      </c>
      <c r="J65" s="215" t="str">
        <f>IF($B65=0,"",VLOOKUP($B65,Table2[],7,FALSE))</f>
        <v/>
      </c>
      <c r="K65" s="215">
        <f>IF(B65=0,0,ROUND(G65*H65*J65,2))</f>
        <v>0</v>
      </c>
      <c r="L65" s="227"/>
    </row>
    <row r="66" spans="2:12" x14ac:dyDescent="0.2">
      <c r="B66" s="185" t="s">
        <v>430</v>
      </c>
      <c r="C66" s="388" t="s">
        <v>655</v>
      </c>
      <c r="D66" s="388"/>
      <c r="E66" s="388"/>
      <c r="F66" s="112"/>
      <c r="G66" s="177"/>
      <c r="H66" s="178"/>
      <c r="I66" s="170"/>
      <c r="J66" s="109">
        <f ca="1">IF(F5=0,E5,F5)</f>
        <v>8</v>
      </c>
      <c r="K66" s="109">
        <f ca="1">IF(B66=0,0,J66)</f>
        <v>8</v>
      </c>
      <c r="L66" s="113"/>
    </row>
    <row r="67" spans="2:12" ht="3.75" customHeight="1" thickBot="1" x14ac:dyDescent="0.25">
      <c r="B67" s="114"/>
      <c r="C67" s="121"/>
      <c r="D67" s="121"/>
      <c r="E67" s="121"/>
      <c r="F67" s="115"/>
      <c r="G67" s="122"/>
      <c r="H67" s="114"/>
      <c r="I67" s="123"/>
      <c r="J67" s="124"/>
      <c r="K67" s="125"/>
      <c r="L67" s="117"/>
    </row>
    <row r="68" spans="2:12" ht="13.5" thickTop="1" x14ac:dyDescent="0.2">
      <c r="C68" s="108" t="s">
        <v>671</v>
      </c>
      <c r="D68" s="108"/>
      <c r="J68" s="126"/>
      <c r="K68" s="141">
        <f ca="1">SUM(K38:K66)</f>
        <v>408.20000000000005</v>
      </c>
      <c r="L68" s="110"/>
    </row>
    <row r="69" spans="2:12" x14ac:dyDescent="0.2">
      <c r="B69" s="144"/>
      <c r="K69" s="128"/>
    </row>
    <row r="70" spans="2:12" x14ac:dyDescent="0.2">
      <c r="B70" s="107" t="s">
        <v>672</v>
      </c>
      <c r="K70" s="141">
        <f ca="1">K34+K68</f>
        <v>626.52</v>
      </c>
      <c r="L70" s="110"/>
    </row>
    <row r="71" spans="2:12" ht="13.5" thickBot="1" x14ac:dyDescent="0.25">
      <c r="D71" s="128" t="s">
        <v>673</v>
      </c>
      <c r="E71" s="129">
        <f ca="1">ROUND(SUM($E$34:$H$34)+$K$68,2)</f>
        <v>507.43</v>
      </c>
      <c r="F71" s="388" t="s">
        <v>674</v>
      </c>
      <c r="G71" s="388"/>
      <c r="H71" s="130">
        <f>'General Variables'!$B$11</f>
        <v>7.4999999999999997E-2</v>
      </c>
      <c r="I71" s="131" t="str">
        <f>CONCATENATE("for ",TEXT('General Variables'!$B$12,"0.0")," mo.")</f>
        <v>for 6.0 mo.</v>
      </c>
      <c r="K71" s="145">
        <f ca="1">E71*H71*'General Variables'!$B$12/12</f>
        <v>19.028624999999998</v>
      </c>
      <c r="L71" s="133"/>
    </row>
    <row r="72" spans="2:12" ht="13.5" thickTop="1" x14ac:dyDescent="0.2">
      <c r="B72" s="107" t="s">
        <v>675</v>
      </c>
      <c r="K72" s="141">
        <f ca="1">SUM(K70:K71)</f>
        <v>645.54862500000002</v>
      </c>
      <c r="L72" s="110"/>
    </row>
    <row r="73" spans="2:12" x14ac:dyDescent="0.2">
      <c r="K73" s="128"/>
    </row>
    <row r="74" spans="2:12" x14ac:dyDescent="0.2">
      <c r="B74" s="104" t="s">
        <v>676</v>
      </c>
      <c r="C74" s="134"/>
      <c r="D74" s="134"/>
      <c r="E74" s="134"/>
      <c r="F74" s="134"/>
      <c r="G74" s="134"/>
      <c r="H74" s="134"/>
      <c r="I74" s="134"/>
      <c r="J74" s="134"/>
      <c r="K74" s="142">
        <f>'General Variables'!B14</f>
        <v>35</v>
      </c>
      <c r="L74" s="110"/>
    </row>
    <row r="75" spans="2:12" x14ac:dyDescent="0.2">
      <c r="B75" s="103" t="s">
        <v>687</v>
      </c>
      <c r="C75" s="402" t="s">
        <v>37</v>
      </c>
      <c r="D75" s="403"/>
      <c r="E75" s="404"/>
      <c r="F75" s="136">
        <f>IF(C75=0,0,VLOOKUP(C75,RETable,2,FALSE))</f>
        <v>3565</v>
      </c>
      <c r="G75" s="388" t="s">
        <v>678</v>
      </c>
      <c r="H75" s="388"/>
      <c r="I75" s="130">
        <f>'General Variables'!$B$10</f>
        <v>0.03</v>
      </c>
      <c r="K75" s="146">
        <f>ROUND(F75*I75,2)</f>
        <v>106.95</v>
      </c>
      <c r="L75" s="110"/>
    </row>
    <row r="76" spans="2:12" ht="13.5" thickBot="1" x14ac:dyDescent="0.25">
      <c r="B76" s="103" t="s">
        <v>679</v>
      </c>
      <c r="F76" s="138">
        <f>IF(C75=0,0,VLOOKUP(C75,RETable,2,FALSE))</f>
        <v>3565</v>
      </c>
      <c r="G76" s="397" t="s">
        <v>678</v>
      </c>
      <c r="H76" s="397"/>
      <c r="I76" s="139">
        <f>'General Variables'!$B$13</f>
        <v>1.2999999999999999E-2</v>
      </c>
      <c r="J76" s="105"/>
      <c r="K76" s="147">
        <f>ROUND(F76*I76,2)</f>
        <v>46.35</v>
      </c>
      <c r="L76" s="133"/>
    </row>
    <row r="77" spans="2:12" ht="13.5" thickTop="1" x14ac:dyDescent="0.2">
      <c r="B77" s="107" t="s">
        <v>680</v>
      </c>
      <c r="K77" s="141">
        <f ca="1">SUM(K72:K76)</f>
        <v>833.84862500000008</v>
      </c>
      <c r="L77" s="110"/>
    </row>
    <row r="78" spans="2:12" x14ac:dyDescent="0.2">
      <c r="K78" s="128"/>
    </row>
    <row r="79" spans="2:12" x14ac:dyDescent="0.2">
      <c r="B79" s="104" t="str">
        <f>IF(G4="","","Cash Cost per "&amp;H4)</f>
        <v>Cash Cost per bushel</v>
      </c>
      <c r="C79" s="261" t="s">
        <v>688</v>
      </c>
      <c r="D79" s="105"/>
      <c r="E79" s="105"/>
      <c r="F79" s="105"/>
      <c r="G79" s="105"/>
      <c r="H79" s="105"/>
      <c r="I79" s="105"/>
      <c r="J79" s="105"/>
      <c r="K79" s="142">
        <f ca="1">IF(G4=0,0,(E71+K71+K74+K76)/G4)</f>
        <v>3.4731921428571431</v>
      </c>
      <c r="L79" s="148"/>
    </row>
    <row r="80" spans="2:12" x14ac:dyDescent="0.2">
      <c r="B80" s="107" t="str">
        <f>IF(G4="","","Cost of production per "&amp;H4)</f>
        <v>Cost of production per bushel</v>
      </c>
      <c r="K80" s="141">
        <f ca="1">IF(G4="","",K77/G4)</f>
        <v>4.7648492857142859</v>
      </c>
      <c r="L80" s="110"/>
    </row>
    <row r="82" spans="2:12" x14ac:dyDescent="0.2">
      <c r="D82" s="103" t="s">
        <v>900</v>
      </c>
      <c r="G82" s="105"/>
      <c r="H82" s="105"/>
      <c r="I82" s="105"/>
      <c r="J82" s="105"/>
      <c r="K82" s="355" t="s">
        <v>901</v>
      </c>
      <c r="L82" s="105"/>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6"/>
      <c r="C115" s="106"/>
      <c r="D115" s="106"/>
    </row>
    <row r="116" spans="2:11" x14ac:dyDescent="0.2">
      <c r="B116" s="105"/>
      <c r="C116" s="105"/>
      <c r="D116" s="105"/>
      <c r="H116" s="103" t="e">
        <f>'General Variables'!#REF!</f>
        <v>#REF!</v>
      </c>
    </row>
    <row r="117" spans="2:11" x14ac:dyDescent="0.2">
      <c r="B117" s="105"/>
      <c r="C117" s="105"/>
      <c r="D117" s="105"/>
      <c r="H117" s="103" t="e">
        <f>'General Variables'!#REF!</f>
        <v>#REF!</v>
      </c>
      <c r="K117" s="103" t="s">
        <v>681</v>
      </c>
    </row>
    <row r="118" spans="2:11" x14ac:dyDescent="0.2">
      <c r="B118" s="105"/>
      <c r="C118" s="105"/>
      <c r="D118" s="105"/>
      <c r="H118" s="103" t="e">
        <f>'General Variables'!#REF!</f>
        <v>#REF!</v>
      </c>
      <c r="K118" s="103" t="s">
        <v>654</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c r="H131" s="103" t="e">
        <f>'General Variables'!#REF!</f>
        <v>#REF!</v>
      </c>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c r="D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c r="C245" s="105"/>
    </row>
    <row r="246" spans="2:3" x14ac:dyDescent="0.2">
      <c r="B246" s="105" t="str">
        <f>IF(Operations!A96="","",Operations!A96)</f>
        <v/>
      </c>
      <c r="C246" s="105" t="str">
        <f>IF(Materials!B140="","",Materials!B140)</f>
        <v>Alfalfa w/Inoculant</v>
      </c>
    </row>
    <row r="247" spans="2:3" x14ac:dyDescent="0.2">
      <c r="B247" s="105" t="str">
        <f>IF(Operations!A97="","",Operations!A97)</f>
        <v/>
      </c>
      <c r="C247" s="105" t="str">
        <f>IF(Materials!B141="","",Materials!B141)</f>
        <v>Corn</v>
      </c>
    </row>
    <row r="248" spans="2:3" x14ac:dyDescent="0.2">
      <c r="B248" s="105" t="str">
        <f>IF(Operations!A98="","",Operations!A98)</f>
        <v/>
      </c>
      <c r="C248" s="105" t="str">
        <f>IF(Materials!B142="","",Materials!B142)</f>
        <v>Corn Bt, ECB, &amp; RIB</v>
      </c>
    </row>
    <row r="249" spans="2:3" x14ac:dyDescent="0.2">
      <c r="B249" s="105" t="str">
        <f>IF(Operations!A99="","",Operations!A99)</f>
        <v/>
      </c>
      <c r="C249" s="105" t="str">
        <f>IF(Materials!B143="","",Materials!B143)</f>
        <v>Corn Bt, ECB, RR2, LL, &amp; RIB</v>
      </c>
    </row>
    <row r="250" spans="2:3" x14ac:dyDescent="0.2">
      <c r="B250" s="105" t="str">
        <f>IF(Operations!A100="","",Operations!A100)</f>
        <v/>
      </c>
      <c r="C250" s="105" t="str">
        <f>IF(Materials!B144="","",Materials!B144)</f>
        <v>Corn Bt, ECB, RW, &amp; RIB</v>
      </c>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c r="C259" s="105"/>
    </row>
    <row r="260" spans="2:3" x14ac:dyDescent="0.2">
      <c r="B260" s="105"/>
    </row>
    <row r="261" spans="2:3" x14ac:dyDescent="0.2">
      <c r="B261" s="105"/>
    </row>
  </sheetData>
  <mergeCells count="49">
    <mergeCell ref="F71:G71"/>
    <mergeCell ref="C75:E75"/>
    <mergeCell ref="G75:H75"/>
    <mergeCell ref="G76:H76"/>
    <mergeCell ref="C61:E61"/>
    <mergeCell ref="C62:E62"/>
    <mergeCell ref="C63:E63"/>
    <mergeCell ref="C64:E64"/>
    <mergeCell ref="C65:E65"/>
    <mergeCell ref="C66:E66"/>
    <mergeCell ref="C60:E60"/>
    <mergeCell ref="C48:E48"/>
    <mergeCell ref="C50:E50"/>
    <mergeCell ref="C52:E52"/>
    <mergeCell ref="C53:E53"/>
    <mergeCell ref="C51:E51"/>
    <mergeCell ref="C54:E54"/>
    <mergeCell ref="C55:E55"/>
    <mergeCell ref="C56:E56"/>
    <mergeCell ref="C57:E57"/>
    <mergeCell ref="C58:E58"/>
    <mergeCell ref="C59:E59"/>
    <mergeCell ref="C49:E49"/>
    <mergeCell ref="C47:E47"/>
    <mergeCell ref="F36:F37"/>
    <mergeCell ref="G36:G37"/>
    <mergeCell ref="H36:I36"/>
    <mergeCell ref="J36:J37"/>
    <mergeCell ref="C39:E39"/>
    <mergeCell ref="C40:E40"/>
    <mergeCell ref="C41:E41"/>
    <mergeCell ref="C42:E42"/>
    <mergeCell ref="C43:E43"/>
    <mergeCell ref="C38:E38"/>
    <mergeCell ref="K2:L2"/>
    <mergeCell ref="G2:H2"/>
    <mergeCell ref="C4:E4"/>
    <mergeCell ref="L36:L37"/>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3" xr:uid="{00000000-0002-0000-2300-000000000000}">
      <formula1>$B$116:$B$213</formula1>
    </dataValidation>
    <dataValidation type="list" showInputMessage="1" showErrorMessage="1" sqref="B67" xr:uid="{00000000-0002-0000-2300-000001000000}">
      <formula1>$C$116:$C$239</formula1>
    </dataValidation>
    <dataValidation type="list" allowBlank="1" showInputMessage="1" showErrorMessage="1" sqref="K4" xr:uid="{00000000-0002-0000-2300-000002000000}">
      <formula1>$K$116:$K$118</formula1>
    </dataValidation>
    <dataValidation type="list" allowBlank="1" showInputMessage="1" showErrorMessage="1" sqref="C75:E75" xr:uid="{00000000-0002-0000-2300-000004000000}">
      <formula1>RealEstateList</formula1>
    </dataValidation>
    <dataValidation type="list" allowBlank="1" showInputMessage="1" showErrorMessage="1" sqref="B12:B32" xr:uid="{00000000-0002-0000-2300-000005000000}">
      <formula1>OperationList</formula1>
    </dataValidation>
    <dataValidation type="list" allowBlank="1" showInputMessage="1" showErrorMessage="1" sqref="D12:D33" xr:uid="{00000000-0002-0000-2300-000006000000}">
      <formula1>#REF!</formula1>
    </dataValidation>
    <dataValidation type="list" allowBlank="1" showInputMessage="1" showErrorMessage="1" sqref="K2" xr:uid="{00000000-0002-0000-2300-000007000000}">
      <formula1>watersource</formula1>
    </dataValidation>
    <dataValidation type="list" allowBlank="1" showInputMessage="1" showErrorMessage="1" sqref="C3" xr:uid="{00000000-0002-0000-2300-000008000000}">
      <formula1>TillageSystem</formula1>
    </dataValidation>
    <dataValidation type="list" allowBlank="1" showInputMessage="1" showErrorMessage="1" sqref="B38:B65" xr:uid="{00000000-0002-0000-2300-000003000000}">
      <formula1>MaterialList</formula1>
    </dataValidation>
  </dataValidations>
  <pageMargins left="0.7" right="0.7" top="0.75" bottom="0.75" header="0.3" footer="0.3"/>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3">
    <pageSetUpPr fitToPage="1"/>
  </sheetPr>
  <dimension ref="A2:M256"/>
  <sheetViews>
    <sheetView zoomScaleNormal="100" workbookViewId="0">
      <selection activeCell="E17" sqref="E1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727</v>
      </c>
      <c r="H2" s="392"/>
      <c r="J2" s="128" t="s">
        <v>649</v>
      </c>
      <c r="K2" s="401" t="s">
        <v>70</v>
      </c>
      <c r="L2" s="401"/>
    </row>
    <row r="3" spans="1:13" hidden="1" x14ac:dyDescent="0.2">
      <c r="B3" s="103" t="s">
        <v>38</v>
      </c>
      <c r="C3" s="391" t="s">
        <v>46</v>
      </c>
      <c r="D3" s="391"/>
      <c r="E3" s="391"/>
      <c r="G3" s="128" t="s">
        <v>650</v>
      </c>
      <c r="H3" s="187" t="s">
        <v>728</v>
      </c>
      <c r="J3" s="128" t="s">
        <v>651</v>
      </c>
      <c r="K3" s="187">
        <v>9</v>
      </c>
    </row>
    <row r="4" spans="1:13" hidden="1" x14ac:dyDescent="0.2">
      <c r="B4" s="103" t="s">
        <v>652</v>
      </c>
      <c r="C4" s="392" t="s">
        <v>62</v>
      </c>
      <c r="D4" s="392"/>
      <c r="E4" s="392"/>
      <c r="G4" s="103">
        <f>IFERROR(VALUE(LEFT($H$3,FIND(" ",$H$3))),"")</f>
        <v>245</v>
      </c>
      <c r="H4" s="103" t="str">
        <f>IFERROR(RIGHT(H3,LEN(H3)-LEN(G4)-1),"")</f>
        <v>bushel</v>
      </c>
      <c r="J4" s="128" t="s">
        <v>653</v>
      </c>
      <c r="K4" s="188" t="s">
        <v>654</v>
      </c>
    </row>
    <row r="5" spans="1:13" ht="15.75" hidden="1" customHeight="1" x14ac:dyDescent="0.2">
      <c r="B5" s="103" t="s">
        <v>655</v>
      </c>
      <c r="C5" s="103" t="str">
        <f ca="1">MID(CELL("filename",C5),FIND("]",CELL("filename",C5))+1,255)</f>
        <v>30-Corn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30-Corn, Bt, ECB, RW, &amp; RIB, No Till, Continuous, 245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30-Corn, Bt, ECB, RW, &amp; RIB, No Till, Continuous, 245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525</v>
      </c>
      <c r="C15" s="214">
        <f>$K$3</f>
        <v>9</v>
      </c>
      <c r="D15" s="214" t="s">
        <v>693</v>
      </c>
      <c r="E15" s="215">
        <f>IF(B15=0,"",IF(C15&gt;9999,"",ROUND('General Variables'!$B$4*VLOOKUP(B15,Operations!$A$2:$U$79,10,FALSE)/VLOOKUP(B15,Operations!$A$2:$U$79,9,FALSE)*C15,2)))</f>
        <v>11.25</v>
      </c>
      <c r="F15" s="215">
        <f>IF(B15=0,0,IF(C15&gt;9999,"",ROUND(IF(VLOOKUP(B15,Operations!$A$2:$U$79,12,FALSE)=0,VLOOKUP(B15,Operations!$A$2:$U$79,13,FALSE)*'General Variables'!$B$8,VLOOKUP(B15,Operations!$A$2:$U$79,12,FALSE)*'General Variables'!$B$7)/VLOOKUP(B15,Operations!$A$2:$U$79,9,FALSE)*C15,2)))</f>
        <v>19.11</v>
      </c>
      <c r="G15" s="215">
        <f>IF(B15=0,0,IF(C15&gt;9999,"",ROUND(VLOOKUP(VLOOKUP(B15,Operations!$A$2:$U$79,11,FALSE),PowerUnits[],10,FALSE)/VLOOKUP(B15,Operations!$A$2:$U$79,9,FALSE)*C15,2)))</f>
        <v>5.0199999999999996</v>
      </c>
      <c r="H15" s="215">
        <v>8</v>
      </c>
      <c r="I15" s="215">
        <v>5</v>
      </c>
      <c r="J15" s="215">
        <f>IF(B15=0,"",IF(C15&gt;9999,"",ROUND(VLOOKUP($B15,Operations!$A$2:$U$79,21,FALSE)*$C15,2)))</f>
        <v>14.24</v>
      </c>
      <c r="K15" s="215">
        <f t="shared" si="0"/>
        <v>62.62</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944</v>
      </c>
      <c r="C19" s="214">
        <v>220</v>
      </c>
      <c r="D19" s="214"/>
      <c r="E19" s="215">
        <f>IF(B19=0,"",IF(C19&gt;9999,"",ROUND('General Variables'!$B$4*VLOOKUP(B19,Operations!$A$2:$U$79,10,FALSE)/VLOOKUP(B19,Operations!$A$2:$U$79,9,FALSE)*C19,2))/100)</f>
        <v>5.269400000000001</v>
      </c>
      <c r="F19" s="215">
        <f>IF(B19=0,0,IF(C19&gt;9999,"",ROUND(IF(VLOOKUP(B19,Operations!$A$2:$U$79,12,FALSE)=0,VLOOKUP(B19,Operations!$A$2:$U$79,13,FALSE)*'General Variables'!$B$8,VLOOKUP(B19,Operations!$A$2:$U$79,12,FALSE)*'General Variables'!$B$7)/VLOOKUP(B19,Operations!$A$2:$U$79,9,FALSE)*C19,2))/100)</f>
        <v>5.9557000000000002</v>
      </c>
      <c r="G19" s="215">
        <f>IF(B19=0,0,IF(C19&gt;9999,"",ROUND(VLOOKUP(VLOOKUP(B19,Operations!$A$2:$U$79,11,FALSE),PowerUnits[],10,FALSE)/VLOOKUP(B19,Operations!$A$2:$U$79,9,FALSE)*C19,2))/100)</f>
        <v>9.1562999999999999</v>
      </c>
      <c r="H19" s="215">
        <f>IF(B19=0,"",IF(C19&gt;9999,"",ROUND(VLOOKUP($B19,Operations!$A$2:$U$79,15,FALSE)*C19,2))/100)</f>
        <v>2.3637000000000001</v>
      </c>
      <c r="I19" s="215">
        <f>IF(B19=0,0,IF(C19&gt;9999,"",ROUND(VLOOKUP(VLOOKUP(B19,Operations!$A$2:$U$79,11,FALSE),PowerUnits[],16,FALSE)/VLOOKUP(B19,Operations!$A$2:$U$79,9,FALSE)*C19,2))/100)</f>
        <v>22.050700000000003</v>
      </c>
      <c r="J19" s="215">
        <f>IF(B19=0,"",IF(C19&gt;9999,"",ROUND(VLOOKUP($B19,Operations!$A$2:$U$79,21,FALSE)*$C19,2))/100)</f>
        <v>9.8083000000000009</v>
      </c>
      <c r="K19" s="215">
        <f>IF(C19&gt;9999,"",ROUND(SUM(E19:J19),2))</f>
        <v>54.6</v>
      </c>
      <c r="L19" s="216"/>
    </row>
    <row r="20" spans="1:12" x14ac:dyDescent="0.2">
      <c r="A20" s="170">
        <v>9</v>
      </c>
      <c r="B20" s="180" t="s">
        <v>414</v>
      </c>
      <c r="C20" s="174">
        <f>$G$4</f>
        <v>245</v>
      </c>
      <c r="D20" s="112" t="s">
        <v>706</v>
      </c>
      <c r="E20" s="109">
        <f>IF(B20=0,"",IF(C20&gt;9999,"",ROUND('General Variables'!$B$4*VLOOKUP(B20,Operations!$A$2:$U$79,10,FALSE)/VLOOKUP(B20,Operations!$A$2:$U$79,9,FALSE)*C20,2)))</f>
        <v>2.21</v>
      </c>
      <c r="F20" s="109">
        <f>IF(B20=0,0,IF(C20&gt;9999,"",ROUND(IF(VLOOKUP(B20,Operations!$A$2:$U$79,12,FALSE)=0,VLOOKUP(B20,Operations!$A$2:$U$79,13,FALSE)*'General Variables'!$B$8,VLOOKUP(B20,Operations!$A$2:$U$79,12,FALSE)*'General Variables'!$B$7)/VLOOKUP(B20,Operations!$A$2:$U$79,9,FALSE)*C20,2)))</f>
        <v>0.71</v>
      </c>
      <c r="G20" s="109">
        <f>IF(B20=0,0,IF(C20&gt;9999,"",ROUND(VLOOKUP(VLOOKUP(B20,Operations!$A$2:$U$79,11,FALSE),PowerUnits[],10,FALSE)/VLOOKUP(B20,Operations!$A$2:$U$79,9,FALSE)*C20,2)))</f>
        <v>0.06</v>
      </c>
      <c r="H20" s="109">
        <f>IF(B20=0,"",IF(C20&gt;9999,"",ROUND(VLOOKUP($B20,Operations!$A$2:$U$79,15,FALSE)*C20,2)))</f>
        <v>1.36</v>
      </c>
      <c r="I20" s="109">
        <f>IF(B20=0,0,IF(C20&gt;9999,"",ROUND(VLOOKUP(VLOOKUP(B20,Operations!$A$2:$U$79,11,FALSE),PowerUnits[],16,FALSE)/VLOOKUP(B20,Operations!$A$2:$U$79,9,FALSE)*C20,2)))</f>
        <v>3.21</v>
      </c>
      <c r="J20" s="109">
        <f>IF(B20=0,"",IF(C20&gt;9999,"",ROUND(VLOOKUP($B20,Operations!$A$2:$U$79,21,FALSE)*$C20,2)))</f>
        <v>2.71</v>
      </c>
      <c r="K20" s="109">
        <f>IF(C20&gt;9999,"",ROUND(SUM(E20:J20),2))</f>
        <v>10.26</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24.519400000000001</v>
      </c>
      <c r="F33" s="109">
        <f t="shared" ref="F33:K33" si="1">SUM(F12:F31)</f>
        <v>27.505700000000001</v>
      </c>
      <c r="G33" s="109">
        <f t="shared" si="1"/>
        <v>14.3863</v>
      </c>
      <c r="H33" s="109">
        <f t="shared" si="1"/>
        <v>21.463699999999999</v>
      </c>
      <c r="I33" s="109">
        <f t="shared" si="1"/>
        <v>37.870700000000006</v>
      </c>
      <c r="J33" s="109">
        <f t="shared" si="1"/>
        <v>38.418300000000002</v>
      </c>
      <c r="K33" s="109">
        <f t="shared" si="1"/>
        <v>164.16</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229</v>
      </c>
      <c r="C37" s="388" t="str">
        <f>IF(B37=0,"",VLOOKUP($B37,Table2[],2,FALSE))</f>
        <v>Herbicide</v>
      </c>
      <c r="D37" s="388"/>
      <c r="E37" s="388"/>
      <c r="F37" s="174">
        <v>1</v>
      </c>
      <c r="G37" s="175">
        <v>0.5</v>
      </c>
      <c r="H37" s="176">
        <v>1</v>
      </c>
      <c r="I37" s="120" t="str">
        <f>IF($B37=0,"",VLOOKUP($B37,Table2[],5,FALSE))</f>
        <v>pint</v>
      </c>
      <c r="J37" s="109">
        <f>IF($B37=0,"",VLOOKUP($B37,Table2[],7,FALSE))</f>
        <v>2.5</v>
      </c>
      <c r="K37" s="109">
        <f>IF(B37=0,0,ROUND(G37*H37*J37,2))</f>
        <v>1.25</v>
      </c>
      <c r="L37" s="110"/>
    </row>
    <row r="38" spans="1:12" x14ac:dyDescent="0.2">
      <c r="A38" s="105"/>
      <c r="B38" s="180" t="s">
        <v>259</v>
      </c>
      <c r="C38" s="388" t="str">
        <f>IF(B38=0,"",VLOOKUP($B38,Table2[],2,FALSE))</f>
        <v>Herbicide</v>
      </c>
      <c r="D38" s="388"/>
      <c r="E38" s="388"/>
      <c r="F38" s="174">
        <v>1</v>
      </c>
      <c r="G38" s="175">
        <v>0.5</v>
      </c>
      <c r="H38" s="176">
        <v>32</v>
      </c>
      <c r="I38" s="120" t="str">
        <f>IF($B38=0,"",VLOOKUP($B38,Table2[],5,FALSE))</f>
        <v>ounce</v>
      </c>
      <c r="J38" s="109">
        <f>IF($B38=0,"",VLOOKUP($B38,Table2[],7,FALSE))</f>
        <v>0.1328125</v>
      </c>
      <c r="K38" s="109">
        <f t="shared" ref="K38:K55" si="2">IF(B38=0,0,ROUND(G38*H38*J38,2))</f>
        <v>2.13</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325</v>
      </c>
      <c r="C41" s="388" t="str">
        <f>IF(B41=0,"",VLOOKUP($B41,Table2[],2,FALSE))</f>
        <v>Seed</v>
      </c>
      <c r="D41" s="388"/>
      <c r="E41" s="388"/>
      <c r="F41" s="174">
        <v>3</v>
      </c>
      <c r="G41" s="175">
        <v>1</v>
      </c>
      <c r="H41" s="300">
        <v>34</v>
      </c>
      <c r="I41" s="120" t="str">
        <f>IF($B41=0,"",VLOOKUP($B41,Table2[],5,FALSE))</f>
        <v>k seed</v>
      </c>
      <c r="J41" s="109">
        <f>IF($B41=0,"",VLOOKUP($B41,Table2[],7,FALSE))</f>
        <v>4.25</v>
      </c>
      <c r="K41" s="109">
        <f t="shared" si="2"/>
        <v>144.5</v>
      </c>
      <c r="L41" s="110"/>
    </row>
    <row r="42" spans="1:12" x14ac:dyDescent="0.2">
      <c r="A42" s="105"/>
      <c r="B42" s="180" t="s">
        <v>201</v>
      </c>
      <c r="C42" s="388" t="str">
        <f>IF(B42=0,"",VLOOKUP($B42,Table2[],2,FALSE))</f>
        <v>Fertilizer</v>
      </c>
      <c r="D42" s="388"/>
      <c r="E42" s="388"/>
      <c r="F42" s="174">
        <v>3</v>
      </c>
      <c r="G42" s="175">
        <v>1</v>
      </c>
      <c r="H42" s="176">
        <v>6</v>
      </c>
      <c r="I42" s="120" t="str">
        <f>IF($B42=0,"",VLOOKUP($B42,Table2[],5,FALSE))</f>
        <v>gallon</v>
      </c>
      <c r="J42" s="109">
        <f>IF($B42=0,"",VLOOKUP($B42,Table2[],7,FALSE))</f>
        <v>3.1</v>
      </c>
      <c r="K42" s="109">
        <f t="shared" si="2"/>
        <v>18.600000000000001</v>
      </c>
      <c r="L42" s="110"/>
    </row>
    <row r="43" spans="1:12" x14ac:dyDescent="0.2">
      <c r="A43" s="105"/>
      <c r="B43" s="213" t="s">
        <v>209</v>
      </c>
      <c r="C43" s="387" t="str">
        <f>IF(B43=0,"",VLOOKUP($B43,Table2[],2,FALSE))</f>
        <v>Fertilizer</v>
      </c>
      <c r="D43" s="387"/>
      <c r="E43" s="387"/>
      <c r="F43" s="214">
        <v>4</v>
      </c>
      <c r="G43" s="221">
        <v>1</v>
      </c>
      <c r="H43" s="301">
        <v>215</v>
      </c>
      <c r="I43" s="223" t="str">
        <f>IF($B43=0,"",VLOOKUP($B43,Table2[],5,FALSE))</f>
        <v>lbs N</v>
      </c>
      <c r="J43" s="215">
        <f>IF($B43=0,"",VLOOKUP($B43,Table2[],7,FALSE))</f>
        <v>0.5</v>
      </c>
      <c r="K43" s="215">
        <f t="shared" si="2"/>
        <v>107.5</v>
      </c>
      <c r="L43" s="216"/>
    </row>
    <row r="44" spans="1:12" x14ac:dyDescent="0.2">
      <c r="A44" s="105"/>
      <c r="B44" s="180" t="s">
        <v>291</v>
      </c>
      <c r="C44" s="170"/>
      <c r="D44" s="170" t="s">
        <v>292</v>
      </c>
      <c r="E44" s="170"/>
      <c r="F44" s="174">
        <v>4</v>
      </c>
      <c r="G44" s="175">
        <v>1</v>
      </c>
      <c r="H44" s="299">
        <v>1</v>
      </c>
      <c r="I44" s="120" t="s">
        <v>176</v>
      </c>
      <c r="J44" s="109">
        <f>IF($B44=0,"",VLOOKUP($B44,Table2[],7,FALSE))</f>
        <v>52</v>
      </c>
      <c r="K44" s="109">
        <f t="shared" ref="K44" si="3">IF(B44=0,0,ROUND(G44*H44*J44,2))</f>
        <v>52</v>
      </c>
      <c r="L44" s="110"/>
    </row>
    <row r="45" spans="1:12" x14ac:dyDescent="0.2">
      <c r="A45" s="105"/>
      <c r="B45" s="180" t="s">
        <v>276</v>
      </c>
      <c r="C45" s="388" t="str">
        <f>IF(B45=0,"",VLOOKUP($B45,Table2[],2,FALSE))</f>
        <v>Herbicide</v>
      </c>
      <c r="D45" s="388"/>
      <c r="E45" s="388"/>
      <c r="F45" s="174">
        <v>5</v>
      </c>
      <c r="G45" s="175">
        <v>1</v>
      </c>
      <c r="H45" s="176">
        <v>5</v>
      </c>
      <c r="I45" s="120" t="str">
        <f>IF($B45=0,"",VLOOKUP($B45,Table2[],5,FALSE))</f>
        <v>ounce</v>
      </c>
      <c r="J45" s="109">
        <f>IF($B45=0,"",VLOOKUP($B45,Table2[],7,FALSE))</f>
        <v>5.5</v>
      </c>
      <c r="K45" s="109">
        <f t="shared" si="2"/>
        <v>27.5</v>
      </c>
      <c r="L45" s="110"/>
    </row>
    <row r="46" spans="1:12" x14ac:dyDescent="0.2">
      <c r="A46" s="143"/>
      <c r="B46" s="180" t="s">
        <v>238</v>
      </c>
      <c r="C46" s="388" t="str">
        <f>IF(B46=0,"",VLOOKUP($B46,Table2[],2,FALSE))</f>
        <v>Herbicide</v>
      </c>
      <c r="D46" s="388"/>
      <c r="E46" s="388"/>
      <c r="F46" s="174">
        <v>5</v>
      </c>
      <c r="G46" s="175">
        <v>1</v>
      </c>
      <c r="H46" s="176">
        <v>1</v>
      </c>
      <c r="I46" s="120" t="str">
        <f>IF($B46=0,"",VLOOKUP($B46,Table2[],5,FALSE))</f>
        <v>pound</v>
      </c>
      <c r="J46" s="109">
        <f>IF($B46=0,"",VLOOKUP($B46,Table2[],7,FALSE))</f>
        <v>4.3</v>
      </c>
      <c r="K46" s="109">
        <f t="shared" si="2"/>
        <v>4.3</v>
      </c>
      <c r="L46" s="110"/>
    </row>
    <row r="47" spans="1:12" x14ac:dyDescent="0.2">
      <c r="A47" s="143"/>
      <c r="B47" s="213" t="s">
        <v>177</v>
      </c>
      <c r="C47" s="387" t="str">
        <f>IF(B47=0,"",VLOOKUP($B47,Table2[],2,FALSE))</f>
        <v>Additive</v>
      </c>
      <c r="D47" s="387"/>
      <c r="E47" s="387"/>
      <c r="F47" s="214">
        <v>5</v>
      </c>
      <c r="G47" s="221">
        <v>1</v>
      </c>
      <c r="H47" s="222">
        <v>1</v>
      </c>
      <c r="I47" s="223" t="str">
        <f>IF($B47=0,"",VLOOKUP($B47,Table2[],5,FALSE))</f>
        <v>pint</v>
      </c>
      <c r="J47" s="215">
        <f>IF($B47=0,"",VLOOKUP($B47,Table2[],7,FALSE))</f>
        <v>1.875</v>
      </c>
      <c r="K47" s="215">
        <f t="shared" si="2"/>
        <v>1.88</v>
      </c>
      <c r="L47" s="216"/>
    </row>
    <row r="48" spans="1:12" x14ac:dyDescent="0.2">
      <c r="B48" s="180" t="s">
        <v>182</v>
      </c>
      <c r="C48" s="388" t="str">
        <f>IF(B48=0,"",VLOOKUP($B48,Table2[],2,FALSE))</f>
        <v>Additive</v>
      </c>
      <c r="D48" s="388"/>
      <c r="E48" s="388"/>
      <c r="F48" s="174">
        <v>5</v>
      </c>
      <c r="G48" s="175">
        <v>1</v>
      </c>
      <c r="H48" s="176">
        <v>3</v>
      </c>
      <c r="I48" s="120" t="str">
        <f>IF($B48=0,"",VLOOKUP($B48,Table2[],5,FALSE))</f>
        <v>pint</v>
      </c>
      <c r="J48" s="109">
        <f>IF($B48=0,"",VLOOKUP($B48,Table2[],7,FALSE))</f>
        <v>0.22500000000000001</v>
      </c>
      <c r="K48" s="109">
        <f t="shared" si="2"/>
        <v>0.68</v>
      </c>
      <c r="L48" s="110"/>
    </row>
    <row r="49" spans="1:12" x14ac:dyDescent="0.2">
      <c r="A49" s="143"/>
      <c r="B49" s="180" t="s">
        <v>200</v>
      </c>
      <c r="C49" s="388" t="str">
        <f>IF(B49=0,"",VLOOKUP($B49,Table2[],2,FALSE))</f>
        <v>Custom</v>
      </c>
      <c r="D49" s="388"/>
      <c r="E49" s="388"/>
      <c r="F49" s="174">
        <v>6</v>
      </c>
      <c r="G49" s="175">
        <v>0.2</v>
      </c>
      <c r="H49" s="176">
        <v>1</v>
      </c>
      <c r="I49" s="120" t="str">
        <f>IF($B49=0,"",VLOOKUP($B49,Table2[],5,FALSE))</f>
        <v>acre</v>
      </c>
      <c r="J49" s="109">
        <f>IF($B49=0,"",VLOOKUP($B49,Table2[],7,FALSE))</f>
        <v>9</v>
      </c>
      <c r="K49" s="109">
        <f t="shared" si="2"/>
        <v>1.8</v>
      </c>
      <c r="L49" s="110"/>
    </row>
    <row r="50" spans="1:12" x14ac:dyDescent="0.2">
      <c r="A50" s="143" t="s">
        <v>638</v>
      </c>
      <c r="B50" s="180" t="s">
        <v>286</v>
      </c>
      <c r="C50" s="388" t="str">
        <f>IF(B50=0,"",VLOOKUP($B50,Table2[],2,FALSE))</f>
        <v>Insecticide</v>
      </c>
      <c r="D50" s="388"/>
      <c r="E50" s="388"/>
      <c r="F50" s="174">
        <v>6</v>
      </c>
      <c r="G50" s="175">
        <v>0.1</v>
      </c>
      <c r="H50" s="176">
        <v>5.12</v>
      </c>
      <c r="I50" s="120" t="str">
        <f>IF($B50=0,"",VLOOKUP($B50,Table2[],5,FALSE))</f>
        <v>ounce</v>
      </c>
      <c r="J50" s="109">
        <f>IF($B50=0,"",VLOOKUP($B50,Table2[],7,FALSE))</f>
        <v>1.015625</v>
      </c>
      <c r="K50" s="109">
        <f t="shared" si="2"/>
        <v>0.52</v>
      </c>
      <c r="L50" s="110"/>
    </row>
    <row r="51" spans="1:12" x14ac:dyDescent="0.2">
      <c r="A51" s="143" t="s">
        <v>638</v>
      </c>
      <c r="B51" s="213" t="s">
        <v>288</v>
      </c>
      <c r="C51" s="387" t="str">
        <f>IF(B51=0,"",VLOOKUP($B51,Table2[],2,FALSE))</f>
        <v>Insecticide</v>
      </c>
      <c r="D51" s="387"/>
      <c r="E51" s="387"/>
      <c r="F51" s="214">
        <v>6</v>
      </c>
      <c r="G51" s="221">
        <v>0.2</v>
      </c>
      <c r="H51" s="222">
        <v>3</v>
      </c>
      <c r="I51" s="223" t="str">
        <f>IF($B51=0,"",VLOOKUP($B51,Table2[],5,FALSE))</f>
        <v>ounce</v>
      </c>
      <c r="J51" s="215">
        <f>IF($B51=0,"",VLOOKUP($B51,Table2[],7,FALSE))</f>
        <v>1.25</v>
      </c>
      <c r="K51" s="215">
        <f t="shared" si="2"/>
        <v>0.75</v>
      </c>
      <c r="L51" s="216"/>
    </row>
    <row r="52" spans="1:12" x14ac:dyDescent="0.2">
      <c r="A52" s="105"/>
      <c r="B52" s="180" t="s">
        <v>200</v>
      </c>
      <c r="C52" s="388" t="str">
        <f>IF(B52=0,"",VLOOKUP($B52,Table2[],2,FALSE))</f>
        <v>Custom</v>
      </c>
      <c r="D52" s="388"/>
      <c r="E52" s="388"/>
      <c r="F52" s="174">
        <v>7</v>
      </c>
      <c r="G52" s="175">
        <v>0.3</v>
      </c>
      <c r="H52" s="176">
        <v>1</v>
      </c>
      <c r="I52" s="120" t="str">
        <f>IF($B52=0,"",VLOOKUP($B52,Table2[],5,FALSE))</f>
        <v>acre</v>
      </c>
      <c r="J52" s="109">
        <f>IF($B52=0,"",VLOOKUP($B52,Table2[],7,FALSE))</f>
        <v>9</v>
      </c>
      <c r="K52" s="109">
        <f t="shared" si="2"/>
        <v>2.7</v>
      </c>
      <c r="L52" s="110"/>
    </row>
    <row r="53" spans="1:12" x14ac:dyDescent="0.2">
      <c r="B53" s="180" t="s">
        <v>217</v>
      </c>
      <c r="C53" s="388" t="str">
        <f>IF(B53=0,"",VLOOKUP($B53,Table2[],2,FALSE))</f>
        <v>Fungicide</v>
      </c>
      <c r="D53" s="388"/>
      <c r="E53" s="388"/>
      <c r="F53" s="174">
        <v>7</v>
      </c>
      <c r="G53" s="175">
        <v>0.3</v>
      </c>
      <c r="H53" s="176">
        <v>10</v>
      </c>
      <c r="I53" s="120" t="str">
        <f>IF($B53=0,"",VLOOKUP($B53,Table2[],5,FALSE))</f>
        <v>ounce</v>
      </c>
      <c r="J53" s="109">
        <f>IF($B53=0,"",VLOOKUP($B53,Table2[],7,FALSE))</f>
        <v>2.03125</v>
      </c>
      <c r="K53" s="109">
        <f t="shared" si="2"/>
        <v>6.09</v>
      </c>
      <c r="L53" s="110"/>
    </row>
    <row r="54" spans="1:12" x14ac:dyDescent="0.2">
      <c r="B54" s="180" t="s">
        <v>198</v>
      </c>
      <c r="C54" s="388" t="str">
        <f>IF(B54=0,"",VLOOKUP($B54,Table2[],2,FALSE))</f>
        <v>Custom</v>
      </c>
      <c r="D54" s="388"/>
      <c r="E54" s="388"/>
      <c r="F54" s="174">
        <v>10</v>
      </c>
      <c r="G54" s="175">
        <v>1</v>
      </c>
      <c r="H54" s="176">
        <f>$G$4</f>
        <v>245</v>
      </c>
      <c r="I54" s="120" t="str">
        <f>IF($B54=0,"",VLOOKUP($B54,Table2[],5,FALSE))</f>
        <v>bushel</v>
      </c>
      <c r="J54" s="109">
        <f>IF($B54=0,"",VLOOKUP($B54,Table2[],7,FALSE))</f>
        <v>0.15</v>
      </c>
      <c r="K54" s="109">
        <f t="shared" si="2"/>
        <v>36.75</v>
      </c>
      <c r="L54" s="110"/>
    </row>
    <row r="55" spans="1:12" x14ac:dyDescent="0.2">
      <c r="B55" s="213" t="s">
        <v>190</v>
      </c>
      <c r="C55" s="387" t="str">
        <f>IF(B55=0,"",VLOOKUP($B55,Table2[],2,FALSE))</f>
        <v>Custom</v>
      </c>
      <c r="D55" s="387"/>
      <c r="E55" s="387"/>
      <c r="F55" s="214">
        <v>11</v>
      </c>
      <c r="G55" s="221">
        <v>0.2</v>
      </c>
      <c r="H55" s="222">
        <f>$G$4</f>
        <v>245</v>
      </c>
      <c r="I55" s="223" t="str">
        <f>IF($B55=0,"",VLOOKUP($B55,Table2[],5,FALSE))</f>
        <v>bushel</v>
      </c>
      <c r="J55" s="215">
        <f>IF($B55=0,"",VLOOKUP($B55,Table2[],7,FALSE))</f>
        <v>0.1</v>
      </c>
      <c r="K55" s="215">
        <f t="shared" si="2"/>
        <v>4.9000000000000004</v>
      </c>
      <c r="L55" s="227"/>
    </row>
    <row r="56" spans="1:12" x14ac:dyDescent="0.2">
      <c r="B56" s="111" t="s">
        <v>313</v>
      </c>
      <c r="C56" s="388" t="str">
        <f>IF(B56=0,"",VLOOKUP($B56,Table2[],2,FALSE))</f>
        <v>Scouting</v>
      </c>
      <c r="D56" s="388"/>
      <c r="E56" s="388"/>
      <c r="F56" s="112"/>
      <c r="G56" s="175">
        <v>1</v>
      </c>
      <c r="H56" s="178">
        <v>1</v>
      </c>
      <c r="I56" s="120" t="str">
        <f>IF($B56=0,"",VLOOKUP($B56,Table2[],5,FALSE))</f>
        <v>acre</v>
      </c>
      <c r="J56" s="109">
        <f>IF($B56=0,"",VLOOKUP($B56,Table2[],7,FALSE))</f>
        <v>13</v>
      </c>
      <c r="K56" s="109">
        <f>IF(B56=0,0,ROUND(G56*H56*J56,2))</f>
        <v>13</v>
      </c>
      <c r="L56" s="113"/>
    </row>
    <row r="57" spans="1:12" hidden="1" x14ac:dyDescent="0.2">
      <c r="B57" s="180"/>
      <c r="C57" s="388" t="str">
        <f>IF(B57=0,"",VLOOKUP($B57,Table2[],2,FALSE))</f>
        <v/>
      </c>
      <c r="D57" s="388"/>
      <c r="E57" s="388"/>
      <c r="F57" s="174"/>
      <c r="G57" s="175"/>
      <c r="H57" s="176"/>
      <c r="I57" s="120" t="str">
        <f>IF($B57=0,"",VLOOKUP($B57,Table2[],5,FALSE))</f>
        <v/>
      </c>
      <c r="J57" s="109" t="str">
        <f>IF($B57=0,"",VLOOKUP($B57,Table2[],7,FALSE))</f>
        <v/>
      </c>
      <c r="K57" s="109">
        <f>IF(B57=0,0,ROUND(G57*H57*J57,2))</f>
        <v>0</v>
      </c>
      <c r="L57" s="113"/>
    </row>
    <row r="58" spans="1:12" hidden="1" x14ac:dyDescent="0.2">
      <c r="B58" s="111"/>
      <c r="C58" s="388" t="str">
        <f>IF(B58=0,"",VLOOKUP($B58,Table2[],2,FALSE))</f>
        <v/>
      </c>
      <c r="D58" s="388"/>
      <c r="E58" s="388"/>
      <c r="F58" s="112"/>
      <c r="G58" s="175"/>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5</v>
      </c>
      <c r="K61" s="109">
        <f ca="1">IF(B61=0,0,J61)</f>
        <v>5</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485.31999999999994</v>
      </c>
      <c r="L63" s="110"/>
    </row>
    <row r="64" spans="1:12" x14ac:dyDescent="0.2">
      <c r="B64" s="144" t="s">
        <v>715</v>
      </c>
      <c r="K64" s="127"/>
    </row>
    <row r="65" spans="2:12" x14ac:dyDescent="0.2">
      <c r="B65" s="107" t="s">
        <v>672</v>
      </c>
      <c r="K65" s="127">
        <f ca="1">K33+K63</f>
        <v>649.4799999999999</v>
      </c>
      <c r="L65" s="110"/>
    </row>
    <row r="66" spans="2:12" ht="13.5" thickBot="1" x14ac:dyDescent="0.25">
      <c r="D66" s="128" t="s">
        <v>673</v>
      </c>
      <c r="E66" s="129">
        <f ca="1">ROUND(SUM($E$33:$H$33)+$K$63,2)</f>
        <v>573.20000000000005</v>
      </c>
      <c r="F66" s="388" t="s">
        <v>674</v>
      </c>
      <c r="G66" s="388"/>
      <c r="H66" s="130">
        <f>'General Variables'!$B$11</f>
        <v>7.4999999999999997E-2</v>
      </c>
      <c r="I66" s="131" t="str">
        <f>CONCATENATE("for ",TEXT('General Variables'!$B$12,"0.0")," mo.")</f>
        <v>for 6.0 mo.</v>
      </c>
      <c r="K66" s="132">
        <f ca="1">E66*H66*'General Variables'!$B$12/12</f>
        <v>21.495000000000001</v>
      </c>
      <c r="L66" s="133"/>
    </row>
    <row r="67" spans="2:12" ht="13.5" thickTop="1" x14ac:dyDescent="0.2">
      <c r="B67" s="107" t="s">
        <v>675</v>
      </c>
      <c r="K67" s="127">
        <f ca="1">SUM(K65:K66)</f>
        <v>670.97499999999991</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40</v>
      </c>
      <c r="D70" s="399"/>
      <c r="E70" s="400"/>
      <c r="F70" s="136">
        <f>IF(C70=0,0,VLOOKUP(C70,RETable,2,FALSE))</f>
        <v>9115</v>
      </c>
      <c r="G70" s="388" t="s">
        <v>678</v>
      </c>
      <c r="H70" s="388"/>
      <c r="I70" s="130">
        <f>'General Variables'!$B$10</f>
        <v>0.03</v>
      </c>
      <c r="K70" s="137">
        <f>ROUND(F70*I70,2)</f>
        <v>273.45</v>
      </c>
      <c r="L70" s="110"/>
    </row>
    <row r="71" spans="2:12" ht="13.5" thickBot="1" x14ac:dyDescent="0.25">
      <c r="B71" s="103" t="s">
        <v>679</v>
      </c>
      <c r="F71" s="138">
        <f>IF(C70=0,0,VLOOKUP(C70,RETable,2,FALSE))</f>
        <v>9115</v>
      </c>
      <c r="G71" s="397" t="s">
        <v>678</v>
      </c>
      <c r="H71" s="397"/>
      <c r="I71" s="139">
        <f>'General Variables'!$B$13</f>
        <v>1.2999999999999999E-2</v>
      </c>
      <c r="J71" s="105"/>
      <c r="K71" s="140">
        <f>ROUND(F71*I71,2)</f>
        <v>118.5</v>
      </c>
      <c r="L71" s="133"/>
    </row>
    <row r="72" spans="2:12" ht="13.5" thickTop="1" x14ac:dyDescent="0.2">
      <c r="B72" s="107" t="s">
        <v>680</v>
      </c>
      <c r="K72" s="127">
        <f ca="1">SUM(K67:K71)</f>
        <v>1097.925</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3.0538571428571433</v>
      </c>
      <c r="L74" s="148"/>
    </row>
    <row r="75" spans="2:12" x14ac:dyDescent="0.2">
      <c r="B75" s="107" t="str">
        <f>IF(G4="","","Cost of production per "&amp;H4)</f>
        <v>Cost of production per bushel</v>
      </c>
      <c r="K75" s="141">
        <f ca="1">IF(G4="","",K72/G4)</f>
        <v>4.481326530612245</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7">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1:E41"/>
    <mergeCell ref="C42:E42"/>
    <mergeCell ref="C43:E43"/>
    <mergeCell ref="C45:E45"/>
    <mergeCell ref="C46:E46"/>
    <mergeCell ref="C47:E47"/>
    <mergeCell ref="A6:M6"/>
    <mergeCell ref="C3:E3"/>
    <mergeCell ref="K2:L2"/>
    <mergeCell ref="G2:H2"/>
    <mergeCell ref="C4:E4"/>
  </mergeCells>
  <dataValidations count="9">
    <dataValidation type="list" allowBlank="1" showInputMessage="1" showErrorMessage="1" sqref="B32" xr:uid="{00000000-0002-0000-2400-000000000000}">
      <formula1>$B$111:$B$208</formula1>
    </dataValidation>
    <dataValidation type="list" showInputMessage="1" showErrorMessage="1" sqref="B62" xr:uid="{00000000-0002-0000-2400-000001000000}">
      <formula1>$C$111:$C$234</formula1>
    </dataValidation>
    <dataValidation type="list" allowBlank="1" showInputMessage="1" showErrorMessage="1" sqref="K4" xr:uid="{00000000-0002-0000-2400-000002000000}">
      <formula1>$K$111:$K$113</formula1>
    </dataValidation>
    <dataValidation type="list" allowBlank="1" showInputMessage="1" showErrorMessage="1" sqref="C70:E70" xr:uid="{00000000-0002-0000-2400-000004000000}">
      <formula1>RealEstateList</formula1>
    </dataValidation>
    <dataValidation type="list" allowBlank="1" showInputMessage="1" showErrorMessage="1" sqref="B12:B31" xr:uid="{00000000-0002-0000-2400-000005000000}">
      <formula1>OperationList</formula1>
    </dataValidation>
    <dataValidation type="list" allowBlank="1" showInputMessage="1" showErrorMessage="1" sqref="D12:D32" xr:uid="{00000000-0002-0000-2400-000006000000}">
      <formula1>#REF!</formula1>
    </dataValidation>
    <dataValidation type="list" allowBlank="1" showInputMessage="1" showErrorMessage="1" sqref="K2" xr:uid="{00000000-0002-0000-2400-000007000000}">
      <formula1>watersource</formula1>
    </dataValidation>
    <dataValidation type="list" allowBlank="1" showInputMessage="1" showErrorMessage="1" sqref="C3" xr:uid="{00000000-0002-0000-2400-000008000000}">
      <formula1>TillageSystem</formula1>
    </dataValidation>
    <dataValidation type="list" allowBlank="1" showInputMessage="1" showErrorMessage="1" sqref="B37:B60" xr:uid="{00000000-0002-0000-2400-000003000000}">
      <formula1>MaterialList</formula1>
    </dataValidation>
  </dataValidations>
  <pageMargins left="0.7" right="0.7" top="0.75" bottom="0.75" header="0.3" footer="0.3"/>
  <pageSetup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FE927-4626-4D51-A3F2-F3279F4B8BB5}">
  <sheetPr codeName="Sheet182">
    <pageSetUpPr fitToPage="1"/>
  </sheetPr>
  <dimension ref="A2:M258"/>
  <sheetViews>
    <sheetView zoomScaleNormal="100" workbookViewId="0">
      <selection activeCell="D17" sqref="D1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717</v>
      </c>
      <c r="H2" s="392"/>
      <c r="J2" s="128" t="s">
        <v>649</v>
      </c>
      <c r="K2" s="401" t="s">
        <v>70</v>
      </c>
      <c r="L2" s="401"/>
    </row>
    <row r="3" spans="1:13" hidden="1" x14ac:dyDescent="0.2">
      <c r="B3" s="103" t="s">
        <v>38</v>
      </c>
      <c r="C3" s="391" t="s">
        <v>46</v>
      </c>
      <c r="D3" s="391"/>
      <c r="E3" s="391"/>
      <c r="G3" s="128" t="s">
        <v>650</v>
      </c>
      <c r="H3" s="187" t="s">
        <v>730</v>
      </c>
      <c r="J3" s="128" t="s">
        <v>651</v>
      </c>
      <c r="K3" s="187">
        <v>9</v>
      </c>
    </row>
    <row r="4" spans="1:13" hidden="1" x14ac:dyDescent="0.2">
      <c r="B4" s="103" t="s">
        <v>652</v>
      </c>
      <c r="C4" s="392" t="s">
        <v>62</v>
      </c>
      <c r="D4" s="392"/>
      <c r="E4" s="392"/>
      <c r="G4" s="103">
        <f>IFERROR(VALUE(LEFT($H$3,FIND(" ",$H$3))),"")</f>
        <v>250</v>
      </c>
      <c r="H4" s="103" t="str">
        <f>IFERROR(RIGHT(H3,LEN(H3)-LEN(G4)-1),"")</f>
        <v>bushel</v>
      </c>
      <c r="J4" s="128" t="s">
        <v>653</v>
      </c>
      <c r="K4" s="188" t="s">
        <v>654</v>
      </c>
    </row>
    <row r="5" spans="1:13" ht="15.75" hidden="1" customHeight="1" x14ac:dyDescent="0.2">
      <c r="B5" s="103" t="s">
        <v>655</v>
      </c>
      <c r="C5" s="103" t="str">
        <f ca="1">MID(CELL("filename",C5),FIND("]",CELL("filename",C5))+1,255)</f>
        <v>31-Corn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31-Corn, SmartStax RIB Complete, No Till, Continuous, 250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31-Corn, SmartStax RIB Complete, No Till, Continuous, 250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&amp;TEXT('[2]General Variables'!B4,"#.00")&amp; " /Hr"</f>
        <v>Labor @ $25.00 /Hr</v>
      </c>
      <c r="F10" s="385" t="str">
        <f>"Fuel @ $" &amp; TEXT('[2]General Variables'!B5,"#.00") &amp; " and Lube"</f>
        <v>Fuel @ $1.50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552</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890</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525</v>
      </c>
      <c r="C18" s="174">
        <f>$K$3</f>
        <v>9</v>
      </c>
      <c r="D18" s="174" t="s">
        <v>693</v>
      </c>
      <c r="E18" s="109">
        <f>IF(B18=0,"",IF(C18&gt;9999,"",ROUND('General Variables'!$B$4*VLOOKUP(B18,Operations!$A$2:$U$79,10,FALSE)/VLOOKUP(B18,Operations!$A$2:$U$79,9,FALSE)*C18,2)))</f>
        <v>11.25</v>
      </c>
      <c r="F18" s="109">
        <f>IF(B18=0,0,IF(C18&gt;9999,"",ROUND(IF(VLOOKUP(B18,Operations!$A$2:$U$79,12,FALSE)=0,VLOOKUP(B18,Operations!$A$2:$U$79,13,FALSE)*'General Variables'!$B$8,VLOOKUP(B18,Operations!$A$2:$U$79,12,FALSE)*'General Variables'!$B$7)/VLOOKUP(B18,Operations!$A$2:$U$79,9,FALSE)*C18,2)))</f>
        <v>19.11</v>
      </c>
      <c r="G18" s="109">
        <f>IF(B18=0,0,IF(C18&gt;9999,"",ROUND(VLOOKUP(VLOOKUP(B18,Operations!$A$2:$U$79,11,FALSE),PowerUnits[],10,FALSE)/VLOOKUP(B18,Operations!$A$2:$U$79,9,FALSE)*C18,2)))</f>
        <v>5.0199999999999996</v>
      </c>
      <c r="H18" s="109">
        <v>8</v>
      </c>
      <c r="I18" s="109">
        <v>5</v>
      </c>
      <c r="J18" s="109">
        <f>IF(B18=0,"",IF(C18&gt;9999,"",ROUND(VLOOKUP($B18,Operations!$A$2:$U$79,21,FALSE)*$C18,2)))</f>
        <v>14.24</v>
      </c>
      <c r="K18" s="109">
        <f t="shared" si="0"/>
        <v>62.62</v>
      </c>
      <c r="L18" s="110"/>
    </row>
    <row r="19" spans="1:12" x14ac:dyDescent="0.2">
      <c r="A19" s="170">
        <v>8</v>
      </c>
      <c r="B19" s="213" t="s">
        <v>944</v>
      </c>
      <c r="C19" s="214">
        <v>220</v>
      </c>
      <c r="D19" s="214"/>
      <c r="E19" s="215">
        <f>IF(B19=0,"",IF(C19&gt;9999,"",ROUND('General Variables'!$B$4*VLOOKUP(B19,Operations!$A$2:$U$79,10,FALSE)/VLOOKUP(B19,Operations!$A$2:$U$79,9,FALSE)*C19,2))/100)</f>
        <v>5.269400000000001</v>
      </c>
      <c r="F19" s="215">
        <f>IF(B19=0,0,IF(C19&gt;9999,"",ROUND(IF(VLOOKUP(B19,Operations!$A$2:$U$79,12,FALSE)=0,VLOOKUP(B19,Operations!$A$2:$U$79,13,FALSE)*'General Variables'!$B$8,VLOOKUP(B19,Operations!$A$2:$U$79,12,FALSE)*'General Variables'!$B$7)/VLOOKUP(B19,Operations!$A$2:$U$79,9,FALSE)*C19,2))/100)</f>
        <v>5.9557000000000002</v>
      </c>
      <c r="G19" s="215">
        <f>IF(B19=0,0,IF(C19&gt;9999,"",ROUND(VLOOKUP(VLOOKUP(B19,Operations!$A$2:$U$79,11,FALSE),PowerUnits[],10,FALSE)/VLOOKUP(B19,Operations!$A$2:$U$79,9,FALSE)*C19,2))/100)</f>
        <v>9.1562999999999999</v>
      </c>
      <c r="H19" s="215">
        <f>IF(B19=0,"",IF(C19&gt;9999,"",ROUND(VLOOKUP($B19,Operations!$A$2:$U$79,15,FALSE)*C19,2))/100)</f>
        <v>2.3637000000000001</v>
      </c>
      <c r="I19" s="215">
        <f>IF(B19=0,0,IF(C19&gt;9999,"",ROUND(VLOOKUP(VLOOKUP(B19,Operations!$A$2:$U$79,11,FALSE),PowerUnits[],16,FALSE)/VLOOKUP(B19,Operations!$A$2:$U$79,9,FALSE)*C19,2))/100)</f>
        <v>22.050700000000003</v>
      </c>
      <c r="J19" s="215">
        <f>IF(B19=0,"",IF(C19&gt;9999,"",ROUND(VLOOKUP($B19,Operations!$A$2:$U$79,21,FALSE)*$C19,2))/100)</f>
        <v>9.8083000000000009</v>
      </c>
      <c r="K19" s="215">
        <f>IF(C19&gt;9999,"",ROUND(SUM(E19:J19),2))</f>
        <v>54.6</v>
      </c>
      <c r="L19" s="216"/>
    </row>
    <row r="20" spans="1:12" x14ac:dyDescent="0.2">
      <c r="A20" s="170">
        <v>9</v>
      </c>
      <c r="B20" s="180" t="s">
        <v>414</v>
      </c>
      <c r="C20" s="174">
        <f>$G$4</f>
        <v>250</v>
      </c>
      <c r="D20" s="112" t="s">
        <v>706</v>
      </c>
      <c r="E20" s="109">
        <f>IF(B20=0,"",IF(C20&gt;9999,"",ROUND('General Variables'!$B$4*VLOOKUP(B20,Operations!$A$2:$U$79,10,FALSE)/VLOOKUP(B20,Operations!$A$2:$U$79,9,FALSE)*C20,2)))</f>
        <v>2.25</v>
      </c>
      <c r="F20" s="109">
        <f>IF(B20=0,0,IF(C20&gt;9999,"",ROUND(IF(VLOOKUP(B20,Operations!$A$2:$U$79,12,FALSE)=0,VLOOKUP(B20,Operations!$A$2:$U$79,13,FALSE)*'General Variables'!$B$8,VLOOKUP(B20,Operations!$A$2:$U$79,12,FALSE)*'General Variables'!$B$7)/VLOOKUP(B20,Operations!$A$2:$U$79,9,FALSE)*C20,2)))</f>
        <v>0.73</v>
      </c>
      <c r="G20" s="109">
        <f>IF(B20=0,0,IF(C20&gt;9999,"",ROUND(VLOOKUP(VLOOKUP(B20,Operations!$A$2:$U$79,11,FALSE),PowerUnits[],10,FALSE)/VLOOKUP(B20,Operations!$A$2:$U$79,9,FALSE)*C20,2)))</f>
        <v>0.06</v>
      </c>
      <c r="H20" s="109">
        <f>IF(B20=0,"",IF(C20&gt;9999,"",ROUND(VLOOKUP($B20,Operations!$A$2:$U$79,15,FALSE)*C20,2)))</f>
        <v>1.38</v>
      </c>
      <c r="I20" s="109">
        <f>IF(B20=0,0,IF(C20&gt;9999,"",ROUND(VLOOKUP(VLOOKUP(B20,Operations!$A$2:$U$79,11,FALSE),PowerUnits[],16,FALSE)/VLOOKUP(B20,Operations!$A$2:$U$79,9,FALSE)*C20,2)))</f>
        <v>3.28</v>
      </c>
      <c r="J20" s="109">
        <f>IF(B20=0,"",IF(C20&gt;9999,"",ROUND(VLOOKUP($B20,Operations!$A$2:$U$79,21,FALSE)*$C20,2)))</f>
        <v>2.76</v>
      </c>
      <c r="K20" s="109">
        <f t="shared" si="0"/>
        <v>10.46</v>
      </c>
      <c r="L20" s="110"/>
    </row>
    <row r="21" spans="1:12" x14ac:dyDescent="0.2">
      <c r="A21" s="170">
        <v>10</v>
      </c>
      <c r="B21" s="180" t="s">
        <v>565</v>
      </c>
      <c r="C21" s="174" t="s">
        <v>184</v>
      </c>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24.5594</v>
      </c>
      <c r="F33" s="109">
        <f t="shared" ref="F33:K33" si="1">SUM(F12:F31)</f>
        <v>27.525700000000001</v>
      </c>
      <c r="G33" s="109">
        <f t="shared" si="1"/>
        <v>14.3863</v>
      </c>
      <c r="H33" s="109">
        <f t="shared" si="1"/>
        <v>21.483699999999999</v>
      </c>
      <c r="I33" s="109">
        <f t="shared" si="1"/>
        <v>37.940700000000007</v>
      </c>
      <c r="J33" s="109">
        <f t="shared" si="1"/>
        <v>38.468299999999999</v>
      </c>
      <c r="K33" s="109">
        <f t="shared" si="1"/>
        <v>164.36</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229</v>
      </c>
      <c r="C37" s="388" t="str">
        <f>IF(B37=0,"",VLOOKUP($B37,Table2[],2,FALSE))</f>
        <v>Herbicide</v>
      </c>
      <c r="D37" s="388"/>
      <c r="E37" s="388"/>
      <c r="F37" s="174">
        <v>1</v>
      </c>
      <c r="G37" s="175">
        <v>0.5</v>
      </c>
      <c r="H37" s="176">
        <v>1</v>
      </c>
      <c r="I37" s="120" t="str">
        <f>IF($B37=0,"",VLOOKUP($B37,Table2[],5,FALSE))</f>
        <v>pint</v>
      </c>
      <c r="J37" s="109">
        <f>IF($B37=0,"",VLOOKUP($B37,Table2[],7,FALSE))</f>
        <v>2.5</v>
      </c>
      <c r="K37" s="109">
        <f>IF(B37=0,0,ROUND(G37*H37*J37,2))</f>
        <v>1.25</v>
      </c>
      <c r="L37" s="110"/>
    </row>
    <row r="38" spans="1:12" x14ac:dyDescent="0.2">
      <c r="A38" s="105"/>
      <c r="B38" s="180" t="s">
        <v>259</v>
      </c>
      <c r="C38" s="388" t="str">
        <f>IF(B38=0,"",VLOOKUP($B38,Table2[],2,FALSE))</f>
        <v>Herbicide</v>
      </c>
      <c r="D38" s="388"/>
      <c r="E38" s="388"/>
      <c r="F38" s="174">
        <v>1</v>
      </c>
      <c r="G38" s="175">
        <v>0.5</v>
      </c>
      <c r="H38" s="176">
        <v>32</v>
      </c>
      <c r="I38" s="120" t="str">
        <f>IF($B38=0,"",VLOOKUP($B38,Table2[],5,FALSE))</f>
        <v>ounce</v>
      </c>
      <c r="J38" s="109">
        <f>IF($B38=0,"",VLOOKUP($B38,Table2[],7,FALSE))</f>
        <v>0.1328125</v>
      </c>
      <c r="K38" s="109">
        <f t="shared" ref="K38:K57" si="2">IF(B38=0,0,ROUND(G38*H38*J38,2))</f>
        <v>2.13</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329</v>
      </c>
      <c r="C41" s="388" t="str">
        <f>IF(B41=0,"",VLOOKUP($B41,Table2[],2,FALSE))</f>
        <v>Seed</v>
      </c>
      <c r="D41" s="388"/>
      <c r="E41" s="388"/>
      <c r="F41" s="174">
        <v>3</v>
      </c>
      <c r="G41" s="175">
        <v>1</v>
      </c>
      <c r="H41" s="300">
        <v>34.700000000000003</v>
      </c>
      <c r="I41" s="120" t="str">
        <f>IF($B41=0,"",VLOOKUP($B41,Table2[],5,FALSE))</f>
        <v>k seed</v>
      </c>
      <c r="J41" s="109">
        <f>IF($B41=0,"",VLOOKUP($B41,Table2[],7,FALSE))</f>
        <v>4.375</v>
      </c>
      <c r="K41" s="109">
        <f t="shared" si="2"/>
        <v>151.81</v>
      </c>
      <c r="L41" s="110"/>
    </row>
    <row r="42" spans="1:12" x14ac:dyDescent="0.2">
      <c r="A42" s="143"/>
      <c r="B42" s="180" t="s">
        <v>201</v>
      </c>
      <c r="C42" s="388" t="str">
        <f>IF(B42=0,"",VLOOKUP($B42,Table2[],2,FALSE))</f>
        <v>Fertilizer</v>
      </c>
      <c r="D42" s="388"/>
      <c r="E42" s="388"/>
      <c r="F42" s="174">
        <v>3</v>
      </c>
      <c r="G42" s="175">
        <v>1</v>
      </c>
      <c r="H42" s="176">
        <v>6</v>
      </c>
      <c r="I42" s="120" t="str">
        <f>IF($B42=0,"",VLOOKUP($B42,Table2[],5,FALSE))</f>
        <v>gallon</v>
      </c>
      <c r="J42" s="109">
        <f>IF($B42=0,"",VLOOKUP($B42,Table2[],7,FALSE))</f>
        <v>3.1</v>
      </c>
      <c r="K42" s="109">
        <f t="shared" si="2"/>
        <v>18.600000000000001</v>
      </c>
      <c r="L42" s="110"/>
    </row>
    <row r="43" spans="1:12" x14ac:dyDescent="0.2">
      <c r="A43" s="105"/>
      <c r="B43" s="180" t="s">
        <v>209</v>
      </c>
      <c r="C43" s="388" t="str">
        <f>IF(B43=0,"",VLOOKUP($B43,Table2[],2,FALSE))</f>
        <v>Fertilizer</v>
      </c>
      <c r="D43" s="388"/>
      <c r="E43" s="388"/>
      <c r="F43" s="174">
        <v>7</v>
      </c>
      <c r="G43" s="175">
        <v>1</v>
      </c>
      <c r="H43" s="299">
        <v>220</v>
      </c>
      <c r="I43" s="120" t="str">
        <f>IF($B43=0,"",VLOOKUP($B43,Table2[],5,FALSE))</f>
        <v>lbs N</v>
      </c>
      <c r="J43" s="109">
        <f>IF($B43=0,"",VLOOKUP($B43,Table2[],7,FALSE))</f>
        <v>0.5</v>
      </c>
      <c r="K43" s="109">
        <f t="shared" si="2"/>
        <v>110</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2"/>
        <v>4.25</v>
      </c>
      <c r="L44" s="216"/>
    </row>
    <row r="45" spans="1:12" x14ac:dyDescent="0.2">
      <c r="A45" s="105"/>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2"/>
        <v>0.68</v>
      </c>
      <c r="L45" s="110"/>
    </row>
    <row r="46" spans="1:12" x14ac:dyDescent="0.2">
      <c r="A46" s="105"/>
      <c r="B46" s="180" t="s">
        <v>236</v>
      </c>
      <c r="C46" s="388" t="str">
        <f>IF(B46=0,"",VLOOKUP($B46,Table2[],2,FALSE))</f>
        <v>Herbicide</v>
      </c>
      <c r="D46" s="388"/>
      <c r="E46" s="388"/>
      <c r="F46" s="174">
        <v>4</v>
      </c>
      <c r="G46" s="175">
        <v>1</v>
      </c>
      <c r="H46" s="176">
        <v>14</v>
      </c>
      <c r="I46" s="120" t="str">
        <f>IF($B46=0,"",VLOOKUP($B46,Table2[],5,FALSE))</f>
        <v>ounce</v>
      </c>
      <c r="J46" s="109">
        <f>IF($B46=0,"",VLOOKUP($B46,Table2[],7,FALSE))</f>
        <v>1.640625</v>
      </c>
      <c r="K46" s="109">
        <f t="shared" si="2"/>
        <v>22.97</v>
      </c>
      <c r="L46" s="110"/>
    </row>
    <row r="47" spans="1:12" x14ac:dyDescent="0.2">
      <c r="A47" s="143"/>
      <c r="B47" s="180" t="s">
        <v>200</v>
      </c>
      <c r="C47" s="388" t="str">
        <f>IF(B47=0,"",VLOOKUP($B47,Table2[],2,FALSE))</f>
        <v>Custom</v>
      </c>
      <c r="D47" s="388"/>
      <c r="E47" s="388"/>
      <c r="F47" s="174">
        <v>5</v>
      </c>
      <c r="G47" s="175">
        <v>0.2</v>
      </c>
      <c r="H47" s="176">
        <v>1</v>
      </c>
      <c r="I47" s="120" t="str">
        <f>IF($B47=0,"",VLOOKUP($B47,Table2[],5,FALSE))</f>
        <v>acre</v>
      </c>
      <c r="J47" s="109">
        <f>IF($B47=0,"",VLOOKUP($B47,Table2[],7,FALSE))</f>
        <v>9</v>
      </c>
      <c r="K47" s="109">
        <f t="shared" si="2"/>
        <v>1.8</v>
      </c>
      <c r="L47" s="110"/>
    </row>
    <row r="48" spans="1:12" x14ac:dyDescent="0.2">
      <c r="A48" s="143"/>
      <c r="B48" s="213" t="s">
        <v>286</v>
      </c>
      <c r="C48" s="387" t="str">
        <f>IF(B48=0,"",VLOOKUP($B48,Table2[],2,FALSE))</f>
        <v>Insecticide</v>
      </c>
      <c r="D48" s="387"/>
      <c r="E48" s="387"/>
      <c r="F48" s="214">
        <v>5</v>
      </c>
      <c r="G48" s="221">
        <v>0.2</v>
      </c>
      <c r="H48" s="222">
        <v>5.12</v>
      </c>
      <c r="I48" s="223" t="str">
        <f>IF($B48=0,"",VLOOKUP($B48,Table2[],5,FALSE))</f>
        <v>ounce</v>
      </c>
      <c r="J48" s="215">
        <f>IF($B48=0,"",VLOOKUP($B48,Table2[],7,FALSE))</f>
        <v>1.015625</v>
      </c>
      <c r="K48" s="215">
        <f t="shared" si="2"/>
        <v>1.04</v>
      </c>
      <c r="L48" s="216"/>
    </row>
    <row r="49" spans="1:12" x14ac:dyDescent="0.2">
      <c r="A49" s="143"/>
      <c r="B49" s="180" t="s">
        <v>288</v>
      </c>
      <c r="C49" s="170"/>
      <c r="D49" s="170" t="s">
        <v>285</v>
      </c>
      <c r="E49" s="170"/>
      <c r="F49" s="174">
        <v>5</v>
      </c>
      <c r="G49" s="175">
        <v>0.2</v>
      </c>
      <c r="H49" s="176">
        <v>3</v>
      </c>
      <c r="I49" s="120" t="s">
        <v>174</v>
      </c>
      <c r="J49" s="109">
        <f>IF($B49=0,"",VLOOKUP($B49,Table2[],7,FALSE))</f>
        <v>1.25</v>
      </c>
      <c r="K49" s="109">
        <f t="shared" ref="K49" si="3">IF(B49=0,0,ROUND(G49*H49*J49,2))</f>
        <v>0.75</v>
      </c>
      <c r="L49" s="110"/>
    </row>
    <row r="50" spans="1:12" x14ac:dyDescent="0.2">
      <c r="A50" s="143"/>
      <c r="B50" s="180" t="s">
        <v>200</v>
      </c>
      <c r="C50" s="388" t="str">
        <f>IF(B50=0,"",VLOOKUP($B50,Table2[],2,FALSE))</f>
        <v>Custom</v>
      </c>
      <c r="D50" s="388"/>
      <c r="E50" s="388"/>
      <c r="F50" s="174">
        <v>6</v>
      </c>
      <c r="G50" s="175">
        <v>0.3</v>
      </c>
      <c r="H50" s="176">
        <v>1</v>
      </c>
      <c r="I50" s="120" t="str">
        <f>IF($B50=0,"",VLOOKUP($B50,Table2[],5,FALSE))</f>
        <v>acre</v>
      </c>
      <c r="J50" s="109">
        <f>IF($B50=0,"",VLOOKUP($B50,Table2[],7,FALSE))</f>
        <v>9</v>
      </c>
      <c r="K50" s="109">
        <f t="shared" si="2"/>
        <v>2.7</v>
      </c>
      <c r="L50" s="110"/>
    </row>
    <row r="51" spans="1:12" x14ac:dyDescent="0.2">
      <c r="A51" s="105"/>
      <c r="B51" s="180" t="s">
        <v>224</v>
      </c>
      <c r="C51" s="388" t="str">
        <f>IF(B51=0,"",VLOOKUP($B51,Table2[],2,FALSE))</f>
        <v>Fungicide</v>
      </c>
      <c r="D51" s="388"/>
      <c r="E51" s="388"/>
      <c r="F51" s="174">
        <v>6</v>
      </c>
      <c r="G51" s="175">
        <v>0.3</v>
      </c>
      <c r="H51" s="176">
        <v>8</v>
      </c>
      <c r="I51" s="120" t="str">
        <f>IF($B51=0,"",VLOOKUP($B51,Table2[],5,FALSE))</f>
        <v>ounce</v>
      </c>
      <c r="J51" s="109">
        <f>IF($B51=0,"",VLOOKUP($B51,Table2[],7,FALSE))</f>
        <v>3.90625</v>
      </c>
      <c r="K51" s="109">
        <f t="shared" ref="K51" si="4">IF(B51=0,0,ROUND(G51*H51*J51,2))</f>
        <v>9.3800000000000008</v>
      </c>
      <c r="L51" s="110"/>
    </row>
    <row r="52" spans="1:12" x14ac:dyDescent="0.2">
      <c r="A52" s="105"/>
      <c r="B52" s="213" t="s">
        <v>291</v>
      </c>
      <c r="C52" s="247"/>
      <c r="D52" s="247" t="s">
        <v>292</v>
      </c>
      <c r="E52" s="247"/>
      <c r="F52" s="214">
        <v>7</v>
      </c>
      <c r="G52" s="221">
        <v>1</v>
      </c>
      <c r="H52" s="222">
        <v>1</v>
      </c>
      <c r="I52" s="223" t="s">
        <v>176</v>
      </c>
      <c r="J52" s="215">
        <f>IF($B52=0,"",VLOOKUP($B52,Table2[],7,FALSE))</f>
        <v>52</v>
      </c>
      <c r="K52" s="215">
        <f t="shared" ref="K52" si="5">IF(B52=0,0,ROUND(G52*H52*J52,2))</f>
        <v>52</v>
      </c>
      <c r="L52" s="216"/>
    </row>
    <row r="53" spans="1:12" x14ac:dyDescent="0.2">
      <c r="A53" s="105"/>
      <c r="B53" s="180" t="s">
        <v>198</v>
      </c>
      <c r="C53" s="388" t="str">
        <f>IF(B53=0,"",VLOOKUP($B53,Table2[],2,FALSE))</f>
        <v>Custom</v>
      </c>
      <c r="D53" s="388"/>
      <c r="E53" s="388"/>
      <c r="F53" s="174">
        <v>10</v>
      </c>
      <c r="G53" s="175">
        <v>1</v>
      </c>
      <c r="H53" s="176">
        <f>$G$4</f>
        <v>250</v>
      </c>
      <c r="I53" s="120" t="str">
        <f>IF($B53=0,"",VLOOKUP($B53,Table2[],5,FALSE))</f>
        <v>bushel</v>
      </c>
      <c r="J53" s="109">
        <f>IF($B53=0,"",VLOOKUP($B53,Table2[],7,FALSE))</f>
        <v>0.15</v>
      </c>
      <c r="K53" s="109">
        <f>IF(B53=0,0,ROUND(G53*H53*J53,2))</f>
        <v>37.5</v>
      </c>
      <c r="L53" s="110"/>
    </row>
    <row r="54" spans="1:12" x14ac:dyDescent="0.2">
      <c r="B54" s="180" t="s">
        <v>190</v>
      </c>
      <c r="C54" s="388" t="str">
        <f>IF(B54=0,"",VLOOKUP($B54,Table2[],2,FALSE))</f>
        <v>Custom</v>
      </c>
      <c r="D54" s="388"/>
      <c r="E54" s="388"/>
      <c r="F54" s="174">
        <v>11</v>
      </c>
      <c r="G54" s="175">
        <v>0.1</v>
      </c>
      <c r="H54" s="176">
        <f>$G$4</f>
        <v>250</v>
      </c>
      <c r="I54" s="120" t="str">
        <f>IF($B54=0,"",VLOOKUP($B54,Table2[],5,FALSE))</f>
        <v>bushel</v>
      </c>
      <c r="J54" s="109">
        <f>IF($B54=0,"",VLOOKUP($B54,Table2[],7,FALSE))</f>
        <v>0.1</v>
      </c>
      <c r="K54" s="109">
        <f t="shared" si="2"/>
        <v>2.5</v>
      </c>
      <c r="L54" s="110"/>
    </row>
    <row r="55" spans="1:12" x14ac:dyDescent="0.2">
      <c r="B55" s="111" t="s">
        <v>313</v>
      </c>
      <c r="C55" s="388" t="str">
        <f>IF(B55=0,"",VLOOKUP($B55,Table2[],2,FALSE))</f>
        <v>Scouting</v>
      </c>
      <c r="D55" s="388"/>
      <c r="E55" s="388"/>
      <c r="F55" s="112"/>
      <c r="G55" s="175">
        <v>1</v>
      </c>
      <c r="H55" s="178">
        <v>1</v>
      </c>
      <c r="I55" s="120" t="str">
        <f>IF($B55=0,"",VLOOKUP($B55,Table2[],5,FALSE))</f>
        <v>acre</v>
      </c>
      <c r="J55" s="109">
        <f>IF($B55=0,"",VLOOKUP($B55,Table2[],7,FALSE))</f>
        <v>13</v>
      </c>
      <c r="K55" s="109">
        <f>IF(B55=0,0,ROUND(G55*H55*J55,2))</f>
        <v>13</v>
      </c>
      <c r="L55" s="110"/>
    </row>
    <row r="56" spans="1:12" ht="12.75" hidden="1" customHeight="1" x14ac:dyDescent="0.2">
      <c r="B56" s="111"/>
      <c r="C56" s="388" t="str">
        <f>IF(B56=0,"",VLOOKUP($B56,Table2[],2,FALSE))</f>
        <v/>
      </c>
      <c r="D56" s="388"/>
      <c r="E56" s="388"/>
      <c r="F56" s="112"/>
      <c r="G56" s="175"/>
      <c r="H56" s="178"/>
      <c r="I56" s="120" t="str">
        <f>IF($B56=0,"",VLOOKUP($B56,Table2[],5,FALSE))</f>
        <v/>
      </c>
      <c r="J56" s="109" t="str">
        <f>IF($B56=0,"",VLOOKUP($B56,Table2[],7,FALSE))</f>
        <v/>
      </c>
      <c r="K56" s="109">
        <f t="shared" si="2"/>
        <v>0</v>
      </c>
      <c r="L56" s="110"/>
    </row>
    <row r="57" spans="1:12" ht="12.75" hidden="1" customHeight="1" x14ac:dyDescent="0.2">
      <c r="B57" s="111"/>
      <c r="C57" s="388" t="str">
        <f>IF(B57=0,"",VLOOKUP($B57,Table2[],2,FALSE))</f>
        <v/>
      </c>
      <c r="D57" s="388"/>
      <c r="E57" s="388"/>
      <c r="F57" s="112"/>
      <c r="G57" s="175"/>
      <c r="H57" s="178"/>
      <c r="I57" s="120" t="str">
        <f>IF($B57=0,"",VLOOKUP($B57,Table2[],5,FALSE))</f>
        <v/>
      </c>
      <c r="J57" s="109" t="str">
        <f>IF($B57=0,"",VLOOKUP($B57,Table2[],7,FALSE))</f>
        <v/>
      </c>
      <c r="K57" s="109">
        <f t="shared" si="2"/>
        <v>0</v>
      </c>
      <c r="L57" s="113"/>
    </row>
    <row r="58" spans="1:12" ht="12.75" hidden="1" customHeight="1" x14ac:dyDescent="0.2">
      <c r="B58" s="217"/>
      <c r="C58" s="388" t="str">
        <f>IF(B58=0,"",VLOOKUP($B58,Table2[],2,FALSE))</f>
        <v/>
      </c>
      <c r="D58" s="388"/>
      <c r="E58" s="388"/>
      <c r="F58" s="218"/>
      <c r="G58" s="221"/>
      <c r="H58" s="225"/>
      <c r="I58" s="120" t="str">
        <f>IF($B58=0,"",VLOOKUP($B58,Table2[],5,FALSE))</f>
        <v/>
      </c>
      <c r="J58" s="109" t="str">
        <f>IF($B58=0,"",VLOOKUP($B58,Table2[],7,FALSE))</f>
        <v/>
      </c>
      <c r="K58" s="215">
        <f>IF(B58=0,0,ROUND(G58*H58*J58,2))</f>
        <v>0</v>
      </c>
      <c r="L58" s="227"/>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217"/>
      <c r="C62" s="388" t="str">
        <f>IF(B62=0,"",VLOOKUP($B62,Table2[],2,FALSE))</f>
        <v/>
      </c>
      <c r="D62" s="388"/>
      <c r="E62" s="388"/>
      <c r="F62" s="218"/>
      <c r="G62" s="224"/>
      <c r="H62" s="225"/>
      <c r="I62" s="120" t="str">
        <f>IF($B62=0,"",VLOOKUP($B62,Table2[],5,FALSE))</f>
        <v/>
      </c>
      <c r="J62" s="109" t="str">
        <f>IF($B62=0,"",VLOOKUP($B62,Table2[],7,FALSE))</f>
        <v/>
      </c>
      <c r="K62" s="215">
        <f>IF(B62=0,0,ROUND(G62*H62*J62,2))</f>
        <v>0</v>
      </c>
      <c r="L62" s="227"/>
    </row>
    <row r="63" spans="1:12" x14ac:dyDescent="0.2">
      <c r="B63" s="185" t="s">
        <v>430</v>
      </c>
      <c r="C63" s="388" t="s">
        <v>655</v>
      </c>
      <c r="D63" s="388"/>
      <c r="E63" s="388"/>
      <c r="F63" s="112"/>
      <c r="G63" s="177"/>
      <c r="H63" s="178"/>
      <c r="I63" s="170"/>
      <c r="J63" s="109">
        <f ca="1">IF(F5=0,E5,F5)</f>
        <v>5</v>
      </c>
      <c r="K63" s="109">
        <f ca="1">IF(B63=0,0,J63)</f>
        <v>5</v>
      </c>
      <c r="L63" s="113"/>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E65" s="161"/>
      <c r="F65" s="105"/>
      <c r="J65" s="126"/>
      <c r="K65" s="127">
        <f ca="1">SUM(K37:K63)</f>
        <v>490.83</v>
      </c>
      <c r="L65" s="110"/>
    </row>
    <row r="66" spans="2:12" x14ac:dyDescent="0.2">
      <c r="B66" s="144"/>
      <c r="K66" s="127"/>
    </row>
    <row r="67" spans="2:12" x14ac:dyDescent="0.2">
      <c r="B67" s="107" t="s">
        <v>672</v>
      </c>
      <c r="K67" s="127">
        <f ca="1">K33+K65</f>
        <v>655.19000000000005</v>
      </c>
      <c r="L67" s="110"/>
    </row>
    <row r="68" spans="2:12" ht="13.5" thickBot="1" x14ac:dyDescent="0.25">
      <c r="D68" s="128" t="s">
        <v>673</v>
      </c>
      <c r="E68" s="129">
        <f ca="1">ROUND(SUM($E$33:$H$33)+$K$65,2)</f>
        <v>578.79</v>
      </c>
      <c r="F68" s="388" t="s">
        <v>674</v>
      </c>
      <c r="G68" s="388"/>
      <c r="H68" s="130">
        <f>'General Variables'!$B$11</f>
        <v>7.4999999999999997E-2</v>
      </c>
      <c r="I68" s="131" t="str">
        <f>CONCATENATE("for ",TEXT('[2]General Variables'!$B$12,"0.0")," mo.")</f>
        <v>for 6.0 mo.</v>
      </c>
      <c r="K68" s="132">
        <f ca="1">E68*H68*'General Variables'!$B$12/12</f>
        <v>21.704624999999997</v>
      </c>
      <c r="L68" s="133"/>
    </row>
    <row r="69" spans="2:12" ht="13.5" thickTop="1" x14ac:dyDescent="0.2">
      <c r="B69" s="107" t="s">
        <v>675</v>
      </c>
      <c r="K69" s="127">
        <f ca="1">SUM(K67:K68)</f>
        <v>676.89462500000002</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40</v>
      </c>
      <c r="D72" s="399"/>
      <c r="E72" s="400"/>
      <c r="F72" s="136">
        <f>IF(C72=0,0,VLOOKUP(C72,RETable,2,FALSE))</f>
        <v>9115</v>
      </c>
      <c r="G72" s="388" t="s">
        <v>678</v>
      </c>
      <c r="H72" s="388"/>
      <c r="I72" s="130">
        <f>'[2]General Variables'!$B$10</f>
        <v>0.03</v>
      </c>
      <c r="K72" s="137">
        <f>ROUND(F72*I72,2)</f>
        <v>273.45</v>
      </c>
      <c r="L72" s="110"/>
    </row>
    <row r="73" spans="2:12" ht="13.5" thickBot="1" x14ac:dyDescent="0.25">
      <c r="B73" s="103" t="s">
        <v>679</v>
      </c>
      <c r="F73" s="138">
        <f>IF(C72=0,0,VLOOKUP(C72,RETable,2,FALSE))</f>
        <v>9115</v>
      </c>
      <c r="G73" s="397" t="s">
        <v>678</v>
      </c>
      <c r="H73" s="397"/>
      <c r="I73" s="139">
        <f>'General Variables'!$B$13</f>
        <v>1.2999999999999999E-2</v>
      </c>
      <c r="J73" s="105"/>
      <c r="K73" s="140">
        <f>ROUND(F73*I73,2)</f>
        <v>118.5</v>
      </c>
      <c r="L73" s="133"/>
    </row>
    <row r="74" spans="2:12" ht="13.5" thickTop="1" x14ac:dyDescent="0.2">
      <c r="B74" s="107" t="s">
        <v>680</v>
      </c>
      <c r="K74" s="127">
        <f ca="1">SUM(K69:K73)</f>
        <v>1103.844625</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3.0159784999999997</v>
      </c>
      <c r="L76" s="148"/>
    </row>
    <row r="77" spans="2:12" x14ac:dyDescent="0.2">
      <c r="B77" s="107" t="str">
        <f>IF(G4="","","Cost of production per "&amp;H4)</f>
        <v>Cost of production per bushel</v>
      </c>
      <c r="K77" s="141">
        <f ca="1">IF(G4="","",K74/G4)</f>
        <v>4.4153785000000001</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'[2]General Variables'!#REF!</f>
        <v>#REF!</v>
      </c>
    </row>
    <row r="114" spans="2:11" x14ac:dyDescent="0.2">
      <c r="B114" s="105"/>
      <c r="C114" s="105"/>
      <c r="D114" s="105"/>
      <c r="H114" s="103" t="e">
        <f>'[2]General Variables'!#REF!</f>
        <v>#REF!</v>
      </c>
      <c r="K114" s="103" t="s">
        <v>681</v>
      </c>
    </row>
    <row r="115" spans="2:11" x14ac:dyDescent="0.2">
      <c r="B115" s="105"/>
      <c r="C115" s="105"/>
      <c r="D115" s="105"/>
      <c r="H115" s="103" t="e">
        <f>'[2]General Variables'!#REF!</f>
        <v>#REF!</v>
      </c>
      <c r="K115" s="103" t="s">
        <v>654</v>
      </c>
    </row>
    <row r="116" spans="2:11" x14ac:dyDescent="0.2">
      <c r="B116" s="105"/>
      <c r="C116" s="105"/>
      <c r="D116" s="105"/>
      <c r="H116" s="103" t="e">
        <f>'[2]General Variables'!#REF!</f>
        <v>#REF!</v>
      </c>
    </row>
    <row r="117" spans="2:11" x14ac:dyDescent="0.2">
      <c r="B117" s="105"/>
      <c r="C117" s="105"/>
      <c r="D117" s="105"/>
      <c r="H117" s="103" t="e">
        <f>'[2]General Variables'!#REF!</f>
        <v>#REF!</v>
      </c>
    </row>
    <row r="118" spans="2:11" x14ac:dyDescent="0.2">
      <c r="B118" s="105"/>
      <c r="C118" s="105"/>
      <c r="D118" s="105"/>
      <c r="H118" s="103" t="e">
        <f>'[2]General Variables'!#REF!</f>
        <v>#REF!</v>
      </c>
    </row>
    <row r="119" spans="2:11" x14ac:dyDescent="0.2">
      <c r="B119" s="105"/>
      <c r="C119" s="105"/>
      <c r="D119" s="105"/>
      <c r="H119" s="103" t="e">
        <f>'[2]General Variables'!#REF!</f>
        <v>#REF!</v>
      </c>
    </row>
    <row r="120" spans="2:11" x14ac:dyDescent="0.2">
      <c r="B120" s="105"/>
      <c r="C120" s="105"/>
      <c r="D120" s="105"/>
      <c r="H120" s="103" t="e">
        <f>'[2]General Variables'!#REF!</f>
        <v>#REF!</v>
      </c>
    </row>
    <row r="121" spans="2:11" x14ac:dyDescent="0.2">
      <c r="B121" s="105"/>
      <c r="C121" s="105"/>
      <c r="D121" s="105"/>
      <c r="H121" s="103" t="e">
        <f>'[2]General Variables'!#REF!</f>
        <v>#REF!</v>
      </c>
    </row>
    <row r="122" spans="2:11" x14ac:dyDescent="0.2">
      <c r="B122" s="105"/>
      <c r="C122" s="105"/>
      <c r="D122" s="105"/>
      <c r="H122" s="103" t="e">
        <f>'[2]General Variables'!#REF!</f>
        <v>#REF!</v>
      </c>
    </row>
    <row r="123" spans="2:11" x14ac:dyDescent="0.2">
      <c r="B123" s="105"/>
      <c r="C123" s="105"/>
      <c r="D123" s="105"/>
      <c r="H123" s="103" t="e">
        <f>'[2]General Variables'!#REF!</f>
        <v>#REF!</v>
      </c>
    </row>
    <row r="124" spans="2:11" x14ac:dyDescent="0.2">
      <c r="B124" s="105"/>
      <c r="C124" s="105"/>
      <c r="D124" s="105"/>
      <c r="H124" s="103" t="e">
        <f>'[2]General Variables'!#REF!</f>
        <v>#REF!</v>
      </c>
    </row>
    <row r="125" spans="2:11" x14ac:dyDescent="0.2">
      <c r="B125" s="105"/>
      <c r="C125" s="105"/>
      <c r="D125" s="105"/>
      <c r="H125" s="103" t="e">
        <f>'[2]General Variables'!#REF!</f>
        <v>#REF!</v>
      </c>
    </row>
    <row r="126" spans="2:11" x14ac:dyDescent="0.2">
      <c r="B126" s="105"/>
      <c r="C126" s="105"/>
      <c r="D126" s="105"/>
      <c r="H126" s="103" t="e">
        <f>'[2]General Variables'!#REF!</f>
        <v>#REF!</v>
      </c>
    </row>
    <row r="127" spans="2:11" x14ac:dyDescent="0.2">
      <c r="B127" s="105"/>
      <c r="C127" s="105"/>
      <c r="D127" s="105"/>
      <c r="H127" s="103" t="e">
        <f>'[2]General Variables'!#REF!</f>
        <v>#REF!</v>
      </c>
    </row>
    <row r="128" spans="2:11" x14ac:dyDescent="0.2">
      <c r="B128" s="105"/>
      <c r="C128" s="105"/>
      <c r="D128" s="105"/>
      <c r="H128" s="103" t="e">
        <f>'[2]General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IF([2]Operations!A132="","",[2]Operations!A132)</f>
        <v/>
      </c>
      <c r="C243" s="105" t="str">
        <f>IF([2]Materials!B132="","",[2]Materials!B132)</f>
        <v>Alfalfa w/Inoculant</v>
      </c>
    </row>
    <row r="244" spans="2:3" x14ac:dyDescent="0.2">
      <c r="B244" s="105" t="str">
        <f>IF([2]Operations!A133="","",[2]Operations!A133)</f>
        <v/>
      </c>
      <c r="C244" s="105" t="str">
        <f>IF([2]Materials!B133="","",[2]Materials!B133)</f>
        <v>Corn</v>
      </c>
    </row>
    <row r="245" spans="2:3" x14ac:dyDescent="0.2">
      <c r="B245" s="105" t="str">
        <f>IF([2]Operations!A134="","",[2]Operations!A134)</f>
        <v/>
      </c>
      <c r="C245" s="105" t="str">
        <f>IF([2]Materials!B134="","",[2]Materials!B134)</f>
        <v>Corn Bt, ECB, &amp; RIB</v>
      </c>
    </row>
    <row r="246" spans="2:3" x14ac:dyDescent="0.2">
      <c r="B246" s="105" t="str">
        <f>IF([2]Operations!A135="","",[2]Operations!A135)</f>
        <v/>
      </c>
      <c r="C246" s="105" t="str">
        <f>IF([2]Materials!B135="","",[2]Materials!B135)</f>
        <v>Corn Bt, ECB, RR2, LL, &amp; RIB</v>
      </c>
    </row>
    <row r="247" spans="2:3" x14ac:dyDescent="0.2">
      <c r="B247" s="105" t="str">
        <f>IF([2]Operations!A136="","",[2]Operations!A136)</f>
        <v/>
      </c>
      <c r="C247" s="105" t="str">
        <f>IF([2]Materials!B136="","",[2]Materials!B136)</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8">
    <mergeCell ref="C63:E63"/>
    <mergeCell ref="F68:G68"/>
    <mergeCell ref="C72:E72"/>
    <mergeCell ref="G72:H72"/>
    <mergeCell ref="G73:H73"/>
    <mergeCell ref="C62:E62"/>
    <mergeCell ref="C50:E50"/>
    <mergeCell ref="C51:E51"/>
    <mergeCell ref="C53:E53"/>
    <mergeCell ref="C54:E54"/>
    <mergeCell ref="C55:E55"/>
    <mergeCell ref="C56:E56"/>
    <mergeCell ref="C57:E57"/>
    <mergeCell ref="C58:E58"/>
    <mergeCell ref="C59:E59"/>
    <mergeCell ref="C60:E60"/>
    <mergeCell ref="C61:E61"/>
    <mergeCell ref="C48:E48"/>
    <mergeCell ref="C37:E37"/>
    <mergeCell ref="C38:E38"/>
    <mergeCell ref="C39:E39"/>
    <mergeCell ref="C40:E40"/>
    <mergeCell ref="C41:E41"/>
    <mergeCell ref="C42:E42"/>
    <mergeCell ref="C43:E43"/>
    <mergeCell ref="C44:E44"/>
    <mergeCell ref="C45:E45"/>
    <mergeCell ref="C46:E46"/>
    <mergeCell ref="C47:E47"/>
    <mergeCell ref="K10:K11"/>
    <mergeCell ref="L10:L11"/>
    <mergeCell ref="F35:F36"/>
    <mergeCell ref="G35:G36"/>
    <mergeCell ref="H35:I35"/>
    <mergeCell ref="J35:J36"/>
    <mergeCell ref="L35:L36"/>
    <mergeCell ref="I10:J10"/>
    <mergeCell ref="B10:B11"/>
    <mergeCell ref="C10:C11"/>
    <mergeCell ref="E10:E11"/>
    <mergeCell ref="F10:F11"/>
    <mergeCell ref="G10:H10"/>
    <mergeCell ref="B7:L7"/>
    <mergeCell ref="G2:H2"/>
    <mergeCell ref="K2:L2"/>
    <mergeCell ref="C3:E3"/>
    <mergeCell ref="C4:E4"/>
    <mergeCell ref="A6:M6"/>
  </mergeCells>
  <dataValidations count="9">
    <dataValidation type="list" allowBlank="1" showInputMessage="1" showErrorMessage="1" sqref="C3" xr:uid="{A40F15CF-940D-4527-BA13-77F310513658}">
      <formula1>TillageSystem</formula1>
    </dataValidation>
    <dataValidation type="list" allowBlank="1" showInputMessage="1" showErrorMessage="1" sqref="K2" xr:uid="{C0A480DB-E9DB-4D7E-A3F9-8D742B89BDF5}">
      <formula1>watersource</formula1>
    </dataValidation>
    <dataValidation type="list" allowBlank="1" showInputMessage="1" showErrorMessage="1" sqref="D12:D20 D22:D32" xr:uid="{2AD05E50-7E45-4CFA-80D2-1E1A6BFD3CDB}">
      <formula1>#REF!</formula1>
    </dataValidation>
    <dataValidation type="list" allowBlank="1" showInputMessage="1" showErrorMessage="1" sqref="B12:B31" xr:uid="{C44E4C7B-1C56-46C1-AB18-7AE1028D645F}">
      <formula1>OperationList</formula1>
    </dataValidation>
    <dataValidation type="list" allowBlank="1" showInputMessage="1" showErrorMessage="1" sqref="C72:E72" xr:uid="{6D454DCE-249C-4D08-A805-BE1DF678C837}">
      <formula1>RealEstateList</formula1>
    </dataValidation>
    <dataValidation type="list" allowBlank="1" showInputMessage="1" showErrorMessage="1" sqref="B37:B62" xr:uid="{EA75040C-611A-4CB5-88BA-15021957F35B}">
      <formula1>MaterialList</formula1>
    </dataValidation>
    <dataValidation type="list" allowBlank="1" showInputMessage="1" showErrorMessage="1" sqref="K4" xr:uid="{DCE540F9-D294-4B14-B25E-DF31BEAE5BC5}">
      <formula1>$K$113:$K$115</formula1>
    </dataValidation>
    <dataValidation type="list" showInputMessage="1" showErrorMessage="1" sqref="B64" xr:uid="{41669E52-2EF7-42E1-824E-F3CB16B08BB9}">
      <formula1>$C$113:$C$236</formula1>
    </dataValidation>
    <dataValidation type="list" allowBlank="1" showInputMessage="1" showErrorMessage="1" sqref="B32" xr:uid="{524525C4-ECB3-419B-B34B-0565E9A47997}">
      <formula1>$B$113:$B$210</formula1>
    </dataValidation>
  </dataValidations>
  <pageMargins left="0.7" right="0.7" top="0.75" bottom="0.75" header="0.3" footer="0.3"/>
  <pageSetup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89B17-B575-4C44-AD17-7A1320AF84F2}">
  <sheetPr codeName="Sheet183">
    <pageSetUpPr fitToPage="1"/>
  </sheetPr>
  <dimension ref="A2:M259"/>
  <sheetViews>
    <sheetView zoomScaleNormal="100" workbookViewId="0">
      <selection activeCell="C17" sqref="C1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717</v>
      </c>
      <c r="H2" s="392"/>
      <c r="J2" s="128" t="s">
        <v>649</v>
      </c>
      <c r="K2" s="401" t="s">
        <v>70</v>
      </c>
      <c r="L2" s="401"/>
    </row>
    <row r="3" spans="1:13" hidden="1" x14ac:dyDescent="0.2">
      <c r="B3" s="103" t="s">
        <v>38</v>
      </c>
      <c r="C3" s="391" t="s">
        <v>53</v>
      </c>
      <c r="D3" s="391"/>
      <c r="E3" s="391"/>
      <c r="G3" s="128" t="s">
        <v>650</v>
      </c>
      <c r="H3" s="187" t="s">
        <v>732</v>
      </c>
      <c r="J3" s="128" t="s">
        <v>651</v>
      </c>
      <c r="K3" s="187">
        <v>9</v>
      </c>
    </row>
    <row r="4" spans="1:13" hidden="1" x14ac:dyDescent="0.2">
      <c r="B4" s="103" t="s">
        <v>652</v>
      </c>
      <c r="C4" s="392" t="s">
        <v>62</v>
      </c>
      <c r="D4" s="392"/>
      <c r="E4" s="392"/>
      <c r="G4" s="103">
        <v>260</v>
      </c>
      <c r="H4" s="103" t="str">
        <f>IFERROR(RIGHT(H3,LEN(H3)-LEN(G4)-1),"")</f>
        <v>bushel</v>
      </c>
      <c r="J4" s="128" t="s">
        <v>653</v>
      </c>
      <c r="K4" s="188" t="s">
        <v>654</v>
      </c>
    </row>
    <row r="5" spans="1:13" ht="15.75" hidden="1" customHeight="1" x14ac:dyDescent="0.2">
      <c r="B5" s="103" t="s">
        <v>655</v>
      </c>
      <c r="C5" s="103" t="str">
        <f ca="1">MID(CELL("filename",C5),FIND("]",CELL("filename",C5))+1,255)</f>
        <v>32-Corn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32-Corn, SmartStax RIB Complete, Strip Till, Continuous, 260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32-Corn, SmartStax RIB Complete, Strip Till, Continuous, 260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&amp;TEXT('[2]General Variables'!B4,"#.00")&amp; " /Hr"</f>
        <v>Labor @ $25.00 /Hr</v>
      </c>
      <c r="F10" s="385" t="str">
        <f>"Fuel @ $" &amp; TEXT('[2]General Variables'!B5,"#.00") &amp; " and Lube"</f>
        <v>Fuel @ $1.50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s="107" customFormat="1" ht="13.5" thickTop="1" x14ac:dyDescent="0.2">
      <c r="A12" s="170">
        <v>1</v>
      </c>
      <c r="B12" s="180" t="s">
        <v>558</v>
      </c>
      <c r="C12" s="174">
        <v>1</v>
      </c>
      <c r="D12" s="172"/>
      <c r="E12" s="109">
        <f>IF(B12=0,"",IF(C12&gt;9999,"",ROUND('General Variables'!$B$4*VLOOKUP(B12,Operations!$A$2:$U$79,10,FALSE)/VLOOKUP(B12,Operations!$A$2:$U$79,9,FALSE)*C12,2)))</f>
        <v>3</v>
      </c>
      <c r="F12" s="109">
        <f>IF(B12=0,0,IF(C12&gt;9999,"",ROUND(IF(VLOOKUP(B12,Operations!$A$2:$U$79,12,FALSE)=0,VLOOKUP(B12,Operations!$A$2:$U$79,13,FALSE)*'General Variables'!$B$8,VLOOKUP(B12,Operations!$A$2:$U$79,12,FALSE)*'General Variables'!$B$7)/VLOOKUP(B12,Operations!$A$2:$U$79,9,FALSE)*C12,2)))</f>
        <v>2.93</v>
      </c>
      <c r="G12" s="109">
        <f>IF(B12=0,0,IF(C12&gt;9999,"",ROUND(VLOOKUP(VLOOKUP(B12,Operations!$A$2:$U$79,11,FALSE),PowerUnits[],10,FALSE)/VLOOKUP(B12,Operations!$A$2:$U$79,9,FALSE)*C12,2)))</f>
        <v>0.38</v>
      </c>
      <c r="H12" s="109">
        <f>IF(B12=0,"",IF(C12&gt;9999,"",ROUND(VLOOKUP($B12,Operations!$A$2:$U$79,15,FALSE)*C12,2)))</f>
        <v>4.95</v>
      </c>
      <c r="I12" s="109">
        <f>IF(B12=0,0,IF(C12&gt;9999,"",ROUND(VLOOKUP(VLOOKUP(B12,Operations!$A$2:$U$79,11,FALSE),PowerUnits[],16,FALSE)/VLOOKUP(B12,Operations!$A$2:$U$79,9,FALSE)*C12,2)))</f>
        <v>10.26</v>
      </c>
      <c r="J12" s="109">
        <f>IF(B12=0,"",IF(C12&gt;9999,"",ROUND(VLOOKUP($B12,Operations!$A$2:$U$79,21,FALSE)*$C12,2)))</f>
        <v>5.42</v>
      </c>
      <c r="K12" s="109">
        <f>IF(C12&gt;9999,"",ROUND(SUM(E12:J12),2))</f>
        <v>26.94</v>
      </c>
      <c r="L12" s="110"/>
    </row>
    <row r="13" spans="1:13" x14ac:dyDescent="0.2">
      <c r="A13" s="170">
        <v>2</v>
      </c>
      <c r="B13" s="180" t="s">
        <v>553</v>
      </c>
      <c r="C13" s="174">
        <v>0.5</v>
      </c>
      <c r="D13" s="174"/>
      <c r="E13" s="109">
        <f>IF(B13=0,"",IF(C13&gt;9999,"",ROUND('General Variables'!$B$4*VLOOKUP(B13,Operations!$A$2:$U$79,10,FALSE)/VLOOKUP(B13,Operations!$A$2:$U$79,9,FALSE)*C13,2)))</f>
        <v>0.51</v>
      </c>
      <c r="F13" s="109">
        <f>IF(B13=0,0,IF(C13&gt;9999,"",ROUND(IF(VLOOKUP(B13,Operations!$A$2:$U$79,12,FALSE)=0,VLOOKUP(B13,Operations!$A$2:$U$79,13,FALSE)*'General Variables'!$B$8,VLOOKUP(B13,Operations!$A$2:$U$79,12,FALSE)*'General Variables'!$B$7)/VLOOKUP(B13,Operations!$A$2:$U$79,9,FALSE)*C13,2)))</f>
        <v>0.13</v>
      </c>
      <c r="G13" s="109">
        <f>IF(B13=0,0,IF(C13&gt;9999,"",ROUND(VLOOKUP(VLOOKUP(B13,Operations!$A$2:$U$79,11,FALSE),PowerUnits[],10,FALSE)/VLOOKUP(B13,Operations!$A$2:$U$79,9,FALSE)*C13,2)))</f>
        <v>0.01</v>
      </c>
      <c r="H13" s="109">
        <f>IF(B13=0,"",IF(C13&gt;9999,"",ROUND(VLOOKUP($B13,Operations!$A$2:$U$79,15,FALSE)*C13,2)))</f>
        <v>0.55000000000000004</v>
      </c>
      <c r="I13" s="109">
        <f>IF(B13=0,0,IF(C13&gt;9999,"",ROUND(VLOOKUP(VLOOKUP(B13,Operations!$A$2:$U$79,11,FALSE),PowerUnits[],16,FALSE)/VLOOKUP(B13,Operations!$A$2:$U$79,9,FALSE)*C13,2)))</f>
        <v>0.66</v>
      </c>
      <c r="J13" s="109">
        <f>IF(B13=0,"",IF(C13&gt;9999,"",ROUND(VLOOKUP($B13,Operations!$A$2:$U$79,21,FALSE)*$C13,2)))</f>
        <v>1.01</v>
      </c>
      <c r="K13" s="109">
        <f>IF(C13&gt;9999,"",ROUND(SUM(E13:J13),2))</f>
        <v>2.87</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ref="K14:K32" si="0">IF(C14&gt;9999,"",ROUND(SUM(E14:J14),2))</f>
        <v>5.75</v>
      </c>
      <c r="L14" s="110"/>
    </row>
    <row r="15" spans="1:13" x14ac:dyDescent="0.2">
      <c r="A15" s="170">
        <v>4</v>
      </c>
      <c r="B15" s="213" t="s">
        <v>529</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1.08</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22.31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525</v>
      </c>
      <c r="C19" s="214">
        <f>$K$3</f>
        <v>9</v>
      </c>
      <c r="D19" s="214" t="s">
        <v>693</v>
      </c>
      <c r="E19" s="215">
        <f>IF(B19=0,"",IF(C19&gt;9999,"",ROUND('General Variables'!$B$4*VLOOKUP(B19,Operations!$A$2:$U$79,10,FALSE)/VLOOKUP(B19,Operations!$A$2:$U$79,9,FALSE)*C19,2)))</f>
        <v>11.25</v>
      </c>
      <c r="F19" s="215">
        <f>IF(B19=0,0,IF(C19&gt;9999,"",ROUND(IF(VLOOKUP(B19,Operations!$A$2:$U$79,12,FALSE)=0,VLOOKUP(B19,Operations!$A$2:$U$79,13,FALSE)*'General Variables'!$B$8,VLOOKUP(B19,Operations!$A$2:$U$79,12,FALSE)*'General Variables'!$B$7)/VLOOKUP(B19,Operations!$A$2:$U$79,9,FALSE)*C19,2)))</f>
        <v>19.11</v>
      </c>
      <c r="G19" s="215">
        <f>IF(B19=0,0,IF(C19&gt;9999,"",ROUND(VLOOKUP(VLOOKUP(B19,Operations!$A$2:$U$79,11,FALSE),PowerUnits[],10,FALSE)/VLOOKUP(B19,Operations!$A$2:$U$79,9,FALSE)*C19,2)))</f>
        <v>5.0199999999999996</v>
      </c>
      <c r="H19" s="215">
        <v>8</v>
      </c>
      <c r="I19" s="215">
        <v>5</v>
      </c>
      <c r="J19" s="215">
        <f>IF(B19=0,"",IF(C19&gt;9999,"",ROUND(VLOOKUP($B19,Operations!$A$2:$U$79,21,FALSE)*$C19,2)))</f>
        <v>14.24</v>
      </c>
      <c r="K19" s="215">
        <f t="shared" si="0"/>
        <v>62.62</v>
      </c>
      <c r="L19" s="216"/>
    </row>
    <row r="20" spans="1:12" x14ac:dyDescent="0.2">
      <c r="A20" s="170">
        <v>9</v>
      </c>
      <c r="B20" s="180" t="s">
        <v>944</v>
      </c>
      <c r="C20" s="174">
        <v>230</v>
      </c>
      <c r="D20" s="174"/>
      <c r="E20" s="109">
        <f>IF(B20=0,"",IF(C20&gt;9999,"",ROUND('General Variables'!$B$4*VLOOKUP(B20,Operations!$A$2:$U$79,10,FALSE)/VLOOKUP(B20,Operations!$A$2:$U$79,9,FALSE)*C20,2))/100)</f>
        <v>5.5088999999999997</v>
      </c>
      <c r="F20" s="109">
        <f>IF(B20=0,0,IF(C20&gt;9999,"",ROUND(IF(VLOOKUP(B20,Operations!$A$2:$U$79,12,FALSE)=0,VLOOKUP(B20,Operations!$A$2:$U$79,13,FALSE)*'General Variables'!$B$8,VLOOKUP(B20,Operations!$A$2:$U$79,12,FALSE)*'General Variables'!$B$7)/VLOOKUP(B20,Operations!$A$2:$U$79,9,FALSE)*C20,2))/100)</f>
        <v>6.2263999999999999</v>
      </c>
      <c r="G20" s="109">
        <f>IF(B20=0,0,IF(C20&gt;9999,"",ROUND(VLOOKUP(VLOOKUP(B20,Operations!$A$2:$U$79,11,FALSE),PowerUnits[],10,FALSE)/VLOOKUP(B20,Operations!$A$2:$U$79,9,FALSE)*C20,2))/100)</f>
        <v>9.5724999999999998</v>
      </c>
      <c r="H20" s="109">
        <f>IF(B20=0,"",IF(C20&gt;9999,"",ROUND(VLOOKUP($B20,Operations!$A$2:$U$79,15,FALSE)*C20,2))/100)</f>
        <v>2.4711000000000003</v>
      </c>
      <c r="I20" s="109">
        <f>IF(B20=0,0,IF(C20&gt;9999,"",ROUND(VLOOKUP(VLOOKUP(B20,Operations!$A$2:$U$79,11,FALSE),PowerUnits[],16,FALSE)/VLOOKUP(B20,Operations!$A$2:$U$79,9,FALSE)*C20,2))/100)</f>
        <v>23.053000000000001</v>
      </c>
      <c r="J20" s="109">
        <f>IF(B20=0,"",IF(C20&gt;9999,"",ROUND(VLOOKUP($B20,Operations!$A$2:$U$79,21,FALSE)*$C20,2))/100)</f>
        <v>10.254100000000001</v>
      </c>
      <c r="K20" s="109">
        <f>IF(C20&gt;9999,"",ROUND(SUM(E20:J20),2))</f>
        <v>57.09</v>
      </c>
      <c r="L20" s="110"/>
    </row>
    <row r="21" spans="1:12" x14ac:dyDescent="0.2">
      <c r="A21" s="170">
        <v>10</v>
      </c>
      <c r="B21" s="180" t="s">
        <v>414</v>
      </c>
      <c r="C21" s="174">
        <f>$G$4</f>
        <v>260</v>
      </c>
      <c r="D21" s="112" t="s">
        <v>706</v>
      </c>
      <c r="E21" s="109">
        <f>IF(B21=0,"",IF(C21&gt;9999,"",ROUND('General Variables'!$B$4*VLOOKUP(B21,Operations!$A$2:$U$79,10,FALSE)/VLOOKUP(B21,Operations!$A$2:$U$79,9,FALSE)*C21,2)))</f>
        <v>2.34</v>
      </c>
      <c r="F21" s="109">
        <f>IF(B21=0,0,IF(C21&gt;9999,"",ROUND(IF(VLOOKUP(B21,Operations!$A$2:$U$79,12,FALSE)=0,VLOOKUP(B21,Operations!$A$2:$U$79,13,FALSE)*'General Variables'!$B$8,VLOOKUP(B21,Operations!$A$2:$U$79,12,FALSE)*'General Variables'!$B$7)/VLOOKUP(B21,Operations!$A$2:$U$79,9,FALSE)*C21,2)))</f>
        <v>0.76</v>
      </c>
      <c r="G21" s="109">
        <f>IF(B21=0,0,IF(C21&gt;9999,"",ROUND(VLOOKUP(VLOOKUP(B21,Operations!$A$2:$U$79,11,FALSE),PowerUnits[],10,FALSE)/VLOOKUP(B21,Operations!$A$2:$U$79,9,FALSE)*C21,2)))</f>
        <v>7.0000000000000007E-2</v>
      </c>
      <c r="H21" s="109">
        <f>IF(B21=0,"",IF(C21&gt;9999,"",ROUND(VLOOKUP($B21,Operations!$A$2:$U$79,15,FALSE)*C21,2)))</f>
        <v>1.44</v>
      </c>
      <c r="I21" s="109">
        <f>IF(B21=0,0,IF(C21&gt;9999,"",ROUND(VLOOKUP(VLOOKUP(B21,Operations!$A$2:$U$79,11,FALSE),PowerUnits[],16,FALSE)/VLOOKUP(B21,Operations!$A$2:$U$79,9,FALSE)*C21,2)))</f>
        <v>3.41</v>
      </c>
      <c r="J21" s="109">
        <f>IF(B21=0,"",IF(C21&gt;9999,"",ROUND(VLOOKUP($B21,Operations!$A$2:$U$79,21,FALSE)*$C21,2)))</f>
        <v>2.87</v>
      </c>
      <c r="K21" s="109">
        <f t="shared" si="0"/>
        <v>10.89</v>
      </c>
      <c r="L21" s="110"/>
    </row>
    <row r="22" spans="1:12" x14ac:dyDescent="0.2">
      <c r="A22" s="170">
        <v>11</v>
      </c>
      <c r="B22" s="180" t="s">
        <v>565</v>
      </c>
      <c r="C22" s="174" t="s">
        <v>184</v>
      </c>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x14ac:dyDescent="0.2">
      <c r="A23" s="170">
        <v>12</v>
      </c>
      <c r="B23" s="213" t="s">
        <v>496</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213"/>
      <c r="C24" s="214"/>
      <c r="D24" s="218"/>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216"/>
    </row>
    <row r="25" spans="1:12" hidden="1" x14ac:dyDescent="0.2">
      <c r="A25" s="170">
        <v>14</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17</v>
      </c>
      <c r="B28" s="217"/>
      <c r="C28" s="218"/>
      <c r="D28" s="218"/>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216"/>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20</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21</v>
      </c>
      <c r="B32" s="217"/>
      <c r="C32" s="218"/>
      <c r="D32" s="218"/>
      <c r="E32" s="109" t="str">
        <f>IF(B32=0,"",IF(C32&gt;9999,"",ROUND('General Variables'!$B$4*VLOOKUP(B32,Operations!$A$2:$U$79,10,FALSE)/VLOOKUP(B32,Operations!$A$2:$U$79,9,FALSE)*C32,2)))</f>
        <v/>
      </c>
      <c r="F32" s="109">
        <f>IF(B32=0,0,IF(C32&gt;9999,"",ROUND(IF(VLOOKUP(B32,Operations!$A$2:$U$79,12,FALSE)=0,VLOOKUP(B32,Operations!$A$2:$U$79,13,FALSE)*'General Variables'!$B$8,VLOOKUP(B32,Operations!$A$2:$U$79,12,FALSE)*'General Variables'!$B$7)/VLOOKUP(B32,Operations!$A$2:$U$79,9,FALSE)*C32,2)))</f>
        <v>0</v>
      </c>
      <c r="G32" s="109">
        <f>IF(B32=0,0,IF(C32&gt;9999,"",ROUND(VLOOKUP(VLOOKUP(B32,Operations!$A$2:$U$79,11,FALSE),PowerUnits[],10,FALSE)/VLOOKUP(B32,Operations!$A$2:$U$79,9,FALSE)*C32,2)))</f>
        <v>0</v>
      </c>
      <c r="H32" s="109" t="str">
        <f>IF(B32=0,"",IF(C32&gt;9999,"",ROUND(VLOOKUP($B32,Operations!$A$2:$U$79,15,FALSE)*C32,2)))</f>
        <v/>
      </c>
      <c r="I32" s="109">
        <f>IF(B32=0,0,IF(C32&gt;9999,"",ROUND(VLOOKUP(VLOOKUP(B32,Operations!$A$2:$U$79,11,FALSE),PowerUnits[],16,FALSE)/VLOOKUP(B32,Operations!$A$2:$U$79,9,FALSE)*C32,2)))</f>
        <v>0</v>
      </c>
      <c r="J32" s="109" t="str">
        <f>IF(B32=0,"",IF(C32&gt;9999,"",ROUND(VLOOKUP($B32,Operations!$A$2:$U$79,21,FALSE)*$C32,2)))</f>
        <v/>
      </c>
      <c r="K32" s="109">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SUM(E13:E32)</f>
        <v>24.8889</v>
      </c>
      <c r="F34" s="109">
        <f t="shared" ref="F34:J34" si="1">SUM(F13:F32)</f>
        <v>27.826400000000003</v>
      </c>
      <c r="G34" s="109">
        <f t="shared" si="1"/>
        <v>14.8125</v>
      </c>
      <c r="H34" s="109">
        <f t="shared" si="1"/>
        <v>21.6511</v>
      </c>
      <c r="I34" s="109">
        <f t="shared" si="1"/>
        <v>39.073000000000008</v>
      </c>
      <c r="J34" s="109">
        <f t="shared" si="1"/>
        <v>39.024099999999997</v>
      </c>
      <c r="K34" s="109">
        <f>SUM(K12:K32)</f>
        <v>194.22000000000003</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229</v>
      </c>
      <c r="C38" s="388" t="str">
        <f>IF(B38=0,"",VLOOKUP($B38,Table2[],2,FALSE))</f>
        <v>Herbicide</v>
      </c>
      <c r="D38" s="388"/>
      <c r="E38" s="388"/>
      <c r="F38" s="174">
        <v>2</v>
      </c>
      <c r="G38" s="175">
        <v>0.5</v>
      </c>
      <c r="H38" s="176">
        <v>1</v>
      </c>
      <c r="I38" s="120" t="str">
        <f>IF($B38=0,"",VLOOKUP($B38,Table2[],5,FALSE))</f>
        <v>pint</v>
      </c>
      <c r="J38" s="109">
        <f>IF($B38=0,"",VLOOKUP($B38,Table2[],7,FALSE))</f>
        <v>2.5</v>
      </c>
      <c r="K38" s="109">
        <f>IF(B38=0,0,ROUND(G38*H38*J38,2))</f>
        <v>1.25</v>
      </c>
      <c r="L38" s="110"/>
    </row>
    <row r="39" spans="1:12" x14ac:dyDescent="0.2">
      <c r="A39" s="105"/>
      <c r="B39" s="180" t="s">
        <v>259</v>
      </c>
      <c r="C39" s="388" t="str">
        <f>IF(B39=0,"",VLOOKUP($B39,Table2[],2,FALSE))</f>
        <v>Herbicide</v>
      </c>
      <c r="D39" s="388"/>
      <c r="E39" s="388"/>
      <c r="F39" s="174">
        <v>2</v>
      </c>
      <c r="G39" s="175">
        <v>0.5</v>
      </c>
      <c r="H39" s="176">
        <v>32</v>
      </c>
      <c r="I39" s="120" t="str">
        <f>IF($B39=0,"",VLOOKUP($B39,Table2[],5,FALSE))</f>
        <v>ounce</v>
      </c>
      <c r="J39" s="109">
        <f>IF($B39=0,"",VLOOKUP($B39,Table2[],7,FALSE))</f>
        <v>0.1328125</v>
      </c>
      <c r="K39" s="109">
        <f t="shared" ref="K39:K58" si="2">IF(B39=0,0,ROUND(G39*H39*J39,2))</f>
        <v>2.13</v>
      </c>
      <c r="L39" s="110"/>
    </row>
    <row r="40" spans="1:12" x14ac:dyDescent="0.2">
      <c r="A40" s="105"/>
      <c r="B40" s="180" t="s">
        <v>170</v>
      </c>
      <c r="C40" s="388" t="str">
        <f>IF(B40=0,"",VLOOKUP($B40,Table2[],2,FALSE))</f>
        <v>Additive</v>
      </c>
      <c r="D40" s="388"/>
      <c r="E40" s="388"/>
      <c r="F40" s="174">
        <v>2</v>
      </c>
      <c r="G40" s="175">
        <v>0.5</v>
      </c>
      <c r="H40" s="176">
        <v>1.7</v>
      </c>
      <c r="I40" s="120" t="str">
        <f>IF($B40=0,"",VLOOKUP($B40,Table2[],5,FALSE))</f>
        <v>pound</v>
      </c>
      <c r="J40" s="109">
        <f>IF($B40=0,"",VLOOKUP($B40,Table2[],7,FALSE))</f>
        <v>0.4</v>
      </c>
      <c r="K40" s="109">
        <f t="shared" si="2"/>
        <v>0.34</v>
      </c>
      <c r="L40" s="110"/>
    </row>
    <row r="41" spans="1:12" x14ac:dyDescent="0.2">
      <c r="A41" s="105"/>
      <c r="B41" s="213" t="s">
        <v>232</v>
      </c>
      <c r="C41" s="387" t="str">
        <f>IF(B41=0,"",VLOOKUP($B41,Table2[],2,FALSE))</f>
        <v>Herbicide</v>
      </c>
      <c r="D41" s="387"/>
      <c r="E41" s="387"/>
      <c r="F41" s="214">
        <v>3</v>
      </c>
      <c r="G41" s="221">
        <v>1</v>
      </c>
      <c r="H41" s="222">
        <v>2.5</v>
      </c>
      <c r="I41" s="223" t="str">
        <f>IF($B41=0,"",VLOOKUP($B41,Table2[],5,FALSE))</f>
        <v>quart</v>
      </c>
      <c r="J41" s="215">
        <f>IF($B41=0,"",VLOOKUP($B41,Table2[],7,FALSE))</f>
        <v>21.25</v>
      </c>
      <c r="K41" s="215">
        <f t="shared" si="2"/>
        <v>53.13</v>
      </c>
      <c r="L41" s="216"/>
    </row>
    <row r="42" spans="1:12" x14ac:dyDescent="0.2">
      <c r="A42" s="105"/>
      <c r="B42" s="180" t="s">
        <v>329</v>
      </c>
      <c r="C42" s="388" t="str">
        <f>IF(B42=0,"",VLOOKUP($B42,Table2[],2,FALSE))</f>
        <v>Seed</v>
      </c>
      <c r="D42" s="388"/>
      <c r="E42" s="388"/>
      <c r="F42" s="174">
        <v>4</v>
      </c>
      <c r="G42" s="175">
        <v>1</v>
      </c>
      <c r="H42" s="300">
        <v>34.700000000000003</v>
      </c>
      <c r="I42" s="120" t="str">
        <f>IF($B42=0,"",VLOOKUP($B42,Table2[],5,FALSE))</f>
        <v>k seed</v>
      </c>
      <c r="J42" s="109">
        <f>IF($B42=0,"",VLOOKUP($B42,Table2[],7,FALSE))</f>
        <v>4.375</v>
      </c>
      <c r="K42" s="109">
        <f t="shared" si="2"/>
        <v>151.81</v>
      </c>
      <c r="L42" s="110"/>
    </row>
    <row r="43" spans="1:12" x14ac:dyDescent="0.2">
      <c r="A43" s="143"/>
      <c r="B43" s="180" t="s">
        <v>201</v>
      </c>
      <c r="C43" s="388" t="str">
        <f>IF(B43=0,"",VLOOKUP($B43,Table2[],2,FALSE))</f>
        <v>Fertilizer</v>
      </c>
      <c r="D43" s="388"/>
      <c r="E43" s="388"/>
      <c r="F43" s="174">
        <v>4</v>
      </c>
      <c r="G43" s="175">
        <v>1</v>
      </c>
      <c r="H43" s="176">
        <v>6</v>
      </c>
      <c r="I43" s="120" t="str">
        <f>IF($B43=0,"",VLOOKUP($B43,Table2[],5,FALSE))</f>
        <v>gallon</v>
      </c>
      <c r="J43" s="109">
        <f>IF($B43=0,"",VLOOKUP($B43,Table2[],7,FALSE))</f>
        <v>3.1</v>
      </c>
      <c r="K43" s="109">
        <f t="shared" si="2"/>
        <v>18.600000000000001</v>
      </c>
      <c r="L43" s="110"/>
    </row>
    <row r="44" spans="1:12" x14ac:dyDescent="0.2">
      <c r="A44" s="105"/>
      <c r="B44" s="180" t="s">
        <v>209</v>
      </c>
      <c r="C44" s="388" t="str">
        <f>IF(B44=0,"",VLOOKUP($B44,Table2[],2,FALSE))</f>
        <v>Fertilizer</v>
      </c>
      <c r="D44" s="388"/>
      <c r="E44" s="388"/>
      <c r="F44" s="174">
        <v>8</v>
      </c>
      <c r="G44" s="175">
        <v>1</v>
      </c>
      <c r="H44" s="299">
        <v>230</v>
      </c>
      <c r="I44" s="120" t="str">
        <f>IF($B44=0,"",VLOOKUP($B44,Table2[],5,FALSE))</f>
        <v>lbs N</v>
      </c>
      <c r="J44" s="109">
        <f>IF($B44=0,"",VLOOKUP($B44,Table2[],7,FALSE))</f>
        <v>0.5</v>
      </c>
      <c r="K44" s="109">
        <f t="shared" si="2"/>
        <v>115</v>
      </c>
      <c r="L44" s="110"/>
    </row>
    <row r="45" spans="1:12" x14ac:dyDescent="0.2">
      <c r="A45" s="105"/>
      <c r="B45" s="213" t="s">
        <v>259</v>
      </c>
      <c r="C45" s="387" t="str">
        <f>IF(B45=0,"",VLOOKUP($B45,Table2[],2,FALSE))</f>
        <v>Herbicide</v>
      </c>
      <c r="D45" s="387"/>
      <c r="E45" s="387"/>
      <c r="F45" s="214">
        <v>5</v>
      </c>
      <c r="G45" s="221">
        <v>1</v>
      </c>
      <c r="H45" s="222">
        <v>32</v>
      </c>
      <c r="I45" s="223" t="str">
        <f>IF($B45=0,"",VLOOKUP($B45,Table2[],5,FALSE))</f>
        <v>ounce</v>
      </c>
      <c r="J45" s="215">
        <f>IF($B45=0,"",VLOOKUP($B45,Table2[],7,FALSE))</f>
        <v>0.1328125</v>
      </c>
      <c r="K45" s="215">
        <f t="shared" si="2"/>
        <v>4.25</v>
      </c>
      <c r="L45" s="216"/>
    </row>
    <row r="46" spans="1:12" x14ac:dyDescent="0.2">
      <c r="A46" s="105"/>
      <c r="B46" s="180" t="s">
        <v>170</v>
      </c>
      <c r="C46" s="388" t="str">
        <f>IF(B46=0,"",VLOOKUP($B46,Table2[],2,FALSE))</f>
        <v>Additive</v>
      </c>
      <c r="D46" s="388"/>
      <c r="E46" s="388"/>
      <c r="F46" s="174">
        <v>5</v>
      </c>
      <c r="G46" s="175">
        <v>1</v>
      </c>
      <c r="H46" s="176">
        <v>1.7</v>
      </c>
      <c r="I46" s="120" t="str">
        <f>IF($B46=0,"",VLOOKUP($B46,Table2[],5,FALSE))</f>
        <v>pound</v>
      </c>
      <c r="J46" s="109">
        <f>IF($B46=0,"",VLOOKUP($B46,Table2[],7,FALSE))</f>
        <v>0.4</v>
      </c>
      <c r="K46" s="109">
        <f t="shared" si="2"/>
        <v>0.68</v>
      </c>
      <c r="L46" s="110"/>
    </row>
    <row r="47" spans="1:12" x14ac:dyDescent="0.2">
      <c r="A47" s="105"/>
      <c r="B47" s="180" t="s">
        <v>236</v>
      </c>
      <c r="C47" s="388" t="str">
        <f>IF(B47=0,"",VLOOKUP($B47,Table2[],2,FALSE))</f>
        <v>Herbicide</v>
      </c>
      <c r="D47" s="388"/>
      <c r="E47" s="388"/>
      <c r="F47" s="174">
        <v>5</v>
      </c>
      <c r="G47" s="175">
        <v>1</v>
      </c>
      <c r="H47" s="176">
        <v>14</v>
      </c>
      <c r="I47" s="120" t="str">
        <f>IF($B47=0,"",VLOOKUP($B47,Table2[],5,FALSE))</f>
        <v>ounce</v>
      </c>
      <c r="J47" s="109">
        <f>IF($B47=0,"",VLOOKUP($B47,Table2[],7,FALSE))</f>
        <v>1.640625</v>
      </c>
      <c r="K47" s="109">
        <f t="shared" si="2"/>
        <v>22.97</v>
      </c>
      <c r="L47" s="110"/>
    </row>
    <row r="48" spans="1:12" x14ac:dyDescent="0.2">
      <c r="A48" s="143"/>
      <c r="B48" s="180" t="s">
        <v>200</v>
      </c>
      <c r="C48" s="388" t="str">
        <f>IF(B48=0,"",VLOOKUP($B48,Table2[],2,FALSE))</f>
        <v>Custom</v>
      </c>
      <c r="D48" s="388"/>
      <c r="E48" s="388"/>
      <c r="F48" s="174">
        <v>6</v>
      </c>
      <c r="G48" s="175">
        <v>0.2</v>
      </c>
      <c r="H48" s="176">
        <v>1</v>
      </c>
      <c r="I48" s="120" t="str">
        <f>IF($B48=0,"",VLOOKUP($B48,Table2[],5,FALSE))</f>
        <v>acre</v>
      </c>
      <c r="J48" s="109">
        <f>IF($B48=0,"",VLOOKUP($B48,Table2[],7,FALSE))</f>
        <v>9</v>
      </c>
      <c r="K48" s="109">
        <f t="shared" si="2"/>
        <v>1.8</v>
      </c>
      <c r="L48" s="110"/>
    </row>
    <row r="49" spans="1:12" x14ac:dyDescent="0.2">
      <c r="A49" s="143"/>
      <c r="B49" s="213" t="s">
        <v>286</v>
      </c>
      <c r="C49" s="387" t="str">
        <f>IF(B49=0,"",VLOOKUP($B49,Table2[],2,FALSE))</f>
        <v>Insecticide</v>
      </c>
      <c r="D49" s="387"/>
      <c r="E49" s="387"/>
      <c r="F49" s="214">
        <v>6</v>
      </c>
      <c r="G49" s="221">
        <v>0.1</v>
      </c>
      <c r="H49" s="222">
        <v>5.12</v>
      </c>
      <c r="I49" s="223" t="str">
        <f>IF($B49=0,"",VLOOKUP($B49,Table2[],5,FALSE))</f>
        <v>ounce</v>
      </c>
      <c r="J49" s="215">
        <f>IF($B49=0,"",VLOOKUP($B49,Table2[],7,FALSE))</f>
        <v>1.015625</v>
      </c>
      <c r="K49" s="215">
        <f t="shared" si="2"/>
        <v>0.52</v>
      </c>
      <c r="L49" s="216"/>
    </row>
    <row r="50" spans="1:12" x14ac:dyDescent="0.2">
      <c r="A50" s="143"/>
      <c r="B50" s="180" t="s">
        <v>288</v>
      </c>
      <c r="C50" s="388" t="s">
        <v>285</v>
      </c>
      <c r="D50" s="388" t="s">
        <v>285</v>
      </c>
      <c r="E50" s="388"/>
      <c r="F50" s="174">
        <v>6</v>
      </c>
      <c r="G50" s="175">
        <v>0.2</v>
      </c>
      <c r="H50" s="176">
        <v>3</v>
      </c>
      <c r="I50" s="120" t="s">
        <v>174</v>
      </c>
      <c r="J50" s="109">
        <f>IF($B50=0,"",VLOOKUP($B50,Table2[],7,FALSE))</f>
        <v>1.25</v>
      </c>
      <c r="K50" s="109">
        <f t="shared" ref="K50" si="3">IF(B50=0,0,ROUND(G50*H50*J50,2))</f>
        <v>0.75</v>
      </c>
      <c r="L50" s="110"/>
    </row>
    <row r="51" spans="1:12" x14ac:dyDescent="0.2">
      <c r="A51" s="143"/>
      <c r="B51" s="180" t="s">
        <v>200</v>
      </c>
      <c r="C51" s="388" t="str">
        <f>IF(B51=0,"",VLOOKUP($B51,Table2[],2,FALSE))</f>
        <v>Custom</v>
      </c>
      <c r="D51" s="388"/>
      <c r="E51" s="388"/>
      <c r="F51" s="174">
        <v>7</v>
      </c>
      <c r="G51" s="175">
        <v>0.3</v>
      </c>
      <c r="H51" s="176">
        <v>1</v>
      </c>
      <c r="I51" s="120" t="str">
        <f>IF($B51=0,"",VLOOKUP($B51,Table2[],5,FALSE))</f>
        <v>acre</v>
      </c>
      <c r="J51" s="109">
        <f>IF($B51=0,"",VLOOKUP($B51,Table2[],7,FALSE))</f>
        <v>9</v>
      </c>
      <c r="K51" s="109">
        <f t="shared" si="2"/>
        <v>2.7</v>
      </c>
      <c r="L51" s="110"/>
    </row>
    <row r="52" spans="1:12" x14ac:dyDescent="0.2">
      <c r="A52" s="105"/>
      <c r="B52" s="180" t="s">
        <v>224</v>
      </c>
      <c r="C52" s="388" t="str">
        <f>IF(B52=0,"",VLOOKUP($B52,Table2[],2,FALSE))</f>
        <v>Fungicide</v>
      </c>
      <c r="D52" s="388"/>
      <c r="E52" s="388"/>
      <c r="F52" s="174">
        <v>7</v>
      </c>
      <c r="G52" s="175">
        <v>0.3</v>
      </c>
      <c r="H52" s="176">
        <v>8</v>
      </c>
      <c r="I52" s="120" t="str">
        <f>IF($B52=0,"",VLOOKUP($B52,Table2[],5,FALSE))</f>
        <v>ounce</v>
      </c>
      <c r="J52" s="109">
        <f>IF($B52=0,"",VLOOKUP($B52,Table2[],7,FALSE))</f>
        <v>3.90625</v>
      </c>
      <c r="K52" s="109">
        <f t="shared" si="2"/>
        <v>9.3800000000000008</v>
      </c>
      <c r="L52" s="110"/>
    </row>
    <row r="53" spans="1:12" x14ac:dyDescent="0.2">
      <c r="A53" s="105"/>
      <c r="B53" s="213" t="s">
        <v>291</v>
      </c>
      <c r="C53" s="247"/>
      <c r="D53" s="247" t="s">
        <v>292</v>
      </c>
      <c r="E53" s="247"/>
      <c r="F53" s="214">
        <v>8</v>
      </c>
      <c r="G53" s="221">
        <v>1</v>
      </c>
      <c r="H53" s="222">
        <v>1</v>
      </c>
      <c r="I53" s="223" t="s">
        <v>176</v>
      </c>
      <c r="J53" s="215">
        <f>IF($B53=0,"",VLOOKUP($B53,Table2[],7,FALSE))</f>
        <v>52</v>
      </c>
      <c r="K53" s="215">
        <f t="shared" ref="K53" si="4">IF(B53=0,0,ROUND(G53*H53*J53,2))</f>
        <v>52</v>
      </c>
      <c r="L53" s="216"/>
    </row>
    <row r="54" spans="1:12" x14ac:dyDescent="0.2">
      <c r="A54" s="105"/>
      <c r="B54" s="180" t="s">
        <v>198</v>
      </c>
      <c r="C54" s="388" t="str">
        <f>IF(B54=0,"",VLOOKUP($B54,Table2[],2,FALSE))</f>
        <v>Custom</v>
      </c>
      <c r="D54" s="388"/>
      <c r="E54" s="388"/>
      <c r="F54" s="174">
        <v>11</v>
      </c>
      <c r="G54" s="175">
        <v>1</v>
      </c>
      <c r="H54" s="176">
        <f>$G$4</f>
        <v>260</v>
      </c>
      <c r="I54" s="120" t="str">
        <f>IF($B54=0,"",VLOOKUP($B54,Table2[],5,FALSE))</f>
        <v>bushel</v>
      </c>
      <c r="J54" s="109">
        <f>IF($B54=0,"",VLOOKUP($B54,Table2[],7,FALSE))</f>
        <v>0.15</v>
      </c>
      <c r="K54" s="109">
        <f>IF(B54=0,0,ROUND(G54*H54*J54,2))</f>
        <v>39</v>
      </c>
      <c r="L54" s="110"/>
    </row>
    <row r="55" spans="1:12" x14ac:dyDescent="0.2">
      <c r="B55" s="180" t="s">
        <v>190</v>
      </c>
      <c r="C55" s="388" t="str">
        <f>IF(B55=0,"",VLOOKUP($B55,Table2[],2,FALSE))</f>
        <v>Custom</v>
      </c>
      <c r="D55" s="388"/>
      <c r="E55" s="388"/>
      <c r="F55" s="174">
        <v>12</v>
      </c>
      <c r="G55" s="175">
        <v>0.1</v>
      </c>
      <c r="H55" s="176">
        <f>$G$4</f>
        <v>260</v>
      </c>
      <c r="I55" s="120" t="str">
        <f>IF($B55=0,"",VLOOKUP($B55,Table2[],5,FALSE))</f>
        <v>bushel</v>
      </c>
      <c r="J55" s="109">
        <f>IF($B55=0,"",VLOOKUP($B55,Table2[],7,FALSE))</f>
        <v>0.1</v>
      </c>
      <c r="K55" s="109">
        <f t="shared" si="2"/>
        <v>2.6</v>
      </c>
      <c r="L55" s="110"/>
    </row>
    <row r="56" spans="1:12" x14ac:dyDescent="0.2">
      <c r="B56" s="111" t="s">
        <v>313</v>
      </c>
      <c r="C56" s="388" t="str">
        <f>IF(B56=0,"",VLOOKUP($B56,Table2[],2,FALSE))</f>
        <v>Scouting</v>
      </c>
      <c r="D56" s="388"/>
      <c r="E56" s="388"/>
      <c r="F56" s="112"/>
      <c r="G56" s="175">
        <v>1</v>
      </c>
      <c r="H56" s="178">
        <v>1</v>
      </c>
      <c r="I56" s="120" t="str">
        <f>IF($B56=0,"",VLOOKUP($B56,Table2[],5,FALSE))</f>
        <v>acre</v>
      </c>
      <c r="J56" s="109">
        <f>IF($B56=0,"",VLOOKUP($B56,Table2[],7,FALSE))</f>
        <v>13</v>
      </c>
      <c r="K56" s="109">
        <f>IF(B56=0,0,ROUND(G56*H56*J56,2))</f>
        <v>13</v>
      </c>
      <c r="L56" s="110"/>
    </row>
    <row r="57" spans="1:12" ht="12.75" hidden="1" customHeight="1" x14ac:dyDescent="0.2">
      <c r="B57" s="111"/>
      <c r="C57" s="388" t="str">
        <f>IF(B57=0,"",VLOOKUP($B57,Table2[],2,FALSE))</f>
        <v/>
      </c>
      <c r="D57" s="388"/>
      <c r="E57" s="388"/>
      <c r="F57" s="112"/>
      <c r="G57" s="175"/>
      <c r="H57" s="178"/>
      <c r="I57" s="120" t="str">
        <f>IF($B57=0,"",VLOOKUP($B57,Table2[],5,FALSE))</f>
        <v/>
      </c>
      <c r="J57" s="109" t="str">
        <f>IF($B57=0,"",VLOOKUP($B57,Table2[],7,FALSE))</f>
        <v/>
      </c>
      <c r="K57" s="109">
        <f t="shared" si="2"/>
        <v>0</v>
      </c>
      <c r="L57" s="110"/>
    </row>
    <row r="58" spans="1:12" ht="12.75" hidden="1" customHeight="1" x14ac:dyDescent="0.2">
      <c r="B58" s="111"/>
      <c r="C58" s="388" t="str">
        <f>IF(B58=0,"",VLOOKUP($B58,Table2[],2,FALSE))</f>
        <v/>
      </c>
      <c r="D58" s="388"/>
      <c r="E58" s="388"/>
      <c r="F58" s="112"/>
      <c r="G58" s="175"/>
      <c r="H58" s="178"/>
      <c r="I58" s="120" t="str">
        <f>IF($B58=0,"",VLOOKUP($B58,Table2[],5,FALSE))</f>
        <v/>
      </c>
      <c r="J58" s="109" t="str">
        <f>IF($B58=0,"",VLOOKUP($B58,Table2[],7,FALSE))</f>
        <v/>
      </c>
      <c r="K58" s="109">
        <f t="shared" si="2"/>
        <v>0</v>
      </c>
      <c r="L58" s="113"/>
    </row>
    <row r="59" spans="1:12" ht="12.75" hidden="1" customHeight="1" x14ac:dyDescent="0.2">
      <c r="B59" s="217"/>
      <c r="C59" s="388" t="str">
        <f>IF(B59=0,"",VLOOKUP($B59,Table2[],2,FALSE))</f>
        <v/>
      </c>
      <c r="D59" s="388"/>
      <c r="E59" s="388"/>
      <c r="F59" s="218"/>
      <c r="G59" s="221"/>
      <c r="H59" s="225"/>
      <c r="I59" s="120" t="str">
        <f>IF($B59=0,"",VLOOKUP($B59,Table2[],5,FALSE))</f>
        <v/>
      </c>
      <c r="J59" s="109" t="str">
        <f>IF($B59=0,"",VLOOKUP($B59,Table2[],7,FALSE))</f>
        <v/>
      </c>
      <c r="K59" s="215">
        <f>IF(B59=0,0,ROUND(G59*H59*J59,2))</f>
        <v>0</v>
      </c>
      <c r="L59" s="227"/>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217"/>
      <c r="C63" s="388" t="str">
        <f>IF(B63=0,"",VLOOKUP($B63,Table2[],2,FALSE))</f>
        <v/>
      </c>
      <c r="D63" s="388"/>
      <c r="E63" s="388"/>
      <c r="F63" s="218"/>
      <c r="G63" s="224"/>
      <c r="H63" s="225"/>
      <c r="I63" s="120" t="str">
        <f>IF($B63=0,"",VLOOKUP($B63,Table2[],5,FALSE))</f>
        <v/>
      </c>
      <c r="J63" s="109" t="str">
        <f>IF($B63=0,"",VLOOKUP($B63,Table2[],7,FALSE))</f>
        <v/>
      </c>
      <c r="K63" s="215">
        <f>IF(B63=0,0,ROUND(G63*H63*J63,2))</f>
        <v>0</v>
      </c>
      <c r="L63" s="227"/>
    </row>
    <row r="64" spans="1:12" x14ac:dyDescent="0.2">
      <c r="B64" s="185" t="s">
        <v>430</v>
      </c>
      <c r="C64" s="388" t="s">
        <v>655</v>
      </c>
      <c r="D64" s="388"/>
      <c r="E64" s="388"/>
      <c r="F64" s="112"/>
      <c r="G64" s="177"/>
      <c r="H64" s="178"/>
      <c r="I64" s="170"/>
      <c r="J64" s="109">
        <f ca="1">IF(F5=0,E5,F5)</f>
        <v>5</v>
      </c>
      <c r="K64" s="109">
        <f ca="1">IF(B64=0,0,J64)</f>
        <v>5</v>
      </c>
      <c r="L64" s="113"/>
    </row>
    <row r="65" spans="2:12" ht="3.75" customHeight="1" thickBot="1" x14ac:dyDescent="0.25">
      <c r="B65" s="114"/>
      <c r="C65" s="121"/>
      <c r="D65" s="121"/>
      <c r="E65" s="121"/>
      <c r="F65" s="115"/>
      <c r="G65" s="122"/>
      <c r="H65" s="114"/>
      <c r="I65" s="123"/>
      <c r="J65" s="124"/>
      <c r="K65" s="125"/>
      <c r="L65" s="117"/>
    </row>
    <row r="66" spans="2:12" ht="13.5" thickTop="1" x14ac:dyDescent="0.2">
      <c r="C66" s="108" t="s">
        <v>671</v>
      </c>
      <c r="D66" s="108"/>
      <c r="E66" s="161"/>
      <c r="F66" s="105"/>
      <c r="J66" s="126"/>
      <c r="K66" s="127">
        <f ca="1">SUM(K38:K64)</f>
        <v>496.90999999999997</v>
      </c>
      <c r="L66" s="110"/>
    </row>
    <row r="67" spans="2:12" x14ac:dyDescent="0.2">
      <c r="B67" s="144"/>
      <c r="K67" s="127"/>
    </row>
    <row r="68" spans="2:12" x14ac:dyDescent="0.2">
      <c r="B68" s="107" t="s">
        <v>672</v>
      </c>
      <c r="K68" s="127">
        <f ca="1">K34+K66</f>
        <v>691.13</v>
      </c>
      <c r="L68" s="110"/>
    </row>
    <row r="69" spans="2:12" ht="13.5" thickBot="1" x14ac:dyDescent="0.25">
      <c r="D69" s="128" t="s">
        <v>673</v>
      </c>
      <c r="E69" s="129">
        <f ca="1">ROUND(SUM($E$34:$H$34)+$K$66,2)</f>
        <v>586.09</v>
      </c>
      <c r="F69" s="388" t="s">
        <v>674</v>
      </c>
      <c r="G69" s="388"/>
      <c r="H69" s="130">
        <f>'General Variables'!$B$11</f>
        <v>7.4999999999999997E-2</v>
      </c>
      <c r="I69" s="131" t="str">
        <f>CONCATENATE("for ",TEXT('[2]General Variables'!$B$12,"0.0")," mo.")</f>
        <v>for 6.0 mo.</v>
      </c>
      <c r="K69" s="132">
        <f ca="1">E69*H69*'General Variables'!$B$12/12</f>
        <v>21.978375</v>
      </c>
      <c r="L69" s="133"/>
    </row>
    <row r="70" spans="2:12" ht="13.5" thickTop="1" x14ac:dyDescent="0.2">
      <c r="B70" s="107" t="s">
        <v>675</v>
      </c>
      <c r="K70" s="127">
        <f ca="1">SUM(K68:K69)</f>
        <v>713.10837500000002</v>
      </c>
      <c r="L70" s="110"/>
    </row>
    <row r="71" spans="2:12" x14ac:dyDescent="0.2">
      <c r="K71" s="127"/>
    </row>
    <row r="72" spans="2:12" x14ac:dyDescent="0.2">
      <c r="B72" s="104" t="s">
        <v>676</v>
      </c>
      <c r="C72" s="134"/>
      <c r="D72" s="134"/>
      <c r="E72" s="134"/>
      <c r="F72" s="134"/>
      <c r="G72" s="134"/>
      <c r="H72" s="134"/>
      <c r="I72" s="134"/>
      <c r="J72" s="134"/>
      <c r="K72" s="135">
        <f>'General Variables'!B14</f>
        <v>35</v>
      </c>
      <c r="L72" s="110"/>
    </row>
    <row r="73" spans="2:12" x14ac:dyDescent="0.2">
      <c r="B73" s="103" t="s">
        <v>687</v>
      </c>
      <c r="C73" s="398" t="s">
        <v>40</v>
      </c>
      <c r="D73" s="399"/>
      <c r="E73" s="400"/>
      <c r="F73" s="136">
        <f>IF(C73=0,0,VLOOKUP(C73,RETable,2,FALSE))</f>
        <v>9115</v>
      </c>
      <c r="G73" s="388" t="s">
        <v>678</v>
      </c>
      <c r="H73" s="388"/>
      <c r="I73" s="130">
        <f>'[2]General Variables'!$B$10</f>
        <v>0.03</v>
      </c>
      <c r="K73" s="137">
        <f>ROUND(F73*I73,2)</f>
        <v>273.45</v>
      </c>
      <c r="L73" s="110"/>
    </row>
    <row r="74" spans="2:12" ht="13.5" thickBot="1" x14ac:dyDescent="0.25">
      <c r="B74" s="103" t="s">
        <v>679</v>
      </c>
      <c r="F74" s="138">
        <f>IF(C73=0,0,VLOOKUP(C73,RETable,2,FALSE))</f>
        <v>9115</v>
      </c>
      <c r="G74" s="397" t="s">
        <v>678</v>
      </c>
      <c r="H74" s="397"/>
      <c r="I74" s="139">
        <f>'General Variables'!$B$13</f>
        <v>1.2999999999999999E-2</v>
      </c>
      <c r="J74" s="105"/>
      <c r="K74" s="140">
        <f>ROUND(F74*I74,2)</f>
        <v>118.5</v>
      </c>
      <c r="L74" s="133"/>
    </row>
    <row r="75" spans="2:12" ht="13.5" thickTop="1" x14ac:dyDescent="0.2">
      <c r="B75" s="107" t="s">
        <v>680</v>
      </c>
      <c r="K75" s="127">
        <f ca="1">SUM(K70:K74)</f>
        <v>1140.0583750000001</v>
      </c>
      <c r="L75" s="110"/>
    </row>
    <row r="76" spans="2:12" x14ac:dyDescent="0.2">
      <c r="K76" s="128"/>
    </row>
    <row r="77" spans="2:12" x14ac:dyDescent="0.2">
      <c r="B77" s="104" t="str">
        <f>IF(G4="","","Cash Cost per "&amp;H4)</f>
        <v>Cash Cost per bushel</v>
      </c>
      <c r="C77" s="261" t="s">
        <v>688</v>
      </c>
      <c r="D77" s="105"/>
      <c r="E77" s="105"/>
      <c r="F77" s="105"/>
      <c r="G77" s="105"/>
      <c r="H77" s="105"/>
      <c r="I77" s="105"/>
      <c r="J77" s="105"/>
      <c r="K77" s="142">
        <f ca="1">IF(G4=0,0,(E69+K69+K72+K74)/G4)</f>
        <v>2.929109134615385</v>
      </c>
      <c r="L77" s="148"/>
    </row>
    <row r="78" spans="2:12" x14ac:dyDescent="0.2">
      <c r="B78" s="107" t="str">
        <f>IF(G4="","","Cost of production per "&amp;H4)</f>
        <v>Cost of production per bushel</v>
      </c>
      <c r="K78" s="141">
        <f ca="1">IF(G4="","",K75/G4)</f>
        <v>4.3848399038461539</v>
      </c>
      <c r="L78" s="110"/>
    </row>
    <row r="80" spans="2:12" x14ac:dyDescent="0.2">
      <c r="D80" s="103" t="s">
        <v>900</v>
      </c>
      <c r="G80" s="105"/>
      <c r="H80" s="105"/>
      <c r="I80" s="105"/>
      <c r="J80" s="105"/>
      <c r="K80" s="355" t="s">
        <v>901</v>
      </c>
      <c r="L80" s="105"/>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5"/>
      <c r="C114" s="105"/>
      <c r="D114" s="105"/>
      <c r="H114" s="103" t="e">
        <f>'[2]General Variables'!#REF!</f>
        <v>#REF!</v>
      </c>
    </row>
    <row r="115" spans="2:11" x14ac:dyDescent="0.2">
      <c r="B115" s="105"/>
      <c r="C115" s="105"/>
      <c r="D115" s="105"/>
      <c r="H115" s="103" t="e">
        <f>'[2]General Variables'!#REF!</f>
        <v>#REF!</v>
      </c>
      <c r="K115" s="103" t="s">
        <v>681</v>
      </c>
    </row>
    <row r="116" spans="2:11" x14ac:dyDescent="0.2">
      <c r="B116" s="105"/>
      <c r="C116" s="105"/>
      <c r="D116" s="105"/>
      <c r="H116" s="103" t="e">
        <f>'[2]General Variables'!#REF!</f>
        <v>#REF!</v>
      </c>
      <c r="K116" s="103" t="s">
        <v>654</v>
      </c>
    </row>
    <row r="117" spans="2:11" x14ac:dyDescent="0.2">
      <c r="B117" s="105"/>
      <c r="C117" s="105"/>
      <c r="D117" s="105"/>
      <c r="H117" s="103" t="e">
        <f>'[2]General Variables'!#REF!</f>
        <v>#REF!</v>
      </c>
    </row>
    <row r="118" spans="2:11" x14ac:dyDescent="0.2">
      <c r="B118" s="105"/>
      <c r="C118" s="105"/>
      <c r="D118" s="105"/>
      <c r="H118" s="103" t="e">
        <f>'[2]General Variables'!#REF!</f>
        <v>#REF!</v>
      </c>
    </row>
    <row r="119" spans="2:11" x14ac:dyDescent="0.2">
      <c r="B119" s="105"/>
      <c r="C119" s="105"/>
      <c r="D119" s="105"/>
      <c r="H119" s="103" t="e">
        <f>'[2]General Variables'!#REF!</f>
        <v>#REF!</v>
      </c>
    </row>
    <row r="120" spans="2:11" x14ac:dyDescent="0.2">
      <c r="B120" s="105"/>
      <c r="C120" s="105"/>
      <c r="D120" s="105"/>
      <c r="H120" s="103" t="e">
        <f>'[2]General Variables'!#REF!</f>
        <v>#REF!</v>
      </c>
    </row>
    <row r="121" spans="2:11" x14ac:dyDescent="0.2">
      <c r="B121" s="105"/>
      <c r="C121" s="105"/>
      <c r="D121" s="105"/>
      <c r="H121" s="103" t="e">
        <f>'[2]General Variables'!#REF!</f>
        <v>#REF!</v>
      </c>
    </row>
    <row r="122" spans="2:11" x14ac:dyDescent="0.2">
      <c r="B122" s="105"/>
      <c r="C122" s="105"/>
      <c r="D122" s="105"/>
      <c r="H122" s="103" t="e">
        <f>'[2]General Variables'!#REF!</f>
        <v>#REF!</v>
      </c>
    </row>
    <row r="123" spans="2:11" x14ac:dyDescent="0.2">
      <c r="B123" s="105"/>
      <c r="C123" s="105"/>
      <c r="D123" s="105"/>
      <c r="H123" s="103" t="e">
        <f>'[2]General Variables'!#REF!</f>
        <v>#REF!</v>
      </c>
    </row>
    <row r="124" spans="2:11" x14ac:dyDescent="0.2">
      <c r="B124" s="105"/>
      <c r="C124" s="105"/>
      <c r="D124" s="105"/>
      <c r="H124" s="103" t="e">
        <f>'[2]General Variables'!#REF!</f>
        <v>#REF!</v>
      </c>
    </row>
    <row r="125" spans="2:11" x14ac:dyDescent="0.2">
      <c r="B125" s="105"/>
      <c r="C125" s="105"/>
      <c r="D125" s="105"/>
      <c r="H125" s="103" t="e">
        <f>'[2]General Variables'!#REF!</f>
        <v>#REF!</v>
      </c>
    </row>
    <row r="126" spans="2:11" x14ac:dyDescent="0.2">
      <c r="B126" s="105"/>
      <c r="C126" s="105"/>
      <c r="D126" s="105"/>
      <c r="H126" s="103" t="e">
        <f>'[2]General Variables'!#REF!</f>
        <v>#REF!</v>
      </c>
    </row>
    <row r="127" spans="2:11" x14ac:dyDescent="0.2">
      <c r="B127" s="105"/>
      <c r="C127" s="105"/>
      <c r="D127" s="105"/>
      <c r="H127" s="103" t="e">
        <f>'[2]General Variables'!#REF!</f>
        <v>#REF!</v>
      </c>
    </row>
    <row r="128" spans="2:11" x14ac:dyDescent="0.2">
      <c r="B128" s="105"/>
      <c r="C128" s="105"/>
      <c r="D128" s="105"/>
      <c r="H128" s="103" t="e">
        <f>'[2]General Variables'!#REF!</f>
        <v>#REF!</v>
      </c>
    </row>
    <row r="129" spans="2:8" x14ac:dyDescent="0.2">
      <c r="B129" s="105"/>
      <c r="C129" s="105"/>
      <c r="D129" s="105"/>
      <c r="H129" s="103" t="e">
        <f>'[2]General Variables'!#REF!</f>
        <v>#REF!</v>
      </c>
    </row>
    <row r="130" spans="2:8" x14ac:dyDescent="0.2">
      <c r="B130" s="105"/>
      <c r="C130" s="105"/>
      <c r="D130" s="105"/>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t="str">
        <f>IF([2]Operations!A132="","",[2]Operations!A132)</f>
        <v/>
      </c>
      <c r="C244" s="105" t="str">
        <f>IF([2]Materials!B132="","",[2]Materials!B132)</f>
        <v>Alfalfa w/Inoculant</v>
      </c>
    </row>
    <row r="245" spans="2:3" x14ac:dyDescent="0.2">
      <c r="B245" s="105" t="str">
        <f>IF([2]Operations!A133="","",[2]Operations!A133)</f>
        <v/>
      </c>
      <c r="C245" s="105" t="str">
        <f>IF([2]Materials!B133="","",[2]Materials!B133)</f>
        <v>Corn</v>
      </c>
    </row>
    <row r="246" spans="2:3" x14ac:dyDescent="0.2">
      <c r="B246" s="105" t="str">
        <f>IF([2]Operations!A134="","",[2]Operations!A134)</f>
        <v/>
      </c>
      <c r="C246" s="105" t="str">
        <f>IF([2]Materials!B134="","",[2]Materials!B134)</f>
        <v>Corn Bt, ECB, &amp; RIB</v>
      </c>
    </row>
    <row r="247" spans="2:3" x14ac:dyDescent="0.2">
      <c r="B247" s="105" t="str">
        <f>IF([2]Operations!A135="","",[2]Operations!A135)</f>
        <v/>
      </c>
      <c r="C247" s="105" t="str">
        <f>IF([2]Materials!B135="","",[2]Materials!B135)</f>
        <v>Corn Bt, ECB, RR2, LL, &amp; RIB</v>
      </c>
    </row>
    <row r="248" spans="2:3" x14ac:dyDescent="0.2">
      <c r="B248" s="105" t="str">
        <f>IF([2]Operations!A136="","",[2]Operations!A136)</f>
        <v/>
      </c>
      <c r="C248" s="105" t="str">
        <f>IF([2]Materials!B136="","",[2]Materials!B136)</f>
        <v>Corn Bt, ECB, RW, &amp; RIB</v>
      </c>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row>
    <row r="259" spans="2:3" x14ac:dyDescent="0.2">
      <c r="B259" s="105"/>
    </row>
  </sheetData>
  <mergeCells count="49">
    <mergeCell ref="C50:E50"/>
    <mergeCell ref="B7:L7"/>
    <mergeCell ref="G2:H2"/>
    <mergeCell ref="K2:L2"/>
    <mergeCell ref="C3:E3"/>
    <mergeCell ref="C4:E4"/>
    <mergeCell ref="A6:M6"/>
    <mergeCell ref="B10:B11"/>
    <mergeCell ref="C10:C11"/>
    <mergeCell ref="E10:E11"/>
    <mergeCell ref="F10:F11"/>
    <mergeCell ref="G10:H10"/>
    <mergeCell ref="K10:K11"/>
    <mergeCell ref="L10:L11"/>
    <mergeCell ref="F36:F37"/>
    <mergeCell ref="G36:G37"/>
    <mergeCell ref="H36:I36"/>
    <mergeCell ref="J36:J37"/>
    <mergeCell ref="L36:L37"/>
    <mergeCell ref="I10:J10"/>
    <mergeCell ref="C49:E49"/>
    <mergeCell ref="C38:E38"/>
    <mergeCell ref="C39:E39"/>
    <mergeCell ref="C40:E40"/>
    <mergeCell ref="C41:E41"/>
    <mergeCell ref="C42:E42"/>
    <mergeCell ref="C43:E43"/>
    <mergeCell ref="C44:E44"/>
    <mergeCell ref="C45:E45"/>
    <mergeCell ref="C46:E46"/>
    <mergeCell ref="C47:E47"/>
    <mergeCell ref="C48:E48"/>
    <mergeCell ref="C63:E63"/>
    <mergeCell ref="C51:E51"/>
    <mergeCell ref="C52:E52"/>
    <mergeCell ref="C54:E54"/>
    <mergeCell ref="C55:E55"/>
    <mergeCell ref="C56:E56"/>
    <mergeCell ref="C57:E57"/>
    <mergeCell ref="C58:E58"/>
    <mergeCell ref="C59:E59"/>
    <mergeCell ref="C60:E60"/>
    <mergeCell ref="C61:E61"/>
    <mergeCell ref="C62:E62"/>
    <mergeCell ref="C64:E64"/>
    <mergeCell ref="F69:G69"/>
    <mergeCell ref="C73:E73"/>
    <mergeCell ref="G73:H73"/>
    <mergeCell ref="G74:H74"/>
  </mergeCells>
  <dataValidations count="9">
    <dataValidation type="list" allowBlank="1" showInputMessage="1" showErrorMessage="1" sqref="B33" xr:uid="{ACEC80F9-E81C-4516-A158-01827A069525}">
      <formula1>$B$114:$B$211</formula1>
    </dataValidation>
    <dataValidation type="list" showInputMessage="1" showErrorMessage="1" sqref="B65" xr:uid="{388F9D1B-6239-417D-B428-B5AB624ADFA1}">
      <formula1>$C$114:$C$237</formula1>
    </dataValidation>
    <dataValidation type="list" allowBlank="1" showInputMessage="1" showErrorMessage="1" sqref="K4" xr:uid="{AB3287B9-F98A-4ED0-9238-8B0E22C4C600}">
      <formula1>$K$114:$K$116</formula1>
    </dataValidation>
    <dataValidation type="list" allowBlank="1" showInputMessage="1" showErrorMessage="1" sqref="B38:B63" xr:uid="{617B23D4-AD2A-462B-8BB9-1B0B7C1E1BDB}">
      <formula1>MaterialList</formula1>
    </dataValidation>
    <dataValidation type="list" allowBlank="1" showInputMessage="1" showErrorMessage="1" sqref="C73:E73" xr:uid="{0325C561-9BEB-4561-9E8F-2436CE5462BF}">
      <formula1>RealEstateList</formula1>
    </dataValidation>
    <dataValidation type="list" allowBlank="1" showInputMessage="1" showErrorMessage="1" sqref="B12:B32" xr:uid="{FA88D167-D2AD-46BD-BEBD-A9AEFDCFC3B7}">
      <formula1>OperationList</formula1>
    </dataValidation>
    <dataValidation type="list" allowBlank="1" showInputMessage="1" showErrorMessage="1" sqref="D13:D21 D23:D33" xr:uid="{B0D49CEE-4B36-4C95-BBA3-73A5A83BDF2E}">
      <formula1>#REF!</formula1>
    </dataValidation>
    <dataValidation type="list" allowBlank="1" showInputMessage="1" showErrorMessage="1" sqref="K2" xr:uid="{47058FA1-0D13-4033-BE44-38C6F86DF00A}">
      <formula1>watersource</formula1>
    </dataValidation>
    <dataValidation type="list" allowBlank="1" showInputMessage="1" showErrorMessage="1" sqref="C3" xr:uid="{27E3CC48-8227-4883-A6F6-65F9AD06AA88}">
      <formula1>TillageSystem</formula1>
    </dataValidation>
  </dataValidations>
  <pageMargins left="0.7" right="0.7" top="0.75" bottom="0.75" header="0.3" footer="0.3"/>
  <pageSetup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28">
    <pageSetUpPr fitToPage="1"/>
  </sheetPr>
  <dimension ref="A2:M257"/>
  <sheetViews>
    <sheetView zoomScaleNormal="100" workbookViewId="0">
      <selection activeCell="G16" sqref="G1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720</v>
      </c>
      <c r="H2" s="392"/>
      <c r="J2" s="128" t="s">
        <v>649</v>
      </c>
      <c r="K2" s="401" t="s">
        <v>70</v>
      </c>
      <c r="L2" s="401"/>
    </row>
    <row r="3" spans="1:13" hidden="1" x14ac:dyDescent="0.2">
      <c r="B3" s="103" t="s">
        <v>38</v>
      </c>
      <c r="C3" s="391" t="s">
        <v>46</v>
      </c>
      <c r="D3" s="391"/>
      <c r="E3" s="391"/>
      <c r="G3" s="128" t="s">
        <v>650</v>
      </c>
      <c r="H3" s="187" t="s">
        <v>733</v>
      </c>
      <c r="J3" s="128" t="s">
        <v>651</v>
      </c>
      <c r="K3" s="187">
        <v>9</v>
      </c>
    </row>
    <row r="4" spans="1:13" hidden="1" x14ac:dyDescent="0.2">
      <c r="B4" s="103" t="s">
        <v>652</v>
      </c>
      <c r="C4" s="392" t="s">
        <v>722</v>
      </c>
      <c r="D4" s="392"/>
      <c r="E4" s="392"/>
      <c r="G4" s="103">
        <v>275</v>
      </c>
      <c r="H4" s="103" t="str">
        <f>IFERROR(RIGHT(H3,LEN(H3)-LEN(G4)-1),"")</f>
        <v>bushel</v>
      </c>
      <c r="J4" s="128" t="s">
        <v>653</v>
      </c>
      <c r="K4" s="188" t="s">
        <v>681</v>
      </c>
    </row>
    <row r="5" spans="1:13" ht="15.75" hidden="1" customHeight="1" x14ac:dyDescent="0.2">
      <c r="B5" s="103" t="s">
        <v>655</v>
      </c>
      <c r="C5" s="103" t="str">
        <f ca="1">MID(CELL("filename",C5),FIND("]",CELL("filename",C5))+1,255)</f>
        <v>33-Corn</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33-Corn, Bt, ECB, &amp; RIB, No Till, after Beans, 275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33-Corn, Bt, ECB, &amp; RIB, No Till, after Beans, 275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525</v>
      </c>
      <c r="C15" s="214">
        <f>$K$3</f>
        <v>9</v>
      </c>
      <c r="D15" s="214" t="s">
        <v>693</v>
      </c>
      <c r="E15" s="215">
        <f>IF(B15=0,"",IF(C15&gt;9999,"",ROUND('General Variables'!$B$4*VLOOKUP(B15,Operations!$A$2:$U$79,10,FALSE)/VLOOKUP(B15,Operations!$A$2:$U$79,9,FALSE)*C15,2)))</f>
        <v>11.25</v>
      </c>
      <c r="F15" s="215">
        <f>IF(B15=0,0,IF(C15&gt;9999,"",ROUND(IF(VLOOKUP(B15,Operations!$A$2:$U$79,12,FALSE)=0,VLOOKUP(B15,Operations!$A$2:$U$79,13,FALSE)*'General Variables'!$B$8,VLOOKUP(B15,Operations!$A$2:$U$79,12,FALSE)*'General Variables'!$B$7)/VLOOKUP(B15,Operations!$A$2:$U$79,9,FALSE)*C15,2)))</f>
        <v>19.11</v>
      </c>
      <c r="G15" s="215">
        <f>IF(B15=0,0,IF(C15&gt;9999,"",ROUND(VLOOKUP(VLOOKUP(B15,Operations!$A$2:$U$79,11,FALSE),PowerUnits[],10,FALSE)/VLOOKUP(B15,Operations!$A$2:$U$79,9,FALSE)*C15,2)))</f>
        <v>5.0199999999999996</v>
      </c>
      <c r="H15" s="215">
        <v>8</v>
      </c>
      <c r="I15" s="215">
        <v>5</v>
      </c>
      <c r="J15" s="215">
        <f>IF(B15=0,"",IF(C15&gt;9999,"",ROUND(VLOOKUP($B15,Operations!$A$2:$U$79,21,FALSE)*$C15,2)))</f>
        <v>14.24</v>
      </c>
      <c r="K15" s="215">
        <f t="shared" si="0"/>
        <v>62.62</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944</v>
      </c>
      <c r="C19" s="214">
        <v>240</v>
      </c>
      <c r="D19" s="214"/>
      <c r="E19" s="215">
        <f>IF(B19=0,"",IF(C19&gt;9999,"",ROUND('General Variables'!$B$4*VLOOKUP(B19,Operations!$A$2:$U$79,10,FALSE)/VLOOKUP(B19,Operations!$A$2:$U$79,9,FALSE)*C19,2))/100)</f>
        <v>5.7484000000000002</v>
      </c>
      <c r="F19" s="215">
        <f>IF(B19=0,0,IF(C19&gt;9999,"",ROUND(IF(VLOOKUP(B19,Operations!$A$2:$U$79,12,FALSE)=0,VLOOKUP(B19,Operations!$A$2:$U$79,13,FALSE)*'General Variables'!$B$8,VLOOKUP(B19,Operations!$A$2:$U$79,12,FALSE)*'General Variables'!$B$7)/VLOOKUP(B19,Operations!$A$2:$U$79,9,FALSE)*C19,2))/100)</f>
        <v>6.4971000000000005</v>
      </c>
      <c r="G19" s="215">
        <f>IF(B19=0,0,IF(C19&gt;9999,"",ROUND(VLOOKUP(VLOOKUP(B19,Operations!$A$2:$U$79,11,FALSE),PowerUnits[],10,FALSE)/VLOOKUP(B19,Operations!$A$2:$U$79,9,FALSE)*C19,2))/100)</f>
        <v>9.9886999999999997</v>
      </c>
      <c r="H19" s="215">
        <f>IF(B19=0,"",IF(C19&gt;9999,"",ROUND(VLOOKUP($B19,Operations!$A$2:$U$79,15,FALSE)*C19,2))/100)</f>
        <v>2.5785</v>
      </c>
      <c r="I19" s="215">
        <f>IF(B19=0,0,IF(C19&gt;9999,"",ROUND(VLOOKUP(VLOOKUP(B19,Operations!$A$2:$U$79,11,FALSE),PowerUnits[],16,FALSE)/VLOOKUP(B19,Operations!$A$2:$U$79,9,FALSE)*C19,2))/100)</f>
        <v>24.055300000000003</v>
      </c>
      <c r="J19" s="215">
        <f>IF(B19=0,"",IF(C19&gt;9999,"",ROUND(VLOOKUP($B19,Operations!$A$2:$U$79,21,FALSE)*$C19,2))/100)</f>
        <v>10.6999</v>
      </c>
      <c r="K19" s="215">
        <f>IF(C19&gt;9999,"",ROUND(SUM(E19:J19),2))</f>
        <v>59.57</v>
      </c>
      <c r="L19" s="216"/>
    </row>
    <row r="20" spans="1:12" x14ac:dyDescent="0.2">
      <c r="A20" s="170">
        <v>9</v>
      </c>
      <c r="B20" s="180" t="s">
        <v>414</v>
      </c>
      <c r="C20" s="174">
        <f>$G$4</f>
        <v>275</v>
      </c>
      <c r="D20" s="112" t="s">
        <v>706</v>
      </c>
      <c r="E20" s="109">
        <f>IF(B20=0,"",IF(C20&gt;9999,"",ROUND('General Variables'!$B$4*VLOOKUP(B20,Operations!$A$2:$U$79,10,FALSE)/VLOOKUP(B20,Operations!$A$2:$U$79,9,FALSE)*C20,2)))</f>
        <v>2.48</v>
      </c>
      <c r="F20" s="109">
        <f>IF(B20=0,0,IF(C20&gt;9999,"",ROUND(IF(VLOOKUP(B20,Operations!$A$2:$U$79,12,FALSE)=0,VLOOKUP(B20,Operations!$A$2:$U$79,13,FALSE)*'General Variables'!$B$8,VLOOKUP(B20,Operations!$A$2:$U$79,12,FALSE)*'General Variables'!$B$7)/VLOOKUP(B20,Operations!$A$2:$U$79,9,FALSE)*C20,2)))</f>
        <v>0.8</v>
      </c>
      <c r="G20" s="109">
        <f>IF(B20=0,0,IF(C20&gt;9999,"",ROUND(VLOOKUP(VLOOKUP(B20,Operations!$A$2:$U$79,11,FALSE),PowerUnits[],10,FALSE)/VLOOKUP(B20,Operations!$A$2:$U$79,9,FALSE)*C20,2)))</f>
        <v>7.0000000000000007E-2</v>
      </c>
      <c r="H20" s="109">
        <f>IF(B20=0,"",IF(C20&gt;9999,"",ROUND(VLOOKUP($B20,Operations!$A$2:$U$79,15,FALSE)*C20,2)))</f>
        <v>1.52</v>
      </c>
      <c r="I20" s="109">
        <f>IF(B20=0,0,IF(C20&gt;9999,"",ROUND(VLOOKUP(VLOOKUP(B20,Operations!$A$2:$U$79,11,FALSE),PowerUnits[],16,FALSE)/VLOOKUP(B20,Operations!$A$2:$U$79,9,FALSE)*C20,2)))</f>
        <v>3.61</v>
      </c>
      <c r="J20" s="109">
        <f>IF(B20=0,"",IF(C20&gt;9999,"",ROUND(VLOOKUP($B20,Operations!$A$2:$U$79,21,FALSE)*$C20,2)))</f>
        <v>3.04</v>
      </c>
      <c r="K20" s="109">
        <f>IF(C20&gt;9999,"",ROUND(SUM(E20:J20),2))</f>
        <v>11.52</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25.2684</v>
      </c>
      <c r="F33" s="109">
        <f t="shared" ref="F33:K33" si="1">SUM(F12:F31)</f>
        <v>28.1371</v>
      </c>
      <c r="G33" s="109">
        <f t="shared" si="1"/>
        <v>15.2287</v>
      </c>
      <c r="H33" s="109">
        <f t="shared" si="1"/>
        <v>21.8385</v>
      </c>
      <c r="I33" s="109">
        <f t="shared" si="1"/>
        <v>40.275300000000001</v>
      </c>
      <c r="J33" s="109">
        <f t="shared" si="1"/>
        <v>39.639900000000004</v>
      </c>
      <c r="K33" s="109">
        <f t="shared" si="1"/>
        <v>170.39000000000001</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 t="shared" ref="K38:K43" si="2">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si="2"/>
        <v>0.68</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177</v>
      </c>
      <c r="C41" s="388" t="str">
        <f>IF(B41=0,"",VLOOKUP($B41,Table2[],2,FALSE))</f>
        <v>Additive</v>
      </c>
      <c r="D41" s="388"/>
      <c r="E41" s="388"/>
      <c r="F41" s="174">
        <v>2</v>
      </c>
      <c r="G41" s="175">
        <v>1</v>
      </c>
      <c r="H41" s="302">
        <v>1.6</v>
      </c>
      <c r="I41" s="120" t="str">
        <f>IF($B41=0,"",VLOOKUP($B41,Table2[],5,FALSE))</f>
        <v>pint</v>
      </c>
      <c r="J41" s="109">
        <f>IF($B41=0,"",VLOOKUP($B41,Table2[],7,FALSE))</f>
        <v>1.875</v>
      </c>
      <c r="K41" s="109">
        <f t="shared" si="2"/>
        <v>3</v>
      </c>
      <c r="L41" s="110"/>
    </row>
    <row r="42" spans="1:12" x14ac:dyDescent="0.2">
      <c r="A42" s="105"/>
      <c r="B42" s="180" t="s">
        <v>170</v>
      </c>
      <c r="C42" s="388" t="str">
        <f>IF(B42=0,"",VLOOKUP($B42,Table2[],2,FALSE))</f>
        <v>Additive</v>
      </c>
      <c r="D42" s="388"/>
      <c r="E42" s="388"/>
      <c r="F42" s="174">
        <v>2</v>
      </c>
      <c r="G42" s="175">
        <v>1</v>
      </c>
      <c r="H42" s="302">
        <v>2.5</v>
      </c>
      <c r="I42" s="120" t="str">
        <f>IF($B42=0,"",VLOOKUP($B42,Table2[],5,FALSE))</f>
        <v>pound</v>
      </c>
      <c r="J42" s="109">
        <f>IF($B42=0,"",VLOOKUP($B42,Table2[],7,FALSE))</f>
        <v>0.4</v>
      </c>
      <c r="K42" s="109">
        <f t="shared" si="2"/>
        <v>1</v>
      </c>
      <c r="L42" s="110"/>
    </row>
    <row r="43" spans="1:12" x14ac:dyDescent="0.2">
      <c r="A43" s="105"/>
      <c r="B43" s="180" t="s">
        <v>323</v>
      </c>
      <c r="C43" s="388" t="str">
        <f>IF(B43=0,"",VLOOKUP($B43,Table2[],2,FALSE))</f>
        <v>Seed</v>
      </c>
      <c r="D43" s="388"/>
      <c r="E43" s="388"/>
      <c r="F43" s="174">
        <v>3</v>
      </c>
      <c r="G43" s="175">
        <v>1</v>
      </c>
      <c r="H43" s="300">
        <v>38.200000000000003</v>
      </c>
      <c r="I43" s="120" t="str">
        <f>IF($B43=0,"",VLOOKUP($B43,Table2[],5,FALSE))</f>
        <v>k seed</v>
      </c>
      <c r="J43" s="109">
        <f>IF($B43=0,"",VLOOKUP($B43,Table2[],7,FALSE))</f>
        <v>3.875</v>
      </c>
      <c r="K43" s="109">
        <f t="shared" si="2"/>
        <v>148.03</v>
      </c>
      <c r="L43" s="110"/>
    </row>
    <row r="44" spans="1:12" x14ac:dyDescent="0.2">
      <c r="A44" s="143"/>
      <c r="B44" s="213" t="s">
        <v>201</v>
      </c>
      <c r="C44" s="387" t="str">
        <f>IF(B44=0,"",VLOOKUP($B44,Table2[],2,FALSE))</f>
        <v>Fertilizer</v>
      </c>
      <c r="D44" s="387"/>
      <c r="E44" s="387"/>
      <c r="F44" s="214">
        <v>3</v>
      </c>
      <c r="G44" s="221">
        <v>1</v>
      </c>
      <c r="H44" s="303">
        <v>6</v>
      </c>
      <c r="I44" s="223" t="str">
        <f>IF($B44=0,"",VLOOKUP($B44,Table2[],5,FALSE))</f>
        <v>gallon</v>
      </c>
      <c r="J44" s="215">
        <f>IF($B44=0,"",VLOOKUP($B44,Table2[],7,FALSE))</f>
        <v>3.1</v>
      </c>
      <c r="K44" s="215">
        <f>IF(B44=0,0,ROUND(G44*H44*J44,2))</f>
        <v>18.600000000000001</v>
      </c>
      <c r="L44" s="216"/>
    </row>
    <row r="45" spans="1:12" x14ac:dyDescent="0.2">
      <c r="B45" s="180" t="s">
        <v>209</v>
      </c>
      <c r="C45" s="388" t="str">
        <f>IF(B45=0,"",VLOOKUP($B45,Table2[],2,FALSE))</f>
        <v>Fertilizer</v>
      </c>
      <c r="D45" s="388"/>
      <c r="E45" s="388"/>
      <c r="F45" s="174">
        <v>4</v>
      </c>
      <c r="G45" s="175">
        <v>1</v>
      </c>
      <c r="H45" s="302">
        <v>200</v>
      </c>
      <c r="I45" s="120" t="str">
        <f>IF($B45=0,"",VLOOKUP($B45,Table2[],5,FALSE))</f>
        <v>lbs N</v>
      </c>
      <c r="J45" s="109">
        <f>IF($B45=0,"",VLOOKUP($B45,Table2[],7,FALSE))</f>
        <v>0.5</v>
      </c>
      <c r="K45" s="109">
        <f t="shared" ref="K45:K55" si="3">IF(B45=0,0,ROUND(G45*H45*J45,2))</f>
        <v>100</v>
      </c>
      <c r="L45" s="110"/>
    </row>
    <row r="46" spans="1:12" x14ac:dyDescent="0.2">
      <c r="B46" s="180" t="s">
        <v>291</v>
      </c>
      <c r="C46" s="170"/>
      <c r="D46" s="170" t="s">
        <v>292</v>
      </c>
      <c r="E46" s="170"/>
      <c r="F46" s="174">
        <v>4</v>
      </c>
      <c r="G46" s="175">
        <v>1</v>
      </c>
      <c r="H46" s="302">
        <v>1</v>
      </c>
      <c r="I46" s="120" t="s">
        <v>176</v>
      </c>
      <c r="J46" s="109">
        <f>IF($B46=0,"",VLOOKUP($B46,Table2[],7,FALSE))</f>
        <v>52</v>
      </c>
      <c r="K46" s="109">
        <f t="shared" ref="K46" si="4">IF(B46=0,0,ROUND(G46*H46*J46,2))</f>
        <v>52</v>
      </c>
      <c r="L46" s="110"/>
    </row>
    <row r="47" spans="1:12" x14ac:dyDescent="0.2">
      <c r="B47" s="180" t="s">
        <v>236</v>
      </c>
      <c r="C47" s="388" t="str">
        <f>IF(B47=0,"",VLOOKUP($B47,Table2[],2,FALSE))</f>
        <v>Herbicide</v>
      </c>
      <c r="D47" s="388"/>
      <c r="E47" s="388"/>
      <c r="F47" s="174">
        <v>5</v>
      </c>
      <c r="G47" s="177">
        <v>1</v>
      </c>
      <c r="H47" s="176">
        <v>14</v>
      </c>
      <c r="I47" s="120" t="str">
        <f>IF($B47=0,"",VLOOKUP($B47,Table2[],5,FALSE))</f>
        <v>ounce</v>
      </c>
      <c r="J47" s="109">
        <f>IF($B47=0,"",VLOOKUP($B47,Table2[],7,FALSE))</f>
        <v>1.640625</v>
      </c>
      <c r="K47" s="109">
        <f t="shared" si="3"/>
        <v>22.97</v>
      </c>
      <c r="L47" s="110"/>
    </row>
    <row r="48" spans="1:12" x14ac:dyDescent="0.2">
      <c r="B48" s="217" t="s">
        <v>238</v>
      </c>
      <c r="C48" s="387" t="str">
        <f>IF(B48=0,"",VLOOKUP($B48,Table2[],2,FALSE))</f>
        <v>Herbicide</v>
      </c>
      <c r="D48" s="387"/>
      <c r="E48" s="387"/>
      <c r="F48" s="214">
        <v>5</v>
      </c>
      <c r="G48" s="221">
        <v>1</v>
      </c>
      <c r="H48" s="333">
        <v>1</v>
      </c>
      <c r="I48" s="223" t="str">
        <f>IF($B48=0,"",VLOOKUP($B48,Table2[],5,FALSE))</f>
        <v>pound</v>
      </c>
      <c r="J48" s="215">
        <f>IF($B48=0,"",VLOOKUP($B48,Table2[],7,FALSE))</f>
        <v>4.3</v>
      </c>
      <c r="K48" s="215">
        <f t="shared" si="3"/>
        <v>4.3</v>
      </c>
      <c r="L48" s="216"/>
    </row>
    <row r="49" spans="1:12" x14ac:dyDescent="0.2">
      <c r="B49" s="180" t="s">
        <v>177</v>
      </c>
      <c r="C49" s="388" t="str">
        <f>IF(B49=0,"",VLOOKUP($B49,Table2[],2,FALSE))</f>
        <v>Additive</v>
      </c>
      <c r="D49" s="388"/>
      <c r="E49" s="388"/>
      <c r="F49" s="174">
        <v>5</v>
      </c>
      <c r="G49" s="175">
        <v>1</v>
      </c>
      <c r="H49" s="176">
        <v>0.5</v>
      </c>
      <c r="I49" s="120" t="str">
        <f>IF($B49=0,"",VLOOKUP($B49,Table2[],5,FALSE))</f>
        <v>pint</v>
      </c>
      <c r="J49" s="109">
        <f>IF($B49=0,"",VLOOKUP($B49,Table2[],7,FALSE))</f>
        <v>1.875</v>
      </c>
      <c r="K49" s="109">
        <f t="shared" si="3"/>
        <v>0.94</v>
      </c>
      <c r="L49" s="110"/>
    </row>
    <row r="50" spans="1:12" x14ac:dyDescent="0.2">
      <c r="B50" s="180" t="s">
        <v>182</v>
      </c>
      <c r="C50" s="388" t="str">
        <f>IF(B50=0,"",VLOOKUP($B50,Table2[],2,FALSE))</f>
        <v>Additive</v>
      </c>
      <c r="D50" s="388"/>
      <c r="E50" s="388"/>
      <c r="F50" s="174">
        <v>5</v>
      </c>
      <c r="G50" s="175">
        <v>1</v>
      </c>
      <c r="H50" s="176">
        <v>3</v>
      </c>
      <c r="I50" s="120" t="str">
        <f>IF($B50=0,"",VLOOKUP($B50,Table2[],5,FALSE))</f>
        <v>pint</v>
      </c>
      <c r="J50" s="109">
        <f>IF($B50=0,"",VLOOKUP($B50,Table2[],7,FALSE))</f>
        <v>0.22500000000000001</v>
      </c>
      <c r="K50" s="109">
        <f t="shared" si="3"/>
        <v>0.68</v>
      </c>
      <c r="L50" s="110"/>
    </row>
    <row r="51" spans="1:12" x14ac:dyDescent="0.2">
      <c r="A51" s="143"/>
      <c r="B51" s="180" t="s">
        <v>200</v>
      </c>
      <c r="C51" s="388" t="str">
        <f>IF(B51=0,"",VLOOKUP($B51,Table2[],2,FALSE))</f>
        <v>Custom</v>
      </c>
      <c r="D51" s="388"/>
      <c r="E51" s="388"/>
      <c r="F51" s="174">
        <v>6</v>
      </c>
      <c r="G51" s="175">
        <v>0.5</v>
      </c>
      <c r="H51" s="176">
        <v>1</v>
      </c>
      <c r="I51" s="120" t="str">
        <f>IF($B51=0,"",VLOOKUP($B51,Table2[],5,FALSE))</f>
        <v>acre</v>
      </c>
      <c r="J51" s="109">
        <f>IF($B51=0,"",VLOOKUP($B51,Table2[],7,FALSE))</f>
        <v>9</v>
      </c>
      <c r="K51" s="109">
        <f t="shared" si="3"/>
        <v>4.5</v>
      </c>
      <c r="L51" s="110"/>
    </row>
    <row r="52" spans="1:12" x14ac:dyDescent="0.2">
      <c r="A52" s="143" t="s">
        <v>638</v>
      </c>
      <c r="B52" s="213" t="s">
        <v>286</v>
      </c>
      <c r="C52" s="387" t="str">
        <f>IF(B52=0,"",VLOOKUP($B52,Table2[],2,FALSE))</f>
        <v>Insecticide</v>
      </c>
      <c r="D52" s="387"/>
      <c r="E52" s="387"/>
      <c r="F52" s="214">
        <v>6</v>
      </c>
      <c r="G52" s="221">
        <v>0.5</v>
      </c>
      <c r="H52" s="222">
        <v>5.12</v>
      </c>
      <c r="I52" s="223" t="str">
        <f>IF($B52=0,"",VLOOKUP($B52,Table2[],5,FALSE))</f>
        <v>ounce</v>
      </c>
      <c r="J52" s="215">
        <f>IF($B52=0,"",VLOOKUP($B52,Table2[],7,FALSE))</f>
        <v>1.015625</v>
      </c>
      <c r="K52" s="215">
        <f t="shared" si="3"/>
        <v>2.6</v>
      </c>
      <c r="L52" s="216"/>
    </row>
    <row r="53" spans="1:12" x14ac:dyDescent="0.2">
      <c r="A53" s="143" t="s">
        <v>638</v>
      </c>
      <c r="B53" s="180" t="s">
        <v>288</v>
      </c>
      <c r="C53" s="388" t="str">
        <f>IF(B53=0,"",VLOOKUP($B53,Table2[],2,FALSE))</f>
        <v>Insecticide</v>
      </c>
      <c r="D53" s="388"/>
      <c r="E53" s="388"/>
      <c r="F53" s="174">
        <v>6</v>
      </c>
      <c r="G53" s="175">
        <v>0.5</v>
      </c>
      <c r="H53" s="176">
        <v>3</v>
      </c>
      <c r="I53" s="120" t="str">
        <f>IF($B53=0,"",VLOOKUP($B53,Table2[],5,FALSE))</f>
        <v>ounce</v>
      </c>
      <c r="J53" s="109">
        <f>IF($B53=0,"",VLOOKUP($B53,Table2[],7,FALSE))</f>
        <v>1.25</v>
      </c>
      <c r="K53" s="109">
        <f t="shared" si="3"/>
        <v>1.88</v>
      </c>
      <c r="L53" s="110"/>
    </row>
    <row r="54" spans="1:12" x14ac:dyDescent="0.2">
      <c r="B54" s="180" t="s">
        <v>200</v>
      </c>
      <c r="C54" s="388" t="str">
        <f>IF(B54=0,"",VLOOKUP($B54,Table2[],2,FALSE))</f>
        <v>Custom</v>
      </c>
      <c r="D54" s="388"/>
      <c r="E54" s="388"/>
      <c r="F54" s="174">
        <v>7</v>
      </c>
      <c r="G54" s="175">
        <v>0.5</v>
      </c>
      <c r="H54" s="176">
        <v>1</v>
      </c>
      <c r="I54" s="120" t="str">
        <f>IF($B54=0,"",VLOOKUP($B54,Table2[],5,FALSE))</f>
        <v>acre</v>
      </c>
      <c r="J54" s="109">
        <f>IF($B54=0,"",VLOOKUP($B54,Table2[],7,FALSE))</f>
        <v>9</v>
      </c>
      <c r="K54" s="109">
        <f t="shared" si="3"/>
        <v>4.5</v>
      </c>
      <c r="L54" s="110"/>
    </row>
    <row r="55" spans="1:12" x14ac:dyDescent="0.2">
      <c r="B55" s="180" t="s">
        <v>928</v>
      </c>
      <c r="C55" s="388" t="str">
        <f>IF(B55=0,"",VLOOKUP($B55,Table2[],2,FALSE))</f>
        <v>Fungicide</v>
      </c>
      <c r="D55" s="388"/>
      <c r="E55" s="388"/>
      <c r="F55" s="174">
        <v>7</v>
      </c>
      <c r="G55" s="175">
        <v>0.5</v>
      </c>
      <c r="H55" s="176">
        <v>12</v>
      </c>
      <c r="I55" s="120" t="str">
        <f>IF($B55=0,"",VLOOKUP($B55,Table2[],5,FALSE))</f>
        <v>ounce</v>
      </c>
      <c r="J55" s="109">
        <f>IF($B55=0,"",VLOOKUP($B55,Table2[],7,FALSE))</f>
        <v>4.140625</v>
      </c>
      <c r="K55" s="109">
        <f t="shared" si="3"/>
        <v>24.84</v>
      </c>
      <c r="L55" s="110"/>
    </row>
    <row r="56" spans="1:12" x14ac:dyDescent="0.2">
      <c r="B56" s="213" t="s">
        <v>198</v>
      </c>
      <c r="C56" s="387" t="str">
        <f>IF(B56=0,"",VLOOKUP($B56,Table2[],2,FALSE))</f>
        <v>Custom</v>
      </c>
      <c r="D56" s="387"/>
      <c r="E56" s="387"/>
      <c r="F56" s="214">
        <v>10</v>
      </c>
      <c r="G56" s="221">
        <v>1</v>
      </c>
      <c r="H56" s="222">
        <f>$G$4</f>
        <v>275</v>
      </c>
      <c r="I56" s="223" t="str">
        <f>IF($B56=0,"",VLOOKUP($B56,Table2[],5,FALSE))</f>
        <v>bushel</v>
      </c>
      <c r="J56" s="215">
        <f>IF($B56=0,"",VLOOKUP($B56,Table2[],7,FALSE))</f>
        <v>0.15</v>
      </c>
      <c r="K56" s="215">
        <f t="shared" ref="K56:K61" si="5">IF(B56=0,0,ROUND(G56*H56*J56,2))</f>
        <v>41.25</v>
      </c>
      <c r="L56" s="227"/>
    </row>
    <row r="57" spans="1:12" x14ac:dyDescent="0.2">
      <c r="B57" s="180" t="s">
        <v>190</v>
      </c>
      <c r="C57" s="388" t="str">
        <f>IF(B57=0,"",VLOOKUP($B57,Table2[],2,FALSE))</f>
        <v>Custom</v>
      </c>
      <c r="D57" s="388"/>
      <c r="E57" s="388"/>
      <c r="F57" s="174">
        <v>11</v>
      </c>
      <c r="G57" s="175">
        <v>0.3</v>
      </c>
      <c r="H57" s="176">
        <f>$G$4</f>
        <v>275</v>
      </c>
      <c r="I57" s="120" t="str">
        <f>IF($B57=0,"",VLOOKUP($B57,Table2[],5,FALSE))</f>
        <v>bushel</v>
      </c>
      <c r="J57" s="109">
        <f>IF($B57=0,"",VLOOKUP($B57,Table2[],7,FALSE))</f>
        <v>0.1</v>
      </c>
      <c r="K57" s="109">
        <f t="shared" si="5"/>
        <v>8.25</v>
      </c>
      <c r="L57" s="113"/>
    </row>
    <row r="58" spans="1:12" x14ac:dyDescent="0.2">
      <c r="B58" s="180" t="s">
        <v>313</v>
      </c>
      <c r="C58" s="388" t="str">
        <f>IF(B58=0,"",VLOOKUP($B58,Table2[],2,FALSE))</f>
        <v>Scouting</v>
      </c>
      <c r="D58" s="388"/>
      <c r="E58" s="388"/>
      <c r="F58" s="174"/>
      <c r="G58" s="175">
        <v>1</v>
      </c>
      <c r="H58" s="176">
        <v>1</v>
      </c>
      <c r="I58" s="120" t="str">
        <f>IF($B58=0,"",VLOOKUP($B58,Table2[],5,FALSE))</f>
        <v>acre</v>
      </c>
      <c r="J58" s="109">
        <f>IF($B58=0,"",VLOOKUP($B58,Table2[],7,FALSE))</f>
        <v>13</v>
      </c>
      <c r="K58" s="109">
        <f t="shared" si="5"/>
        <v>13</v>
      </c>
      <c r="L58" s="113"/>
    </row>
    <row r="59" spans="1:12" hidden="1" x14ac:dyDescent="0.2">
      <c r="B59" s="111"/>
      <c r="C59" s="388" t="str">
        <f>IF(B59=0,"",VLOOKUP($B59,Table2[],2,FALSE))</f>
        <v/>
      </c>
      <c r="D59" s="388"/>
      <c r="E59" s="388"/>
      <c r="F59" s="112"/>
      <c r="G59" s="177"/>
      <c r="H59" s="178"/>
      <c r="I59" s="120" t="str">
        <f>IF($B59=0,"",VLOOKUP($B59,Table2[],5,FALSE))</f>
        <v/>
      </c>
      <c r="J59" s="109" t="str">
        <f>IF($B59=0,"",VLOOKUP($B59,Table2[],7,FALSE))</f>
        <v/>
      </c>
      <c r="K59" s="109">
        <f t="shared" si="5"/>
        <v>0</v>
      </c>
      <c r="L59" s="113"/>
    </row>
    <row r="60" spans="1:12" ht="12.75" hidden="1" customHeight="1" x14ac:dyDescent="0.2">
      <c r="B60" s="111"/>
      <c r="C60" s="388"/>
      <c r="D60" s="388"/>
      <c r="E60" s="388"/>
      <c r="F60" s="112"/>
      <c r="G60" s="177"/>
      <c r="H60" s="178"/>
      <c r="I60" s="120" t="str">
        <f>IF($B60=0,"",VLOOKUP($B60,Table2[],5,FALSE))</f>
        <v/>
      </c>
      <c r="J60" s="109" t="str">
        <f>IF($B60=0,"",VLOOKUP($B60,Table2[],7,FALSE))</f>
        <v/>
      </c>
      <c r="K60" s="109"/>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 t="shared" si="5"/>
        <v>0</v>
      </c>
      <c r="L61" s="227"/>
    </row>
    <row r="62" spans="1:12" x14ac:dyDescent="0.2">
      <c r="B62" s="185" t="s">
        <v>430</v>
      </c>
      <c r="C62" s="388" t="s">
        <v>655</v>
      </c>
      <c r="D62" s="388"/>
      <c r="E62" s="388"/>
      <c r="F62" s="112"/>
      <c r="G62" s="177"/>
      <c r="H62" s="178"/>
      <c r="I62" s="170"/>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 ca="1">SUM(K37:K62)</f>
        <v>516.9</v>
      </c>
      <c r="L64" s="110"/>
    </row>
    <row r="65" spans="2:12" x14ac:dyDescent="0.2">
      <c r="B65" s="144" t="s">
        <v>715</v>
      </c>
      <c r="K65" s="127"/>
    </row>
    <row r="66" spans="2:12" x14ac:dyDescent="0.2">
      <c r="B66" s="107" t="s">
        <v>672</v>
      </c>
      <c r="K66" s="127">
        <f ca="1">K33+K64</f>
        <v>687.29</v>
      </c>
      <c r="L66" s="110"/>
    </row>
    <row r="67" spans="2:12" ht="13.5" thickBot="1" x14ac:dyDescent="0.25">
      <c r="D67" s="128" t="s">
        <v>673</v>
      </c>
      <c r="E67" s="129">
        <f ca="1">ROUND(SUM($E$33:$H$33)+$K$64,2)</f>
        <v>607.37</v>
      </c>
      <c r="F67" s="388" t="s">
        <v>674</v>
      </c>
      <c r="G67" s="388"/>
      <c r="H67" s="130">
        <f>'General Variables'!$B$11</f>
        <v>7.4999999999999997E-2</v>
      </c>
      <c r="I67" s="131" t="str">
        <f>CONCATENATE("for ",TEXT('General Variables'!$B$12,"0.0")," mo.")</f>
        <v>for 6.0 mo.</v>
      </c>
      <c r="K67" s="132">
        <f ca="1">E67*H67*'General Variables'!$B$12/12</f>
        <v>22.776374999999998</v>
      </c>
      <c r="L67" s="133"/>
    </row>
    <row r="68" spans="2:12" ht="13.5" thickTop="1" x14ac:dyDescent="0.2">
      <c r="B68" s="107" t="s">
        <v>675</v>
      </c>
      <c r="K68" s="127">
        <f ca="1">SUM(K66:K67)</f>
        <v>710.06637499999999</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37">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0">
        <f>ROUND(F72*I72,2)</f>
        <v>118.5</v>
      </c>
      <c r="L72" s="133"/>
    </row>
    <row r="73" spans="2:12" ht="13.5" thickTop="1" x14ac:dyDescent="0.2">
      <c r="B73" s="107" t="s">
        <v>680</v>
      </c>
      <c r="K73" s="127">
        <f ca="1">SUM(K68:K72)</f>
        <v>1137.0163749999999</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2.8496231818181821</v>
      </c>
      <c r="L75" s="148"/>
    </row>
    <row r="76" spans="2:12" x14ac:dyDescent="0.2">
      <c r="B76" s="107" t="str">
        <f>IF(G4="","","Cost of production per "&amp;H4)</f>
        <v>Cost of production per bushel</v>
      </c>
      <c r="K76" s="141">
        <f ca="1">IF(G4="","",K73/G4)</f>
        <v>4.1346049999999996</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B7:L7"/>
    <mergeCell ref="C41:E41"/>
    <mergeCell ref="B10:B11"/>
    <mergeCell ref="C10:C11"/>
    <mergeCell ref="E10:E11"/>
    <mergeCell ref="F10:F11"/>
    <mergeCell ref="F35:F36"/>
    <mergeCell ref="G35:G36"/>
    <mergeCell ref="H35:I35"/>
    <mergeCell ref="J35:J36"/>
    <mergeCell ref="L35:L36"/>
    <mergeCell ref="G10:H10"/>
    <mergeCell ref="K10:K11"/>
    <mergeCell ref="L10:L11"/>
    <mergeCell ref="I10:J10"/>
    <mergeCell ref="C37:E37"/>
    <mergeCell ref="G72:H72"/>
    <mergeCell ref="C50:E50"/>
    <mergeCell ref="C51:E51"/>
    <mergeCell ref="C52:E52"/>
    <mergeCell ref="C53:E53"/>
    <mergeCell ref="C54:E54"/>
    <mergeCell ref="C55:E55"/>
    <mergeCell ref="C56:E56"/>
    <mergeCell ref="C62:E62"/>
    <mergeCell ref="F67:G67"/>
    <mergeCell ref="C71:E71"/>
    <mergeCell ref="G71:H71"/>
    <mergeCell ref="C57:E57"/>
    <mergeCell ref="C59:E59"/>
    <mergeCell ref="C58:E58"/>
    <mergeCell ref="C38:E38"/>
    <mergeCell ref="C39:E39"/>
    <mergeCell ref="C40:E40"/>
    <mergeCell ref="C61:E61"/>
    <mergeCell ref="C60:E60"/>
    <mergeCell ref="C48:E48"/>
    <mergeCell ref="C42:E42"/>
    <mergeCell ref="C43:E43"/>
    <mergeCell ref="C44:E44"/>
    <mergeCell ref="C45:E45"/>
    <mergeCell ref="C47:E47"/>
    <mergeCell ref="C49:E49"/>
    <mergeCell ref="A6:M6"/>
    <mergeCell ref="C3:E3"/>
    <mergeCell ref="K2:L2"/>
    <mergeCell ref="G2:H2"/>
    <mergeCell ref="C4:E4"/>
  </mergeCells>
  <dataValidations count="9">
    <dataValidation type="list" allowBlank="1" showInputMessage="1" showErrorMessage="1" sqref="B32" xr:uid="{00000000-0002-0000-2600-000000000000}">
      <formula1>$B$112:$B$209</formula1>
    </dataValidation>
    <dataValidation type="list" showInputMessage="1" showErrorMessage="1" sqref="B63" xr:uid="{00000000-0002-0000-2600-000001000000}">
      <formula1>$C$112:$C$235</formula1>
    </dataValidation>
    <dataValidation type="list" allowBlank="1" showInputMessage="1" showErrorMessage="1" sqref="K4" xr:uid="{00000000-0002-0000-2600-000002000000}">
      <formula1>$K$112:$K$114</formula1>
    </dataValidation>
    <dataValidation type="list" allowBlank="1" showInputMessage="1" showErrorMessage="1" sqref="B37:B61" xr:uid="{00000000-0002-0000-2600-000003000000}">
      <formula1>MaterialList</formula1>
    </dataValidation>
    <dataValidation type="list" allowBlank="1" showInputMessage="1" showErrorMessage="1" sqref="C71:E71" xr:uid="{00000000-0002-0000-2600-000004000000}">
      <formula1>RealEstateList</formula1>
    </dataValidation>
    <dataValidation type="list" allowBlank="1" showInputMessage="1" showErrorMessage="1" sqref="B12:B31" xr:uid="{00000000-0002-0000-2600-000005000000}">
      <formula1>OperationList</formula1>
    </dataValidation>
    <dataValidation type="list" allowBlank="1" showInputMessage="1" showErrorMessage="1" sqref="D12:D32" xr:uid="{00000000-0002-0000-2600-000006000000}">
      <formula1>#REF!</formula1>
    </dataValidation>
    <dataValidation type="list" allowBlank="1" showInputMessage="1" showErrorMessage="1" sqref="K2" xr:uid="{00000000-0002-0000-2600-000007000000}">
      <formula1>watersource</formula1>
    </dataValidation>
    <dataValidation type="list" allowBlank="1" showInputMessage="1" showErrorMessage="1" sqref="C3" xr:uid="{00000000-0002-0000-2600-000008000000}">
      <formula1>TillageSystem</formula1>
    </dataValidation>
  </dataValidations>
  <pageMargins left="0.7" right="0.7" top="0.75" bottom="0.75" header="0.3" footer="0.3"/>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03">
    <pageSetUpPr fitToPage="1"/>
  </sheetPr>
  <dimension ref="A1:AB24"/>
  <sheetViews>
    <sheetView topLeftCell="C1" zoomScaleNormal="100" workbookViewId="0">
      <selection activeCell="M17" sqref="M17"/>
    </sheetView>
  </sheetViews>
  <sheetFormatPr defaultColWidth="9.140625" defaultRowHeight="12.75" x14ac:dyDescent="0.2"/>
  <cols>
    <col min="1" max="1" width="20.7109375" customWidth="1"/>
    <col min="2" max="2" width="30.5703125" customWidth="1"/>
    <col min="3" max="3" width="35" customWidth="1"/>
    <col min="4" max="4" width="11.5703125" customWidth="1"/>
    <col min="5" max="5" width="7.42578125" customWidth="1"/>
    <col min="6" max="6" width="10.42578125" customWidth="1"/>
    <col min="7" max="7" width="10.85546875" customWidth="1"/>
    <col min="8" max="9" width="11.7109375" customWidth="1"/>
    <col min="10" max="10" width="10.28515625" customWidth="1"/>
    <col min="11" max="11" width="13.28515625" customWidth="1"/>
    <col min="12" max="12" width="14" customWidth="1"/>
    <col min="13" max="13" width="12.28515625" customWidth="1"/>
    <col min="14" max="14" width="9.85546875" customWidth="1"/>
    <col min="15" max="16" width="11.7109375" customWidth="1"/>
    <col min="17" max="17" width="32.85546875" bestFit="1" customWidth="1"/>
    <col min="18" max="18" width="35.5703125" customWidth="1"/>
    <col min="19" max="19" width="18.42578125" customWidth="1"/>
    <col min="20" max="20" width="12.28515625" customWidth="1"/>
    <col min="21" max="21" width="16" customWidth="1"/>
    <col min="22" max="22" width="11" customWidth="1"/>
    <col min="23" max="23" width="12.5703125" customWidth="1"/>
    <col min="24" max="24" width="26.5703125" customWidth="1"/>
    <col min="25" max="25" width="42.140625" customWidth="1"/>
    <col min="26" max="26" width="6.7109375" customWidth="1"/>
    <col min="27" max="27" width="7.85546875" customWidth="1"/>
  </cols>
  <sheetData>
    <row r="1" spans="1:28" ht="47.25" customHeight="1" x14ac:dyDescent="0.25">
      <c r="A1" s="40" t="s">
        <v>75</v>
      </c>
      <c r="B1" s="41" t="s">
        <v>76</v>
      </c>
      <c r="C1" s="42" t="s">
        <v>77</v>
      </c>
      <c r="D1" s="42" t="s">
        <v>78</v>
      </c>
      <c r="E1" s="43" t="s">
        <v>79</v>
      </c>
      <c r="F1" s="42" t="s">
        <v>80</v>
      </c>
      <c r="G1" s="42" t="s">
        <v>81</v>
      </c>
      <c r="H1" s="44" t="s">
        <v>82</v>
      </c>
      <c r="I1" s="43" t="s">
        <v>83</v>
      </c>
      <c r="J1" s="43" t="s">
        <v>84</v>
      </c>
      <c r="K1" s="43" t="s">
        <v>85</v>
      </c>
      <c r="L1" s="43" t="s">
        <v>86</v>
      </c>
      <c r="M1" s="43" t="s">
        <v>87</v>
      </c>
      <c r="N1" s="43" t="s">
        <v>88</v>
      </c>
      <c r="O1" s="43" t="s">
        <v>89</v>
      </c>
      <c r="P1" s="43" t="s">
        <v>90</v>
      </c>
      <c r="Q1" s="335" t="s">
        <v>879</v>
      </c>
      <c r="R1" s="45" t="s">
        <v>91</v>
      </c>
      <c r="S1" s="45" t="s">
        <v>92</v>
      </c>
      <c r="T1" s="45" t="s">
        <v>93</v>
      </c>
      <c r="U1" s="45" t="s">
        <v>94</v>
      </c>
      <c r="V1" s="46" t="s">
        <v>95</v>
      </c>
      <c r="X1" s="1" t="s">
        <v>96</v>
      </c>
      <c r="Y1" s="1" t="s">
        <v>91</v>
      </c>
      <c r="Z1" s="1" t="s">
        <v>97</v>
      </c>
      <c r="AA1" s="1" t="s">
        <v>98</v>
      </c>
      <c r="AB1" s="1" t="s">
        <v>99</v>
      </c>
    </row>
    <row r="2" spans="1:28" ht="15.75" x14ac:dyDescent="0.25">
      <c r="A2" s="34" t="s">
        <v>100</v>
      </c>
      <c r="B2" s="35" t="s">
        <v>101</v>
      </c>
      <c r="C2" s="36" t="s">
        <v>102</v>
      </c>
      <c r="D2" s="37">
        <v>537401</v>
      </c>
      <c r="E2" s="38"/>
      <c r="F2" s="38">
        <v>5</v>
      </c>
      <c r="G2" s="38">
        <v>850</v>
      </c>
      <c r="H2" s="38">
        <v>400</v>
      </c>
      <c r="I2" s="47">
        <f>IF(PowerUnits[[#This Row],[List Price]]&gt;1,PowerUnits[[#This Row],[List Price]],IF(C2="",0,PowerUnits[[#This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537401</v>
      </c>
      <c r="J2"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3.3856263000000002</v>
      </c>
      <c r="K2"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230216.35615030854</v>
      </c>
      <c r="L2"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204805.24824462604</v>
      </c>
      <c r="M2" s="48">
        <f>IF(PowerUnits[[#This Row],[Est. Hours per Year]]=0,0,(PowerUnits[[#This Row],[Calculated Beg Yr. Value]]-PowerUnits[[#This Row],[Calculated End Yr. Value]])/PowerUnits[[#This Row],[Est. Hours per Year]])</f>
        <v>63.527769764206241</v>
      </c>
      <c r="N2" s="48">
        <f>IF(PowerUnits[[#This Row],[Est. Hours per Year]]=0,0,PowerUnits[[#This Row],[Calculated Beg Yr. Value]]*'General Variables'!$B$9/PowerUnits[[#This Row],[Est. Hours per Year]])</f>
        <v>11.510817807515428</v>
      </c>
      <c r="O2" s="48">
        <f>IF(PowerUnits[[#This Row],[Est. Hours per Year]]=0,0,PowerUnits[[#This Row],[Calculated Beg Yr. Value]]*'General Variables'!$B$10/PowerUnits[[#This Row],[Est. Hours per Year]])</f>
        <v>17.266226711273138</v>
      </c>
      <c r="P2" s="48">
        <f>SUM(PowerUnits[[#This Row],[Depreciation per Hour]:[Opportunity Cost per Hour]])</f>
        <v>92.304814282994798</v>
      </c>
      <c r="Q2" s="336" t="s">
        <v>881</v>
      </c>
      <c r="R2" s="49" t="s">
        <v>103</v>
      </c>
      <c r="S2" s="50" t="s">
        <v>104</v>
      </c>
      <c r="T2" s="51" t="s">
        <v>105</v>
      </c>
      <c r="U2" s="51" t="s">
        <v>106</v>
      </c>
      <c r="V2" s="52">
        <v>12000</v>
      </c>
      <c r="X2" s="1" t="s">
        <v>107</v>
      </c>
      <c r="Y2" s="1" t="s">
        <v>108</v>
      </c>
      <c r="Z2" s="1" t="s">
        <v>109</v>
      </c>
      <c r="AA2" s="1" t="s">
        <v>110</v>
      </c>
      <c r="AB2" s="1" t="s">
        <v>111</v>
      </c>
    </row>
    <row r="3" spans="1:28" ht="15.75" x14ac:dyDescent="0.25">
      <c r="A3" s="34" t="s">
        <v>112</v>
      </c>
      <c r="B3" s="35" t="s">
        <v>101</v>
      </c>
      <c r="C3" s="36" t="s">
        <v>113</v>
      </c>
      <c r="D3" s="37">
        <v>215000</v>
      </c>
      <c r="E3" s="38"/>
      <c r="F3" s="38">
        <v>5</v>
      </c>
      <c r="G3" s="38">
        <v>500</v>
      </c>
      <c r="H3" s="38">
        <v>300</v>
      </c>
      <c r="I3" s="47">
        <f>IF(PowerUnits[[#This Row],[List Price]]&gt;1,PowerUnits[[#This Row],[List Price]],IF(C3="",0,PowerUnits[[#This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215000</v>
      </c>
      <c r="J3"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0.83850000000000025</v>
      </c>
      <c r="K3"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105501.95694366501</v>
      </c>
      <c r="L3"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97792.148860841829</v>
      </c>
      <c r="M3" s="48">
        <f>IF(PowerUnits[[#This Row],[Est. Hours per Year]]=0,0,(PowerUnits[[#This Row],[Calculated Beg Yr. Value]]-PowerUnits[[#This Row],[Calculated End Yr. Value]])/PowerUnits[[#This Row],[Est. Hours per Year]])</f>
        <v>25.699360276077254</v>
      </c>
      <c r="N3" s="48">
        <f>IF(PowerUnits[[#This Row],[Est. Hours per Year]]=0,0,PowerUnits[[#This Row],[Calculated Beg Yr. Value]]*'General Variables'!$B$9/PowerUnits[[#This Row],[Est. Hours per Year]])</f>
        <v>7.0334637962443338</v>
      </c>
      <c r="O3" s="48">
        <f>IF(PowerUnits[[#This Row],[Est. Hours per Year]]=0,0,PowerUnits[[#This Row],[Calculated Beg Yr. Value]]*'General Variables'!$B$10/PowerUnits[[#This Row],[Est. Hours per Year]])</f>
        <v>10.550195694366499</v>
      </c>
      <c r="P3" s="48">
        <f>SUM(PowerUnits[[#This Row],[Depreciation per Hour]:[Opportunity Cost per Hour]])</f>
        <v>43.283019766688092</v>
      </c>
      <c r="Q3" s="336" t="s">
        <v>880</v>
      </c>
      <c r="R3" s="5" t="s">
        <v>114</v>
      </c>
      <c r="S3" s="5" t="s">
        <v>104</v>
      </c>
      <c r="T3" s="53" t="s">
        <v>115</v>
      </c>
      <c r="U3" s="53" t="s">
        <v>106</v>
      </c>
      <c r="V3" s="54">
        <v>16000</v>
      </c>
      <c r="X3" s="1" t="s">
        <v>107</v>
      </c>
      <c r="Y3" s="1" t="s">
        <v>116</v>
      </c>
      <c r="Z3" s="1" t="s">
        <v>117</v>
      </c>
      <c r="AA3" s="1" t="s">
        <v>118</v>
      </c>
      <c r="AB3" s="1" t="s">
        <v>119</v>
      </c>
    </row>
    <row r="4" spans="1:28" ht="15.75" x14ac:dyDescent="0.25">
      <c r="A4" s="34" t="s">
        <v>120</v>
      </c>
      <c r="B4" s="35" t="s">
        <v>121</v>
      </c>
      <c r="C4" s="36" t="s">
        <v>122</v>
      </c>
      <c r="D4" s="37">
        <v>668955</v>
      </c>
      <c r="E4" s="38"/>
      <c r="F4" s="38">
        <v>5</v>
      </c>
      <c r="G4" s="38">
        <v>750</v>
      </c>
      <c r="H4" s="38">
        <v>350</v>
      </c>
      <c r="I4" s="47">
        <f>IF(PowerUnits[[#This Row],[List Price]]&gt;1,PowerUnits[[#This Row],[List Price]],IF(C4="",0,PowerUnits[[#This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668955</v>
      </c>
      <c r="J4"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51.608099411656802</v>
      </c>
      <c r="K4" s="47">
        <v>270000</v>
      </c>
      <c r="L4" s="47">
        <v>240000</v>
      </c>
      <c r="M4" s="48">
        <f>IF(PowerUnits[[#This Row],[Est. Hours per Year]]=0,0,(PowerUnits[[#This Row],[Calculated Beg Yr. Value]]-PowerUnits[[#This Row],[Calculated End Yr. Value]])/PowerUnits[[#This Row],[Est. Hours per Year]])</f>
        <v>85.714285714285708</v>
      </c>
      <c r="N4" s="48">
        <f>IF(PowerUnits[[#This Row],[Est. Hours per Year]]=0,0,PowerUnits[[#This Row],[Calculated Beg Yr. Value]]*'General Variables'!$B$9/PowerUnits[[#This Row],[Est. Hours per Year]])</f>
        <v>15.428571428571429</v>
      </c>
      <c r="O4" s="48">
        <f>IF(PowerUnits[[#This Row],[Est. Hours per Year]]=0,0,PowerUnits[[#This Row],[Calculated Beg Yr. Value]]*'General Variables'!$B$10/PowerUnits[[#This Row],[Est. Hours per Year]])</f>
        <v>23.142857142857142</v>
      </c>
      <c r="P4" s="48">
        <f>SUM(PowerUnits[[#This Row],[Depreciation per Hour]:[Opportunity Cost per Hour]])</f>
        <v>124.28571428571428</v>
      </c>
      <c r="Q4" s="336" t="s">
        <v>882</v>
      </c>
      <c r="R4" s="5" t="s">
        <v>123</v>
      </c>
      <c r="S4" s="5" t="s">
        <v>124</v>
      </c>
      <c r="T4" s="53" t="s">
        <v>125</v>
      </c>
      <c r="U4" s="53" t="s">
        <v>126</v>
      </c>
      <c r="V4" s="54">
        <v>3000</v>
      </c>
      <c r="X4" s="1" t="s">
        <v>107</v>
      </c>
      <c r="Y4" s="1" t="s">
        <v>127</v>
      </c>
      <c r="Z4" s="1" t="s">
        <v>128</v>
      </c>
      <c r="AA4" s="1" t="s">
        <v>129</v>
      </c>
      <c r="AB4" s="1" t="s">
        <v>130</v>
      </c>
    </row>
    <row r="5" spans="1:28" ht="15.75" x14ac:dyDescent="0.25">
      <c r="A5" s="243" t="s">
        <v>131</v>
      </c>
      <c r="B5" s="35" t="s">
        <v>103</v>
      </c>
      <c r="C5" s="36" t="s">
        <v>113</v>
      </c>
      <c r="D5" s="37">
        <v>25000</v>
      </c>
      <c r="E5" s="39"/>
      <c r="F5" s="38">
        <v>5</v>
      </c>
      <c r="G5" s="38">
        <v>2400</v>
      </c>
      <c r="H5" s="38">
        <v>800</v>
      </c>
      <c r="I5" s="47">
        <f>IF(PowerUnits[[#This Row],[List Price]]&gt;1,PowerUnits[[#This Row],[List Price]],IF(C5="",0,PowerUnits[[#This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25000</v>
      </c>
      <c r="J5"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0.98000000000000054</v>
      </c>
      <c r="K5"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11532.862401818718</v>
      </c>
      <c r="L5"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10620.956888704541</v>
      </c>
      <c r="M5" s="48">
        <f>IF(PowerUnits[[#This Row],[Est. Hours per Year]]=0,0,(PowerUnits[[#This Row],[Calculated Beg Yr. Value]]-PowerUnits[[#This Row],[Calculated End Yr. Value]])/PowerUnits[[#This Row],[Est. Hours per Year]])</f>
        <v>1.139881891392722</v>
      </c>
      <c r="N5" s="48">
        <f>IF(PowerUnits[[#This Row],[Est. Hours per Year]]=0,0,PowerUnits[[#This Row],[Calculated Beg Yr. Value]]*'General Variables'!$B$9/PowerUnits[[#This Row],[Est. Hours per Year]])</f>
        <v>0.28832156004546794</v>
      </c>
      <c r="O5" s="48">
        <f>IF(PowerUnits[[#This Row],[Est. Hours per Year]]=0,0,PowerUnits[[#This Row],[Calculated Beg Yr. Value]]*'General Variables'!$B$10/PowerUnits[[#This Row],[Est. Hours per Year]])</f>
        <v>0.43248234006820191</v>
      </c>
      <c r="P5" s="48">
        <f>SUM(PowerUnits[[#This Row],[Depreciation per Hour]:[Opportunity Cost per Hour]])</f>
        <v>1.8606857915063917</v>
      </c>
      <c r="Q5" s="334"/>
      <c r="R5" s="5" t="s">
        <v>132</v>
      </c>
      <c r="S5" s="5" t="s">
        <v>124</v>
      </c>
      <c r="T5" s="53" t="s">
        <v>133</v>
      </c>
      <c r="U5" s="53" t="s">
        <v>134</v>
      </c>
      <c r="V5" s="54">
        <v>3000</v>
      </c>
      <c r="X5" s="1" t="s">
        <v>135</v>
      </c>
      <c r="Y5" s="1" t="s">
        <v>136</v>
      </c>
      <c r="Z5" s="1" t="s">
        <v>137</v>
      </c>
      <c r="AA5" s="1" t="s">
        <v>138</v>
      </c>
      <c r="AB5" s="1" t="s">
        <v>139</v>
      </c>
    </row>
    <row r="6" spans="1:28" ht="15.75" x14ac:dyDescent="0.25">
      <c r="A6" s="243" t="s">
        <v>140</v>
      </c>
      <c r="B6" s="35" t="s">
        <v>141</v>
      </c>
      <c r="C6" s="36" t="s">
        <v>142</v>
      </c>
      <c r="D6" s="37">
        <v>20000</v>
      </c>
      <c r="E6" s="38"/>
      <c r="F6" s="38">
        <v>5</v>
      </c>
      <c r="G6" s="38">
        <v>2400</v>
      </c>
      <c r="H6" s="38">
        <v>800</v>
      </c>
      <c r="I6" s="47">
        <f>IF(PowerUnits[[#This Row],[List Price]]&gt;1,PowerUnits[[#This Row],[List Price]],IF(C6="",0,PowerUnits[[#This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20000</v>
      </c>
      <c r="J6"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1.0031350050201706</v>
      </c>
      <c r="K6"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4780.5593977065791</v>
      </c>
      <c r="L6"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3614.1986262902824</v>
      </c>
      <c r="M6" s="48">
        <f>IF(PowerUnits[[#This Row],[Est. Hours per Year]]=0,0,(PowerUnits[[#This Row],[Calculated Beg Yr. Value]]-PowerUnits[[#This Row],[Calculated End Yr. Value]])/PowerUnits[[#This Row],[Est. Hours per Year]])</f>
        <v>1.457950964270371</v>
      </c>
      <c r="N6" s="48">
        <f>IF(PowerUnits[[#This Row],[Est. Hours per Year]]=0,0,PowerUnits[[#This Row],[Calculated Beg Yr. Value]]*'General Variables'!$B$9/PowerUnits[[#This Row],[Est. Hours per Year]])</f>
        <v>0.11951398494266448</v>
      </c>
      <c r="O6" s="48">
        <f>IF(PowerUnits[[#This Row],[Est. Hours per Year]]=0,0,PowerUnits[[#This Row],[Calculated Beg Yr. Value]]*'General Variables'!$B$10/PowerUnits[[#This Row],[Est. Hours per Year]])</f>
        <v>0.1792709774139967</v>
      </c>
      <c r="P6" s="48">
        <f>SUM(PowerUnits[[#This Row],[Depreciation per Hour]:[Opportunity Cost per Hour]])</f>
        <v>1.7567359266270322</v>
      </c>
      <c r="Q6" s="334"/>
      <c r="R6" s="5" t="s">
        <v>143</v>
      </c>
      <c r="S6" s="5" t="s">
        <v>124</v>
      </c>
      <c r="T6" s="53" t="s">
        <v>144</v>
      </c>
      <c r="U6" s="53" t="s">
        <v>106</v>
      </c>
      <c r="V6" s="54">
        <v>4000</v>
      </c>
      <c r="X6" s="1" t="s">
        <v>135</v>
      </c>
      <c r="Y6" s="1" t="s">
        <v>145</v>
      </c>
      <c r="Z6" s="1" t="s">
        <v>146</v>
      </c>
      <c r="AA6" s="1" t="s">
        <v>147</v>
      </c>
      <c r="AB6" s="1"/>
    </row>
    <row r="7" spans="1:28" ht="15.75" x14ac:dyDescent="0.25">
      <c r="A7" s="243" t="s">
        <v>148</v>
      </c>
      <c r="B7" s="35" t="s">
        <v>103</v>
      </c>
      <c r="C7" s="36" t="s">
        <v>142</v>
      </c>
      <c r="D7" s="37">
        <v>22000</v>
      </c>
      <c r="E7" s="39"/>
      <c r="F7" s="38">
        <v>5</v>
      </c>
      <c r="G7" s="38">
        <v>2400</v>
      </c>
      <c r="H7" s="38">
        <v>800</v>
      </c>
      <c r="I7" s="47">
        <f>IF(PowerUnits[[#This Row],[List Price]]&gt;1,PowerUnits[[#This Row],[List Price]],IF(C7="",0,PowerUnits[[#This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22000</v>
      </c>
      <c r="J7"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0.86240000000000039</v>
      </c>
      <c r="K7"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5258.6153374772366</v>
      </c>
      <c r="L7"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3975.6184889193109</v>
      </c>
      <c r="M7" s="48">
        <f>IF(PowerUnits[[#This Row],[Est. Hours per Year]]=0,0,(PowerUnits[[#This Row],[Calculated Beg Yr. Value]]-PowerUnits[[#This Row],[Calculated End Yr. Value]])/PowerUnits[[#This Row],[Est. Hours per Year]])</f>
        <v>1.603746060697407</v>
      </c>
      <c r="N7" s="48">
        <f>IF(PowerUnits[[#This Row],[Est. Hours per Year]]=0,0,PowerUnits[[#This Row],[Calculated Beg Yr. Value]]*'General Variables'!$B$9/PowerUnits[[#This Row],[Est. Hours per Year]])</f>
        <v>0.13146538343693093</v>
      </c>
      <c r="O7" s="48">
        <f>IF(PowerUnits[[#This Row],[Est. Hours per Year]]=0,0,PowerUnits[[#This Row],[Calculated Beg Yr. Value]]*'General Variables'!$B$10/PowerUnits[[#This Row],[Est. Hours per Year]])</f>
        <v>0.19719807515539636</v>
      </c>
      <c r="P7" s="48">
        <f>SUM(PowerUnits[[#This Row],[Depreciation per Hour]:[Opportunity Cost per Hour]])</f>
        <v>1.9324095192897341</v>
      </c>
      <c r="Q7" s="334"/>
      <c r="R7" s="5" t="s">
        <v>149</v>
      </c>
      <c r="S7" s="5" t="s">
        <v>124</v>
      </c>
      <c r="T7" s="53" t="s">
        <v>150</v>
      </c>
      <c r="U7" s="53" t="s">
        <v>106</v>
      </c>
      <c r="V7" s="54">
        <v>3000</v>
      </c>
      <c r="X7" s="1" t="s">
        <v>151</v>
      </c>
      <c r="Y7" s="1" t="s">
        <v>152</v>
      </c>
      <c r="Z7" s="1" t="s">
        <v>153</v>
      </c>
      <c r="AA7" s="1" t="s">
        <v>154</v>
      </c>
      <c r="AB7" s="1" t="s">
        <v>155</v>
      </c>
    </row>
    <row r="8" spans="1:28" ht="15.75" x14ac:dyDescent="0.25">
      <c r="A8" s="34" t="s">
        <v>156</v>
      </c>
      <c r="B8" s="35" t="s">
        <v>157</v>
      </c>
      <c r="C8" s="36" t="s">
        <v>158</v>
      </c>
      <c r="D8" s="37">
        <v>188545</v>
      </c>
      <c r="E8" s="38"/>
      <c r="F8" s="38">
        <v>5</v>
      </c>
      <c r="G8" s="38">
        <v>800</v>
      </c>
      <c r="H8" s="38">
        <v>200</v>
      </c>
      <c r="I8" s="47">
        <v>188545</v>
      </c>
      <c r="J8"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10.181429999999995</v>
      </c>
      <c r="K8"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65081.431746850612</v>
      </c>
      <c r="L8"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60849.798627015218</v>
      </c>
      <c r="M8" s="48">
        <f>IF(PowerUnits[[#This Row],[Est. Hours per Year]]=0,0,(PowerUnits[[#This Row],[Calculated Beg Yr. Value]]-PowerUnits[[#This Row],[Calculated End Yr. Value]])/PowerUnits[[#This Row],[Est. Hours per Year]])</f>
        <v>21.158165599176971</v>
      </c>
      <c r="N8" s="48">
        <f>IF(PowerUnits[[#This Row],[Est. Hours per Year]]=0,0,PowerUnits[[#This Row],[Calculated Beg Yr. Value]]*'General Variables'!$B$9/PowerUnits[[#This Row],[Est. Hours per Year]])</f>
        <v>6.5081431746850615</v>
      </c>
      <c r="O8" s="48">
        <f>IF(PowerUnits[[#This Row],[Est. Hours per Year]]=0,0,PowerUnits[[#This Row],[Calculated Beg Yr. Value]]*'General Variables'!$B$10/PowerUnits[[#This Row],[Est. Hours per Year]])</f>
        <v>9.7622147620275914</v>
      </c>
      <c r="P8" s="48">
        <f>SUM(PowerUnits[[#This Row],[Depreciation per Hour]:[Opportunity Cost per Hour]])</f>
        <v>37.428523535889624</v>
      </c>
      <c r="Q8" s="334"/>
      <c r="R8" s="1" t="s">
        <v>141</v>
      </c>
      <c r="S8" s="1" t="s">
        <v>159</v>
      </c>
      <c r="T8" s="2">
        <v>0.02</v>
      </c>
      <c r="U8" s="2">
        <v>1.5</v>
      </c>
      <c r="V8" s="4"/>
    </row>
    <row r="9" spans="1:28" x14ac:dyDescent="0.2">
      <c r="A9" s="34" t="s">
        <v>160</v>
      </c>
      <c r="B9" s="35" t="s">
        <v>121</v>
      </c>
      <c r="C9" s="36" t="s">
        <v>122</v>
      </c>
      <c r="D9" s="37">
        <v>410000</v>
      </c>
      <c r="E9" s="38"/>
      <c r="F9" s="38">
        <v>5</v>
      </c>
      <c r="G9" s="38">
        <v>700</v>
      </c>
      <c r="H9" s="38">
        <v>250</v>
      </c>
      <c r="I9" s="47">
        <f>IF(PowerUnits[[#This Row],[List Price]]&gt;1,PowerUnits[[#This Row],[List Price]],IF(C9="",0,PowerUnits[[#This Row],[Beg Yr Value]]/(VLOOKUP(PowerUnits[[#This Row],[Depreciation Category]],PwrDepreciation,2,FALSE)-VLOOKUP(PowerUnits[[#This Row],[Depreciation Category]],PwrDepreciation,3,FALSE)*PowerUnits[[#This Row],[Age]]^0.5-VLOOKUP(PowerUnits[[#This Row],[Depreciation Category]],PwrDepreciation,4,FALSE)*PowerUnits[[#This Row],[Tach Hours]]^0.5)^2))</f>
        <v>410000</v>
      </c>
      <c r="J9"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27.88339123768505</v>
      </c>
      <c r="K9"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125851.20140931496</v>
      </c>
      <c r="L9"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96179.882781925015</v>
      </c>
      <c r="M9" s="48">
        <f>IF(PowerUnits[[#This Row],[Est. Hours per Year]]=0,0,(PowerUnits[[#This Row],[Calculated Beg Yr. Value]]-PowerUnits[[#This Row],[Calculated End Yr. Value]])/PowerUnits[[#This Row],[Est. Hours per Year]])</f>
        <v>118.68527450955979</v>
      </c>
      <c r="N9" s="48">
        <f>IF(PowerUnits[[#This Row],[Est. Hours per Year]]=0,0,PowerUnits[[#This Row],[Calculated Beg Yr. Value]]*'General Variables'!$B$9/PowerUnits[[#This Row],[Est. Hours per Year]])</f>
        <v>10.068096112745197</v>
      </c>
      <c r="O9" s="48">
        <f>IF(PowerUnits[[#This Row],[Est. Hours per Year]]=0,0,PowerUnits[[#This Row],[Calculated Beg Yr. Value]]*'General Variables'!$B$10/PowerUnits[[#This Row],[Est. Hours per Year]])</f>
        <v>15.102144169117794</v>
      </c>
      <c r="P9" s="48">
        <f>SUM(PowerUnits[[#This Row],[Depreciation per Hour]:[Opportunity Cost per Hour]])</f>
        <v>143.85551479142279</v>
      </c>
      <c r="Q9" s="334"/>
    </row>
    <row r="10" spans="1:28" x14ac:dyDescent="0.2">
      <c r="A10" s="34" t="s">
        <v>112</v>
      </c>
      <c r="B10" s="35" t="s">
        <v>103</v>
      </c>
      <c r="C10" s="36" t="s">
        <v>113</v>
      </c>
      <c r="D10" s="37">
        <v>125000</v>
      </c>
      <c r="E10" s="38"/>
      <c r="F10" s="38">
        <v>5</v>
      </c>
      <c r="G10" s="38">
        <v>500</v>
      </c>
      <c r="H10" s="38">
        <v>200</v>
      </c>
      <c r="I10" s="47">
        <v>125000</v>
      </c>
      <c r="J10" s="48">
        <f>IF(PowerUnits[[#This Row],[Est. Hours per Year]]=0,0,IF(PowerUnits[[#This Row],[Repair Category]]=0,0,(VLOOKUP(PowerUnits[[#This Row],[Repair Category]],PwrRepairs[],3,FALSE)*PowerUnits[[#This Row],[Calculated List Price]]*((PowerUnits[[#This Row],[Tach Hours]]+PowerUnits[[#This Row],[Est. Hours per Year]])/1000)^VLOOKUP(PowerUnits[[#This Row],[Repair Category]],PwrRepairs[],4,FALSE)-VLOOKUP(PowerUnits[[#This Row],[Repair Category]],PwrRepairs[],3,FALSE)*PowerUnits[[#This Row],[Calculated List Price]]*(PowerUnits[[#This Row],[Tach Hours]]/1000)^VLOOKUP(PowerUnits[[#This Row],[Repair Category]],PwrRepairs[],4,FALSE))/PowerUnits[[#This Row],[Est. Hours per Year]]))</f>
        <v>1.0499999999999998</v>
      </c>
      <c r="K10" s="47">
        <f>IF(PowerUnits[[#This Row],[Depreciation Category]]=0,0,PowerUnits[[#This Row],[Calculated List Price]]*(VLOOKUP(PowerUnits[[#This Row],[Depreciation Category]],PwrDepreciation,2,FALSE)-VLOOKUP(PowerUnits[[#This Row],[Depreciation Category]],PwrDepreciation,3,FALSE)*PowerUnits[[#This Row],[Age]]^0.5-VLOOKUP(PowerUnits[[#This Row],[Depreciation Category]],PwrDepreciation,4,FALSE)*PowerUnits[[#This Row],[Tach Hours]]^0.5)^2)</f>
        <v>61338.347060270353</v>
      </c>
      <c r="L10" s="47">
        <f>IF(PowerUnits[[#This Row],[Depreciation Category]]=0,0,PowerUnits[[#This Row],[Calculated List Price]]*(VLOOKUP(PowerUnits[[#This Row],[Depreciation Category]],PwrDepreciation,2,FALSE)-VLOOKUP(PowerUnits[[#This Row],[Depreciation Category]],PwrDepreciation,3,FALSE)*(PowerUnits[[#This Row],[Age]]+1)^0.5-VLOOKUP(PowerUnits[[#This Row],[Depreciation Category]],PwrDepreciation,4,FALSE)*(PowerUnits[[#This Row],[Tach Hours]]+PowerUnits[[#This Row],[Est. Hours per Year]])^0.5)^2)</f>
        <v>57102.569227092041</v>
      </c>
      <c r="M10" s="48">
        <f>IF(PowerUnits[[#This Row],[Est. Hours per Year]]=0,0,(PowerUnits[[#This Row],[Calculated Beg Yr. Value]]-PowerUnits[[#This Row],[Calculated End Yr. Value]])/PowerUnits[[#This Row],[Est. Hours per Year]])</f>
        <v>21.178889165891562</v>
      </c>
      <c r="N10" s="48">
        <f>IF(PowerUnits[[#This Row],[Est. Hours per Year]]=0,0,PowerUnits[[#This Row],[Calculated Beg Yr. Value]]*'General Variables'!$B$9/PowerUnits[[#This Row],[Est. Hours per Year]])</f>
        <v>6.1338347060270362</v>
      </c>
      <c r="O10" s="48">
        <f>IF(PowerUnits[[#This Row],[Est. Hours per Year]]=0,0,PowerUnits[[#This Row],[Calculated Beg Yr. Value]]*'General Variables'!$B$10/PowerUnits[[#This Row],[Est. Hours per Year]])</f>
        <v>9.2007520590405516</v>
      </c>
      <c r="P10" s="48">
        <f>SUM(PowerUnits[[#This Row],[Depreciation per Hour]:[Opportunity Cost per Hour]])</f>
        <v>36.513475930959153</v>
      </c>
      <c r="Q10" s="334" t="s">
        <v>878</v>
      </c>
    </row>
    <row r="11" spans="1:28" x14ac:dyDescent="0.2">
      <c r="A11" s="34"/>
      <c r="B11" s="35"/>
      <c r="C11" s="36"/>
      <c r="D11" s="37"/>
      <c r="E11" s="38"/>
      <c r="F11" s="38"/>
      <c r="G11" s="38"/>
      <c r="H11" s="38"/>
      <c r="I11" s="47"/>
      <c r="J11" s="48"/>
      <c r="K11" s="47"/>
      <c r="L11" s="47"/>
      <c r="M11" s="48"/>
      <c r="N11" s="48"/>
      <c r="O11" s="48"/>
      <c r="P11" s="48"/>
      <c r="Q11" s="334"/>
    </row>
    <row r="12" spans="1:28" ht="15.75" customHeight="1" x14ac:dyDescent="0.2"/>
    <row r="13" spans="1:28" x14ac:dyDescent="0.2">
      <c r="B13" t="s">
        <v>161</v>
      </c>
    </row>
    <row r="24" spans="4:4" x14ac:dyDescent="0.2">
      <c r="D24" s="98"/>
    </row>
  </sheetData>
  <dataValidations count="2">
    <dataValidation type="list" allowBlank="1" showInputMessage="1" showErrorMessage="1" sqref="B2:B11" xr:uid="{00000000-0002-0000-0200-000000000000}">
      <formula1>$R$2:$R$8</formula1>
    </dataValidation>
    <dataValidation type="list" allowBlank="1" showInputMessage="1" showErrorMessage="1" sqref="C2:C11" xr:uid="{00000000-0002-0000-0200-000001000000}">
      <formula1>$Y$2:$Y$7</formula1>
    </dataValidation>
  </dataValidations>
  <pageMargins left="0.7" right="0.7" top="0.75" bottom="0.75" header="0.3" footer="0.3"/>
  <pageSetup scale="26" orientation="landscape" r:id="rId1"/>
  <tableParts count="3">
    <tablePart r:id="rId2"/>
    <tablePart r:id="rId3"/>
    <tablePart r:id="rId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77">
    <pageSetUpPr fitToPage="1"/>
  </sheetPr>
  <dimension ref="A2:M257"/>
  <sheetViews>
    <sheetView zoomScaleNormal="100" workbookViewId="0">
      <selection activeCell="I19" sqref="I1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734</v>
      </c>
      <c r="H2" s="392"/>
      <c r="J2" s="128" t="s">
        <v>649</v>
      </c>
      <c r="K2" s="401" t="s">
        <v>70</v>
      </c>
      <c r="L2" s="401"/>
    </row>
    <row r="3" spans="1:13" hidden="1" x14ac:dyDescent="0.2">
      <c r="B3" s="103" t="s">
        <v>38</v>
      </c>
      <c r="C3" s="391" t="s">
        <v>46</v>
      </c>
      <c r="D3" s="391"/>
      <c r="E3" s="391"/>
      <c r="G3" s="128" t="s">
        <v>650</v>
      </c>
      <c r="H3" s="187" t="s">
        <v>733</v>
      </c>
      <c r="J3" s="128" t="s">
        <v>651</v>
      </c>
      <c r="K3" s="187">
        <v>9</v>
      </c>
    </row>
    <row r="4" spans="1:13" hidden="1" x14ac:dyDescent="0.2">
      <c r="B4" s="103" t="s">
        <v>652</v>
      </c>
      <c r="C4" s="392" t="s">
        <v>722</v>
      </c>
      <c r="D4" s="392"/>
      <c r="E4" s="392"/>
      <c r="G4" s="289">
        <f>IFERROR(VALUE(LEFT($H$3,FIND(" ",$H$3))),"")</f>
        <v>275</v>
      </c>
      <c r="H4" s="103" t="str">
        <f>IFERROR(RIGHT(H3,LEN(H3)-LEN(G4)-1),"")</f>
        <v>bushel</v>
      </c>
      <c r="J4" s="128" t="s">
        <v>653</v>
      </c>
      <c r="K4" s="188" t="s">
        <v>681</v>
      </c>
    </row>
    <row r="5" spans="1:13" ht="15.75" hidden="1" customHeight="1" x14ac:dyDescent="0.2">
      <c r="B5" s="103" t="s">
        <v>655</v>
      </c>
      <c r="C5" s="103" t="str">
        <f ca="1">MID(CELL("filename",C5),FIND("]",CELL("filename",C5))+1,255)</f>
        <v>34-Corn</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34-Corn, Enlist, Bt, ECB, &amp; RIB, No Till, after Beans, 275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34-Corn, Enlist, Bt, ECB, &amp; RIB, No Till, after Beans, 275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525</v>
      </c>
      <c r="C15" s="214">
        <f>$K$3</f>
        <v>9</v>
      </c>
      <c r="D15" s="214" t="s">
        <v>693</v>
      </c>
      <c r="E15" s="215">
        <f>IF(B15=0,"",IF(C15&gt;9999,"",ROUND('General Variables'!$B$4*VLOOKUP(B15,Operations!$A$2:$U$79,10,FALSE)/VLOOKUP(B15,Operations!$A$2:$U$79,9,FALSE)*C15,2)))</f>
        <v>11.25</v>
      </c>
      <c r="F15" s="215">
        <f>IF(B15=0,0,IF(C15&gt;9999,"",ROUND(IF(VLOOKUP(B15,Operations!$A$2:$U$79,12,FALSE)=0,VLOOKUP(B15,Operations!$A$2:$U$79,13,FALSE)*'General Variables'!$B$8,VLOOKUP(B15,Operations!$A$2:$U$79,12,FALSE)*'General Variables'!$B$7)/VLOOKUP(B15,Operations!$A$2:$U$79,9,FALSE)*C15,2)))</f>
        <v>19.11</v>
      </c>
      <c r="G15" s="215">
        <f>IF(B15=0,0,IF(C15&gt;9999,"",ROUND(VLOOKUP(VLOOKUP(B15,Operations!$A$2:$U$79,11,FALSE),PowerUnits[],10,FALSE)/VLOOKUP(B15,Operations!$A$2:$U$79,9,FALSE)*C15,2)))</f>
        <v>5.0199999999999996</v>
      </c>
      <c r="H15" s="215">
        <v>8</v>
      </c>
      <c r="I15" s="215">
        <v>5</v>
      </c>
      <c r="J15" s="215">
        <f>IF(B15=0,"",IF(C15&gt;9999,"",ROUND(VLOOKUP($B15,Operations!$A$2:$U$79,21,FALSE)*$C15,2)))</f>
        <v>14.24</v>
      </c>
      <c r="K15" s="215">
        <f t="shared" si="0"/>
        <v>62.62</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944</v>
      </c>
      <c r="C19" s="214">
        <v>240</v>
      </c>
      <c r="D19" s="214"/>
      <c r="E19" s="215">
        <f>IF(B19=0,"",IF(C19&gt;9999,"",ROUND('General Variables'!$B$4*VLOOKUP(B19,Operations!$A$2:$U$79,10,FALSE)/VLOOKUP(B19,Operations!$A$2:$U$79,9,FALSE)*C19,2))/100)</f>
        <v>5.7484000000000002</v>
      </c>
      <c r="F19" s="215">
        <f>IF(B19=0,0,IF(C19&gt;9999,"",ROUND(IF(VLOOKUP(B19,Operations!$A$2:$U$79,12,FALSE)=0,VLOOKUP(B19,Operations!$A$2:$U$79,13,FALSE)*'General Variables'!$B$8,VLOOKUP(B19,Operations!$A$2:$U$79,12,FALSE)*'General Variables'!$B$7)/VLOOKUP(B19,Operations!$A$2:$U$79,9,FALSE)*C19,2))/100)</f>
        <v>6.4971000000000005</v>
      </c>
      <c r="G19" s="215">
        <f>IF(B19=0,0,IF(C19&gt;9999,"",ROUND(VLOOKUP(VLOOKUP(B19,Operations!$A$2:$U$79,11,FALSE),PowerUnits[],10,FALSE)/VLOOKUP(B19,Operations!$A$2:$U$79,9,FALSE)*C19,2))/100)</f>
        <v>9.9886999999999997</v>
      </c>
      <c r="H19" s="215">
        <f>IF(B19=0,"",IF(C19&gt;9999,"",ROUND(VLOOKUP($B19,Operations!$A$2:$U$79,15,FALSE)*C19,2))/100)</f>
        <v>2.5785</v>
      </c>
      <c r="I19" s="215">
        <f>IF(B19=0,0,IF(C19&gt;9999,"",ROUND(VLOOKUP(VLOOKUP(B19,Operations!$A$2:$U$79,11,FALSE),PowerUnits[],16,FALSE)/VLOOKUP(B19,Operations!$A$2:$U$79,9,FALSE)*C19,2))/100)</f>
        <v>24.055300000000003</v>
      </c>
      <c r="J19" s="215">
        <f>IF(B19=0,"",IF(C19&gt;9999,"",ROUND(VLOOKUP($B19,Operations!$A$2:$U$79,21,FALSE)*$C19,2))/100)</f>
        <v>10.6999</v>
      </c>
      <c r="K19" s="215">
        <f>IF(C19&gt;9999,"",ROUND(SUM(E19:J19),2))</f>
        <v>59.57</v>
      </c>
      <c r="L19" s="216"/>
    </row>
    <row r="20" spans="1:12" x14ac:dyDescent="0.2">
      <c r="A20" s="170">
        <v>9</v>
      </c>
      <c r="B20" s="180" t="s">
        <v>414</v>
      </c>
      <c r="C20" s="174">
        <f>$G$4</f>
        <v>275</v>
      </c>
      <c r="D20" s="112" t="s">
        <v>706</v>
      </c>
      <c r="E20" s="109">
        <f>IF(B20=0,"",IF(C20&gt;9999,"",ROUND('General Variables'!$B$4*VLOOKUP(B20,Operations!$A$2:$U$79,10,FALSE)/VLOOKUP(B20,Operations!$A$2:$U$79,9,FALSE)*C20,2)))</f>
        <v>2.48</v>
      </c>
      <c r="F20" s="109">
        <f>IF(B20=0,0,IF(C20&gt;9999,"",ROUND(IF(VLOOKUP(B20,Operations!$A$2:$U$79,12,FALSE)=0,VLOOKUP(B20,Operations!$A$2:$U$79,13,FALSE)*'General Variables'!$B$8,VLOOKUP(B20,Operations!$A$2:$U$79,12,FALSE)*'General Variables'!$B$7)/VLOOKUP(B20,Operations!$A$2:$U$79,9,FALSE)*C20,2)))</f>
        <v>0.8</v>
      </c>
      <c r="G20" s="109">
        <f>IF(B20=0,0,IF(C20&gt;9999,"",ROUND(VLOOKUP(VLOOKUP(B20,Operations!$A$2:$U$79,11,FALSE),PowerUnits[],10,FALSE)/VLOOKUP(B20,Operations!$A$2:$U$79,9,FALSE)*C20,2)))</f>
        <v>7.0000000000000007E-2</v>
      </c>
      <c r="H20" s="109">
        <f>IF(B20=0,"",IF(C20&gt;9999,"",ROUND(VLOOKUP($B20,Operations!$A$2:$U$79,15,FALSE)*C20,2)))</f>
        <v>1.52</v>
      </c>
      <c r="I20" s="109">
        <f>IF(B20=0,0,IF(C20&gt;9999,"",ROUND(VLOOKUP(VLOOKUP(B20,Operations!$A$2:$U$79,11,FALSE),PowerUnits[],16,FALSE)/VLOOKUP(B20,Operations!$A$2:$U$79,9,FALSE)*C20,2)))</f>
        <v>3.61</v>
      </c>
      <c r="J20" s="109">
        <f>IF(B20=0,"",IF(C20&gt;9999,"",ROUND(VLOOKUP($B20,Operations!$A$2:$U$79,21,FALSE)*$C20,2)))</f>
        <v>3.04</v>
      </c>
      <c r="K20" s="109">
        <f>IF(C20&gt;9999,"",ROUND(SUM(E20:J20),2))</f>
        <v>11.52</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25.2684</v>
      </c>
      <c r="F33" s="109">
        <f t="shared" ref="F33:K33" si="1">SUM(F12:F31)</f>
        <v>28.1371</v>
      </c>
      <c r="G33" s="109">
        <f t="shared" si="1"/>
        <v>15.2287</v>
      </c>
      <c r="H33" s="109">
        <f t="shared" si="1"/>
        <v>21.8385</v>
      </c>
      <c r="I33" s="109">
        <f t="shared" si="1"/>
        <v>40.275300000000001</v>
      </c>
      <c r="J33" s="109">
        <f t="shared" si="1"/>
        <v>39.639900000000004</v>
      </c>
      <c r="K33" s="109">
        <f t="shared" si="1"/>
        <v>170.39000000000001</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176">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176">
        <v>1</v>
      </c>
      <c r="I38" s="120" t="str">
        <f>IF($B38=0,"",VLOOKUP($B38,Table2[],5,FALSE))</f>
        <v>pint</v>
      </c>
      <c r="J38" s="109">
        <f>IF($B38=0,"",VLOOKUP($B38,Table2[],7,FALSE))</f>
        <v>2.5</v>
      </c>
      <c r="K38" s="109">
        <f t="shared" ref="K38:K43" si="2">IF(B38=0,0,ROUND(G38*H38*J38,2))</f>
        <v>1.25</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177</v>
      </c>
      <c r="C41" s="388" t="str">
        <f>IF(B41=0,"",VLOOKUP($B41,Table2[],2,FALSE))</f>
        <v>Additive</v>
      </c>
      <c r="D41" s="388"/>
      <c r="E41" s="388"/>
      <c r="F41" s="174">
        <v>2</v>
      </c>
      <c r="G41" s="175">
        <v>1</v>
      </c>
      <c r="H41" s="302">
        <v>1.6</v>
      </c>
      <c r="I41" s="120" t="str">
        <f>IF($B41=0,"",VLOOKUP($B41,Table2[],5,FALSE))</f>
        <v>pint</v>
      </c>
      <c r="J41" s="109">
        <f>IF($B41=0,"",VLOOKUP($B41,Table2[],7,FALSE))</f>
        <v>1.875</v>
      </c>
      <c r="K41" s="109">
        <f t="shared" si="2"/>
        <v>3</v>
      </c>
      <c r="L41" s="110"/>
    </row>
    <row r="42" spans="1:12" x14ac:dyDescent="0.2">
      <c r="A42" s="105"/>
      <c r="B42" s="180" t="s">
        <v>170</v>
      </c>
      <c r="C42" s="388" t="str">
        <f>IF(B42=0,"",VLOOKUP($B42,Table2[],2,FALSE))</f>
        <v>Additive</v>
      </c>
      <c r="D42" s="388"/>
      <c r="E42" s="388"/>
      <c r="F42" s="174">
        <v>2</v>
      </c>
      <c r="G42" s="175">
        <v>1</v>
      </c>
      <c r="H42" s="302">
        <v>2.5</v>
      </c>
      <c r="I42" s="120" t="str">
        <f>IF($B42=0,"",VLOOKUP($B42,Table2[],5,FALSE))</f>
        <v>pound</v>
      </c>
      <c r="J42" s="109">
        <f>IF($B42=0,"",VLOOKUP($B42,Table2[],7,FALSE))</f>
        <v>0.4</v>
      </c>
      <c r="K42" s="109">
        <f t="shared" si="2"/>
        <v>1</v>
      </c>
      <c r="L42" s="110"/>
    </row>
    <row r="43" spans="1:12" x14ac:dyDescent="0.2">
      <c r="A43" s="105"/>
      <c r="B43" s="180" t="s">
        <v>327</v>
      </c>
      <c r="C43" s="388" t="str">
        <f>IF(B43=0,"",VLOOKUP($B43,Table2[],2,FALSE))</f>
        <v>Seed</v>
      </c>
      <c r="D43" s="388"/>
      <c r="E43" s="388"/>
      <c r="F43" s="174">
        <v>3</v>
      </c>
      <c r="G43" s="175">
        <v>1</v>
      </c>
      <c r="H43" s="300">
        <v>38.200000000000003</v>
      </c>
      <c r="I43" s="120" t="str">
        <f>IF($B43=0,"",VLOOKUP($B43,Table2[],5,FALSE))</f>
        <v>k seed</v>
      </c>
      <c r="J43" s="109">
        <f>IF($B43=0,"",VLOOKUP($B43,Table2[],7,FALSE))</f>
        <v>3.75</v>
      </c>
      <c r="K43" s="109">
        <f t="shared" si="2"/>
        <v>143.25</v>
      </c>
      <c r="L43" s="110"/>
    </row>
    <row r="44" spans="1:12" x14ac:dyDescent="0.2">
      <c r="A44" s="143"/>
      <c r="B44" s="213" t="s">
        <v>201</v>
      </c>
      <c r="C44" s="387" t="str">
        <f>IF(B44=0,"",VLOOKUP($B44,Table2[],2,FALSE))</f>
        <v>Fertilizer</v>
      </c>
      <c r="D44" s="387"/>
      <c r="E44" s="387"/>
      <c r="F44" s="214">
        <v>3</v>
      </c>
      <c r="G44" s="221">
        <v>1</v>
      </c>
      <c r="H44" s="303">
        <v>6</v>
      </c>
      <c r="I44" s="223" t="str">
        <f>IF($B44=0,"",VLOOKUP($B44,Table2[],5,FALSE))</f>
        <v>gallon</v>
      </c>
      <c r="J44" s="215">
        <f>IF($B44=0,"",VLOOKUP($B44,Table2[],7,FALSE))</f>
        <v>3.1</v>
      </c>
      <c r="K44" s="215">
        <f>IF(B44=0,0,ROUND(G44*H44*J44,2))</f>
        <v>18.600000000000001</v>
      </c>
      <c r="L44" s="216"/>
    </row>
    <row r="45" spans="1:12" x14ac:dyDescent="0.2">
      <c r="B45" s="180" t="s">
        <v>209</v>
      </c>
      <c r="C45" s="388" t="str">
        <f>IF(B45=0,"",VLOOKUP($B45,Table2[],2,FALSE))</f>
        <v>Fertilizer</v>
      </c>
      <c r="D45" s="388"/>
      <c r="E45" s="388"/>
      <c r="F45" s="174">
        <v>4</v>
      </c>
      <c r="G45" s="175">
        <v>1</v>
      </c>
      <c r="H45" s="302">
        <v>200</v>
      </c>
      <c r="I45" s="120" t="str">
        <f>IF($B45=0,"",VLOOKUP($B45,Table2[],5,FALSE))</f>
        <v>lbs N</v>
      </c>
      <c r="J45" s="109">
        <f>IF($B45=0,"",VLOOKUP($B45,Table2[],7,FALSE))</f>
        <v>0.5</v>
      </c>
      <c r="K45" s="109">
        <f t="shared" ref="K45:K61" si="3">IF(B45=0,0,ROUND(G45*H45*J45,2))</f>
        <v>100</v>
      </c>
      <c r="L45" s="110"/>
    </row>
    <row r="46" spans="1:12" x14ac:dyDescent="0.2">
      <c r="B46" s="180" t="s">
        <v>291</v>
      </c>
      <c r="C46" s="170"/>
      <c r="D46" s="170" t="s">
        <v>292</v>
      </c>
      <c r="E46" s="170"/>
      <c r="F46" s="174">
        <v>4</v>
      </c>
      <c r="G46" s="175">
        <v>1</v>
      </c>
      <c r="H46" s="302">
        <v>1</v>
      </c>
      <c r="I46" s="120" t="s">
        <v>176</v>
      </c>
      <c r="J46" s="109">
        <f>IF($B46=0,"",VLOOKUP($B46,Table2[],7,FALSE))</f>
        <v>52</v>
      </c>
      <c r="K46" s="109">
        <f t="shared" ref="K46" si="4">IF(B46=0,0,ROUND(G46*H46*J46,2))</f>
        <v>52</v>
      </c>
      <c r="L46" s="110"/>
    </row>
    <row r="47" spans="1:12" x14ac:dyDescent="0.2">
      <c r="B47" s="180" t="s">
        <v>251</v>
      </c>
      <c r="C47" s="388" t="str">
        <f>IF(B47=0,"",VLOOKUP($B47,Table2[],2,FALSE))</f>
        <v>Herbicide</v>
      </c>
      <c r="D47" s="388"/>
      <c r="E47" s="388"/>
      <c r="F47" s="174">
        <v>5</v>
      </c>
      <c r="G47" s="177">
        <v>1</v>
      </c>
      <c r="H47" s="176">
        <v>76</v>
      </c>
      <c r="I47" s="120" t="str">
        <f>IF($B47=0,"",VLOOKUP($B47,Table2[],5,FALSE))</f>
        <v xml:space="preserve">ounce </v>
      </c>
      <c r="J47" s="109">
        <f>IF($B47=0,"",VLOOKUP($B47,Table2[],7,FALSE))</f>
        <v>0.3515625</v>
      </c>
      <c r="K47" s="109">
        <f t="shared" si="3"/>
        <v>26.72</v>
      </c>
      <c r="L47" s="110"/>
    </row>
    <row r="48" spans="1:12" x14ac:dyDescent="0.2">
      <c r="B48" s="213" t="s">
        <v>177</v>
      </c>
      <c r="C48" s="387" t="str">
        <f>IF(B48=0,"",VLOOKUP($B48,Table2[],2,FALSE))</f>
        <v>Additive</v>
      </c>
      <c r="D48" s="387"/>
      <c r="E48" s="387"/>
      <c r="F48" s="214">
        <v>5</v>
      </c>
      <c r="G48" s="221">
        <v>1</v>
      </c>
      <c r="H48" s="303">
        <v>0.5</v>
      </c>
      <c r="I48" s="223" t="str">
        <f>IF($B48=0,"",VLOOKUP($B48,Table2[],5,FALSE))</f>
        <v>pint</v>
      </c>
      <c r="J48" s="215">
        <f>IF($B48=0,"",VLOOKUP($B48,Table2[],7,FALSE))</f>
        <v>1.875</v>
      </c>
      <c r="K48" s="215">
        <f t="shared" si="3"/>
        <v>0.94</v>
      </c>
      <c r="L48" s="216"/>
    </row>
    <row r="49" spans="1:12" x14ac:dyDescent="0.2">
      <c r="A49" s="143"/>
      <c r="B49" s="180" t="s">
        <v>182</v>
      </c>
      <c r="C49" s="388" t="str">
        <f>IF(B49=0,"",VLOOKUP($B49,Table2[],2,FALSE))</f>
        <v>Additive</v>
      </c>
      <c r="D49" s="388"/>
      <c r="E49" s="388"/>
      <c r="F49" s="174">
        <v>5</v>
      </c>
      <c r="G49" s="177">
        <v>1</v>
      </c>
      <c r="H49" s="176">
        <v>3</v>
      </c>
      <c r="I49" s="120" t="str">
        <f>IF($B49=0,"",VLOOKUP($B49,Table2[],5,FALSE))</f>
        <v>pint</v>
      </c>
      <c r="J49" s="109">
        <f>IF($B49=0,"",VLOOKUP($B49,Table2[],7,FALSE))</f>
        <v>0.22500000000000001</v>
      </c>
      <c r="K49" s="109">
        <f t="shared" si="3"/>
        <v>0.68</v>
      </c>
      <c r="L49" s="110"/>
    </row>
    <row r="50" spans="1:12" x14ac:dyDescent="0.2">
      <c r="A50" s="143"/>
      <c r="B50" s="180" t="s">
        <v>200</v>
      </c>
      <c r="C50" s="388" t="str">
        <f>IF(B50=0,"",VLOOKUP($B50,Table2[],2,FALSE))</f>
        <v>Custom</v>
      </c>
      <c r="D50" s="388"/>
      <c r="E50" s="388"/>
      <c r="F50" s="174">
        <v>6</v>
      </c>
      <c r="G50" s="177">
        <v>0.5</v>
      </c>
      <c r="H50" s="176">
        <v>1</v>
      </c>
      <c r="I50" s="120" t="str">
        <f>IF($B50=0,"",VLOOKUP($B50,Table2[],5,FALSE))</f>
        <v>acre</v>
      </c>
      <c r="J50" s="109">
        <f>IF($B50=0,"",VLOOKUP($B50,Table2[],7,FALSE))</f>
        <v>9</v>
      </c>
      <c r="K50" s="109">
        <f t="shared" si="3"/>
        <v>4.5</v>
      </c>
      <c r="L50" s="110"/>
    </row>
    <row r="51" spans="1:12" x14ac:dyDescent="0.2">
      <c r="A51" s="143" t="s">
        <v>638</v>
      </c>
      <c r="B51" s="180" t="s">
        <v>286</v>
      </c>
      <c r="C51" s="388" t="str">
        <f>IF(B51=0,"",VLOOKUP($B51,Table2[],2,FALSE))</f>
        <v>Insecticide</v>
      </c>
      <c r="D51" s="388"/>
      <c r="E51" s="388"/>
      <c r="F51" s="174">
        <v>6</v>
      </c>
      <c r="G51" s="175">
        <v>0.5</v>
      </c>
      <c r="H51" s="302">
        <v>5.12</v>
      </c>
      <c r="I51" s="120" t="str">
        <f>IF($B51=0,"",VLOOKUP($B51,Table2[],5,FALSE))</f>
        <v>ounce</v>
      </c>
      <c r="J51" s="109">
        <f>IF($B51=0,"",VLOOKUP($B51,Table2[],7,FALSE))</f>
        <v>1.015625</v>
      </c>
      <c r="K51" s="109">
        <f t="shared" si="3"/>
        <v>2.6</v>
      </c>
      <c r="L51" s="110"/>
    </row>
    <row r="52" spans="1:12" x14ac:dyDescent="0.2">
      <c r="A52" s="143" t="s">
        <v>638</v>
      </c>
      <c r="B52" s="213" t="s">
        <v>288</v>
      </c>
      <c r="C52" s="387" t="str">
        <f>IF(B52=0,"",VLOOKUP($B52,Table2[],2,FALSE))</f>
        <v>Insecticide</v>
      </c>
      <c r="D52" s="387"/>
      <c r="E52" s="387"/>
      <c r="F52" s="214">
        <v>6</v>
      </c>
      <c r="G52" s="221">
        <v>0.5</v>
      </c>
      <c r="H52" s="303">
        <v>3</v>
      </c>
      <c r="I52" s="223" t="str">
        <f>IF($B52=0,"",VLOOKUP($B52,Table2[],5,FALSE))</f>
        <v>ounce</v>
      </c>
      <c r="J52" s="215">
        <f>IF($B52=0,"",VLOOKUP($B52,Table2[],7,FALSE))</f>
        <v>1.25</v>
      </c>
      <c r="K52" s="215">
        <f t="shared" si="3"/>
        <v>1.88</v>
      </c>
      <c r="L52" s="216"/>
    </row>
    <row r="53" spans="1:12" x14ac:dyDescent="0.2">
      <c r="B53" s="180" t="s">
        <v>200</v>
      </c>
      <c r="C53" s="388" t="str">
        <f>IF(B53=0,"",VLOOKUP($B53,Table2[],2,FALSE))</f>
        <v>Custom</v>
      </c>
      <c r="D53" s="388"/>
      <c r="E53" s="388"/>
      <c r="F53" s="174">
        <v>7</v>
      </c>
      <c r="G53" s="177">
        <v>0.6</v>
      </c>
      <c r="H53" s="176">
        <v>1</v>
      </c>
      <c r="I53" s="120" t="str">
        <f>IF($B53=0,"",VLOOKUP($B53,Table2[],5,FALSE))</f>
        <v>acre</v>
      </c>
      <c r="J53" s="109">
        <f>IF($B53=0,"",VLOOKUP($B53,Table2[],7,FALSE))</f>
        <v>9</v>
      </c>
      <c r="K53" s="109">
        <f t="shared" si="3"/>
        <v>5.4</v>
      </c>
      <c r="L53" s="110"/>
    </row>
    <row r="54" spans="1:12" x14ac:dyDescent="0.2">
      <c r="B54" s="180" t="s">
        <v>216</v>
      </c>
      <c r="C54" s="388" t="str">
        <f>IF(B54=0,"",VLOOKUP($B54,Table2[],2,FALSE))</f>
        <v>Fungicide</v>
      </c>
      <c r="D54" s="388"/>
      <c r="E54" s="388"/>
      <c r="F54" s="174">
        <v>7</v>
      </c>
      <c r="G54" s="177">
        <v>0.6</v>
      </c>
      <c r="H54" s="176">
        <v>4</v>
      </c>
      <c r="I54" s="120" t="str">
        <f>IF($B54=0,"",VLOOKUP($B54,Table2[],5,FALSE))</f>
        <v>ounce</v>
      </c>
      <c r="J54" s="109">
        <f>IF($B54=0,"",VLOOKUP($B54,Table2[],7,FALSE))</f>
        <v>5.078125</v>
      </c>
      <c r="K54" s="109">
        <f t="shared" si="3"/>
        <v>12.19</v>
      </c>
      <c r="L54" s="110"/>
    </row>
    <row r="55" spans="1:12" x14ac:dyDescent="0.2">
      <c r="B55" s="180" t="s">
        <v>198</v>
      </c>
      <c r="C55" s="388" t="str">
        <f>IF(B55=0,"",VLOOKUP($B55,Table2[],2,FALSE))</f>
        <v>Custom</v>
      </c>
      <c r="D55" s="388"/>
      <c r="E55" s="388"/>
      <c r="F55" s="174">
        <v>10</v>
      </c>
      <c r="G55" s="175">
        <v>1</v>
      </c>
      <c r="H55" s="299">
        <f>$G$4</f>
        <v>275</v>
      </c>
      <c r="I55" s="120" t="str">
        <f>IF($B55=0,"",VLOOKUP($B55,Table2[],5,FALSE))</f>
        <v>bushel</v>
      </c>
      <c r="J55" s="109">
        <f>IF($B55=0,"",VLOOKUP($B55,Table2[],7,FALSE))</f>
        <v>0.15</v>
      </c>
      <c r="K55" s="109">
        <f t="shared" si="3"/>
        <v>41.25</v>
      </c>
      <c r="L55" s="110"/>
    </row>
    <row r="56" spans="1:12" x14ac:dyDescent="0.2">
      <c r="B56" s="213" t="s">
        <v>190</v>
      </c>
      <c r="C56" s="387" t="str">
        <f>IF(B56=0,"",VLOOKUP($B56,Table2[],2,FALSE))</f>
        <v>Custom</v>
      </c>
      <c r="D56" s="387"/>
      <c r="E56" s="387"/>
      <c r="F56" s="214">
        <v>11</v>
      </c>
      <c r="G56" s="221">
        <v>0.2</v>
      </c>
      <c r="H56" s="301">
        <f>$G$4</f>
        <v>275</v>
      </c>
      <c r="I56" s="223" t="str">
        <f>IF($B56=0,"",VLOOKUP($B56,Table2[],5,FALSE))</f>
        <v>bushel</v>
      </c>
      <c r="J56" s="215">
        <f>IF($B56=0,"",VLOOKUP($B56,Table2[],7,FALSE))</f>
        <v>0.1</v>
      </c>
      <c r="K56" s="215">
        <f t="shared" si="3"/>
        <v>5.5</v>
      </c>
      <c r="L56" s="216"/>
    </row>
    <row r="57" spans="1:12" x14ac:dyDescent="0.2">
      <c r="B57" s="180" t="s">
        <v>313</v>
      </c>
      <c r="C57" s="388" t="str">
        <f>IF(B57=0,"",VLOOKUP($B57,Table2[],2,FALSE))</f>
        <v>Scouting</v>
      </c>
      <c r="D57" s="388"/>
      <c r="E57" s="388"/>
      <c r="F57" s="174"/>
      <c r="G57" s="177">
        <v>1</v>
      </c>
      <c r="H57" s="176">
        <v>1</v>
      </c>
      <c r="I57" s="120" t="str">
        <f>IF($B57=0,"",VLOOKUP($B57,Table2[],5,FALSE))</f>
        <v>acre</v>
      </c>
      <c r="J57" s="109">
        <f>IF($B57=0,"",VLOOKUP($B57,Table2[],7,FALSE))</f>
        <v>13</v>
      </c>
      <c r="K57" s="109">
        <f t="shared" si="3"/>
        <v>13</v>
      </c>
      <c r="L57" s="110"/>
    </row>
    <row r="58" spans="1:12" hidden="1" x14ac:dyDescent="0.2">
      <c r="B58" s="213"/>
      <c r="C58" s="247"/>
      <c r="D58" s="247"/>
      <c r="E58" s="247"/>
      <c r="F58" s="214"/>
      <c r="G58" s="224"/>
      <c r="H58" s="222"/>
      <c r="I58" s="223"/>
      <c r="J58" s="215"/>
      <c r="K58" s="215"/>
      <c r="L58" s="216"/>
    </row>
    <row r="59" spans="1:12" hidden="1" x14ac:dyDescent="0.2">
      <c r="B59" s="213"/>
      <c r="C59" s="247"/>
      <c r="D59" s="247"/>
      <c r="E59" s="247"/>
      <c r="F59" s="214"/>
      <c r="G59" s="224"/>
      <c r="H59" s="222"/>
      <c r="I59" s="223"/>
      <c r="J59" s="215"/>
      <c r="K59" s="215"/>
      <c r="L59" s="216"/>
    </row>
    <row r="60" spans="1:12" ht="12.75" hidden="1" customHeight="1" x14ac:dyDescent="0.2">
      <c r="B60" s="180"/>
      <c r="C60" s="388" t="str">
        <f>IF(B60=0,"",VLOOKUP($B60,Table2[],2,FALSE))</f>
        <v/>
      </c>
      <c r="D60" s="388"/>
      <c r="E60" s="388"/>
      <c r="F60" s="174"/>
      <c r="G60" s="177"/>
      <c r="H60" s="176"/>
      <c r="I60" s="120" t="str">
        <f>IF($B60=0,"",VLOOKUP($B60,Table2[],5,FALSE))</f>
        <v/>
      </c>
      <c r="J60" s="109" t="str">
        <f>IF($B60=0,"",VLOOKUP($B60,Table2[],7,FALSE))</f>
        <v/>
      </c>
      <c r="K60" s="109">
        <f t="shared" si="3"/>
        <v>0</v>
      </c>
      <c r="L60" s="110"/>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 t="shared" si="3"/>
        <v>0</v>
      </c>
      <c r="L61" s="227"/>
    </row>
    <row r="62" spans="1:12" x14ac:dyDescent="0.2">
      <c r="B62" s="185" t="s">
        <v>430</v>
      </c>
      <c r="C62" s="388" t="s">
        <v>655</v>
      </c>
      <c r="D62" s="388"/>
      <c r="E62" s="388"/>
      <c r="F62" s="112"/>
      <c r="G62" s="177"/>
      <c r="H62" s="178"/>
      <c r="I62" s="170"/>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 ca="1">SUM(K37:K62)</f>
        <v>493.35999999999996</v>
      </c>
      <c r="L64" s="110"/>
    </row>
    <row r="65" spans="2:12" x14ac:dyDescent="0.2">
      <c r="B65" s="144" t="s">
        <v>715</v>
      </c>
      <c r="K65" s="127"/>
    </row>
    <row r="66" spans="2:12" x14ac:dyDescent="0.2">
      <c r="B66" s="107" t="s">
        <v>672</v>
      </c>
      <c r="K66" s="127">
        <f ca="1">K33+K64</f>
        <v>663.75</v>
      </c>
      <c r="L66" s="110"/>
    </row>
    <row r="67" spans="2:12" ht="13.5" thickBot="1" x14ac:dyDescent="0.25">
      <c r="D67" s="128" t="s">
        <v>673</v>
      </c>
      <c r="E67" s="129">
        <f ca="1">ROUND(SUM($E$33:$H$33)+$K$64,2)</f>
        <v>583.83000000000004</v>
      </c>
      <c r="F67" s="388" t="s">
        <v>674</v>
      </c>
      <c r="G67" s="388"/>
      <c r="H67" s="130">
        <f>'General Variables'!$B$11</f>
        <v>7.4999999999999997E-2</v>
      </c>
      <c r="I67" s="131" t="str">
        <f>CONCATENATE("for ",TEXT('General Variables'!$B$12,"0.0")," mo.")</f>
        <v>for 6.0 mo.</v>
      </c>
      <c r="K67" s="132">
        <f ca="1">E67*H67*'General Variables'!$B$12/12</f>
        <v>21.893625</v>
      </c>
      <c r="L67" s="133"/>
    </row>
    <row r="68" spans="2:12" ht="13.5" thickTop="1" x14ac:dyDescent="0.2">
      <c r="B68" s="107" t="s">
        <v>675</v>
      </c>
      <c r="K68" s="127">
        <f ca="1">SUM(K66:K67)</f>
        <v>685.64362500000004</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37">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0">
        <f>ROUND(F72*I72,2)</f>
        <v>118.5</v>
      </c>
      <c r="L72" s="133"/>
    </row>
    <row r="73" spans="2:12" ht="13.5" thickTop="1" x14ac:dyDescent="0.2">
      <c r="B73" s="107" t="s">
        <v>680</v>
      </c>
      <c r="K73" s="127">
        <f ca="1">SUM(K68:K72)</f>
        <v>1112.593625</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2.760813181818182</v>
      </c>
      <c r="L75" s="148"/>
    </row>
    <row r="76" spans="2:12" x14ac:dyDescent="0.2">
      <c r="B76" s="107" t="str">
        <f>IF(G4="","","Cost of production per "&amp;H4)</f>
        <v>Cost of production per bushel</v>
      </c>
      <c r="K76" s="141">
        <f ca="1">IF(G4="","",K73/G4)</f>
        <v>4.045795</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6">
    <mergeCell ref="C62:E62"/>
    <mergeCell ref="F67:G67"/>
    <mergeCell ref="C71:E71"/>
    <mergeCell ref="G71:H71"/>
    <mergeCell ref="G72:H72"/>
    <mergeCell ref="C61:E61"/>
    <mergeCell ref="C48:E48"/>
    <mergeCell ref="C49:E49"/>
    <mergeCell ref="C50:E50"/>
    <mergeCell ref="C51:E51"/>
    <mergeCell ref="C52:E52"/>
    <mergeCell ref="C53:E53"/>
    <mergeCell ref="C54:E54"/>
    <mergeCell ref="C55:E55"/>
    <mergeCell ref="C56:E56"/>
    <mergeCell ref="C57:E57"/>
    <mergeCell ref="C60:E60"/>
    <mergeCell ref="C37:E37"/>
    <mergeCell ref="C38:E38"/>
    <mergeCell ref="C39:E39"/>
    <mergeCell ref="C40:E40"/>
    <mergeCell ref="C41:E41"/>
    <mergeCell ref="C42:E42"/>
    <mergeCell ref="C43:E43"/>
    <mergeCell ref="C44:E44"/>
    <mergeCell ref="C45:E45"/>
    <mergeCell ref="C47:E47"/>
    <mergeCell ref="K10:K11"/>
    <mergeCell ref="L10:L11"/>
    <mergeCell ref="F35:F36"/>
    <mergeCell ref="G35:G36"/>
    <mergeCell ref="H35:I35"/>
    <mergeCell ref="J35:J36"/>
    <mergeCell ref="L35:L36"/>
    <mergeCell ref="I10:J10"/>
    <mergeCell ref="B10:B11"/>
    <mergeCell ref="C10:C11"/>
    <mergeCell ref="E10:E11"/>
    <mergeCell ref="F10:F11"/>
    <mergeCell ref="G10:H10"/>
    <mergeCell ref="B7:L7"/>
    <mergeCell ref="G2:H2"/>
    <mergeCell ref="K2:L2"/>
    <mergeCell ref="C3:E3"/>
    <mergeCell ref="C4:E4"/>
    <mergeCell ref="A6:M6"/>
  </mergeCells>
  <dataValidations count="9">
    <dataValidation type="list" allowBlank="1" showInputMessage="1" showErrorMessage="1" sqref="C3" xr:uid="{00000000-0002-0000-2700-000000000000}">
      <formula1>TillageSystem</formula1>
    </dataValidation>
    <dataValidation type="list" allowBlank="1" showInputMessage="1" showErrorMessage="1" sqref="K2" xr:uid="{00000000-0002-0000-2700-000001000000}">
      <formula1>watersource</formula1>
    </dataValidation>
    <dataValidation type="list" allowBlank="1" showInputMessage="1" showErrorMessage="1" sqref="D12:D32" xr:uid="{00000000-0002-0000-2700-000002000000}">
      <formula1>#REF!</formula1>
    </dataValidation>
    <dataValidation type="list" allowBlank="1" showInputMessage="1" showErrorMessage="1" sqref="B12:B31" xr:uid="{00000000-0002-0000-2700-000003000000}">
      <formula1>OperationList</formula1>
    </dataValidation>
    <dataValidation type="list" allowBlank="1" showInputMessage="1" showErrorMessage="1" sqref="C71:E71" xr:uid="{00000000-0002-0000-2700-000004000000}">
      <formula1>RealEstateList</formula1>
    </dataValidation>
    <dataValidation type="list" allowBlank="1" showInputMessage="1" showErrorMessage="1" sqref="K4" xr:uid="{00000000-0002-0000-2700-000005000000}">
      <formula1>$K$112:$K$114</formula1>
    </dataValidation>
    <dataValidation type="list" showInputMessage="1" showErrorMessage="1" sqref="B63" xr:uid="{00000000-0002-0000-2700-000006000000}">
      <formula1>$C$112:$C$235</formula1>
    </dataValidation>
    <dataValidation type="list" allowBlank="1" showInputMessage="1" showErrorMessage="1" sqref="B32" xr:uid="{00000000-0002-0000-2700-000007000000}">
      <formula1>$B$112:$B$209</formula1>
    </dataValidation>
    <dataValidation type="list" allowBlank="1" showInputMessage="1" showErrorMessage="1" sqref="B37:B61" xr:uid="{00000000-0002-0000-2700-000008000000}">
      <formula1>MaterialList</formula1>
    </dataValidation>
  </dataValidations>
  <pageMargins left="0.7" right="0.7" top="0.75" bottom="0.75" header="0.3" footer="0.3"/>
  <pageSetup scale="7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78">
    <pageSetUpPr fitToPage="1"/>
  </sheetPr>
  <dimension ref="A2:M256"/>
  <sheetViews>
    <sheetView zoomScaleNormal="100" workbookViewId="0">
      <selection activeCell="H8" sqref="H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713</v>
      </c>
      <c r="H2" s="392"/>
      <c r="J2" s="128" t="s">
        <v>649</v>
      </c>
      <c r="K2" s="401" t="s">
        <v>70</v>
      </c>
      <c r="L2" s="401"/>
    </row>
    <row r="3" spans="1:13" hidden="1" x14ac:dyDescent="0.2">
      <c r="B3" s="103" t="s">
        <v>38</v>
      </c>
      <c r="C3" s="391" t="s">
        <v>46</v>
      </c>
      <c r="D3" s="391"/>
      <c r="E3" s="391"/>
      <c r="G3" s="128" t="s">
        <v>650</v>
      </c>
      <c r="H3" s="187" t="s">
        <v>733</v>
      </c>
      <c r="J3" s="128" t="s">
        <v>651</v>
      </c>
      <c r="K3" s="187">
        <v>9</v>
      </c>
    </row>
    <row r="4" spans="1:13" hidden="1" x14ac:dyDescent="0.2">
      <c r="B4" s="103" t="s">
        <v>652</v>
      </c>
      <c r="C4" s="392" t="s">
        <v>722</v>
      </c>
      <c r="D4" s="392"/>
      <c r="E4" s="392"/>
      <c r="G4" s="103">
        <f>IFERROR(VALUE(LEFT($H$3,FIND(" ",$H$3))),"")</f>
        <v>275</v>
      </c>
      <c r="H4" s="103" t="str">
        <f>IFERROR(RIGHT(H3,LEN(H3)-LEN(G4)-1),"")</f>
        <v>bushel</v>
      </c>
      <c r="J4" s="128" t="s">
        <v>653</v>
      </c>
      <c r="K4" s="188" t="s">
        <v>681</v>
      </c>
    </row>
    <row r="5" spans="1:13" ht="15.75" hidden="1" customHeight="1" x14ac:dyDescent="0.2">
      <c r="B5" s="103" t="s">
        <v>655</v>
      </c>
      <c r="C5" s="103" t="str">
        <f ca="1">MID(CELL("filename",C5),FIND("]",CELL("filename",C5))+1,255)</f>
        <v>35-Corn</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35-Corn, Bt, ECB, RR2, LL, &amp; RIB, No Till, after Beans, 275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35-Corn, Bt, ECB, RR2, LL, &amp; RIB, No Till, after Beans, 275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525</v>
      </c>
      <c r="C15" s="380">
        <f>$K$3</f>
        <v>9</v>
      </c>
      <c r="D15" s="214" t="s">
        <v>693</v>
      </c>
      <c r="E15" s="215">
        <f>IF(B15=0,"",IF(C15&gt;9999,"",ROUND('General Variables'!$B$4*VLOOKUP(B15,Operations!$A$2:$U$79,10,FALSE)/VLOOKUP(B15,Operations!$A$2:$U$79,9,FALSE)*C15,2)))</f>
        <v>11.25</v>
      </c>
      <c r="F15" s="215">
        <f>IF(B15=0,0,IF(C15&gt;9999,"",ROUND(IF(VLOOKUP(B15,Operations!$A$2:$U$79,12,FALSE)=0,VLOOKUP(B15,Operations!$A$2:$U$79,13,FALSE)*'General Variables'!$B$8,VLOOKUP(B15,Operations!$A$2:$U$79,12,FALSE)*'General Variables'!$B$7)/VLOOKUP(B15,Operations!$A$2:$U$79,9,FALSE)*C15,2)))</f>
        <v>19.11</v>
      </c>
      <c r="G15" s="215">
        <f>IF(B15=0,0,IF(C15&gt;9999,"",ROUND(VLOOKUP(VLOOKUP(B15,Operations!$A$2:$U$79,11,FALSE),PowerUnits[],10,FALSE)/VLOOKUP(B15,Operations!$A$2:$U$79,9,FALSE)*C15,2)))</f>
        <v>5.0199999999999996</v>
      </c>
      <c r="H15" s="215">
        <v>8</v>
      </c>
      <c r="I15" s="215">
        <v>5</v>
      </c>
      <c r="J15" s="215">
        <f>IF(B15=0,"",IF(C15&gt;9999,"",ROUND(VLOOKUP($B15,Operations!$A$2:$U$79,21,FALSE)*$C15,2)))</f>
        <v>14.24</v>
      </c>
      <c r="K15" s="215">
        <f t="shared" si="0"/>
        <v>62.62</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943</v>
      </c>
      <c r="C19" s="214">
        <v>240</v>
      </c>
      <c r="D19" s="214"/>
      <c r="E19" s="215">
        <f>IF(B19=0,"",IF(C19&gt;9999,"",ROUND('General Variables'!$B$4*VLOOKUP(B19,Operations!$A$2:$U$79,10,FALSE)/VLOOKUP(B19,Operations!$A$2:$U$79,9,FALSE)*C19,2))/100)</f>
        <v>5.4830999999999994</v>
      </c>
      <c r="F19" s="215">
        <f>IF(B19=0,0,IF(C19&gt;9999,"",ROUND(IF(VLOOKUP(B19,Operations!$A$2:$U$79,12,FALSE)=0,VLOOKUP(B19,Operations!$A$2:$U$79,13,FALSE)*'General Variables'!$B$8,VLOOKUP(B19,Operations!$A$2:$U$79,12,FALSE)*'General Variables'!$B$7)/VLOOKUP(B19,Operations!$A$2:$U$79,9,FALSE)*C19,2))/100)</f>
        <v>6.1973000000000003</v>
      </c>
      <c r="G19" s="215">
        <f>IF(B19=0,0,IF(C19&gt;9999,"",ROUND(VLOOKUP(VLOOKUP(B19,Operations!$A$2:$U$79,11,FALSE),PowerUnits[],10,FALSE)/VLOOKUP(B19,Operations!$A$2:$U$79,9,FALSE)*C19,2))/100)</f>
        <v>9.5275999999999996</v>
      </c>
      <c r="H19" s="215">
        <f>IF(B19=0,"",IF(C19&gt;9999,"",ROUND(VLOOKUP($B19,Operations!$A$2:$U$79,15,FALSE)*C19,2))/100)</f>
        <v>2.2599</v>
      </c>
      <c r="I19" s="215">
        <f>IF(B19=0,0,IF(C19&gt;9999,"",ROUND(VLOOKUP(VLOOKUP(B19,Operations!$A$2:$U$79,11,FALSE),PowerUnits[],16,FALSE)/VLOOKUP(B19,Operations!$A$2:$U$79,9,FALSE)*C19,2))/100)</f>
        <v>22.945100000000004</v>
      </c>
      <c r="J19" s="215">
        <f>IF(B19=0,"",IF(C19&gt;9999,"",ROUND(VLOOKUP($B19,Operations!$A$2:$U$79,21,FALSE)*$C19,2))/100)</f>
        <v>10.4544</v>
      </c>
      <c r="K19" s="215">
        <f>IF(C19&gt;9999,"",ROUND(SUM(E19:J19),2))</f>
        <v>56.87</v>
      </c>
      <c r="L19" s="216"/>
    </row>
    <row r="20" spans="1:12" x14ac:dyDescent="0.2">
      <c r="A20" s="170">
        <v>9</v>
      </c>
      <c r="B20" s="180" t="s">
        <v>414</v>
      </c>
      <c r="C20" s="174">
        <f>$G$4</f>
        <v>275</v>
      </c>
      <c r="D20" s="112" t="s">
        <v>706</v>
      </c>
      <c r="E20" s="109">
        <f>IF(B20=0,"",IF(C20&gt;9999,"",ROUND('General Variables'!$B$4*VLOOKUP(B20,Operations!$A$2:$U$79,10,FALSE)/VLOOKUP(B20,Operations!$A$2:$U$79,9,FALSE)*C20,2)))</f>
        <v>2.48</v>
      </c>
      <c r="F20" s="109">
        <f>IF(B20=0,0,IF(C20&gt;9999,"",ROUND(IF(VLOOKUP(B20,Operations!$A$2:$U$79,12,FALSE)=0,VLOOKUP(B20,Operations!$A$2:$U$79,13,FALSE)*'General Variables'!$B$8,VLOOKUP(B20,Operations!$A$2:$U$79,12,FALSE)*'General Variables'!$B$7)/VLOOKUP(B20,Operations!$A$2:$U$79,9,FALSE)*C20,2)))</f>
        <v>0.8</v>
      </c>
      <c r="G20" s="109">
        <f>IF(B20=0,0,IF(C20&gt;9999,"",ROUND(VLOOKUP(VLOOKUP(B20,Operations!$A$2:$U$79,11,FALSE),PowerUnits[],10,FALSE)/VLOOKUP(B20,Operations!$A$2:$U$79,9,FALSE)*C20,2)))</f>
        <v>7.0000000000000007E-2</v>
      </c>
      <c r="H20" s="109">
        <f>IF(B20=0,"",IF(C20&gt;9999,"",ROUND(VLOOKUP($B20,Operations!$A$2:$U$79,15,FALSE)*C20,2)))</f>
        <v>1.52</v>
      </c>
      <c r="I20" s="109">
        <f>IF(B20=0,0,IF(C20&gt;9999,"",ROUND(VLOOKUP(VLOOKUP(B20,Operations!$A$2:$U$79,11,FALSE),PowerUnits[],16,FALSE)/VLOOKUP(B20,Operations!$A$2:$U$79,9,FALSE)*C20,2)))</f>
        <v>3.61</v>
      </c>
      <c r="J20" s="109">
        <f>IF(B20=0,"",IF(C20&gt;9999,"",ROUND(VLOOKUP($B20,Operations!$A$2:$U$79,21,FALSE)*$C20,2)))</f>
        <v>3.04</v>
      </c>
      <c r="K20" s="109">
        <f>IF(C20&gt;9999,"",ROUND(SUM(E20:J20),2))</f>
        <v>11.52</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25.0031</v>
      </c>
      <c r="F33" s="109">
        <f t="shared" ref="F33:K33" si="1">SUM(F12:F31)</f>
        <v>27.837300000000003</v>
      </c>
      <c r="G33" s="109">
        <f t="shared" si="1"/>
        <v>14.7676</v>
      </c>
      <c r="H33" s="109">
        <f t="shared" si="1"/>
        <v>21.519899999999996</v>
      </c>
      <c r="I33" s="109">
        <f t="shared" si="1"/>
        <v>39.165100000000002</v>
      </c>
      <c r="J33" s="109">
        <f t="shared" si="1"/>
        <v>39.394399999999997</v>
      </c>
      <c r="K33" s="109">
        <f t="shared" si="1"/>
        <v>167.69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0.5</v>
      </c>
      <c r="H37" s="176">
        <v>32</v>
      </c>
      <c r="I37" s="120" t="str">
        <f>IF($B37=0,"",VLOOKUP($B37,Table2[],5,FALSE))</f>
        <v>ounce</v>
      </c>
      <c r="J37" s="109">
        <f>IF($B37=0,"",VLOOKUP($B37,Table2[],7,FALSE))</f>
        <v>0.1328125</v>
      </c>
      <c r="K37" s="109">
        <f>IF(B37=0,0,ROUND(G37*H37*J37,2))</f>
        <v>2.13</v>
      </c>
      <c r="L37" s="110"/>
    </row>
    <row r="38" spans="1:12" x14ac:dyDescent="0.2">
      <c r="A38" s="105"/>
      <c r="B38" s="180" t="s">
        <v>229</v>
      </c>
      <c r="C38" s="388" t="str">
        <f>IF(B38=0,"",VLOOKUP($B38,Table2[],2,FALSE))</f>
        <v>Herbicide</v>
      </c>
      <c r="D38" s="388"/>
      <c r="E38" s="388"/>
      <c r="F38" s="174">
        <v>1</v>
      </c>
      <c r="G38" s="175">
        <v>0.5</v>
      </c>
      <c r="H38" s="176">
        <v>1</v>
      </c>
      <c r="I38" s="120" t="str">
        <f>IF($B38=0,"",VLOOKUP($B38,Table2[],5,FALSE))</f>
        <v>pint</v>
      </c>
      <c r="J38" s="109">
        <f>IF($B38=0,"",VLOOKUP($B38,Table2[],7,FALSE))</f>
        <v>2.5</v>
      </c>
      <c r="K38" s="109">
        <f t="shared" ref="K38:K43" si="2">IF(B38=0,0,ROUND(G38*H38*J38,2))</f>
        <v>1.25</v>
      </c>
      <c r="L38" s="110"/>
    </row>
    <row r="39" spans="1:12" x14ac:dyDescent="0.2">
      <c r="A39" s="105"/>
      <c r="B39" s="180" t="s">
        <v>170</v>
      </c>
      <c r="C39" s="388" t="str">
        <f>IF(B39=0,"",VLOOKUP($B39,Table2[],2,FALSE))</f>
        <v>Additive</v>
      </c>
      <c r="D39" s="388"/>
      <c r="E39" s="388"/>
      <c r="F39" s="174">
        <v>1</v>
      </c>
      <c r="G39" s="175">
        <v>0.5</v>
      </c>
      <c r="H39" s="176">
        <v>1.7</v>
      </c>
      <c r="I39" s="120" t="str">
        <f>IF($B39=0,"",VLOOKUP($B39,Table2[],5,FALSE))</f>
        <v>pound</v>
      </c>
      <c r="J39" s="109">
        <f>IF($B39=0,"",VLOOKUP($B39,Table2[],7,FALSE))</f>
        <v>0.4</v>
      </c>
      <c r="K39" s="109">
        <f t="shared" si="2"/>
        <v>0.34</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177</v>
      </c>
      <c r="C41" s="388" t="str">
        <f>IF(B41=0,"",VLOOKUP($B41,Table2[],2,FALSE))</f>
        <v>Additive</v>
      </c>
      <c r="D41" s="388"/>
      <c r="E41" s="388"/>
      <c r="F41" s="174">
        <v>2</v>
      </c>
      <c r="G41" s="175">
        <v>1</v>
      </c>
      <c r="H41" s="302">
        <v>1.6</v>
      </c>
      <c r="I41" s="120" t="str">
        <f>IF($B41=0,"",VLOOKUP($B41,Table2[],5,FALSE))</f>
        <v>pint</v>
      </c>
      <c r="J41" s="109">
        <f>IF($B41=0,"",VLOOKUP($B41,Table2[],7,FALSE))</f>
        <v>1.875</v>
      </c>
      <c r="K41" s="109">
        <f t="shared" si="2"/>
        <v>3</v>
      </c>
      <c r="L41" s="110"/>
    </row>
    <row r="42" spans="1:12" x14ac:dyDescent="0.2">
      <c r="A42" s="105"/>
      <c r="B42" s="180" t="s">
        <v>170</v>
      </c>
      <c r="C42" s="388" t="str">
        <f>IF(B42=0,"",VLOOKUP($B42,Table2[],2,FALSE))</f>
        <v>Additive</v>
      </c>
      <c r="D42" s="388"/>
      <c r="E42" s="388"/>
      <c r="F42" s="174">
        <v>2</v>
      </c>
      <c r="G42" s="175">
        <v>1</v>
      </c>
      <c r="H42" s="302">
        <v>2.5</v>
      </c>
      <c r="I42" s="120" t="str">
        <f>IF($B42=0,"",VLOOKUP($B42,Table2[],5,FALSE))</f>
        <v>pound</v>
      </c>
      <c r="J42" s="109">
        <f>IF($B42=0,"",VLOOKUP($B42,Table2[],7,FALSE))</f>
        <v>0.4</v>
      </c>
      <c r="K42" s="109">
        <f t="shared" si="2"/>
        <v>1</v>
      </c>
      <c r="L42" s="110"/>
    </row>
    <row r="43" spans="1:12" x14ac:dyDescent="0.2">
      <c r="A43" s="105"/>
      <c r="B43" s="180" t="s">
        <v>324</v>
      </c>
      <c r="C43" s="388" t="str">
        <f>IF(B43=0,"",VLOOKUP($B43,Table2[],2,FALSE))</f>
        <v>Seed</v>
      </c>
      <c r="D43" s="388"/>
      <c r="E43" s="388"/>
      <c r="F43" s="174">
        <v>3</v>
      </c>
      <c r="G43" s="175">
        <v>1</v>
      </c>
      <c r="H43" s="300">
        <v>38.200000000000003</v>
      </c>
      <c r="I43" s="120" t="str">
        <f>IF($B43=0,"",VLOOKUP($B43,Table2[],5,FALSE))</f>
        <v>k seed</v>
      </c>
      <c r="J43" s="109">
        <f>IF($B43=0,"",VLOOKUP($B43,Table2[],7,FALSE))</f>
        <v>3.875</v>
      </c>
      <c r="K43" s="109">
        <f t="shared" si="2"/>
        <v>148.03</v>
      </c>
      <c r="L43" s="110"/>
    </row>
    <row r="44" spans="1:12" x14ac:dyDescent="0.2">
      <c r="A44" s="143"/>
      <c r="B44" s="213" t="s">
        <v>201</v>
      </c>
      <c r="C44" s="387" t="str">
        <f>IF(B44=0,"",VLOOKUP($B44,Table2[],2,FALSE))</f>
        <v>Fertilizer</v>
      </c>
      <c r="D44" s="387"/>
      <c r="E44" s="387"/>
      <c r="F44" s="214">
        <v>3</v>
      </c>
      <c r="G44" s="221">
        <v>1</v>
      </c>
      <c r="H44" s="303">
        <v>6</v>
      </c>
      <c r="I44" s="223" t="str">
        <f>IF($B44=0,"",VLOOKUP($B44,Table2[],5,FALSE))</f>
        <v>gallon</v>
      </c>
      <c r="J44" s="215">
        <f>IF($B44=0,"",VLOOKUP($B44,Table2[],7,FALSE))</f>
        <v>3.1</v>
      </c>
      <c r="K44" s="215">
        <f>IF(B44=0,0,ROUND(G44*H44*J44,2))</f>
        <v>18.600000000000001</v>
      </c>
      <c r="L44" s="216"/>
    </row>
    <row r="45" spans="1:12" x14ac:dyDescent="0.2">
      <c r="B45" s="180" t="s">
        <v>209</v>
      </c>
      <c r="C45" s="388" t="str">
        <f>IF(B45=0,"",VLOOKUP($B45,Table2[],2,FALSE))</f>
        <v>Fertilizer</v>
      </c>
      <c r="D45" s="388"/>
      <c r="E45" s="388"/>
      <c r="F45" s="174">
        <v>4</v>
      </c>
      <c r="G45" s="175">
        <v>1</v>
      </c>
      <c r="H45" s="302">
        <v>200</v>
      </c>
      <c r="I45" s="120" t="str">
        <f>IF($B45=0,"",VLOOKUP($B45,Table2[],5,FALSE))</f>
        <v>lbs N</v>
      </c>
      <c r="J45" s="109">
        <f>IF($B45=0,"",VLOOKUP($B45,Table2[],7,FALSE))</f>
        <v>0.5</v>
      </c>
      <c r="K45" s="109">
        <f t="shared" ref="K45:K60" si="3">IF(B45=0,0,ROUND(G45*H45*J45,2))</f>
        <v>100</v>
      </c>
      <c r="L45" s="110"/>
    </row>
    <row r="46" spans="1:12" x14ac:dyDescent="0.2">
      <c r="B46" s="180" t="s">
        <v>291</v>
      </c>
      <c r="C46" s="170"/>
      <c r="D46" s="170" t="s">
        <v>292</v>
      </c>
      <c r="E46" s="170"/>
      <c r="F46" s="174">
        <v>4</v>
      </c>
      <c r="G46" s="175">
        <v>1</v>
      </c>
      <c r="H46" s="302">
        <v>1</v>
      </c>
      <c r="I46" s="120" t="s">
        <v>176</v>
      </c>
      <c r="J46" s="109">
        <f>IF($B46=0,"",VLOOKUP($B46,Table2[],7,FALSE))</f>
        <v>52</v>
      </c>
      <c r="K46" s="109">
        <f t="shared" ref="K46" si="4">IF(B46=0,0,ROUND(G46*H46*J46,2))</f>
        <v>52</v>
      </c>
      <c r="L46" s="110"/>
    </row>
    <row r="47" spans="1:12" x14ac:dyDescent="0.2">
      <c r="B47" s="180" t="s">
        <v>903</v>
      </c>
      <c r="C47" s="388" t="str">
        <f>IF(B47=0,"",VLOOKUP($B47,Table2[],2,FALSE))</f>
        <v>Herbicide</v>
      </c>
      <c r="D47" s="388"/>
      <c r="E47" s="388"/>
      <c r="F47" s="174">
        <v>5</v>
      </c>
      <c r="G47" s="177">
        <v>1</v>
      </c>
      <c r="H47" s="176">
        <v>40</v>
      </c>
      <c r="I47" s="120" t="str">
        <f>IF($B47=0,"",VLOOKUP($B47,Table2[],5,FALSE))</f>
        <v xml:space="preserve">ounce </v>
      </c>
      <c r="J47" s="109">
        <f>IF($B47=0,"",VLOOKUP($B47,Table2[],7,FALSE))</f>
        <v>0.546875</v>
      </c>
      <c r="K47" s="109">
        <f t="shared" si="3"/>
        <v>21.88</v>
      </c>
      <c r="L47" s="110"/>
    </row>
    <row r="48" spans="1:12" x14ac:dyDescent="0.2">
      <c r="B48" s="213" t="s">
        <v>235</v>
      </c>
      <c r="C48" s="387" t="str">
        <f>IF(B48=0,"",VLOOKUP($B48,Table2[],2,FALSE))</f>
        <v>Herbicide</v>
      </c>
      <c r="D48" s="387"/>
      <c r="E48" s="387"/>
      <c r="F48" s="214">
        <v>5</v>
      </c>
      <c r="G48" s="224">
        <v>1</v>
      </c>
      <c r="H48" s="222">
        <v>0.75</v>
      </c>
      <c r="I48" s="223" t="str">
        <f>IF($B48=0,"",VLOOKUP($B48,Table2[],5,FALSE))</f>
        <v>ounce</v>
      </c>
      <c r="J48" s="215">
        <f>IF($B48=0,"",VLOOKUP($B48,Table2[],7,FALSE))</f>
        <v>24</v>
      </c>
      <c r="K48" s="215">
        <f t="shared" ref="K48:K58" si="5">IF(B48=0,0,ROUND(G48*H48*J48,2))</f>
        <v>18</v>
      </c>
      <c r="L48" s="216"/>
    </row>
    <row r="49" spans="1:12" x14ac:dyDescent="0.2">
      <c r="B49" s="180" t="s">
        <v>177</v>
      </c>
      <c r="C49" s="388" t="str">
        <f>IF(B49=0,"",VLOOKUP($B49,Table2[],2,FALSE))</f>
        <v>Additive</v>
      </c>
      <c r="D49" s="388"/>
      <c r="E49" s="388"/>
      <c r="F49" s="174">
        <v>5</v>
      </c>
      <c r="G49" s="175">
        <v>1</v>
      </c>
      <c r="H49" s="176">
        <v>0.5</v>
      </c>
      <c r="I49" s="120" t="str">
        <f>IF($B49=0,"",VLOOKUP($B49,Table2[],5,FALSE))</f>
        <v>pint</v>
      </c>
      <c r="J49" s="109">
        <f>IF($B49=0,"",VLOOKUP($B49,Table2[],7,FALSE))</f>
        <v>1.875</v>
      </c>
      <c r="K49" s="109">
        <f t="shared" si="5"/>
        <v>0.94</v>
      </c>
      <c r="L49" s="110"/>
    </row>
    <row r="50" spans="1:12" x14ac:dyDescent="0.2">
      <c r="A50" s="143"/>
      <c r="B50" s="180" t="s">
        <v>182</v>
      </c>
      <c r="C50" s="388" t="str">
        <f>IF(B50=0,"",VLOOKUP($B50,Table2[],2,FALSE))</f>
        <v>Additive</v>
      </c>
      <c r="D50" s="388"/>
      <c r="E50" s="388"/>
      <c r="F50" s="174">
        <v>5</v>
      </c>
      <c r="G50" s="175">
        <v>1</v>
      </c>
      <c r="H50" s="176">
        <v>3</v>
      </c>
      <c r="I50" s="120" t="str">
        <f>IF($B50=0,"",VLOOKUP($B50,Table2[],5,FALSE))</f>
        <v>pint</v>
      </c>
      <c r="J50" s="109">
        <f>IF($B50=0,"",VLOOKUP($B50,Table2[],7,FALSE))</f>
        <v>0.22500000000000001</v>
      </c>
      <c r="K50" s="109">
        <f t="shared" si="5"/>
        <v>0.68</v>
      </c>
      <c r="L50" s="110"/>
    </row>
    <row r="51" spans="1:12" x14ac:dyDescent="0.2">
      <c r="A51" s="143"/>
      <c r="B51" s="213" t="s">
        <v>200</v>
      </c>
      <c r="C51" s="387" t="str">
        <f>IF(B51=0,"",VLOOKUP($B51,Table2[],2,FALSE))</f>
        <v>Custom</v>
      </c>
      <c r="D51" s="387"/>
      <c r="E51" s="387"/>
      <c r="F51" s="214">
        <v>6</v>
      </c>
      <c r="G51" s="221">
        <v>0.5</v>
      </c>
      <c r="H51" s="222">
        <v>1</v>
      </c>
      <c r="I51" s="223" t="str">
        <f>IF($B51=0,"",VLOOKUP($B51,Table2[],5,FALSE))</f>
        <v>acre</v>
      </c>
      <c r="J51" s="215">
        <f>IF($B51=0,"",VLOOKUP($B51,Table2[],7,FALSE))</f>
        <v>9</v>
      </c>
      <c r="K51" s="215">
        <f t="shared" si="5"/>
        <v>4.5</v>
      </c>
      <c r="L51" s="216"/>
    </row>
    <row r="52" spans="1:12" x14ac:dyDescent="0.2">
      <c r="A52" s="143" t="s">
        <v>638</v>
      </c>
      <c r="B52" s="180" t="s">
        <v>286</v>
      </c>
      <c r="C52" s="388" t="str">
        <f>IF(B52=0,"",VLOOKUP($B52,Table2[],2,FALSE))</f>
        <v>Insecticide</v>
      </c>
      <c r="D52" s="388"/>
      <c r="E52" s="388"/>
      <c r="F52" s="174">
        <v>6</v>
      </c>
      <c r="G52" s="175">
        <v>0.5</v>
      </c>
      <c r="H52" s="176">
        <v>5.12</v>
      </c>
      <c r="I52" s="120" t="str">
        <f>IF($B52=0,"",VLOOKUP($B52,Table2[],5,FALSE))</f>
        <v>ounce</v>
      </c>
      <c r="J52" s="109">
        <f>IF($B52=0,"",VLOOKUP($B52,Table2[],7,FALSE))</f>
        <v>1.015625</v>
      </c>
      <c r="K52" s="109">
        <f t="shared" si="5"/>
        <v>2.6</v>
      </c>
      <c r="L52" s="110"/>
    </row>
    <row r="53" spans="1:12" x14ac:dyDescent="0.2">
      <c r="A53" s="143" t="s">
        <v>638</v>
      </c>
      <c r="B53" s="180" t="s">
        <v>288</v>
      </c>
      <c r="C53" s="388" t="str">
        <f>IF(B53=0,"",VLOOKUP($B53,Table2[],2,FALSE))</f>
        <v>Insecticide</v>
      </c>
      <c r="D53" s="388"/>
      <c r="E53" s="388"/>
      <c r="F53" s="174">
        <v>6</v>
      </c>
      <c r="G53" s="175">
        <v>0.5</v>
      </c>
      <c r="H53" s="176">
        <v>3</v>
      </c>
      <c r="I53" s="120" t="str">
        <f>IF($B53=0,"",VLOOKUP($B53,Table2[],5,FALSE))</f>
        <v>ounce</v>
      </c>
      <c r="J53" s="109">
        <f>IF($B53=0,"",VLOOKUP($B53,Table2[],7,FALSE))</f>
        <v>1.25</v>
      </c>
      <c r="K53" s="109">
        <f t="shared" si="5"/>
        <v>1.88</v>
      </c>
      <c r="L53" s="110"/>
    </row>
    <row r="54" spans="1:12" x14ac:dyDescent="0.2">
      <c r="B54" s="180" t="s">
        <v>200</v>
      </c>
      <c r="C54" s="388" t="str">
        <f>IF(B54=0,"",VLOOKUP($B54,Table2[],2,FALSE))</f>
        <v>Custom</v>
      </c>
      <c r="D54" s="388"/>
      <c r="E54" s="388"/>
      <c r="F54" s="174">
        <v>7</v>
      </c>
      <c r="G54" s="175">
        <v>0.6</v>
      </c>
      <c r="H54" s="176">
        <v>1</v>
      </c>
      <c r="I54" s="120" t="str">
        <f>IF($B54=0,"",VLOOKUP($B54,Table2[],5,FALSE))</f>
        <v>acre</v>
      </c>
      <c r="J54" s="109">
        <f>IF($B54=0,"",VLOOKUP($B54,Table2[],7,FALSE))</f>
        <v>9</v>
      </c>
      <c r="K54" s="109">
        <f t="shared" si="5"/>
        <v>5.4</v>
      </c>
      <c r="L54" s="110"/>
    </row>
    <row r="55" spans="1:12" x14ac:dyDescent="0.2">
      <c r="B55" s="213" t="s">
        <v>217</v>
      </c>
      <c r="C55" s="387" t="str">
        <f>IF(B55=0,"",VLOOKUP($B55,Table2[],2,FALSE))</f>
        <v>Fungicide</v>
      </c>
      <c r="D55" s="387"/>
      <c r="E55" s="387"/>
      <c r="F55" s="214">
        <v>7</v>
      </c>
      <c r="G55" s="221">
        <v>0.6</v>
      </c>
      <c r="H55" s="222">
        <v>13.7</v>
      </c>
      <c r="I55" s="223" t="str">
        <f>IF($B55=0,"",VLOOKUP($B55,Table2[],5,FALSE))</f>
        <v>ounce</v>
      </c>
      <c r="J55" s="215">
        <f>IF($B55=0,"",VLOOKUP($B55,Table2[],7,FALSE))</f>
        <v>2.03125</v>
      </c>
      <c r="K55" s="215">
        <f t="shared" si="5"/>
        <v>16.7</v>
      </c>
      <c r="L55" s="216"/>
    </row>
    <row r="56" spans="1:12" x14ac:dyDescent="0.2">
      <c r="B56" s="180" t="s">
        <v>198</v>
      </c>
      <c r="C56" s="388" t="str">
        <f>IF(B56=0,"",VLOOKUP($B56,Table2[],2,FALSE))</f>
        <v>Custom</v>
      </c>
      <c r="D56" s="388"/>
      <c r="E56" s="388"/>
      <c r="F56" s="174">
        <v>10</v>
      </c>
      <c r="G56" s="175">
        <v>1</v>
      </c>
      <c r="H56" s="143">
        <f>$G$4</f>
        <v>275</v>
      </c>
      <c r="I56" s="120" t="str">
        <f>IF($B56=0,"",VLOOKUP($B56,Table2[],5,FALSE))</f>
        <v>bushel</v>
      </c>
      <c r="J56" s="109">
        <f>IF($B56=0,"",VLOOKUP($B56,Table2[],7,FALSE))</f>
        <v>0.15</v>
      </c>
      <c r="K56" s="109">
        <f t="shared" si="5"/>
        <v>41.25</v>
      </c>
      <c r="L56" s="113"/>
    </row>
    <row r="57" spans="1:12" x14ac:dyDescent="0.2">
      <c r="B57" s="180" t="s">
        <v>190</v>
      </c>
      <c r="C57" s="388" t="str">
        <f>IF(B57=0,"",VLOOKUP($B57,Table2[],2,FALSE))</f>
        <v>Custom</v>
      </c>
      <c r="D57" s="388"/>
      <c r="E57" s="388"/>
      <c r="F57" s="174">
        <v>11</v>
      </c>
      <c r="G57" s="175">
        <v>0.2</v>
      </c>
      <c r="H57" s="143">
        <f>$G$4</f>
        <v>275</v>
      </c>
      <c r="I57" s="120" t="str">
        <f>IF($B57=0,"",VLOOKUP($B57,Table2[],5,FALSE))</f>
        <v>bushel</v>
      </c>
      <c r="J57" s="109">
        <f>IF($B57=0,"",VLOOKUP($B57,Table2[],7,FALSE))</f>
        <v>0.1</v>
      </c>
      <c r="K57" s="109">
        <f t="shared" si="5"/>
        <v>5.5</v>
      </c>
      <c r="L57" s="113"/>
    </row>
    <row r="58" spans="1:12" x14ac:dyDescent="0.2">
      <c r="B58" s="180" t="s">
        <v>313</v>
      </c>
      <c r="C58" s="388" t="str">
        <f>IF(B58=0,"",VLOOKUP($B58,Table2[],2,FALSE))</f>
        <v>Scouting</v>
      </c>
      <c r="D58" s="388"/>
      <c r="E58" s="388"/>
      <c r="F58" s="174"/>
      <c r="G58" s="175">
        <v>1</v>
      </c>
      <c r="H58" s="176">
        <v>1</v>
      </c>
      <c r="I58" s="120" t="str">
        <f>IF($B58=0,"",VLOOKUP($B58,Table2[],5,FALSE))</f>
        <v>acre</v>
      </c>
      <c r="J58" s="109">
        <f>IF($B58=0,"",VLOOKUP($B58,Table2[],7,FALSE))</f>
        <v>13</v>
      </c>
      <c r="K58" s="109">
        <f t="shared" si="5"/>
        <v>13</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3"/>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 t="shared" si="3"/>
        <v>0</v>
      </c>
      <c r="L60" s="227"/>
    </row>
    <row r="61" spans="1:12" x14ac:dyDescent="0.2">
      <c r="B61" s="185" t="s">
        <v>430</v>
      </c>
      <c r="C61" s="388" t="s">
        <v>655</v>
      </c>
      <c r="D61" s="388"/>
      <c r="E61" s="388"/>
      <c r="F61" s="112"/>
      <c r="G61" s="177"/>
      <c r="H61" s="178"/>
      <c r="I61" s="170"/>
      <c r="J61" s="109">
        <f ca="1">IF(F5=0,E5,F5)</f>
        <v>4</v>
      </c>
      <c r="K61" s="109">
        <f ca="1">IF(B61=0,0,J61)</f>
        <v>4</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E63" s="161"/>
      <c r="F63" s="105"/>
      <c r="J63" s="126"/>
      <c r="K63" s="127">
        <f ca="1">SUM(K37:K61)</f>
        <v>515.80999999999995</v>
      </c>
      <c r="L63" s="110"/>
    </row>
    <row r="64" spans="1:12" x14ac:dyDescent="0.2">
      <c r="B64" s="144" t="s">
        <v>715</v>
      </c>
      <c r="K64" s="127"/>
    </row>
    <row r="65" spans="2:12" x14ac:dyDescent="0.2">
      <c r="B65" s="107" t="s">
        <v>672</v>
      </c>
      <c r="K65" s="127">
        <f ca="1">K33+K63</f>
        <v>683.5</v>
      </c>
      <c r="L65" s="110"/>
    </row>
    <row r="66" spans="2:12" ht="13.5" thickBot="1" x14ac:dyDescent="0.25">
      <c r="D66" s="128" t="s">
        <v>673</v>
      </c>
      <c r="E66" s="129">
        <f ca="1">ROUND(SUM($E$33:$H$33)+$K$63,2)</f>
        <v>604.94000000000005</v>
      </c>
      <c r="F66" s="388" t="s">
        <v>674</v>
      </c>
      <c r="G66" s="388"/>
      <c r="H66" s="130">
        <f>'General Variables'!$B$11</f>
        <v>7.4999999999999997E-2</v>
      </c>
      <c r="I66" s="131" t="str">
        <f>CONCATENATE("for ",TEXT('General Variables'!$B$12,"0.0")," mo.")</f>
        <v>for 6.0 mo.</v>
      </c>
      <c r="K66" s="132">
        <f ca="1">E66*H66*'General Variables'!$B$12/12</f>
        <v>22.68525</v>
      </c>
      <c r="L66" s="133"/>
    </row>
    <row r="67" spans="2:12" ht="13.5" thickTop="1" x14ac:dyDescent="0.2">
      <c r="B67" s="107" t="s">
        <v>675</v>
      </c>
      <c r="K67" s="127">
        <f ca="1">SUM(K65:K66)</f>
        <v>706.18525</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40</v>
      </c>
      <c r="D70" s="399"/>
      <c r="E70" s="400"/>
      <c r="F70" s="136">
        <f>IF(C70=0,0,VLOOKUP(C70,RETable,2,FALSE))</f>
        <v>9115</v>
      </c>
      <c r="G70" s="388" t="s">
        <v>678</v>
      </c>
      <c r="H70" s="388"/>
      <c r="I70" s="130">
        <f>'General Variables'!$B$10</f>
        <v>0.03</v>
      </c>
      <c r="K70" s="137">
        <f>ROUND(F70*I70,2)</f>
        <v>273.45</v>
      </c>
      <c r="L70" s="110"/>
    </row>
    <row r="71" spans="2:12" ht="13.5" thickBot="1" x14ac:dyDescent="0.25">
      <c r="B71" s="103" t="s">
        <v>679</v>
      </c>
      <c r="F71" s="138">
        <f>IF(C70=0,0,VLOOKUP(C70,RETable,2,FALSE))</f>
        <v>9115</v>
      </c>
      <c r="G71" s="397" t="s">
        <v>678</v>
      </c>
      <c r="H71" s="397"/>
      <c r="I71" s="139">
        <f>'General Variables'!$B$13</f>
        <v>1.2999999999999999E-2</v>
      </c>
      <c r="J71" s="105"/>
      <c r="K71" s="140">
        <f>ROUND(F71*I71,2)</f>
        <v>118.5</v>
      </c>
      <c r="L71" s="133"/>
    </row>
    <row r="72" spans="2:12" ht="13.5" thickTop="1" x14ac:dyDescent="0.2">
      <c r="B72" s="107" t="s">
        <v>680</v>
      </c>
      <c r="K72" s="127">
        <f ca="1">SUM(K67:K71)</f>
        <v>1133.13525</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2.8404554545454546</v>
      </c>
      <c r="L74" s="148"/>
    </row>
    <row r="75" spans="2:12" x14ac:dyDescent="0.2">
      <c r="B75" s="107" t="str">
        <f>IF(G4="","","Cost of production per "&amp;H4)</f>
        <v>Cost of production per bushel</v>
      </c>
      <c r="K75" s="141">
        <f ca="1">IF(G4="","",K72/G4)</f>
        <v>4.1204918181818186</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7">
    <mergeCell ref="C61:E61"/>
    <mergeCell ref="F66:G66"/>
    <mergeCell ref="C70:E70"/>
    <mergeCell ref="G70:H70"/>
    <mergeCell ref="G71:H71"/>
    <mergeCell ref="C39:E39"/>
    <mergeCell ref="C40:E40"/>
    <mergeCell ref="C41:E41"/>
    <mergeCell ref="C60:E60"/>
    <mergeCell ref="C49:E49"/>
    <mergeCell ref="C50:E50"/>
    <mergeCell ref="C51:E51"/>
    <mergeCell ref="C52:E52"/>
    <mergeCell ref="C53:E53"/>
    <mergeCell ref="C54:E54"/>
    <mergeCell ref="C55:E55"/>
    <mergeCell ref="C56:E56"/>
    <mergeCell ref="C57:E57"/>
    <mergeCell ref="C58:E58"/>
    <mergeCell ref="C59:E59"/>
    <mergeCell ref="C48:E48"/>
    <mergeCell ref="K10:K11"/>
    <mergeCell ref="L10:L11"/>
    <mergeCell ref="F35:F36"/>
    <mergeCell ref="G35:G36"/>
    <mergeCell ref="H35:I35"/>
    <mergeCell ref="J35:J36"/>
    <mergeCell ref="L35:L36"/>
    <mergeCell ref="I10:J10"/>
    <mergeCell ref="F10:F11"/>
    <mergeCell ref="G10:H10"/>
    <mergeCell ref="C42:E42"/>
    <mergeCell ref="C43:E43"/>
    <mergeCell ref="C44:E44"/>
    <mergeCell ref="C45:E45"/>
    <mergeCell ref="C47:E47"/>
    <mergeCell ref="C37:E37"/>
    <mergeCell ref="C38:E38"/>
    <mergeCell ref="B10:B11"/>
    <mergeCell ref="C10:C11"/>
    <mergeCell ref="E10:E11"/>
    <mergeCell ref="B7:L7"/>
    <mergeCell ref="G2:H2"/>
    <mergeCell ref="K2:L2"/>
    <mergeCell ref="C3:E3"/>
    <mergeCell ref="C4:E4"/>
    <mergeCell ref="A6:M6"/>
  </mergeCells>
  <dataValidations count="9">
    <dataValidation type="list" allowBlank="1" showInputMessage="1" showErrorMessage="1" sqref="C3" xr:uid="{00000000-0002-0000-2800-000000000000}">
      <formula1>TillageSystem</formula1>
    </dataValidation>
    <dataValidation type="list" allowBlank="1" showInputMessage="1" showErrorMessage="1" sqref="K2" xr:uid="{00000000-0002-0000-2800-000001000000}">
      <formula1>watersource</formula1>
    </dataValidation>
    <dataValidation type="list" allowBlank="1" showInputMessage="1" showErrorMessage="1" sqref="D12:D32" xr:uid="{00000000-0002-0000-2800-000002000000}">
      <formula1>#REF!</formula1>
    </dataValidation>
    <dataValidation type="list" allowBlank="1" showInputMessage="1" showErrorMessage="1" sqref="B12:B31" xr:uid="{00000000-0002-0000-2800-000003000000}">
      <formula1>OperationList</formula1>
    </dataValidation>
    <dataValidation type="list" allowBlank="1" showInputMessage="1" showErrorMessage="1" sqref="C70:E70" xr:uid="{00000000-0002-0000-2800-000004000000}">
      <formula1>RealEstateList</formula1>
    </dataValidation>
    <dataValidation type="list" allowBlank="1" showInputMessage="1" showErrorMessage="1" sqref="K4" xr:uid="{00000000-0002-0000-2800-000006000000}">
      <formula1>$K$111:$K$113</formula1>
    </dataValidation>
    <dataValidation type="list" showInputMessage="1" showErrorMessage="1" sqref="B62" xr:uid="{00000000-0002-0000-2800-000007000000}">
      <formula1>$C$111:$C$234</formula1>
    </dataValidation>
    <dataValidation type="list" allowBlank="1" showInputMessage="1" showErrorMessage="1" sqref="B32" xr:uid="{00000000-0002-0000-2800-000008000000}">
      <formula1>$B$111:$B$208</formula1>
    </dataValidation>
    <dataValidation type="list" allowBlank="1" showInputMessage="1" showErrorMessage="1" sqref="B37:B60" xr:uid="{00000000-0002-0000-2800-000005000000}">
      <formula1>MaterialList</formula1>
    </dataValidation>
  </dataValidations>
  <pageMargins left="0.7" right="0.7" top="0.75" bottom="0.75" header="0.3" footer="0.3"/>
  <pageSetup scale="70" orientation="portrait" r:id="rId1"/>
  <ignoredErrors>
    <ignoredError sqref="C20"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5">
    <pageSetUpPr fitToPage="1"/>
  </sheetPr>
  <dimension ref="A2:M256"/>
  <sheetViews>
    <sheetView zoomScaleNormal="100" workbookViewId="0">
      <selection activeCell="C20" sqref="C2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727</v>
      </c>
      <c r="H2" s="392"/>
      <c r="J2" s="128" t="s">
        <v>649</v>
      </c>
      <c r="K2" s="401" t="s">
        <v>69</v>
      </c>
      <c r="L2" s="401"/>
    </row>
    <row r="3" spans="1:13" hidden="1" x14ac:dyDescent="0.2">
      <c r="B3" s="103" t="s">
        <v>38</v>
      </c>
      <c r="C3" s="391" t="s">
        <v>43</v>
      </c>
      <c r="D3" s="391"/>
      <c r="E3" s="391"/>
      <c r="G3" s="128" t="s">
        <v>650</v>
      </c>
      <c r="H3" s="187" t="s">
        <v>735</v>
      </c>
      <c r="J3" s="128" t="s">
        <v>651</v>
      </c>
      <c r="K3" s="187">
        <v>13</v>
      </c>
    </row>
    <row r="4" spans="1:13" hidden="1" x14ac:dyDescent="0.2">
      <c r="B4" s="103" t="s">
        <v>652</v>
      </c>
      <c r="C4" s="392" t="s">
        <v>62</v>
      </c>
      <c r="D4" s="392"/>
      <c r="E4" s="392"/>
      <c r="G4" s="103">
        <f>IFERROR(VALUE(LEFT($H$3,FIND(" ",$H$3))),"")</f>
        <v>235</v>
      </c>
      <c r="H4" s="103" t="str">
        <f>IFERROR(RIGHT(H3,LEN(H3)-LEN(G4)-1),"")</f>
        <v>bushel</v>
      </c>
      <c r="J4" s="128" t="s">
        <v>653</v>
      </c>
      <c r="K4" s="188" t="s">
        <v>654</v>
      </c>
    </row>
    <row r="5" spans="1:13" ht="15.75" hidden="1" customHeight="1" x14ac:dyDescent="0.2">
      <c r="B5" s="103" t="s">
        <v>655</v>
      </c>
      <c r="C5" s="103" t="str">
        <f ca="1">MID(CELL("filename",C5),FIND("]",CELL("filename",C5))+1,255)</f>
        <v>36-Corn</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36-Corn, Bt, ECB, RW, &amp; RIB, Conventional Tillage, Continuous, 235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36-Corn, Bt, ECB, RW, &amp; RIB, Conventional Tillage, Continuous, 235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13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545</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1.02</v>
      </c>
      <c r="G16" s="109">
        <f>IF(B16=0,0,IF(C16&gt;9999,"",ROUND(VLOOKUP(VLOOKUP(B16,Operations!$A$2:$U$79,11,FALSE),PowerUnits[],10,FALSE)/VLOOKUP(B16,Operations!$A$2:$U$79,9,FALSE)*C16,2)))</f>
        <v>0.08</v>
      </c>
      <c r="H16" s="109">
        <f>IF(B16=0,"",IF(C16&gt;9999,"",ROUND(VLOOKUP($B16,Operations!$A$2:$U$79,15,FALSE)*C16,2)))</f>
        <v>1.4</v>
      </c>
      <c r="I16" s="109">
        <f>IF(B16=0,0,IF(C16&gt;9999,"",ROUND(VLOOKUP(VLOOKUP(B16,Operations!$A$2:$U$79,11,FALSE),PowerUnits[],16,FALSE)/VLOOKUP(B16,Operations!$A$2:$U$79,9,FALSE)*C16,2)))</f>
        <v>3.93</v>
      </c>
      <c r="J16" s="109">
        <f>IF(B16=0,"",IF(C16&gt;9999,"",ROUND(VLOOKUP($B16,Operations!$A$2:$U$79,21,FALSE)*$C16,2)))</f>
        <v>3.2</v>
      </c>
      <c r="K16" s="109">
        <f t="shared" si="0"/>
        <v>12.33</v>
      </c>
      <c r="L16" s="110"/>
    </row>
    <row r="17" spans="1:12" x14ac:dyDescent="0.2">
      <c r="A17" s="170">
        <v>6</v>
      </c>
      <c r="B17" s="180" t="s">
        <v>545</v>
      </c>
      <c r="C17" s="174">
        <v>0.25</v>
      </c>
      <c r="D17" s="174"/>
      <c r="E17" s="109">
        <f>IF(B17=0,"",IF(C17&gt;9999,"",ROUND('General Variables'!$B$4*VLOOKUP(B17,Operations!$A$2:$U$79,10,FALSE)/VLOOKUP(B17,Operations!$A$2:$U$79,9,FALSE)*C17,2)))</f>
        <v>0.68</v>
      </c>
      <c r="F17" s="109">
        <f>IF(B17=0,0,IF(C17&gt;9999,"",ROUND(IF(VLOOKUP(B17,Operations!$A$2:$U$79,12,FALSE)=0,VLOOKUP(B17,Operations!$A$2:$U$79,13,FALSE)*'General Variables'!$B$8,VLOOKUP(B17,Operations!$A$2:$U$79,12,FALSE)*'General Variables'!$B$7)/VLOOKUP(B17,Operations!$A$2:$U$79,9,FALSE)*C17,2)))</f>
        <v>0.25</v>
      </c>
      <c r="G17" s="109">
        <f>IF(B17=0,0,IF(C17&gt;9999,"",ROUND(VLOOKUP(VLOOKUP(B17,Operations!$A$2:$U$79,11,FALSE),PowerUnits[],10,FALSE)/VLOOKUP(B17,Operations!$A$2:$U$79,9,FALSE)*C17,2)))</f>
        <v>0.02</v>
      </c>
      <c r="H17" s="109">
        <f>IF(B17=0,"",IF(C17&gt;9999,"",ROUND(VLOOKUP($B17,Operations!$A$2:$U$79,15,FALSE)*C17,2)))</f>
        <v>0.35</v>
      </c>
      <c r="I17" s="109">
        <f>IF(B17=0,0,IF(C17&gt;9999,"",ROUND(VLOOKUP(VLOOKUP(B17,Operations!$A$2:$U$79,11,FALSE),PowerUnits[],16,FALSE)/VLOOKUP(B17,Operations!$A$2:$U$79,9,FALSE)*C17,2)))</f>
        <v>0.98</v>
      </c>
      <c r="J17" s="109">
        <f>IF(B17=0,"",IF(C17&gt;9999,"",ROUND(VLOOKUP($B17,Operations!$A$2:$U$79,21,FALSE)*$C17,2)))</f>
        <v>0.8</v>
      </c>
      <c r="K17" s="109">
        <f t="shared" si="0"/>
        <v>3.08</v>
      </c>
      <c r="L17" s="110"/>
    </row>
    <row r="18" spans="1:12" x14ac:dyDescent="0.2">
      <c r="A18" s="170">
        <v>7</v>
      </c>
      <c r="B18" s="180" t="s">
        <v>552</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890</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523</v>
      </c>
      <c r="C20" s="174">
        <f>$K$3</f>
        <v>13</v>
      </c>
      <c r="D20" s="112" t="s">
        <v>693</v>
      </c>
      <c r="E20" s="109">
        <f>IF(B20=0,"",IF(C20&gt;9999,"",ROUND('General Variables'!$B$4*VLOOKUP(B20,Operations!$A$2:$U$79,10,FALSE)/VLOOKUP(B20,Operations!$A$2:$U$79,9,FALSE)*C20,2)))</f>
        <v>16.25</v>
      </c>
      <c r="F20" s="109">
        <f>IF(B20=0,0,IF(C20&gt;9999,"",ROUND(IF(VLOOKUP(B20,Operations!$A$2:$U$79,12,FALSE)=0,VLOOKUP(B20,Operations!$A$2:$U$79,13,FALSE)*'General Variables'!$B$8,VLOOKUP(B20,Operations!$A$2:$U$79,12,FALSE)*'General Variables'!$B$7)/VLOOKUP(B20,Operations!$A$2:$U$79,9,FALSE)*C20,2)))</f>
        <v>77.12</v>
      </c>
      <c r="G20" s="109">
        <f>IF(B20=0,0,IF(C20&gt;9999,"",ROUND(VLOOKUP(VLOOKUP(B20,Operations!$A$2:$U$79,11,FALSE),PowerUnits[],10,FALSE)/VLOOKUP(B20,Operations!$A$2:$U$79,9,FALSE)*C20,2)))</f>
        <v>7.08</v>
      </c>
      <c r="H20" s="109">
        <v>8</v>
      </c>
      <c r="I20" s="109">
        <f>IF(B20=0,0,IF(C20&gt;9999,"",ROUND(VLOOKUP(VLOOKUP(B20,Operations!$A$2:$U$79,11,FALSE),PowerUnits[],16,FALSE)/VLOOKUP(B20,Operations!$A$2:$U$79,9,FALSE)*C20,2)))</f>
        <v>13.44</v>
      </c>
      <c r="J20" s="109">
        <f>IF(B20=0,"",IF(C20&gt;9999,"",ROUND(VLOOKUP($B20,Operations!$A$2:$U$79,21,FALSE)*$C20,2)))</f>
        <v>20.57</v>
      </c>
      <c r="K20" s="109">
        <f>IF(C20&gt;9999,"",ROUND(SUM(E20:J20),2))</f>
        <v>142.46</v>
      </c>
      <c r="L20" s="110"/>
    </row>
    <row r="21" spans="1:12" x14ac:dyDescent="0.2">
      <c r="A21" s="170">
        <v>10</v>
      </c>
      <c r="B21" s="180" t="s">
        <v>944</v>
      </c>
      <c r="C21" s="174">
        <v>220</v>
      </c>
      <c r="D21" s="112"/>
      <c r="E21" s="109">
        <f>IF(B21=0,"",IF(C21&gt;9999,"",ROUND('General Variables'!$B$4*VLOOKUP(B21,Operations!$A$2:$U$79,10,FALSE)/VLOOKUP(B21,Operations!$A$2:$U$79,9,FALSE)*C21,2))/100)</f>
        <v>5.269400000000001</v>
      </c>
      <c r="F21" s="109">
        <f>IF(B21=0,0,IF(C21&gt;9999,"",ROUND(IF(VLOOKUP(B21,Operations!$A$2:$U$79,12,FALSE)=0,VLOOKUP(B21,Operations!$A$2:$U$79,13,FALSE)*'General Variables'!$B$8,VLOOKUP(B21,Operations!$A$2:$U$79,12,FALSE)*'General Variables'!$B$7)/VLOOKUP(B21,Operations!$A$2:$U$79,9,FALSE)*C21,2))/100)</f>
        <v>5.9557000000000002</v>
      </c>
      <c r="G21" s="109">
        <f>IF(B21=0,0,IF(C21&gt;9999,"",ROUND(VLOOKUP(VLOOKUP(B21,Operations!$A$2:$U$79,11,FALSE),PowerUnits[],10,FALSE)/VLOOKUP(B21,Operations!$A$2:$U$79,9,FALSE)*C21,2))/100)</f>
        <v>9.1562999999999999</v>
      </c>
      <c r="H21" s="109">
        <f>IF(B21=0,"",IF(C21&gt;9999,"",ROUND(VLOOKUP($B21,Operations!$A$2:$U$79,15,FALSE)*C21,2))/100)</f>
        <v>2.3637000000000001</v>
      </c>
      <c r="I21" s="109">
        <f>IF(B21=0,0,IF(C21&gt;9999,"",ROUND(VLOOKUP(VLOOKUP(B21,Operations!$A$2:$U$79,11,FALSE),PowerUnits[],16,FALSE)/VLOOKUP(B21,Operations!$A$2:$U$79,9,FALSE)*C21,2))/100)</f>
        <v>22.050700000000003</v>
      </c>
      <c r="J21" s="109">
        <f>IF(B21=0,"",IF(C21&gt;9999,"",ROUND(VLOOKUP($B21,Operations!$A$2:$U$79,21,FALSE)*$C21,2))/100)</f>
        <v>9.8083000000000009</v>
      </c>
      <c r="K21" s="109">
        <f>IF(C21&gt;9999,"",ROUND(SUM(E21:J21),2))</f>
        <v>54.6</v>
      </c>
      <c r="L21" s="110"/>
    </row>
    <row r="22" spans="1:12" x14ac:dyDescent="0.2">
      <c r="A22" s="170">
        <v>11</v>
      </c>
      <c r="B22" s="180" t="s">
        <v>414</v>
      </c>
      <c r="C22" s="174">
        <f>$G$4</f>
        <v>235</v>
      </c>
      <c r="D22" s="112" t="s">
        <v>706</v>
      </c>
      <c r="E22" s="159">
        <f>IF(B22=0,"",ROUND('General Variables'!$B$4*VLOOKUP(B22,Operations!$A$2:$U$79,10,FALSE)/VLOOKUP(B22,Operations!$A$2:$U$79,9,FALSE)*LEFT(C22,3),2))</f>
        <v>2.12</v>
      </c>
      <c r="F22" s="159">
        <f>IF(B22=0,0,ROUND(IF(VLOOKUP(B22,Operations!$A$2:$U$79,12,FALSE)=0,VLOOKUP(B22,Operations!$A$2:$U$79,13,FALSE)*'General Variables'!$B$8,VLOOKUP(B22,Operations!$A$2:$U$79,12,FALSE)*'General Variables'!$B$7)/VLOOKUP(B22,Operations!$A$2:$U$79,9,FALSE)*LEFT(C22,3),2))</f>
        <v>0.68</v>
      </c>
      <c r="G22" s="159">
        <f>IF(B22=0,0,ROUND(VLOOKUP(VLOOKUP(B22,Operations!$A$2:$U$79,11,FALSE),PowerUnits[],10,FALSE)/VLOOKUP(B22,Operations!$A$2:$U$79,9,FALSE)*LEFT(C22,3),2))</f>
        <v>0.06</v>
      </c>
      <c r="H22" s="159">
        <f>IF(B22=0,"",ROUND(VLOOKUP($B22,Operations!$A$2:$U$79,15,FALSE)*LEFT(C22,3),2))</f>
        <v>1.3</v>
      </c>
      <c r="I22" s="159">
        <f>IF(B22=0,0,ROUND(VLOOKUP(VLOOKUP(B22,Operations!$A$2:$U$79,11,FALSE),PowerUnits[],16,FALSE)/VLOOKUP(B22,Operations!$A$2:$U$79,9,FALSE)*LEFT(C22,3),2))</f>
        <v>3.08</v>
      </c>
      <c r="J22" s="159">
        <f>IF(B22=0,"",ROUND(VLOOKUP($B22,Operations!$A$2:$U$79,21,FALSE)*LEFT(C22,3),2))</f>
        <v>2.59</v>
      </c>
      <c r="K22" s="159">
        <f>SUM(E22:J22)</f>
        <v>9.83</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x14ac:dyDescent="0.2">
      <c r="A24" s="170">
        <v>13</v>
      </c>
      <c r="B24" s="180" t="s">
        <v>496</v>
      </c>
      <c r="C24" s="174" t="s">
        <v>184</v>
      </c>
      <c r="D24" s="112"/>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110"/>
    </row>
    <row r="25" spans="1:12" hidden="1" x14ac:dyDescent="0.2">
      <c r="A25" s="170">
        <v>14</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80"/>
      <c r="C26" s="174"/>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35.979399999999998</v>
      </c>
      <c r="F33" s="109">
        <f t="shared" ref="F33:K33" si="1">SUM(F12:F31)</f>
        <v>90.335700000000003</v>
      </c>
      <c r="G33" s="109">
        <f t="shared" si="1"/>
        <v>17.046299999999999</v>
      </c>
      <c r="H33" s="109">
        <f t="shared" si="1"/>
        <v>25.313700000000001</v>
      </c>
      <c r="I33" s="109">
        <f t="shared" si="1"/>
        <v>63.730699999999999</v>
      </c>
      <c r="J33" s="109">
        <f t="shared" si="1"/>
        <v>50.48830000000001</v>
      </c>
      <c r="K33" s="109">
        <f t="shared" si="1"/>
        <v>282.89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241</v>
      </c>
      <c r="C37" s="388" t="str">
        <f>IF(B37=0,"",VLOOKUP($B37,Table2[],2,FALSE))</f>
        <v>Herbicide</v>
      </c>
      <c r="D37" s="388"/>
      <c r="E37" s="388"/>
      <c r="F37" s="174">
        <v>3</v>
      </c>
      <c r="G37" s="175">
        <v>1</v>
      </c>
      <c r="H37" s="176">
        <v>4</v>
      </c>
      <c r="I37" s="120" t="str">
        <f>IF($B37=0,"",VLOOKUP($B37,Table2[],5,FALSE))</f>
        <v>ounce</v>
      </c>
      <c r="J37" s="109">
        <f>IF($B37=0,"",VLOOKUP($B37,Table2[],7,FALSE))</f>
        <v>6.5</v>
      </c>
      <c r="K37" s="109">
        <f>IF(B37=0,0,ROUND(G37*H37*J37,2))</f>
        <v>26</v>
      </c>
      <c r="L37" s="110"/>
    </row>
    <row r="38" spans="1:12" x14ac:dyDescent="0.2">
      <c r="A38" s="105"/>
      <c r="B38" s="180" t="s">
        <v>244</v>
      </c>
      <c r="C38" s="388" t="str">
        <f>IF(B38=0,"",VLOOKUP($B38,Table2[],2,FALSE))</f>
        <v>Herbicide</v>
      </c>
      <c r="D38" s="388"/>
      <c r="E38" s="388"/>
      <c r="F38" s="174">
        <v>3</v>
      </c>
      <c r="G38" s="175">
        <v>1</v>
      </c>
      <c r="H38" s="176">
        <v>2.1</v>
      </c>
      <c r="I38" s="120" t="str">
        <f>IF($B38=0,"",VLOOKUP($B38,Table2[],5,FALSE))</f>
        <v>quart</v>
      </c>
      <c r="J38" s="109">
        <f>IF($B38=0,"",VLOOKUP($B38,Table2[],7,FALSE))</f>
        <v>13.25</v>
      </c>
      <c r="K38" s="109">
        <f t="shared" ref="K38:K55" si="2">IF(B38=0,0,ROUND(G38*H38*J38,2))</f>
        <v>27.83</v>
      </c>
      <c r="L38" s="110"/>
    </row>
    <row r="39" spans="1:12" x14ac:dyDescent="0.2">
      <c r="A39" s="105"/>
      <c r="B39" s="180" t="s">
        <v>325</v>
      </c>
      <c r="C39" s="388" t="str">
        <f>IF(B39=0,"",VLOOKUP($B39,Table2[],2,FALSE))</f>
        <v>Seed</v>
      </c>
      <c r="D39" s="388"/>
      <c r="E39" s="388"/>
      <c r="F39" s="174">
        <v>4</v>
      </c>
      <c r="G39" s="175">
        <v>1</v>
      </c>
      <c r="H39" s="300">
        <v>32.6</v>
      </c>
      <c r="I39" s="120" t="str">
        <f>IF($B39=0,"",VLOOKUP($B39,Table2[],5,FALSE))</f>
        <v>k seed</v>
      </c>
      <c r="J39" s="109">
        <f>IF($B39=0,"",VLOOKUP($B39,Table2[],7,FALSE))</f>
        <v>4.25</v>
      </c>
      <c r="K39" s="109">
        <f t="shared" si="2"/>
        <v>138.55000000000001</v>
      </c>
      <c r="L39" s="110"/>
    </row>
    <row r="40" spans="1:12" x14ac:dyDescent="0.2">
      <c r="A40" s="105"/>
      <c r="B40" s="213" t="s">
        <v>201</v>
      </c>
      <c r="C40" s="387" t="str">
        <f>IF(B40=0,"",VLOOKUP($B40,Table2[],2,FALSE))</f>
        <v>Fertilizer</v>
      </c>
      <c r="D40" s="387"/>
      <c r="E40" s="387"/>
      <c r="F40" s="214">
        <v>4</v>
      </c>
      <c r="G40" s="221">
        <v>1</v>
      </c>
      <c r="H40" s="222">
        <v>6</v>
      </c>
      <c r="I40" s="223" t="str">
        <f>IF($B40=0,"",VLOOKUP($B40,Table2[],5,FALSE))</f>
        <v>gallon</v>
      </c>
      <c r="J40" s="215">
        <f>IF($B40=0,"",VLOOKUP($B40,Table2[],7,FALSE))</f>
        <v>3.1</v>
      </c>
      <c r="K40" s="215">
        <f t="shared" si="2"/>
        <v>18.600000000000001</v>
      </c>
      <c r="L40" s="216"/>
    </row>
    <row r="41" spans="1:12" x14ac:dyDescent="0.2">
      <c r="A41" s="105"/>
      <c r="B41" s="180" t="s">
        <v>209</v>
      </c>
      <c r="C41" s="388" t="str">
        <f>IF(B41=0,"",VLOOKUP($B41,Table2[],2,FALSE))</f>
        <v>Fertilizer</v>
      </c>
      <c r="D41" s="388"/>
      <c r="E41" s="388"/>
      <c r="F41" s="174">
        <v>9</v>
      </c>
      <c r="G41" s="175">
        <v>1</v>
      </c>
      <c r="H41" s="299">
        <v>205</v>
      </c>
      <c r="I41" s="120" t="str">
        <f>IF($B41=0,"",VLOOKUP($B41,Table2[],5,FALSE))</f>
        <v>lbs N</v>
      </c>
      <c r="J41" s="109">
        <f>IF($B41=0,"",VLOOKUP($B41,Table2[],7,FALSE))</f>
        <v>0.5</v>
      </c>
      <c r="K41" s="109">
        <f>IF(B41=0,0,ROUND(G41*H41*J41,2))</f>
        <v>102.5</v>
      </c>
      <c r="L41" s="110"/>
    </row>
    <row r="42" spans="1:12" x14ac:dyDescent="0.2">
      <c r="A42" s="143"/>
      <c r="B42" s="180" t="s">
        <v>200</v>
      </c>
      <c r="C42" s="388" t="str">
        <f>IF(B42=0,"",VLOOKUP($B42,Table2[],2,FALSE))</f>
        <v>Custom</v>
      </c>
      <c r="D42" s="388"/>
      <c r="E42" s="388"/>
      <c r="F42" s="174">
        <v>7</v>
      </c>
      <c r="G42" s="175">
        <v>0.3</v>
      </c>
      <c r="H42" s="176">
        <v>1</v>
      </c>
      <c r="I42" s="120" t="str">
        <f>IF($B42=0,"",VLOOKUP($B42,Table2[],5,FALSE))</f>
        <v>acre</v>
      </c>
      <c r="J42" s="109">
        <f>IF($B42=0,"",VLOOKUP($B42,Table2[],7,FALSE))</f>
        <v>9</v>
      </c>
      <c r="K42" s="109">
        <f>IF(B42=0,0,ROUND(G42*H42*J42,2))</f>
        <v>2.7</v>
      </c>
      <c r="L42" s="110"/>
    </row>
    <row r="43" spans="1:12" x14ac:dyDescent="0.2">
      <c r="A43" s="143" t="s">
        <v>638</v>
      </c>
      <c r="B43" s="180" t="s">
        <v>286</v>
      </c>
      <c r="C43" s="388" t="str">
        <f>IF(B43=0,"",VLOOKUP($B43,Table2[],2,FALSE))</f>
        <v>Insecticide</v>
      </c>
      <c r="D43" s="388"/>
      <c r="E43" s="388"/>
      <c r="F43" s="174">
        <v>7</v>
      </c>
      <c r="G43" s="175">
        <v>0.1</v>
      </c>
      <c r="H43" s="176">
        <v>5.12</v>
      </c>
      <c r="I43" s="120" t="str">
        <f>IF($B43=0,"",VLOOKUP($B43,Table2[],5,FALSE))</f>
        <v>ounce</v>
      </c>
      <c r="J43" s="109">
        <f>IF($B43=0,"",VLOOKUP($B43,Table2[],7,FALSE))</f>
        <v>1.015625</v>
      </c>
      <c r="K43" s="109">
        <f>IF(B43=0,0,ROUND(G43*H43*J43,2))</f>
        <v>0.52</v>
      </c>
      <c r="L43" s="110"/>
    </row>
    <row r="44" spans="1:12" x14ac:dyDescent="0.2">
      <c r="A44" s="143" t="s">
        <v>638</v>
      </c>
      <c r="B44" s="213" t="s">
        <v>288</v>
      </c>
      <c r="C44" s="387" t="str">
        <f>IF(B44=0,"",VLOOKUP($B44,Table2[],2,FALSE))</f>
        <v>Insecticide</v>
      </c>
      <c r="D44" s="387"/>
      <c r="E44" s="387"/>
      <c r="F44" s="214">
        <v>7</v>
      </c>
      <c r="G44" s="221">
        <v>0.2</v>
      </c>
      <c r="H44" s="222">
        <v>3</v>
      </c>
      <c r="I44" s="223" t="str">
        <f>IF($B44=0,"",VLOOKUP($B44,Table2[],5,FALSE))</f>
        <v>ounce</v>
      </c>
      <c r="J44" s="215">
        <f>IF($B44=0,"",VLOOKUP($B44,Table2[],7,FALSE))</f>
        <v>1.25</v>
      </c>
      <c r="K44" s="215">
        <f t="shared" si="2"/>
        <v>0.75</v>
      </c>
      <c r="L44" s="216"/>
    </row>
    <row r="45" spans="1:12" x14ac:dyDescent="0.2">
      <c r="A45" s="105"/>
      <c r="B45" s="180" t="s">
        <v>200</v>
      </c>
      <c r="C45" s="388" t="str">
        <f>IF(B45=0,"",VLOOKUP($B45,Table2[],2,FALSE))</f>
        <v>Custom</v>
      </c>
      <c r="D45" s="388"/>
      <c r="E45" s="388"/>
      <c r="F45" s="174">
        <v>8</v>
      </c>
      <c r="G45" s="175">
        <v>0.3</v>
      </c>
      <c r="H45" s="176">
        <v>1</v>
      </c>
      <c r="I45" s="120" t="str">
        <f>IF($B45=0,"",VLOOKUP($B45,Table2[],5,FALSE))</f>
        <v>acre</v>
      </c>
      <c r="J45" s="109">
        <f>IF($B45=0,"",VLOOKUP($B45,Table2[],7,FALSE))</f>
        <v>9</v>
      </c>
      <c r="K45" s="109">
        <f t="shared" si="2"/>
        <v>2.7</v>
      </c>
      <c r="L45" s="110"/>
    </row>
    <row r="46" spans="1:12" x14ac:dyDescent="0.2">
      <c r="A46" s="105"/>
      <c r="B46" s="180" t="s">
        <v>224</v>
      </c>
      <c r="C46" s="388" t="str">
        <f>IF(B46=0,"",VLOOKUP($B46,Table2[],2,FALSE))</f>
        <v>Fungicide</v>
      </c>
      <c r="D46" s="388"/>
      <c r="E46" s="388"/>
      <c r="F46" s="174">
        <v>8</v>
      </c>
      <c r="G46" s="175">
        <v>0.3</v>
      </c>
      <c r="H46" s="176">
        <v>8</v>
      </c>
      <c r="I46" s="120" t="str">
        <f>IF($B46=0,"",VLOOKUP($B46,Table2[],5,FALSE))</f>
        <v>ounce</v>
      </c>
      <c r="J46" s="109">
        <f>IF($B46=0,"",VLOOKUP($B46,Table2[],7,FALSE))</f>
        <v>3.90625</v>
      </c>
      <c r="K46" s="109">
        <f t="shared" si="2"/>
        <v>9.3800000000000008</v>
      </c>
      <c r="L46" s="110"/>
    </row>
    <row r="47" spans="1:12" x14ac:dyDescent="0.2">
      <c r="A47" s="105"/>
      <c r="B47" s="180" t="s">
        <v>198</v>
      </c>
      <c r="C47" s="388" t="str">
        <f>IF(B47=0,"",VLOOKUP($B47,Table2[],2,FALSE))</f>
        <v>Custom</v>
      </c>
      <c r="D47" s="388"/>
      <c r="E47" s="388"/>
      <c r="F47" s="174">
        <v>12</v>
      </c>
      <c r="G47" s="175">
        <v>1</v>
      </c>
      <c r="H47" s="176">
        <f>$G$4</f>
        <v>235</v>
      </c>
      <c r="I47" s="120" t="str">
        <f>IF($B47=0,"",VLOOKUP($B47,Table2[],5,FALSE))</f>
        <v>bushel</v>
      </c>
      <c r="J47" s="109">
        <f>IF($B47=0,"",VLOOKUP($B47,Table2[],7,FALSE))</f>
        <v>0.15</v>
      </c>
      <c r="K47" s="109">
        <f t="shared" si="2"/>
        <v>35.25</v>
      </c>
      <c r="L47" s="110"/>
    </row>
    <row r="48" spans="1:12" x14ac:dyDescent="0.2">
      <c r="B48" s="213" t="s">
        <v>190</v>
      </c>
      <c r="C48" s="387" t="str">
        <f>IF(B48=0,"",VLOOKUP($B48,Table2[],2,FALSE))</f>
        <v>Custom</v>
      </c>
      <c r="D48" s="387"/>
      <c r="E48" s="387"/>
      <c r="F48" s="214">
        <v>13</v>
      </c>
      <c r="G48" s="221">
        <v>0.2</v>
      </c>
      <c r="H48" s="222">
        <f>$G$4</f>
        <v>235</v>
      </c>
      <c r="I48" s="223" t="str">
        <f>IF($B48=0,"",VLOOKUP($B48,Table2[],5,FALSE))</f>
        <v>bushel</v>
      </c>
      <c r="J48" s="215">
        <f>IF($B48=0,"",VLOOKUP($B48,Table2[],7,FALSE))</f>
        <v>0.1</v>
      </c>
      <c r="K48" s="215">
        <f t="shared" si="2"/>
        <v>4.7</v>
      </c>
      <c r="L48" s="216"/>
    </row>
    <row r="49" spans="2:12" x14ac:dyDescent="0.2">
      <c r="B49" s="111" t="s">
        <v>313</v>
      </c>
      <c r="C49" s="388" t="str">
        <f>IF(B49=0,"",VLOOKUP($B49,Table2[],2,FALSE))</f>
        <v>Scouting</v>
      </c>
      <c r="D49" s="388"/>
      <c r="E49" s="388"/>
      <c r="F49" s="112"/>
      <c r="G49" s="175">
        <v>1</v>
      </c>
      <c r="H49" s="178">
        <v>1</v>
      </c>
      <c r="I49" s="120" t="str">
        <f>IF($B49=0,"",VLOOKUP($B49,Table2[],5,FALSE))</f>
        <v>acre</v>
      </c>
      <c r="J49" s="109">
        <f>IF($B49=0,"",VLOOKUP($B49,Table2[],7,FALSE))</f>
        <v>13</v>
      </c>
      <c r="K49" s="109">
        <f t="shared" si="2"/>
        <v>13</v>
      </c>
      <c r="L49" s="110"/>
    </row>
    <row r="50" spans="2:12" hidden="1" x14ac:dyDescent="0.2">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2:12" hidden="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2:12" ht="12.75" hidden="1" customHeight="1" x14ac:dyDescent="0.2">
      <c r="B52" s="217"/>
      <c r="C52" s="387" t="str">
        <f>IF(B52=0,"",VLOOKUP($B52,Table2[],2,FALSE))</f>
        <v/>
      </c>
      <c r="D52" s="387"/>
      <c r="E52" s="387"/>
      <c r="F52" s="218"/>
      <c r="G52" s="221">
        <v>0.1</v>
      </c>
      <c r="H52" s="225"/>
      <c r="I52" s="223" t="str">
        <f>IF($B52=0,"",VLOOKUP($B52,Table2[],5,FALSE))</f>
        <v/>
      </c>
      <c r="J52" s="215" t="str">
        <f>IF($B52=0,"",VLOOKUP($B52,Table2[],7,FALSE))</f>
        <v/>
      </c>
      <c r="K52" s="215">
        <f t="shared" si="2"/>
        <v>0</v>
      </c>
      <c r="L52" s="216"/>
    </row>
    <row r="53" spans="2:12" ht="12.75" hidden="1" customHeight="1" x14ac:dyDescent="0.2">
      <c r="B53" s="111"/>
      <c r="C53" s="388" t="str">
        <f>IF(B53=0,"",VLOOKUP($B53,Table2[],2,FALSE))</f>
        <v/>
      </c>
      <c r="D53" s="388"/>
      <c r="E53" s="388"/>
      <c r="F53" s="112"/>
      <c r="G53" s="175">
        <v>0.2</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x14ac:dyDescent="0.2">
      <c r="B61" s="185" t="s">
        <v>430</v>
      </c>
      <c r="C61" s="388" t="s">
        <v>655</v>
      </c>
      <c r="D61" s="388"/>
      <c r="E61" s="388"/>
      <c r="F61" s="112"/>
      <c r="G61" s="177"/>
      <c r="H61" s="178"/>
      <c r="I61" s="170"/>
      <c r="J61" s="109">
        <f ca="1">IF(F5=0,E5,F5)</f>
        <v>4</v>
      </c>
      <c r="K61" s="109">
        <f ca="1">IF(B61=0,0,J61)</f>
        <v>4</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E63" s="161"/>
      <c r="F63" s="105"/>
      <c r="J63" s="126"/>
      <c r="K63" s="127">
        <f ca="1">SUM(K37:K61)</f>
        <v>386.47999999999996</v>
      </c>
      <c r="L63" s="110"/>
    </row>
    <row r="64" spans="2:12" x14ac:dyDescent="0.2">
      <c r="B64" s="144" t="s">
        <v>715</v>
      </c>
      <c r="K64" s="127"/>
    </row>
    <row r="65" spans="2:12" x14ac:dyDescent="0.2">
      <c r="B65" s="107" t="s">
        <v>672</v>
      </c>
      <c r="K65" s="127">
        <f ca="1">K33+K63</f>
        <v>669.36999999999989</v>
      </c>
      <c r="L65" s="110"/>
    </row>
    <row r="66" spans="2:12" ht="13.5" thickBot="1" x14ac:dyDescent="0.25">
      <c r="D66" s="128" t="s">
        <v>673</v>
      </c>
      <c r="E66" s="129">
        <f ca="1">ROUND(SUM($E$33:$H$33)+$K$63,2)</f>
        <v>555.16</v>
      </c>
      <c r="F66" s="388" t="s">
        <v>674</v>
      </c>
      <c r="G66" s="388"/>
      <c r="H66" s="130">
        <f>'General Variables'!$B$11</f>
        <v>7.4999999999999997E-2</v>
      </c>
      <c r="I66" s="131" t="str">
        <f>CONCATENATE("for ",TEXT('General Variables'!$B$12,"0.0")," mo.")</f>
        <v>for 6.0 mo.</v>
      </c>
      <c r="K66" s="132">
        <f ca="1">E66*H66*'General Variables'!$B$12/12</f>
        <v>20.818499999999997</v>
      </c>
      <c r="L66" s="133"/>
    </row>
    <row r="67" spans="2:12" ht="13.5" thickTop="1" x14ac:dyDescent="0.2">
      <c r="B67" s="107" t="s">
        <v>675</v>
      </c>
      <c r="K67" s="127">
        <f ca="1">SUM(K65:K66)</f>
        <v>690.18849999999986</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40</v>
      </c>
      <c r="D70" s="399"/>
      <c r="E70" s="400"/>
      <c r="F70" s="136">
        <f>IF(C70=0,0,VLOOKUP(C70,RETable,2,FALSE))</f>
        <v>9115</v>
      </c>
      <c r="G70" s="388" t="s">
        <v>678</v>
      </c>
      <c r="H70" s="388"/>
      <c r="I70" s="130">
        <f>'General Variables'!$B$10</f>
        <v>0.03</v>
      </c>
      <c r="K70" s="137">
        <f>ROUND(F70*I70,2)</f>
        <v>273.45</v>
      </c>
      <c r="L70" s="110"/>
    </row>
    <row r="71" spans="2:12" ht="13.5" thickBot="1" x14ac:dyDescent="0.25">
      <c r="B71" s="103" t="s">
        <v>679</v>
      </c>
      <c r="F71" s="138">
        <f>IF(C70=0,0,VLOOKUP(C70,RETable,2,FALSE))</f>
        <v>9115</v>
      </c>
      <c r="G71" s="397" t="s">
        <v>678</v>
      </c>
      <c r="H71" s="397"/>
      <c r="I71" s="139">
        <f>'General Variables'!$B$13</f>
        <v>1.2999999999999999E-2</v>
      </c>
      <c r="J71" s="105"/>
      <c r="K71" s="140">
        <f>ROUND(F71*I71,2)</f>
        <v>118.5</v>
      </c>
      <c r="L71" s="133"/>
    </row>
    <row r="72" spans="2:12" ht="13.5" thickTop="1" x14ac:dyDescent="0.2">
      <c r="B72" s="107" t="s">
        <v>680</v>
      </c>
      <c r="K72" s="127">
        <f ca="1">SUM(K67:K71)</f>
        <v>1117.1384999999998</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3.1041638297872338</v>
      </c>
      <c r="L74" s="148"/>
    </row>
    <row r="75" spans="2:12" x14ac:dyDescent="0.2">
      <c r="B75" s="107" t="str">
        <f>IF(G4="","","Cost of production per "&amp;H4)</f>
        <v>Cost of production per bushel</v>
      </c>
      <c r="K75" s="141">
        <f ca="1">IF(G4="","",K72/G4)</f>
        <v>4.7537808510638291</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1:H71"/>
    <mergeCell ref="C49:E49"/>
    <mergeCell ref="C50:E50"/>
    <mergeCell ref="C51:E51"/>
    <mergeCell ref="C52:E52"/>
    <mergeCell ref="C53:E53"/>
    <mergeCell ref="C54:E54"/>
    <mergeCell ref="C55:E55"/>
    <mergeCell ref="C61:E61"/>
    <mergeCell ref="F66:G66"/>
    <mergeCell ref="C70:E70"/>
    <mergeCell ref="G70:H70"/>
    <mergeCell ref="C56:E56"/>
    <mergeCell ref="C57:E57"/>
    <mergeCell ref="C58:E58"/>
    <mergeCell ref="C59:E59"/>
    <mergeCell ref="C60:E60"/>
    <mergeCell ref="C48:E48"/>
    <mergeCell ref="C37:E37"/>
    <mergeCell ref="C38:E38"/>
    <mergeCell ref="C39:E39"/>
    <mergeCell ref="C40:E40"/>
    <mergeCell ref="C42:E42"/>
    <mergeCell ref="C44:E44"/>
    <mergeCell ref="C45:E45"/>
    <mergeCell ref="C46:E46"/>
    <mergeCell ref="C47:E47"/>
    <mergeCell ref="C41:E41"/>
    <mergeCell ref="C43:E43"/>
    <mergeCell ref="A6:M6"/>
    <mergeCell ref="C3:E3"/>
    <mergeCell ref="K2:L2"/>
    <mergeCell ref="G2:H2"/>
    <mergeCell ref="C4:E4"/>
  </mergeCells>
  <dataValidations count="9">
    <dataValidation type="list" allowBlank="1" showInputMessage="1" showErrorMessage="1" sqref="B32" xr:uid="{00000000-0002-0000-2900-000000000000}">
      <formula1>$B$111:$B$208</formula1>
    </dataValidation>
    <dataValidation type="list" showInputMessage="1" showErrorMessage="1" sqref="B62" xr:uid="{00000000-0002-0000-2900-000001000000}">
      <formula1>$C$111:$C$234</formula1>
    </dataValidation>
    <dataValidation type="list" allowBlank="1" showInputMessage="1" showErrorMessage="1" sqref="K4" xr:uid="{00000000-0002-0000-2900-000002000000}">
      <formula1>$K$111:$K$113</formula1>
    </dataValidation>
    <dataValidation type="list" allowBlank="1" showInputMessage="1" showErrorMessage="1" sqref="B37:B60" xr:uid="{00000000-0002-0000-2900-000003000000}">
      <formula1>MaterialList</formula1>
    </dataValidation>
    <dataValidation type="list" allowBlank="1" showInputMessage="1" showErrorMessage="1" sqref="C70:E70" xr:uid="{00000000-0002-0000-2900-000004000000}">
      <formula1>RealEstateList</formula1>
    </dataValidation>
    <dataValidation type="list" allowBlank="1" showInputMessage="1" showErrorMessage="1" sqref="B12:B31" xr:uid="{00000000-0002-0000-2900-000005000000}">
      <formula1>OperationList</formula1>
    </dataValidation>
    <dataValidation type="list" allowBlank="1" showInputMessage="1" showErrorMessage="1" sqref="D12:D32" xr:uid="{00000000-0002-0000-2900-000006000000}">
      <formula1>#REF!</formula1>
    </dataValidation>
    <dataValidation type="list" allowBlank="1" showInputMessage="1" showErrorMessage="1" sqref="K2" xr:uid="{00000000-0002-0000-2900-000007000000}">
      <formula1>watersource</formula1>
    </dataValidation>
    <dataValidation type="list" allowBlank="1" showInputMessage="1" showErrorMessage="1" sqref="C3" xr:uid="{00000000-0002-0000-2900-000008000000}">
      <formula1>TillageSystem</formula1>
    </dataValidation>
  </dataValidations>
  <pageMargins left="0.7" right="0.7" top="0.75" bottom="0.75" header="0.3" footer="0.3"/>
  <pageSetup scale="70" orientation="portrait" r:id="rId1"/>
  <ignoredErrors>
    <ignoredError sqref="C22 C2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74">
    <pageSetUpPr fitToPage="1"/>
  </sheetPr>
  <dimension ref="A2:M256"/>
  <sheetViews>
    <sheetView zoomScaleNormal="100" workbookViewId="0">
      <selection activeCell="C21" sqref="C2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720</v>
      </c>
      <c r="H2" s="392"/>
      <c r="J2" s="128" t="s">
        <v>649</v>
      </c>
      <c r="K2" s="401" t="s">
        <v>69</v>
      </c>
      <c r="L2" s="401"/>
    </row>
    <row r="3" spans="1:13" hidden="1" x14ac:dyDescent="0.2">
      <c r="B3" s="103" t="s">
        <v>38</v>
      </c>
      <c r="C3" s="391" t="s">
        <v>43</v>
      </c>
      <c r="D3" s="391"/>
      <c r="E3" s="391"/>
      <c r="G3" s="128" t="s">
        <v>650</v>
      </c>
      <c r="H3" s="187" t="s">
        <v>728</v>
      </c>
      <c r="J3" s="128" t="s">
        <v>651</v>
      </c>
      <c r="K3" s="187">
        <v>13</v>
      </c>
    </row>
    <row r="4" spans="1:13" hidden="1" x14ac:dyDescent="0.2">
      <c r="B4" s="103" t="s">
        <v>652</v>
      </c>
      <c r="C4" s="392" t="s">
        <v>722</v>
      </c>
      <c r="D4" s="392"/>
      <c r="E4" s="392"/>
      <c r="G4" s="103">
        <f>IFERROR(VALUE(LEFT($H$3,FIND(" ",$H$3))),"")</f>
        <v>245</v>
      </c>
      <c r="H4" s="103" t="str">
        <f>IFERROR(RIGHT(H3,LEN(H3)-LEN(G4)-1),"")</f>
        <v>bushel</v>
      </c>
      <c r="J4" s="128" t="s">
        <v>653</v>
      </c>
      <c r="K4" s="188" t="s">
        <v>681</v>
      </c>
    </row>
    <row r="5" spans="1:13" ht="15.75" hidden="1" customHeight="1" x14ac:dyDescent="0.2">
      <c r="B5" s="103" t="s">
        <v>655</v>
      </c>
      <c r="C5" s="103" t="str">
        <f ca="1">MID(CELL("filename",C5),FIND("]",CELL("filename",C5))+1,255)</f>
        <v>37-Corn</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37-Corn, Bt, ECB, &amp; RIB, Conventional Tillage, after Beans, 245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37-Corn, Bt, ECB, &amp; RIB, Conventional Tillage, after Beans, 245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13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498</v>
      </c>
      <c r="C12" s="174">
        <v>1</v>
      </c>
      <c r="D12" s="174"/>
      <c r="E12" s="109">
        <f>IF(B12=0,"",IF(C12&gt;9999,"",ROUND('General Variables'!$B$4*VLOOKUP(B12,Operations!$A$2:$U$79,10,FALSE)/VLOOKUP(B12,Operations!$A$2:$U$79,9,FALSE)*C12,2)))</f>
        <v>1.98</v>
      </c>
      <c r="F12" s="109">
        <f>IF(B12=0,0,IF(C12&gt;9999,"",ROUND(IF(VLOOKUP(B12,Operations!$A$2:$U$79,12,FALSE)=0,VLOOKUP(B12,Operations!$A$2:$U$79,13,FALSE)*'General Variables'!$B$8,VLOOKUP(B12,Operations!$A$2:$U$79,12,FALSE)*'General Variables'!$B$7)/VLOOKUP(B12,Operations!$A$2:$U$79,9,FALSE)*C12,2)))</f>
        <v>1.75</v>
      </c>
      <c r="G12" s="109">
        <f>IF(B12=0,0,IF(C12&gt;9999,"",ROUND(VLOOKUP(VLOOKUP(B12,Operations!$A$2:$U$79,11,FALSE),PowerUnits[],10,FALSE)/VLOOKUP(B12,Operations!$A$2:$U$79,9,FALSE)*C12,2)))</f>
        <v>0.23</v>
      </c>
      <c r="H12" s="109">
        <f>IF(B12=0,"",IF(C12&gt;9999,"",ROUND(VLOOKUP($B12,Operations!$A$2:$U$79,15,FALSE)*C12,2)))</f>
        <v>2.14</v>
      </c>
      <c r="I12" s="109">
        <f>IF(B12=0,0,IF(C12&gt;9999,"",ROUND(VLOOKUP(VLOOKUP(B12,Operations!$A$2:$U$79,11,FALSE),PowerUnits[],16,FALSE)/VLOOKUP(B12,Operations!$A$2:$U$79,9,FALSE)*C12,2)))</f>
        <v>6.15</v>
      </c>
      <c r="J12" s="109">
        <f>IF(B12=0,"",IF(C12&gt;9999,"",ROUND(VLOOKUP($B12,Operations!$A$2:$U$79,21,FALSE)*$C12,2)))</f>
        <v>2.4300000000000002</v>
      </c>
      <c r="K12" s="109">
        <f>IF(C12&gt;9999,"",ROUND(SUM(E12:J12),2))</f>
        <v>14.68</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0.87</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22.1</v>
      </c>
      <c r="L14" s="110"/>
    </row>
    <row r="15" spans="1:13" x14ac:dyDescent="0.2">
      <c r="A15" s="170">
        <v>4</v>
      </c>
      <c r="B15" s="213" t="s">
        <v>545</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1.02</v>
      </c>
      <c r="G15" s="215">
        <f>IF(B15=0,0,IF(C15&gt;9999,"",ROUND(VLOOKUP(VLOOKUP(B15,Operations!$A$2:$U$79,11,FALSE),PowerUnits[],10,FALSE)/VLOOKUP(B15,Operations!$A$2:$U$79,9,FALSE)*C15,2)))</f>
        <v>0.08</v>
      </c>
      <c r="H15" s="215">
        <f>IF(B15=0,"",IF(C15&gt;9999,"",ROUND(VLOOKUP($B15,Operations!$A$2:$U$79,15,FALSE)*C15,2)))</f>
        <v>1.4</v>
      </c>
      <c r="I15" s="215">
        <f>IF(B15=0,0,IF(C15&gt;9999,"",ROUND(VLOOKUP(VLOOKUP(B15,Operations!$A$2:$U$79,11,FALSE),PowerUnits[],16,FALSE)/VLOOKUP(B15,Operations!$A$2:$U$79,9,FALSE)*C15,2)))</f>
        <v>3.93</v>
      </c>
      <c r="J15" s="215">
        <f>IF(B15=0,"",IF(C15&gt;9999,"",ROUND(VLOOKUP($B15,Operations!$A$2:$U$79,21,FALSE)*$C15,2)))</f>
        <v>3.2</v>
      </c>
      <c r="K15" s="215">
        <f t="shared" si="0"/>
        <v>12.33</v>
      </c>
      <c r="L15" s="216"/>
    </row>
    <row r="16" spans="1:13" x14ac:dyDescent="0.2">
      <c r="A16" s="170">
        <v>5</v>
      </c>
      <c r="B16" s="180" t="s">
        <v>545</v>
      </c>
      <c r="C16" s="174">
        <v>0.25</v>
      </c>
      <c r="D16" s="174"/>
      <c r="E16" s="109">
        <f>IF(B16=0,"",IF(C16&gt;9999,"",ROUND('General Variables'!$B$4*VLOOKUP(B16,Operations!$A$2:$U$79,10,FALSE)/VLOOKUP(B16,Operations!$A$2:$U$79,9,FALSE)*C16,2)))</f>
        <v>0.68</v>
      </c>
      <c r="F16" s="109">
        <f>IF(B16=0,0,IF(C16&gt;9999,"",ROUND(IF(VLOOKUP(B16,Operations!$A$2:$U$79,12,FALSE)=0,VLOOKUP(B16,Operations!$A$2:$U$79,13,FALSE)*'General Variables'!$B$8,VLOOKUP(B16,Operations!$A$2:$U$79,12,FALSE)*'General Variables'!$B$7)/VLOOKUP(B16,Operations!$A$2:$U$79,9,FALSE)*C16,2)))</f>
        <v>0.25</v>
      </c>
      <c r="G16" s="109">
        <f>IF(B16=0,0,IF(C16&gt;9999,"",ROUND(VLOOKUP(VLOOKUP(B16,Operations!$A$2:$U$79,11,FALSE),PowerUnits[],10,FALSE)/VLOOKUP(B16,Operations!$A$2:$U$79,9,FALSE)*C16,2)))</f>
        <v>0.02</v>
      </c>
      <c r="H16" s="109">
        <f>IF(B16=0,"",IF(C16&gt;9999,"",ROUND(VLOOKUP($B16,Operations!$A$2:$U$79,15,FALSE)*C16,2)))</f>
        <v>0.35</v>
      </c>
      <c r="I16" s="109">
        <f>IF(B16=0,0,IF(C16&gt;9999,"",ROUND(VLOOKUP(VLOOKUP(B16,Operations!$A$2:$U$79,11,FALSE),PowerUnits[],16,FALSE)/VLOOKUP(B16,Operations!$A$2:$U$79,9,FALSE)*C16,2)))</f>
        <v>0.98</v>
      </c>
      <c r="J16" s="109">
        <f>IF(B16=0,"",IF(C16&gt;9999,"",ROUND(VLOOKUP($B16,Operations!$A$2:$U$79,21,FALSE)*$C16,2)))</f>
        <v>0.8</v>
      </c>
      <c r="K16" s="109">
        <f t="shared" si="0"/>
        <v>3.08</v>
      </c>
      <c r="L16" s="110"/>
    </row>
    <row r="17" spans="1:12"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523</v>
      </c>
      <c r="C19" s="214">
        <f>$K$3</f>
        <v>13</v>
      </c>
      <c r="D19" s="218" t="s">
        <v>693</v>
      </c>
      <c r="E19" s="215">
        <f>IF(B19=0,"",IF(C19&gt;9999,"",ROUND('General Variables'!$B$4*VLOOKUP(B19,Operations!$A$2:$U$79,10,FALSE)/VLOOKUP(B19,Operations!$A$2:$U$79,9,FALSE)*C19,2)))</f>
        <v>16.25</v>
      </c>
      <c r="F19" s="215">
        <f>IF(B19=0,0,IF(C19&gt;9999,"",ROUND(IF(VLOOKUP(B19,Operations!$A$2:$U$79,12,FALSE)=0,VLOOKUP(B19,Operations!$A$2:$U$79,13,FALSE)*'General Variables'!$B$8,VLOOKUP(B19,Operations!$A$2:$U$79,12,FALSE)*'General Variables'!$B$7)/VLOOKUP(B19,Operations!$A$2:$U$79,9,FALSE)*C19,2)))</f>
        <v>77.12</v>
      </c>
      <c r="G19" s="215">
        <f>IF(B19=0,0,IF(C19&gt;9999,"",ROUND(VLOOKUP(VLOOKUP(B19,Operations!$A$2:$U$79,11,FALSE),PowerUnits[],10,FALSE)/VLOOKUP(B19,Operations!$A$2:$U$79,9,FALSE)*C19,2)))</f>
        <v>7.08</v>
      </c>
      <c r="H19" s="215">
        <v>8</v>
      </c>
      <c r="I19" s="215">
        <f>IF(B19=0,0,IF(C19&gt;9999,"",ROUND(VLOOKUP(VLOOKUP(B19,Operations!$A$2:$U$79,11,FALSE),PowerUnits[],16,FALSE)/VLOOKUP(B19,Operations!$A$2:$U$79,9,FALSE)*C19,2)))</f>
        <v>13.44</v>
      </c>
      <c r="J19" s="215">
        <f>IF(B19=0,"",IF(C19&gt;9999,"",ROUND(VLOOKUP($B19,Operations!$A$2:$U$79,21,FALSE)*$C19,2)))</f>
        <v>20.57</v>
      </c>
      <c r="K19" s="215">
        <f t="shared" si="0"/>
        <v>142.46</v>
      </c>
      <c r="L19" s="216"/>
    </row>
    <row r="20" spans="1:12" x14ac:dyDescent="0.2">
      <c r="A20" s="170">
        <v>9</v>
      </c>
      <c r="B20" s="180" t="s">
        <v>944</v>
      </c>
      <c r="C20" s="174">
        <v>225</v>
      </c>
      <c r="D20" s="112"/>
      <c r="E20" s="109">
        <f>IF(B20=0,"",IF(C20&gt;9999,"",ROUND('General Variables'!$B$4*VLOOKUP(B20,Operations!$A$2:$U$79,10,FALSE)/VLOOKUP(B20,Operations!$A$2:$U$79,9,FALSE)*C20,2))/100)</f>
        <v>5.3891</v>
      </c>
      <c r="F20" s="109">
        <f>IF(B20=0,0,IF(C20&gt;9999,"",ROUND(IF(VLOOKUP(B20,Operations!$A$2:$U$79,12,FALSE)=0,VLOOKUP(B20,Operations!$A$2:$U$79,13,FALSE)*'General Variables'!$B$8,VLOOKUP(B20,Operations!$A$2:$U$79,12,FALSE)*'General Variables'!$B$7)/VLOOKUP(B20,Operations!$A$2:$U$79,9,FALSE)*C20,2))/100)</f>
        <v>6.0911</v>
      </c>
      <c r="G20" s="109">
        <f>IF(B20=0,0,IF(C20&gt;9999,"",ROUND(VLOOKUP(VLOOKUP(B20,Operations!$A$2:$U$79,11,FALSE),PowerUnits[],10,FALSE)/VLOOKUP(B20,Operations!$A$2:$U$79,9,FALSE)*C20,2))/100)</f>
        <v>9.3643999999999998</v>
      </c>
      <c r="H20" s="109">
        <f>IF(B20=0,"",IF(C20&gt;9999,"",ROUND(VLOOKUP($B20,Operations!$A$2:$U$79,15,FALSE)*C20,2))/100)</f>
        <v>2.4174000000000002</v>
      </c>
      <c r="I20" s="109">
        <f>IF(B20=0,0,IF(C20&gt;9999,"",ROUND(VLOOKUP(VLOOKUP(B20,Operations!$A$2:$U$79,11,FALSE),PowerUnits[],16,FALSE)/VLOOKUP(B20,Operations!$A$2:$U$79,9,FALSE)*C20,2))/100)</f>
        <v>22.5518</v>
      </c>
      <c r="J20" s="109">
        <f>IF(B20=0,"",IF(C20&gt;9999,"",ROUND(VLOOKUP($B20,Operations!$A$2:$U$79,21,FALSE)*$C20,2))/100)</f>
        <v>10.0312</v>
      </c>
      <c r="K20" s="109">
        <f>IF(C20&gt;9999,"",ROUND(SUM(E20:J20),2))</f>
        <v>55.85</v>
      </c>
      <c r="L20" s="110"/>
    </row>
    <row r="21" spans="1:12" x14ac:dyDescent="0.2">
      <c r="A21" s="170">
        <v>10</v>
      </c>
      <c r="B21" s="180" t="s">
        <v>414</v>
      </c>
      <c r="C21" s="174">
        <f>$G$4</f>
        <v>245</v>
      </c>
      <c r="D21" s="112" t="s">
        <v>706</v>
      </c>
      <c r="E21" s="109">
        <f>IF(B21=0,"",IF(C21&gt;9999,"",ROUND('General Variables'!$B$4*VLOOKUP(B21,Operations!$A$2:$U$79,10,FALSE)/VLOOKUP(B21,Operations!$A$2:$U$79,9,FALSE)*C21,2)))</f>
        <v>2.21</v>
      </c>
      <c r="F21" s="109">
        <f>IF(B21=0,0,IF(C21&gt;9999,"",ROUND(IF(VLOOKUP(B21,Operations!$A$2:$U$79,12,FALSE)=0,VLOOKUP(B21,Operations!$A$2:$U$79,13,FALSE)*'General Variables'!$B$8,VLOOKUP(B21,Operations!$A$2:$U$79,12,FALSE)*'General Variables'!$B$7)/VLOOKUP(B21,Operations!$A$2:$U$79,9,FALSE)*C21,2)))</f>
        <v>0.71</v>
      </c>
      <c r="G21" s="109">
        <f>IF(B21=0,0,IF(C21&gt;9999,"",ROUND(VLOOKUP(VLOOKUP(B21,Operations!$A$2:$U$79,11,FALSE),PowerUnits[],10,FALSE)/VLOOKUP(B21,Operations!$A$2:$U$79,9,FALSE)*C21,2)))</f>
        <v>0.06</v>
      </c>
      <c r="H21" s="109">
        <f>IF(B21=0,"",IF(C21&gt;9999,"",ROUND(VLOOKUP($B21,Operations!$A$2:$U$79,15,FALSE)*C21,2)))</f>
        <v>1.36</v>
      </c>
      <c r="I21" s="109">
        <f>IF(B21=0,0,IF(C21&gt;9999,"",ROUND(VLOOKUP(VLOOKUP(B21,Operations!$A$2:$U$79,11,FALSE),PowerUnits[],16,FALSE)/VLOOKUP(B21,Operations!$A$2:$U$79,9,FALSE)*C21,2)))</f>
        <v>3.21</v>
      </c>
      <c r="J21" s="109">
        <f>IF(B21=0,"",IF(C21&gt;9999,"",ROUND(VLOOKUP($B21,Operations!$A$2:$U$79,21,FALSE)*$C21,2)))</f>
        <v>2.71</v>
      </c>
      <c r="K21" s="109">
        <f>IF(C21&gt;9999,"",ROUND(SUM(E21:J21),2))</f>
        <v>10.26</v>
      </c>
      <c r="L21" s="110"/>
    </row>
    <row r="22" spans="1:12" x14ac:dyDescent="0.2">
      <c r="A22" s="170">
        <v>11</v>
      </c>
      <c r="B22" s="180" t="s">
        <v>565</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ref="K22" si="1">IF(C22&gt;9999,"",ROUND(SUM(E22:J22),2))</f>
        <v/>
      </c>
      <c r="L22" s="110"/>
    </row>
    <row r="23" spans="1:12" x14ac:dyDescent="0.2">
      <c r="A23" s="170">
        <v>12</v>
      </c>
      <c r="B23" s="213" t="s">
        <v>496</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80"/>
      <c r="C26" s="174"/>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33.469099999999997</v>
      </c>
      <c r="F33" s="109">
        <f t="shared" ref="F33:K33" si="2">SUM(F12:F31)</f>
        <v>88.071100000000001</v>
      </c>
      <c r="G33" s="109">
        <f t="shared" si="2"/>
        <v>16.944399999999998</v>
      </c>
      <c r="H33" s="109">
        <f t="shared" si="2"/>
        <v>23.747399999999999</v>
      </c>
      <c r="I33" s="109">
        <f t="shared" si="2"/>
        <v>55.901800000000001</v>
      </c>
      <c r="J33" s="109">
        <f t="shared" si="2"/>
        <v>48.371200000000002</v>
      </c>
      <c r="K33" s="109">
        <f t="shared" si="2"/>
        <v>266.51</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241</v>
      </c>
      <c r="C37" s="388" t="str">
        <f>IF(B37=0,"",VLOOKUP($B37,Table2[],2,FALSE))</f>
        <v>Herbicide</v>
      </c>
      <c r="D37" s="388"/>
      <c r="E37" s="388"/>
      <c r="F37" s="174">
        <v>2</v>
      </c>
      <c r="G37" s="175">
        <v>1</v>
      </c>
      <c r="H37" s="176">
        <v>4</v>
      </c>
      <c r="I37" s="120" t="str">
        <f>IF($B37=0,"",VLOOKUP($B37,Table2[],5,FALSE))</f>
        <v>ounce</v>
      </c>
      <c r="J37" s="109">
        <f>IF($B37=0,"",VLOOKUP($B37,Table2[],7,FALSE))</f>
        <v>6.5</v>
      </c>
      <c r="K37" s="109">
        <f>IF(B37=0,0,ROUND(G37*H37*J37,2))</f>
        <v>26</v>
      </c>
      <c r="L37" s="110"/>
    </row>
    <row r="38" spans="1:12" x14ac:dyDescent="0.2">
      <c r="A38" s="105"/>
      <c r="B38" s="180" t="s">
        <v>244</v>
      </c>
      <c r="C38" s="388" t="str">
        <f>IF(B38=0,"",VLOOKUP($B38,Table2[],2,FALSE))</f>
        <v>Herbicide</v>
      </c>
      <c r="D38" s="388"/>
      <c r="E38" s="388"/>
      <c r="F38" s="174">
        <v>2</v>
      </c>
      <c r="G38" s="175">
        <v>1</v>
      </c>
      <c r="H38" s="176">
        <v>2.1</v>
      </c>
      <c r="I38" s="120" t="str">
        <f>IF($B38=0,"",VLOOKUP($B38,Table2[],5,FALSE))</f>
        <v>quart</v>
      </c>
      <c r="J38" s="109">
        <f>IF($B38=0,"",VLOOKUP($B38,Table2[],7,FALSE))</f>
        <v>13.25</v>
      </c>
      <c r="K38" s="109">
        <f t="shared" ref="K38:K55" si="3">IF(B38=0,0,ROUND(G38*H38*J38,2))</f>
        <v>27.83</v>
      </c>
      <c r="L38" s="110"/>
    </row>
    <row r="39" spans="1:12" x14ac:dyDescent="0.2">
      <c r="A39" s="105"/>
      <c r="B39" s="180" t="s">
        <v>323</v>
      </c>
      <c r="C39" s="388" t="str">
        <f>IF(B39=0,"",VLOOKUP($B39,Table2[],2,FALSE))</f>
        <v>Seed</v>
      </c>
      <c r="D39" s="388"/>
      <c r="E39" s="388"/>
      <c r="F39" s="174">
        <v>3</v>
      </c>
      <c r="G39" s="175">
        <v>1</v>
      </c>
      <c r="H39" s="300">
        <v>34</v>
      </c>
      <c r="I39" s="120" t="str">
        <f>IF($B39=0,"",VLOOKUP($B39,Table2[],5,FALSE))</f>
        <v>k seed</v>
      </c>
      <c r="J39" s="109">
        <f>IF($B39=0,"",VLOOKUP($B39,Table2[],7,FALSE))</f>
        <v>3.875</v>
      </c>
      <c r="K39" s="109">
        <f t="shared" si="3"/>
        <v>131.75</v>
      </c>
      <c r="L39" s="110"/>
    </row>
    <row r="40" spans="1:12" x14ac:dyDescent="0.2">
      <c r="A40" s="105"/>
      <c r="B40" s="213" t="s">
        <v>201</v>
      </c>
      <c r="C40" s="387" t="str">
        <f>IF(B40=0,"",VLOOKUP($B40,Table2[],2,FALSE))</f>
        <v>Fertilizer</v>
      </c>
      <c r="D40" s="387"/>
      <c r="E40" s="387"/>
      <c r="F40" s="214">
        <v>3</v>
      </c>
      <c r="G40" s="221">
        <v>1</v>
      </c>
      <c r="H40" s="222">
        <v>6</v>
      </c>
      <c r="I40" s="223" t="str">
        <f>IF($B40=0,"",VLOOKUP($B40,Table2[],5,FALSE))</f>
        <v>gallon</v>
      </c>
      <c r="J40" s="215">
        <f>IF($B40=0,"",VLOOKUP($B40,Table2[],7,FALSE))</f>
        <v>3.1</v>
      </c>
      <c r="K40" s="215">
        <f t="shared" si="3"/>
        <v>18.600000000000001</v>
      </c>
      <c r="L40" s="216"/>
    </row>
    <row r="41" spans="1:12" x14ac:dyDescent="0.2">
      <c r="A41" s="105"/>
      <c r="B41" s="180" t="s">
        <v>209</v>
      </c>
      <c r="C41" s="388" t="str">
        <f>IF(B41=0,"",VLOOKUP($B41,Table2[],2,FALSE))</f>
        <v>Fertilizer</v>
      </c>
      <c r="D41" s="388"/>
      <c r="E41" s="388"/>
      <c r="F41" s="174">
        <v>8</v>
      </c>
      <c r="G41" s="175">
        <v>1</v>
      </c>
      <c r="H41" s="299">
        <v>170</v>
      </c>
      <c r="I41" s="120" t="str">
        <f>IF($B41=0,"",VLOOKUP($B41,Table2[],5,FALSE))</f>
        <v>lbs N</v>
      </c>
      <c r="J41" s="109">
        <f>IF($B41=0,"",VLOOKUP($B41,Table2[],7,FALSE))</f>
        <v>0.5</v>
      </c>
      <c r="K41" s="109">
        <f>IF(B41=0,0,ROUND(G41*H41*J41,2))</f>
        <v>85</v>
      </c>
      <c r="L41" s="110"/>
    </row>
    <row r="42" spans="1:12" x14ac:dyDescent="0.2">
      <c r="A42" s="143"/>
      <c r="B42" s="180" t="s">
        <v>200</v>
      </c>
      <c r="C42" s="388" t="str">
        <f>IF(B42=0,"",VLOOKUP($B42,Table2[],2,FALSE))</f>
        <v>Custom</v>
      </c>
      <c r="D42" s="388"/>
      <c r="E42" s="388"/>
      <c r="F42" s="174">
        <v>6</v>
      </c>
      <c r="G42" s="175">
        <v>0.3</v>
      </c>
      <c r="H42" s="176">
        <v>1</v>
      </c>
      <c r="I42" s="120" t="str">
        <f>IF($B42=0,"",VLOOKUP($B42,Table2[],5,FALSE))</f>
        <v>acre</v>
      </c>
      <c r="J42" s="109">
        <f>IF($B42=0,"",VLOOKUP($B42,Table2[],7,FALSE))</f>
        <v>9</v>
      </c>
      <c r="K42" s="109">
        <f>IF(B42=0,0,ROUND(G42*H42*J42,2))</f>
        <v>2.7</v>
      </c>
      <c r="L42" s="110"/>
    </row>
    <row r="43" spans="1:12" x14ac:dyDescent="0.2">
      <c r="A43" s="143" t="s">
        <v>638</v>
      </c>
      <c r="B43" s="180" t="s">
        <v>286</v>
      </c>
      <c r="C43" s="388" t="str">
        <f>IF(B43=0,"",VLOOKUP($B43,Table2[],2,FALSE))</f>
        <v>Insecticide</v>
      </c>
      <c r="D43" s="388"/>
      <c r="E43" s="388"/>
      <c r="F43" s="174">
        <v>6</v>
      </c>
      <c r="G43" s="175">
        <v>0.1</v>
      </c>
      <c r="H43" s="176">
        <v>5.12</v>
      </c>
      <c r="I43" s="120" t="str">
        <f>IF($B43=0,"",VLOOKUP($B43,Table2[],5,FALSE))</f>
        <v>ounce</v>
      </c>
      <c r="J43" s="109">
        <f>IF($B43=0,"",VLOOKUP($B43,Table2[],7,FALSE))</f>
        <v>1.015625</v>
      </c>
      <c r="K43" s="109">
        <f>IF(B43=0,0,ROUND(G43*H43*J43,2))</f>
        <v>0.52</v>
      </c>
      <c r="L43" s="110"/>
    </row>
    <row r="44" spans="1:12" x14ac:dyDescent="0.2">
      <c r="A44" s="143" t="s">
        <v>638</v>
      </c>
      <c r="B44" s="213" t="s">
        <v>288</v>
      </c>
      <c r="C44" s="387" t="str">
        <f>IF(B44=0,"",VLOOKUP($B44,Table2[],2,FALSE))</f>
        <v>Insecticide</v>
      </c>
      <c r="D44" s="387"/>
      <c r="E44" s="387"/>
      <c r="F44" s="214">
        <v>6</v>
      </c>
      <c r="G44" s="221">
        <v>0.2</v>
      </c>
      <c r="H44" s="222">
        <v>3</v>
      </c>
      <c r="I44" s="223" t="str">
        <f>IF($B44=0,"",VLOOKUP($B44,Table2[],5,FALSE))</f>
        <v>ounce</v>
      </c>
      <c r="J44" s="215">
        <f>IF($B44=0,"",VLOOKUP($B44,Table2[],7,FALSE))</f>
        <v>1.25</v>
      </c>
      <c r="K44" s="215">
        <f t="shared" si="3"/>
        <v>0.75</v>
      </c>
      <c r="L44" s="216"/>
    </row>
    <row r="45" spans="1:12" x14ac:dyDescent="0.2">
      <c r="A45" s="105"/>
      <c r="B45" s="180" t="s">
        <v>200</v>
      </c>
      <c r="C45" s="388" t="str">
        <f>IF(B45=0,"",VLOOKUP($B45,Table2[],2,FALSE))</f>
        <v>Custom</v>
      </c>
      <c r="D45" s="388"/>
      <c r="E45" s="388"/>
      <c r="F45" s="174">
        <v>7</v>
      </c>
      <c r="G45" s="175">
        <v>0.3</v>
      </c>
      <c r="H45" s="176">
        <v>1</v>
      </c>
      <c r="I45" s="120" t="str">
        <f>IF($B45=0,"",VLOOKUP($B45,Table2[],5,FALSE))</f>
        <v>acre</v>
      </c>
      <c r="J45" s="109">
        <f>IF($B45=0,"",VLOOKUP($B45,Table2[],7,FALSE))</f>
        <v>9</v>
      </c>
      <c r="K45" s="109">
        <f t="shared" si="3"/>
        <v>2.7</v>
      </c>
      <c r="L45" s="110"/>
    </row>
    <row r="46" spans="1:12" x14ac:dyDescent="0.2">
      <c r="A46" s="105"/>
      <c r="B46" s="180" t="s">
        <v>928</v>
      </c>
      <c r="C46" s="388" t="str">
        <f>IF(B46=0,"",VLOOKUP($B46,Table2[],2,FALSE))</f>
        <v>Fungicide</v>
      </c>
      <c r="D46" s="388"/>
      <c r="E46" s="388"/>
      <c r="F46" s="174">
        <v>7</v>
      </c>
      <c r="G46" s="175">
        <v>0.3</v>
      </c>
      <c r="H46" s="176">
        <v>8</v>
      </c>
      <c r="I46" s="120" t="str">
        <f>IF($B46=0,"",VLOOKUP($B46,Table2[],5,FALSE))</f>
        <v>ounce</v>
      </c>
      <c r="J46" s="109">
        <f>IF($B46=0,"",VLOOKUP($B46,Table2[],7,FALSE))</f>
        <v>4.140625</v>
      </c>
      <c r="K46" s="109">
        <f t="shared" si="3"/>
        <v>9.94</v>
      </c>
      <c r="L46" s="110"/>
    </row>
    <row r="47" spans="1:12" x14ac:dyDescent="0.2">
      <c r="A47" s="105"/>
      <c r="B47" s="180" t="s">
        <v>198</v>
      </c>
      <c r="C47" s="388" t="str">
        <f>IF(B47=0,"",VLOOKUP($B47,Table2[],2,FALSE))</f>
        <v>Custom</v>
      </c>
      <c r="D47" s="388"/>
      <c r="E47" s="388"/>
      <c r="F47" s="174">
        <v>11</v>
      </c>
      <c r="G47" s="175">
        <v>1</v>
      </c>
      <c r="H47" s="176">
        <f>$G$4</f>
        <v>245</v>
      </c>
      <c r="I47" s="120" t="str">
        <f>IF($B47=0,"",VLOOKUP($B47,Table2[],5,FALSE))</f>
        <v>bushel</v>
      </c>
      <c r="J47" s="109">
        <f>IF($B47=0,"",VLOOKUP($B47,Table2[],7,FALSE))</f>
        <v>0.15</v>
      </c>
      <c r="K47" s="109">
        <f t="shared" si="3"/>
        <v>36.75</v>
      </c>
      <c r="L47" s="110"/>
    </row>
    <row r="48" spans="1:12" x14ac:dyDescent="0.2">
      <c r="B48" s="213" t="s">
        <v>190</v>
      </c>
      <c r="C48" s="387" t="str">
        <f>IF(B48=0,"",VLOOKUP($B48,Table2[],2,FALSE))</f>
        <v>Custom</v>
      </c>
      <c r="D48" s="387"/>
      <c r="E48" s="387"/>
      <c r="F48" s="214">
        <v>12</v>
      </c>
      <c r="G48" s="221">
        <v>0.2</v>
      </c>
      <c r="H48" s="222">
        <f>$G$4</f>
        <v>245</v>
      </c>
      <c r="I48" s="223" t="str">
        <f>IF($B48=0,"",VLOOKUP($B48,Table2[],5,FALSE))</f>
        <v>bushel</v>
      </c>
      <c r="J48" s="215">
        <f>IF($B48=0,"",VLOOKUP($B48,Table2[],7,FALSE))</f>
        <v>0.1</v>
      </c>
      <c r="K48" s="215">
        <f t="shared" si="3"/>
        <v>4.9000000000000004</v>
      </c>
      <c r="L48" s="216"/>
    </row>
    <row r="49" spans="2:12" x14ac:dyDescent="0.2">
      <c r="B49" s="111" t="s">
        <v>313</v>
      </c>
      <c r="C49" s="388" t="str">
        <f>IF(B49=0,"",VLOOKUP($B49,Table2[],2,FALSE))</f>
        <v>Scouting</v>
      </c>
      <c r="D49" s="388"/>
      <c r="E49" s="388"/>
      <c r="F49" s="112"/>
      <c r="G49" s="175">
        <v>1</v>
      </c>
      <c r="H49" s="178">
        <v>1</v>
      </c>
      <c r="I49" s="120" t="str">
        <f>IF($B49=0,"",VLOOKUP($B49,Table2[],5,FALSE))</f>
        <v>acre</v>
      </c>
      <c r="J49" s="109">
        <f>IF($B49=0,"",VLOOKUP($B49,Table2[],7,FALSE))</f>
        <v>13</v>
      </c>
      <c r="K49" s="109">
        <f t="shared" si="3"/>
        <v>13</v>
      </c>
      <c r="L49" s="110"/>
    </row>
    <row r="50" spans="2:12" hidden="1" x14ac:dyDescent="0.2">
      <c r="B50" s="180"/>
      <c r="C50" s="388" t="str">
        <f>IF(B50=0,"",VLOOKUP($B50,Table2[],2,FALSE))</f>
        <v/>
      </c>
      <c r="D50" s="388"/>
      <c r="E50" s="388"/>
      <c r="F50" s="174"/>
      <c r="G50" s="175"/>
      <c r="H50" s="176"/>
      <c r="I50" s="120" t="str">
        <f>IF($B50=0,"",VLOOKUP($B50,Table2[],5,FALSE))</f>
        <v/>
      </c>
      <c r="J50" s="109" t="str">
        <f>IF($B50=0,"",VLOOKUP($B50,Table2[],7,FALSE))</f>
        <v/>
      </c>
      <c r="K50" s="109">
        <f t="shared" si="3"/>
        <v>0</v>
      </c>
      <c r="L50" s="110"/>
    </row>
    <row r="51" spans="2:12" hidden="1" x14ac:dyDescent="0.2">
      <c r="B51" s="111"/>
      <c r="C51" s="388" t="str">
        <f>IF(B51=0,"",VLOOKUP($B51,Table2[],2,FALSE))</f>
        <v/>
      </c>
      <c r="D51" s="388"/>
      <c r="E51" s="388"/>
      <c r="F51" s="112"/>
      <c r="G51" s="175"/>
      <c r="H51" s="178"/>
      <c r="I51" s="120" t="str">
        <f>IF($B51=0,"",VLOOKUP($B51,Table2[],5,FALSE))</f>
        <v/>
      </c>
      <c r="J51" s="109" t="str">
        <f>IF($B51=0,"",VLOOKUP($B51,Table2[],7,FALSE))</f>
        <v/>
      </c>
      <c r="K51" s="109">
        <f t="shared" si="3"/>
        <v>0</v>
      </c>
      <c r="L51" s="110"/>
    </row>
    <row r="52" spans="2:12" ht="12.75" hidden="1" customHeight="1" x14ac:dyDescent="0.2">
      <c r="B52" s="217"/>
      <c r="C52" s="387" t="str">
        <f>IF(B52=0,"",VLOOKUP($B52,Table2[],2,FALSE))</f>
        <v/>
      </c>
      <c r="D52" s="387"/>
      <c r="E52" s="387"/>
      <c r="F52" s="218"/>
      <c r="G52" s="221">
        <v>0.1</v>
      </c>
      <c r="H52" s="225"/>
      <c r="I52" s="223" t="str">
        <f>IF($B52=0,"",VLOOKUP($B52,Table2[],5,FALSE))</f>
        <v/>
      </c>
      <c r="J52" s="215" t="str">
        <f>IF($B52=0,"",VLOOKUP($B52,Table2[],7,FALSE))</f>
        <v/>
      </c>
      <c r="K52" s="215">
        <f t="shared" si="3"/>
        <v>0</v>
      </c>
      <c r="L52" s="216"/>
    </row>
    <row r="53" spans="2:12" ht="12.75" hidden="1" customHeight="1" x14ac:dyDescent="0.2">
      <c r="B53" s="111"/>
      <c r="C53" s="388" t="str">
        <f>IF(B53=0,"",VLOOKUP($B53,Table2[],2,FALSE))</f>
        <v/>
      </c>
      <c r="D53" s="388"/>
      <c r="E53" s="388"/>
      <c r="F53" s="112"/>
      <c r="G53" s="175">
        <v>0.2</v>
      </c>
      <c r="H53" s="178"/>
      <c r="I53" s="120" t="str">
        <f>IF($B53=0,"",VLOOKUP($B53,Table2[],5,FALSE))</f>
        <v/>
      </c>
      <c r="J53" s="109" t="str">
        <f>IF($B53=0,"",VLOOKUP($B53,Table2[],7,FALSE))</f>
        <v/>
      </c>
      <c r="K53" s="109">
        <f t="shared" si="3"/>
        <v>0</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3"/>
        <v>0</v>
      </c>
      <c r="L54" s="110"/>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3"/>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2:12" x14ac:dyDescent="0.2">
      <c r="B61" s="185" t="s">
        <v>430</v>
      </c>
      <c r="C61" s="388" t="s">
        <v>655</v>
      </c>
      <c r="D61" s="388"/>
      <c r="E61" s="388"/>
      <c r="F61" s="112"/>
      <c r="G61" s="177"/>
      <c r="H61" s="178"/>
      <c r="I61" s="170"/>
      <c r="J61" s="109">
        <f ca="1">IF(F5=0,E5,F5)</f>
        <v>4</v>
      </c>
      <c r="K61" s="109">
        <f ca="1">IF(B61=0,0,J61)</f>
        <v>4</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E63" s="161"/>
      <c r="F63" s="105"/>
      <c r="J63" s="126"/>
      <c r="K63" s="127">
        <f ca="1">SUM(K37:K61)</f>
        <v>364.43999999999988</v>
      </c>
      <c r="L63" s="110"/>
    </row>
    <row r="64" spans="2:12" x14ac:dyDescent="0.2">
      <c r="B64" s="144" t="s">
        <v>715</v>
      </c>
      <c r="K64" s="127"/>
    </row>
    <row r="65" spans="2:12" x14ac:dyDescent="0.2">
      <c r="B65" s="107" t="s">
        <v>672</v>
      </c>
      <c r="K65" s="127">
        <f ca="1">K33+K63</f>
        <v>630.94999999999982</v>
      </c>
      <c r="L65" s="110"/>
    </row>
    <row r="66" spans="2:12" ht="13.5" thickBot="1" x14ac:dyDescent="0.25">
      <c r="D66" s="128" t="s">
        <v>673</v>
      </c>
      <c r="E66" s="129">
        <f ca="1">ROUND(SUM($E$33:$H$33)+$K$63,2)</f>
        <v>526.66999999999996</v>
      </c>
      <c r="F66" s="388" t="s">
        <v>674</v>
      </c>
      <c r="G66" s="388"/>
      <c r="H66" s="130">
        <f>'General Variables'!$B$11</f>
        <v>7.4999999999999997E-2</v>
      </c>
      <c r="I66" s="131" t="str">
        <f>CONCATENATE("for ",TEXT('General Variables'!$B$12,"0.0")," mo.")</f>
        <v>for 6.0 mo.</v>
      </c>
      <c r="K66" s="132">
        <f ca="1">E66*H66*'General Variables'!$B$12/12</f>
        <v>19.750124999999997</v>
      </c>
      <c r="L66" s="133"/>
    </row>
    <row r="67" spans="2:12" ht="13.5" thickTop="1" x14ac:dyDescent="0.2">
      <c r="B67" s="107" t="s">
        <v>675</v>
      </c>
      <c r="K67" s="127">
        <f ca="1">SUM(K65:K66)</f>
        <v>650.70012499999984</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40</v>
      </c>
      <c r="D70" s="399"/>
      <c r="E70" s="400"/>
      <c r="F70" s="136">
        <f>IF(C70=0,0,VLOOKUP(C70,RETable,2,FALSE))</f>
        <v>9115</v>
      </c>
      <c r="G70" s="388" t="s">
        <v>678</v>
      </c>
      <c r="H70" s="388"/>
      <c r="I70" s="130">
        <f>'General Variables'!$B$10</f>
        <v>0.03</v>
      </c>
      <c r="K70" s="137">
        <f>ROUND(F70*I70,2)</f>
        <v>273.45</v>
      </c>
      <c r="L70" s="110"/>
    </row>
    <row r="71" spans="2:12" ht="13.5" thickBot="1" x14ac:dyDescent="0.25">
      <c r="B71" s="103" t="s">
        <v>679</v>
      </c>
      <c r="F71" s="138">
        <f>IF(C70=0,0,VLOOKUP(C70,RETable,2,FALSE))</f>
        <v>9115</v>
      </c>
      <c r="G71" s="397" t="s">
        <v>678</v>
      </c>
      <c r="H71" s="397"/>
      <c r="I71" s="139">
        <f>'General Variables'!$B$13</f>
        <v>1.2999999999999999E-2</v>
      </c>
      <c r="J71" s="105"/>
      <c r="K71" s="140">
        <f>ROUND(F71*I71,2)</f>
        <v>118.5</v>
      </c>
      <c r="L71" s="133"/>
    </row>
    <row r="72" spans="2:12" ht="13.5" thickTop="1" x14ac:dyDescent="0.2">
      <c r="B72" s="107" t="s">
        <v>680</v>
      </c>
      <c r="K72" s="127">
        <f ca="1">SUM(K67:K71)</f>
        <v>1077.6501249999999</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2.8568168367346938</v>
      </c>
      <c r="L74" s="148"/>
    </row>
    <row r="75" spans="2:12" x14ac:dyDescent="0.2">
      <c r="B75" s="107" t="str">
        <f>IF(G4="","","Cost of production per "&amp;H4)</f>
        <v>Cost of production per bushel</v>
      </c>
      <c r="K75" s="141">
        <f ca="1">IF(G4="","",K72/G4)</f>
        <v>4.3985719387755093</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B7:L7"/>
    <mergeCell ref="L35:L36"/>
    <mergeCell ref="C37:E37"/>
    <mergeCell ref="B10:B11"/>
    <mergeCell ref="C10:C11"/>
    <mergeCell ref="E10:E11"/>
    <mergeCell ref="F10:F11"/>
    <mergeCell ref="G10:H10"/>
    <mergeCell ref="I10:J10"/>
    <mergeCell ref="K10:K11"/>
    <mergeCell ref="L10:L11"/>
    <mergeCell ref="J35:J36"/>
    <mergeCell ref="F35:F36"/>
    <mergeCell ref="G35:G36"/>
    <mergeCell ref="H35:I35"/>
    <mergeCell ref="C38:E38"/>
    <mergeCell ref="C39:E39"/>
    <mergeCell ref="C40:E40"/>
    <mergeCell ref="C41:E41"/>
    <mergeCell ref="C54:E54"/>
    <mergeCell ref="C43:E43"/>
    <mergeCell ref="C42:E42"/>
    <mergeCell ref="C70:E70"/>
    <mergeCell ref="G70:H70"/>
    <mergeCell ref="G71:H71"/>
    <mergeCell ref="C56:E56"/>
    <mergeCell ref="C57:E57"/>
    <mergeCell ref="C58:E58"/>
    <mergeCell ref="C59:E59"/>
    <mergeCell ref="C60:E60"/>
    <mergeCell ref="C61:E61"/>
    <mergeCell ref="F66:G66"/>
    <mergeCell ref="C55:E55"/>
    <mergeCell ref="C44:E44"/>
    <mergeCell ref="C45:E45"/>
    <mergeCell ref="C46:E46"/>
    <mergeCell ref="C47:E47"/>
    <mergeCell ref="C48:E48"/>
    <mergeCell ref="C49:E49"/>
    <mergeCell ref="C50:E50"/>
    <mergeCell ref="C51:E51"/>
    <mergeCell ref="C52:E52"/>
    <mergeCell ref="C53:E53"/>
    <mergeCell ref="A6:M6"/>
    <mergeCell ref="C3:E3"/>
    <mergeCell ref="K2:L2"/>
    <mergeCell ref="G2:H2"/>
    <mergeCell ref="C4:E4"/>
  </mergeCells>
  <dataValidations count="9">
    <dataValidation type="list" allowBlank="1" showInputMessage="1" showErrorMessage="1" sqref="B12:B31" xr:uid="{00000000-0002-0000-2A00-000000000000}">
      <formula1>OperationList</formula1>
    </dataValidation>
    <dataValidation type="list" allowBlank="1" showInputMessage="1" showErrorMessage="1" sqref="C70:E70" xr:uid="{00000000-0002-0000-2A00-000001000000}">
      <formula1>RealEstateList</formula1>
    </dataValidation>
    <dataValidation type="list" allowBlank="1" showInputMessage="1" showErrorMessage="1" sqref="B37:B60" xr:uid="{00000000-0002-0000-2A00-000002000000}">
      <formula1>MaterialList</formula1>
    </dataValidation>
    <dataValidation type="list" allowBlank="1" showInputMessage="1" showErrorMessage="1" sqref="K4" xr:uid="{00000000-0002-0000-2A00-000003000000}">
      <formula1>$K$111:$K$113</formula1>
    </dataValidation>
    <dataValidation type="list" showInputMessage="1" showErrorMessage="1" sqref="B62" xr:uid="{00000000-0002-0000-2A00-000004000000}">
      <formula1>$C$111:$C$234</formula1>
    </dataValidation>
    <dataValidation type="list" allowBlank="1" showInputMessage="1" showErrorMessage="1" sqref="B32" xr:uid="{00000000-0002-0000-2A00-000005000000}">
      <formula1>$B$111:$B$208</formula1>
    </dataValidation>
    <dataValidation type="list" allowBlank="1" showInputMessage="1" showErrorMessage="1" sqref="D12:D32" xr:uid="{00000000-0002-0000-2A00-000006000000}">
      <formula1>#REF!</formula1>
    </dataValidation>
    <dataValidation type="list" allowBlank="1" showInputMessage="1" showErrorMessage="1" sqref="K2" xr:uid="{00000000-0002-0000-2A00-000007000000}">
      <formula1>watersource</formula1>
    </dataValidation>
    <dataValidation type="list" allowBlank="1" showInputMessage="1" showErrorMessage="1" sqref="C3" xr:uid="{00000000-0002-0000-2A00-000008000000}">
      <formula1>TillageSystem</formula1>
    </dataValidation>
  </dataValidations>
  <pageMargins left="0.7" right="0.7" top="0.75" bottom="0.75" header="0.3" footer="0.3"/>
  <pageSetup scale="7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6">
    <pageSetUpPr fitToPage="1"/>
  </sheetPr>
  <dimension ref="A2:M257"/>
  <sheetViews>
    <sheetView zoomScaleNormal="100" workbookViewId="0">
      <selection activeCell="G46" sqref="G4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717</v>
      </c>
      <c r="H2" s="392"/>
      <c r="J2" s="128" t="s">
        <v>649</v>
      </c>
      <c r="K2" s="401" t="s">
        <v>70</v>
      </c>
      <c r="L2" s="401"/>
    </row>
    <row r="3" spans="1:13" hidden="1" x14ac:dyDescent="0.2">
      <c r="B3" s="103" t="s">
        <v>38</v>
      </c>
      <c r="C3" s="391" t="s">
        <v>43</v>
      </c>
      <c r="D3" s="391"/>
      <c r="E3" s="391"/>
      <c r="G3" s="128" t="s">
        <v>650</v>
      </c>
      <c r="H3" s="187" t="s">
        <v>731</v>
      </c>
      <c r="J3" s="128" t="s">
        <v>651</v>
      </c>
      <c r="K3" s="187">
        <v>13</v>
      </c>
    </row>
    <row r="4" spans="1:13" hidden="1" x14ac:dyDescent="0.2">
      <c r="B4" s="103" t="s">
        <v>652</v>
      </c>
      <c r="C4" s="392" t="s">
        <v>62</v>
      </c>
      <c r="D4" s="392"/>
      <c r="E4" s="392"/>
      <c r="G4" s="103">
        <f>IFERROR(VALUE(LEFT($H$3,FIND(" ",$H$3))),"")</f>
        <v>175</v>
      </c>
      <c r="H4" s="103" t="str">
        <f>IFERROR(RIGHT(H3,LEN(H3)-LEN(G4)-1),"")</f>
        <v>bushel</v>
      </c>
      <c r="J4" s="128" t="s">
        <v>653</v>
      </c>
      <c r="K4" s="188" t="s">
        <v>654</v>
      </c>
    </row>
    <row r="5" spans="1:13" ht="15.75" hidden="1" customHeight="1" x14ac:dyDescent="0.2">
      <c r="B5" s="103" t="s">
        <v>655</v>
      </c>
      <c r="C5" s="103" t="str">
        <f ca="1">MID(CELL("filename",C5),FIND("]",CELL("filename",C5))+1,255)</f>
        <v>38-Corn</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38-Corn, SmartStax RIB Complete, Panhandle, Conventional Tillage, Continuous, 175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38-Corn, SmartStax RIB Complete, Panhandle, Conventional Tillage, Continuous, 175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13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545</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1.02</v>
      </c>
      <c r="G16" s="109">
        <f>IF(B16=0,0,IF(C16&gt;9999,"",ROUND(VLOOKUP(VLOOKUP(B16,Operations!$A$2:$U$79,11,FALSE),PowerUnits[],10,FALSE)/VLOOKUP(B16,Operations!$A$2:$U$79,9,FALSE)*C16,2)))</f>
        <v>0.08</v>
      </c>
      <c r="H16" s="109">
        <f>IF(B16=0,"",IF(C16&gt;9999,"",ROUND(VLOOKUP($B16,Operations!$A$2:$U$79,15,FALSE)*C16,2)))</f>
        <v>1.4</v>
      </c>
      <c r="I16" s="109">
        <f>IF(B16=0,0,IF(C16&gt;9999,"",ROUND(VLOOKUP(VLOOKUP(B16,Operations!$A$2:$U$79,11,FALSE),PowerUnits[],16,FALSE)/VLOOKUP(B16,Operations!$A$2:$U$79,9,FALSE)*C16,2)))</f>
        <v>3.93</v>
      </c>
      <c r="J16" s="109">
        <f>IF(B16=0,"",IF(C16&gt;9999,"",ROUND(VLOOKUP($B16,Operations!$A$2:$U$79,21,FALSE)*$C16,2)))</f>
        <v>3.2</v>
      </c>
      <c r="K16" s="109">
        <f t="shared" si="0"/>
        <v>12.33</v>
      </c>
      <c r="L16" s="110"/>
    </row>
    <row r="17" spans="1:12" x14ac:dyDescent="0.2">
      <c r="A17" s="170">
        <v>6</v>
      </c>
      <c r="B17" s="180" t="s">
        <v>551</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183</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183</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x14ac:dyDescent="0.2">
      <c r="A20" s="170">
        <v>9</v>
      </c>
      <c r="B20" s="180" t="s">
        <v>525</v>
      </c>
      <c r="C20" s="174">
        <f>$K$3</f>
        <v>13</v>
      </c>
      <c r="D20" s="174" t="s">
        <v>693</v>
      </c>
      <c r="E20" s="109">
        <f>IF(B20=0,"",IF(C20&gt;9999,"",ROUND('General Variables'!$B$4*VLOOKUP(B20,Operations!$A$2:$U$79,10,FALSE)/VLOOKUP(B20,Operations!$A$2:$U$79,9,FALSE)*C20,2)))</f>
        <v>16.25</v>
      </c>
      <c r="F20" s="109">
        <f>IF(B20=0,0,IF(C20&gt;9999,"",ROUND(IF(VLOOKUP(B20,Operations!$A$2:$U$79,12,FALSE)=0,VLOOKUP(B20,Operations!$A$2:$U$79,13,FALSE)*'General Variables'!$B$8,VLOOKUP(B20,Operations!$A$2:$U$79,12,FALSE)*'General Variables'!$B$7)/VLOOKUP(B20,Operations!$A$2:$U$79,9,FALSE)*C20,2)))</f>
        <v>27.61</v>
      </c>
      <c r="G20" s="109">
        <f>IF(B20=0,0,IF(C20&gt;9999,"",ROUND(VLOOKUP(VLOOKUP(B20,Operations!$A$2:$U$79,11,FALSE),PowerUnits[],10,FALSE)/VLOOKUP(B20,Operations!$A$2:$U$79,9,FALSE)*C20,2)))</f>
        <v>7.24</v>
      </c>
      <c r="H20" s="109">
        <v>8</v>
      </c>
      <c r="I20" s="109">
        <f>IF(B20=0,0,IF(C20&gt;9999,"",ROUND(VLOOKUP(VLOOKUP(B20,Operations!$A$2:$U$79,11,FALSE),PowerUnits[],16,FALSE)/VLOOKUP(B20,Operations!$A$2:$U$79,9,FALSE)*C20,2)))</f>
        <v>12.69</v>
      </c>
      <c r="J20" s="109">
        <f>IF(B20=0,"",IF(C20&gt;9999,"",ROUND(VLOOKUP($B20,Operations!$A$2:$U$79,21,FALSE)*$C20,2)))</f>
        <v>20.57</v>
      </c>
      <c r="K20" s="109">
        <f t="shared" si="0"/>
        <v>92.36</v>
      </c>
      <c r="L20" s="110"/>
    </row>
    <row r="21" spans="1:12" x14ac:dyDescent="0.2">
      <c r="A21" s="170">
        <v>10</v>
      </c>
      <c r="B21" s="180" t="s">
        <v>944</v>
      </c>
      <c r="C21" s="174">
        <f>$G$4</f>
        <v>175</v>
      </c>
      <c r="D21" s="174"/>
      <c r="E21" s="109">
        <f>IF(B21=0,"",IF(C21&gt;9999,"",ROUND('General Variables'!$B$4*VLOOKUP(B21,Operations!$A$2:$U$79,10,FALSE)/VLOOKUP(B21,Operations!$A$2:$U$79,9,FALSE)*C21,2))/100)</f>
        <v>4.1914999999999996</v>
      </c>
      <c r="F21" s="109">
        <f>IF(B21=0,0,IF(C21&gt;9999,"",ROUND(IF(VLOOKUP(B21,Operations!$A$2:$U$79,12,FALSE)=0,VLOOKUP(B21,Operations!$A$2:$U$79,13,FALSE)*'General Variables'!$B$8,VLOOKUP(B21,Operations!$A$2:$U$79,12,FALSE)*'General Variables'!$B$7)/VLOOKUP(B21,Operations!$A$2:$U$79,9,FALSE)*C21,2))/100)</f>
        <v>4.7374999999999998</v>
      </c>
      <c r="G21" s="109">
        <f>IF(B21=0,0,IF(C21&gt;9999,"",ROUND(VLOOKUP(VLOOKUP(B21,Operations!$A$2:$U$79,11,FALSE),PowerUnits[],10,FALSE)/VLOOKUP(B21,Operations!$A$2:$U$79,9,FALSE)*C21,2))/100)</f>
        <v>7.2834000000000003</v>
      </c>
      <c r="H21" s="109">
        <f>IF(B21=0,"",IF(C21&gt;9999,"",ROUND(VLOOKUP($B21,Operations!$A$2:$U$79,15,FALSE)*C21,2))/100)</f>
        <v>1.8802000000000001</v>
      </c>
      <c r="I21" s="109">
        <f>IF(B21=0,0,IF(C21&gt;9999,"",ROUND(VLOOKUP(VLOOKUP(B21,Operations!$A$2:$U$79,11,FALSE),PowerUnits[],16,FALSE)/VLOOKUP(B21,Operations!$A$2:$U$79,9,FALSE)*C21,2))/100)</f>
        <v>17.540299999999998</v>
      </c>
      <c r="J21" s="109">
        <f>IF(B21=0,"",IF(C21&gt;9999,"",ROUND(VLOOKUP($B21,Operations!$A$2:$U$79,21,FALSE)*$C21,2))/100)</f>
        <v>7.8020000000000005</v>
      </c>
      <c r="K21" s="109">
        <f>IF(C21&gt;9999,"",ROUND(SUM(E21:J21),2))</f>
        <v>43.43</v>
      </c>
      <c r="L21" s="110"/>
    </row>
    <row r="22" spans="1:12" x14ac:dyDescent="0.2">
      <c r="A22" s="170">
        <v>11</v>
      </c>
      <c r="B22" s="180" t="s">
        <v>414</v>
      </c>
      <c r="C22" s="174">
        <f>$G$4</f>
        <v>175</v>
      </c>
      <c r="D22" s="174" t="s">
        <v>706</v>
      </c>
      <c r="E22" s="109">
        <f>IF(B22=0,"",IF(C22&gt;9999,"",ROUND('General Variables'!$B$4*VLOOKUP(B22,Operations!$A$2:$U$79,10,FALSE)/VLOOKUP(B22,Operations!$A$2:$U$79,9,FALSE)*C22,2)))</f>
        <v>1.58</v>
      </c>
      <c r="F22" s="109">
        <f>IF(B22=0,0,IF(C22&gt;9999,"",ROUND(IF(VLOOKUP(B22,Operations!$A$2:$U$79,12,FALSE)=0,VLOOKUP(B22,Operations!$A$2:$U$79,13,FALSE)*'General Variables'!$B$8,VLOOKUP(B22,Operations!$A$2:$U$79,12,FALSE)*'General Variables'!$B$7)/VLOOKUP(B22,Operations!$A$2:$U$79,9,FALSE)*C22,2)))</f>
        <v>0.51</v>
      </c>
      <c r="G22" s="109">
        <f>IF(B22=0,0,IF(C22&gt;9999,"",ROUND(VLOOKUP(VLOOKUP(B22,Operations!$A$2:$U$79,11,FALSE),PowerUnits[],10,FALSE)/VLOOKUP(B22,Operations!$A$2:$U$79,9,FALSE)*C22,2)))</f>
        <v>0.04</v>
      </c>
      <c r="H22" s="109">
        <f>IF(B22=0,"",IF(C22&gt;9999,"",ROUND(VLOOKUP($B22,Operations!$A$2:$U$79,15,FALSE)*C22,2)))</f>
        <v>0.97</v>
      </c>
      <c r="I22" s="109">
        <f>IF(B22=0,0,IF(C22&gt;9999,"",ROUND(VLOOKUP(VLOOKUP(B22,Operations!$A$2:$U$79,11,FALSE),PowerUnits[],16,FALSE)/VLOOKUP(B22,Operations!$A$2:$U$79,9,FALSE)*C22,2)))</f>
        <v>2.2999999999999998</v>
      </c>
      <c r="J22" s="109">
        <f>IF(B22=0,"",IF(C22&gt;9999,"",ROUND(VLOOKUP($B22,Operations!$A$2:$U$79,21,FALSE)*$C22,2)))</f>
        <v>1.93</v>
      </c>
      <c r="K22" s="109">
        <f t="shared" si="0"/>
        <v>7.33</v>
      </c>
      <c r="L22" s="110"/>
    </row>
    <row r="23" spans="1:12" x14ac:dyDescent="0.2">
      <c r="A23" s="170">
        <v>12</v>
      </c>
      <c r="B23" s="213" t="s">
        <v>565</v>
      </c>
      <c r="C23" s="214" t="s">
        <v>184</v>
      </c>
      <c r="D23" s="214"/>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x14ac:dyDescent="0.2">
      <c r="A24" s="170">
        <v>13</v>
      </c>
      <c r="B24" s="180" t="s">
        <v>496</v>
      </c>
      <c r="C24" s="174" t="s">
        <v>184</v>
      </c>
      <c r="D24" s="174"/>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33.6815</v>
      </c>
      <c r="F33" s="109">
        <f t="shared" ref="F33:K33" si="1">SUM(F12:F31)</f>
        <v>39.187499999999993</v>
      </c>
      <c r="G33" s="109">
        <f t="shared" si="1"/>
        <v>15.2934</v>
      </c>
      <c r="H33" s="109">
        <f t="shared" si="1"/>
        <v>24.150199999999998</v>
      </c>
      <c r="I33" s="109">
        <f t="shared" si="1"/>
        <v>56.710299999999989</v>
      </c>
      <c r="J33" s="109">
        <f t="shared" si="1"/>
        <v>47.021999999999998</v>
      </c>
      <c r="K33" s="109">
        <f t="shared" si="1"/>
        <v>216.04000000000002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241</v>
      </c>
      <c r="C37" s="388" t="str">
        <f>IF(B37=0,"",VLOOKUP($B37,Table2[],2,FALSE))</f>
        <v>Herbicide</v>
      </c>
      <c r="D37" s="388"/>
      <c r="E37" s="388"/>
      <c r="F37" s="174">
        <v>3</v>
      </c>
      <c r="G37" s="175">
        <v>1</v>
      </c>
      <c r="H37" s="176">
        <v>4</v>
      </c>
      <c r="I37" s="120" t="str">
        <f>IF($B37=0,"",VLOOKUP($B37,Table2[],5,FALSE))</f>
        <v>ounce</v>
      </c>
      <c r="J37" s="109">
        <f>IF($B37=0,"",VLOOKUP($B37,Table2[],7,FALSE))</f>
        <v>6.5</v>
      </c>
      <c r="K37" s="109">
        <f>IF(B37=0,0,ROUND(G37*H37*J37,2))</f>
        <v>26</v>
      </c>
      <c r="L37" s="110"/>
    </row>
    <row r="38" spans="1:12" x14ac:dyDescent="0.2">
      <c r="A38" s="105"/>
      <c r="B38" s="180" t="s">
        <v>244</v>
      </c>
      <c r="C38" s="388" t="str">
        <f>IF(B38=0,"",VLOOKUP($B38,Table2[],2,FALSE))</f>
        <v>Herbicide</v>
      </c>
      <c r="D38" s="388"/>
      <c r="E38" s="388"/>
      <c r="F38" s="174">
        <v>3</v>
      </c>
      <c r="G38" s="175">
        <v>1</v>
      </c>
      <c r="H38" s="176">
        <v>2.1</v>
      </c>
      <c r="I38" s="120" t="str">
        <f>IF($B38=0,"",VLOOKUP($B38,Table2[],5,FALSE))</f>
        <v>quart</v>
      </c>
      <c r="J38" s="109">
        <f>IF($B38=0,"",VLOOKUP($B38,Table2[],7,FALSE))</f>
        <v>13.25</v>
      </c>
      <c r="K38" s="109">
        <f t="shared" ref="K38:K56" si="2">IF(B38=0,0,ROUND(G38*H38*J38,2))</f>
        <v>27.83</v>
      </c>
      <c r="L38" s="110"/>
    </row>
    <row r="39" spans="1:12" x14ac:dyDescent="0.2">
      <c r="A39" s="105"/>
      <c r="B39" s="180" t="s">
        <v>201</v>
      </c>
      <c r="C39" s="388" t="str">
        <f>IF(B39=0,"",VLOOKUP($B39,Table2[],2,FALSE))</f>
        <v>Fertilizer</v>
      </c>
      <c r="D39" s="388"/>
      <c r="E39" s="388"/>
      <c r="F39" s="174">
        <v>4</v>
      </c>
      <c r="G39" s="175">
        <v>1</v>
      </c>
      <c r="H39" s="176">
        <v>8</v>
      </c>
      <c r="I39" s="120" t="str">
        <f>IF($B39=0,"",VLOOKUP($B39,Table2[],5,FALSE))</f>
        <v>gallon</v>
      </c>
      <c r="J39" s="109">
        <f>IF($B39=0,"",VLOOKUP($B39,Table2[],7,FALSE))</f>
        <v>3.1</v>
      </c>
      <c r="K39" s="109">
        <f t="shared" si="2"/>
        <v>24.8</v>
      </c>
      <c r="L39" s="110"/>
    </row>
    <row r="40" spans="1:12" x14ac:dyDescent="0.2">
      <c r="A40" s="105"/>
      <c r="B40" s="213" t="s">
        <v>329</v>
      </c>
      <c r="C40" s="387" t="str">
        <f>IF(B40=0,"",VLOOKUP($B40,Table2[],2,FALSE))</f>
        <v>Seed</v>
      </c>
      <c r="D40" s="387"/>
      <c r="E40" s="387"/>
      <c r="F40" s="214">
        <v>4</v>
      </c>
      <c r="G40" s="221">
        <v>1</v>
      </c>
      <c r="H40" s="308">
        <v>27.2</v>
      </c>
      <c r="I40" s="223" t="str">
        <f>IF($B40=0,"",VLOOKUP($B40,Table2[],5,FALSE))</f>
        <v>k seed</v>
      </c>
      <c r="J40" s="215">
        <f>IF($B40=0,"",VLOOKUP($B40,Table2[],7,FALSE))</f>
        <v>4.375</v>
      </c>
      <c r="K40" s="215">
        <f t="shared" si="2"/>
        <v>119</v>
      </c>
      <c r="L40" s="216"/>
    </row>
    <row r="41" spans="1:12" x14ac:dyDescent="0.2">
      <c r="A41" s="105"/>
      <c r="B41" s="180" t="s">
        <v>209</v>
      </c>
      <c r="C41" s="388" t="str">
        <f>IF(B41=0,"",VLOOKUP($B41,Table2[],2,FALSE))</f>
        <v>Fertilizer</v>
      </c>
      <c r="D41" s="388"/>
      <c r="E41" s="388"/>
      <c r="F41" s="174">
        <v>8</v>
      </c>
      <c r="G41" s="175">
        <v>1</v>
      </c>
      <c r="H41" s="181">
        <v>165</v>
      </c>
      <c r="I41" s="120" t="str">
        <f>IF($B41=0,"",VLOOKUP($B41,Table2[],5,FALSE))</f>
        <v>lbs N</v>
      </c>
      <c r="J41" s="109">
        <f>IF($B41=0,"",VLOOKUP($B41,Table2[],7,FALSE))</f>
        <v>0.5</v>
      </c>
      <c r="K41" s="109">
        <f t="shared" si="2"/>
        <v>82.5</v>
      </c>
      <c r="L41" s="110"/>
    </row>
    <row r="42" spans="1:12" x14ac:dyDescent="0.2">
      <c r="A42" s="105"/>
      <c r="B42" s="180" t="s">
        <v>200</v>
      </c>
      <c r="C42" s="388" t="str">
        <f>IF(B42=0,"",VLOOKUP($B42,Table2[],2,FALSE))</f>
        <v>Custom</v>
      </c>
      <c r="D42" s="388"/>
      <c r="E42" s="388"/>
      <c r="F42" s="174">
        <v>6</v>
      </c>
      <c r="G42" s="175">
        <v>1</v>
      </c>
      <c r="H42" s="176">
        <v>1</v>
      </c>
      <c r="I42" s="120" t="str">
        <f>IF($B42=0,"",VLOOKUP($B42,Table2[],5,FALSE))</f>
        <v>acre</v>
      </c>
      <c r="J42" s="109">
        <f>IF($B42=0,"",VLOOKUP($B42,Table2[],7,FALSE))</f>
        <v>9</v>
      </c>
      <c r="K42" s="109">
        <f t="shared" si="2"/>
        <v>9</v>
      </c>
      <c r="L42" s="110"/>
    </row>
    <row r="43" spans="1:12" x14ac:dyDescent="0.2">
      <c r="A43" s="143"/>
      <c r="B43" s="180" t="s">
        <v>259</v>
      </c>
      <c r="C43" s="388" t="str">
        <f>IF(B43=0,"",VLOOKUP($B43,Table2[],2,FALSE))</f>
        <v>Herbicide</v>
      </c>
      <c r="D43" s="388"/>
      <c r="E43" s="388"/>
      <c r="F43" s="174">
        <v>6</v>
      </c>
      <c r="G43" s="175">
        <v>1</v>
      </c>
      <c r="H43" s="176">
        <v>32</v>
      </c>
      <c r="I43" s="120" t="str">
        <f>IF($B43=0,"",VLOOKUP($B43,Table2[],5,FALSE))</f>
        <v>ounce</v>
      </c>
      <c r="J43" s="109">
        <f>IF($B43=0,"",VLOOKUP($B43,Table2[],7,FALSE))</f>
        <v>0.1328125</v>
      </c>
      <c r="K43" s="109">
        <f t="shared" si="2"/>
        <v>4.25</v>
      </c>
      <c r="L43" s="110"/>
    </row>
    <row r="44" spans="1:12" x14ac:dyDescent="0.2">
      <c r="A44" s="143"/>
      <c r="B44" s="213" t="s">
        <v>236</v>
      </c>
      <c r="C44" s="387" t="str">
        <f>IF(B44=0,"",VLOOKUP($B44,Table2[],2,FALSE))</f>
        <v>Herbicide</v>
      </c>
      <c r="D44" s="387"/>
      <c r="E44" s="387"/>
      <c r="F44" s="214">
        <v>6</v>
      </c>
      <c r="G44" s="221">
        <v>1</v>
      </c>
      <c r="H44" s="222">
        <v>14</v>
      </c>
      <c r="I44" s="223" t="str">
        <f>IF($B44=0,"",VLOOKUP($B44,Table2[],5,FALSE))</f>
        <v>ounce</v>
      </c>
      <c r="J44" s="215">
        <f>IF($B44=0,"",VLOOKUP($B44,Table2[],7,FALSE))</f>
        <v>1.640625</v>
      </c>
      <c r="K44" s="215">
        <f t="shared" si="2"/>
        <v>22.97</v>
      </c>
      <c r="L44" s="216"/>
    </row>
    <row r="45" spans="1:12" x14ac:dyDescent="0.2">
      <c r="A45" s="143"/>
      <c r="B45" s="180" t="s">
        <v>170</v>
      </c>
      <c r="C45" s="388" t="str">
        <f>IF(B45=0,"",VLOOKUP($B45,Table2[],2,FALSE))</f>
        <v>Additive</v>
      </c>
      <c r="D45" s="388"/>
      <c r="E45" s="388"/>
      <c r="F45" s="174">
        <v>6</v>
      </c>
      <c r="G45" s="175">
        <v>1</v>
      </c>
      <c r="H45" s="176">
        <v>1.7</v>
      </c>
      <c r="I45" s="120" t="str">
        <f>IF($B45=0,"",VLOOKUP($B45,Table2[],5,FALSE))</f>
        <v>pound</v>
      </c>
      <c r="J45" s="109">
        <f>IF($B45=0,"",VLOOKUP($B45,Table2[],7,FALSE))</f>
        <v>0.4</v>
      </c>
      <c r="K45" s="109">
        <f t="shared" si="2"/>
        <v>0.68</v>
      </c>
      <c r="L45" s="110"/>
    </row>
    <row r="46" spans="1:12" x14ac:dyDescent="0.2">
      <c r="A46" s="143"/>
      <c r="B46" s="180" t="s">
        <v>183</v>
      </c>
      <c r="C46" s="388" t="str">
        <f>IF(B46=0,"",VLOOKUP($B46,Table2[],2,FALSE))</f>
        <v>Custom</v>
      </c>
      <c r="D46" s="388"/>
      <c r="E46" s="388"/>
      <c r="F46" s="174">
        <v>7</v>
      </c>
      <c r="G46" s="175">
        <v>0.2</v>
      </c>
      <c r="H46" s="176">
        <v>1</v>
      </c>
      <c r="I46" s="120" t="str">
        <f>IF($B46=0,"",VLOOKUP($B46,Table2[],5,FALSE))</f>
        <v>acre</v>
      </c>
      <c r="J46" s="109">
        <f>IF($B46=0,"",VLOOKUP($B46,Table2[],7,FALSE))</f>
        <v>11</v>
      </c>
      <c r="K46" s="109">
        <f t="shared" si="2"/>
        <v>2.2000000000000002</v>
      </c>
      <c r="L46" s="110"/>
    </row>
    <row r="47" spans="1:12" x14ac:dyDescent="0.2">
      <c r="A47" s="143"/>
      <c r="B47" s="180" t="s">
        <v>286</v>
      </c>
      <c r="C47" s="388" t="str">
        <f>IF(B47=0,"",VLOOKUP($B47,Table2[],2,FALSE))</f>
        <v>Insecticide</v>
      </c>
      <c r="D47" s="388"/>
      <c r="E47" s="388"/>
      <c r="F47" s="174">
        <v>7</v>
      </c>
      <c r="G47" s="175">
        <v>0.1</v>
      </c>
      <c r="H47" s="176">
        <v>5.12</v>
      </c>
      <c r="I47" s="120" t="str">
        <f>IF($B47=0,"",VLOOKUP($B47,Table2[],5,FALSE))</f>
        <v>ounce</v>
      </c>
      <c r="J47" s="109">
        <f>IF($B47=0,"",VLOOKUP($B47,Table2[],7,FALSE))</f>
        <v>1.015625</v>
      </c>
      <c r="K47" s="109">
        <f t="shared" si="2"/>
        <v>0.52</v>
      </c>
      <c r="L47" s="110"/>
    </row>
    <row r="48" spans="1:12" x14ac:dyDescent="0.2">
      <c r="A48" s="143"/>
      <c r="B48" s="180" t="s">
        <v>288</v>
      </c>
      <c r="C48" s="170"/>
      <c r="D48" s="170" t="s">
        <v>285</v>
      </c>
      <c r="E48" s="170"/>
      <c r="F48" s="174">
        <v>7</v>
      </c>
      <c r="G48" s="175">
        <v>0.2</v>
      </c>
      <c r="H48" s="176">
        <v>3</v>
      </c>
      <c r="I48" s="120" t="s">
        <v>174</v>
      </c>
      <c r="J48" s="109">
        <f>IF($B48=0,"",VLOOKUP($B48,Table2[],7,FALSE))</f>
        <v>1.25</v>
      </c>
      <c r="K48" s="109">
        <f t="shared" ref="K48" si="3">IF(B48=0,0,ROUND(G48*H48*J48,2))</f>
        <v>0.75</v>
      </c>
      <c r="L48" s="110"/>
    </row>
    <row r="49" spans="1:12" x14ac:dyDescent="0.2">
      <c r="A49" s="105"/>
      <c r="B49" s="213" t="s">
        <v>183</v>
      </c>
      <c r="C49" s="387" t="str">
        <f>IF(B49=0,"",VLOOKUP($B49,Table2[],2,FALSE))</f>
        <v>Custom</v>
      </c>
      <c r="D49" s="387"/>
      <c r="E49" s="387"/>
      <c r="F49" s="214">
        <v>8</v>
      </c>
      <c r="G49" s="221">
        <v>0.2</v>
      </c>
      <c r="H49" s="222">
        <v>1</v>
      </c>
      <c r="I49" s="223" t="str">
        <f>IF($B49=0,"",VLOOKUP($B49,Table2[],5,FALSE))</f>
        <v>acre</v>
      </c>
      <c r="J49" s="215">
        <f>IF($B49=0,"",VLOOKUP($B49,Table2[],7,FALSE))</f>
        <v>11</v>
      </c>
      <c r="K49" s="215">
        <f t="shared" si="2"/>
        <v>2.2000000000000002</v>
      </c>
      <c r="L49" s="216"/>
    </row>
    <row r="50" spans="1:12" x14ac:dyDescent="0.2">
      <c r="A50" s="105"/>
      <c r="B50" s="180" t="s">
        <v>216</v>
      </c>
      <c r="C50" s="388" t="str">
        <f>IF(B50=0,"",VLOOKUP($B50,Table2[],2,FALSE))</f>
        <v>Fungicide</v>
      </c>
      <c r="D50" s="388"/>
      <c r="E50" s="388"/>
      <c r="F50" s="174">
        <v>8</v>
      </c>
      <c r="G50" s="175">
        <v>0.2</v>
      </c>
      <c r="H50" s="176">
        <v>3</v>
      </c>
      <c r="I50" s="120" t="str">
        <f>IF($B50=0,"",VLOOKUP($B50,Table2[],5,FALSE))</f>
        <v>ounce</v>
      </c>
      <c r="J50" s="109">
        <f>IF($B50=0,"",VLOOKUP($B50,Table2[],7,FALSE))</f>
        <v>5.078125</v>
      </c>
      <c r="K50" s="109">
        <f t="shared" si="2"/>
        <v>3.05</v>
      </c>
      <c r="L50" s="110"/>
    </row>
    <row r="51" spans="1:12" x14ac:dyDescent="0.2">
      <c r="A51" s="105"/>
      <c r="B51" s="180" t="s">
        <v>291</v>
      </c>
      <c r="C51" s="388" t="str">
        <f>IF(B51=0,"",VLOOKUP($B51,Table2[],2,FALSE))</f>
        <v>Other</v>
      </c>
      <c r="D51" s="388"/>
      <c r="E51" s="388"/>
      <c r="F51" s="174">
        <v>9</v>
      </c>
      <c r="G51" s="175">
        <v>1</v>
      </c>
      <c r="H51" s="176">
        <v>1</v>
      </c>
      <c r="I51" s="120" t="str">
        <f>IF($B51=0,"",VLOOKUP($B51,Table2[],5,FALSE))</f>
        <v>acre</v>
      </c>
      <c r="J51" s="109">
        <f>IF($B51=0,"",VLOOKUP($B51,Table2[],7,FALSE))</f>
        <v>52</v>
      </c>
      <c r="K51" s="109">
        <f>IF(B51=0,0,ROUND(G51*H51*J51,2))</f>
        <v>52</v>
      </c>
      <c r="L51" s="110"/>
    </row>
    <row r="52" spans="1:12" x14ac:dyDescent="0.2">
      <c r="B52" s="180" t="s">
        <v>198</v>
      </c>
      <c r="C52" s="388" t="str">
        <f>IF(B52=0,"",VLOOKUP($B52,Table2[],2,FALSE))</f>
        <v>Custom</v>
      </c>
      <c r="D52" s="388"/>
      <c r="E52" s="388"/>
      <c r="F52" s="174">
        <v>12</v>
      </c>
      <c r="G52" s="175">
        <v>1</v>
      </c>
      <c r="H52" s="176">
        <f>$G$4</f>
        <v>175</v>
      </c>
      <c r="I52" s="120" t="str">
        <f>IF($B52=0,"",VLOOKUP($B52,Table2[],5,FALSE))</f>
        <v>bushel</v>
      </c>
      <c r="J52" s="109">
        <f>IF($B52=0,"",VLOOKUP($B52,Table2[],7,FALSE))</f>
        <v>0.15</v>
      </c>
      <c r="K52" s="109">
        <f t="shared" si="2"/>
        <v>26.25</v>
      </c>
      <c r="L52" s="110"/>
    </row>
    <row r="53" spans="1:12" x14ac:dyDescent="0.2">
      <c r="B53" s="213" t="s">
        <v>190</v>
      </c>
      <c r="C53" s="387" t="str">
        <f>IF(B53=0,"",VLOOKUP($B53,Table2[],2,FALSE))</f>
        <v>Custom</v>
      </c>
      <c r="D53" s="387"/>
      <c r="E53" s="387"/>
      <c r="F53" s="214">
        <v>13</v>
      </c>
      <c r="G53" s="221">
        <v>0.1</v>
      </c>
      <c r="H53" s="222">
        <f>$G$4</f>
        <v>175</v>
      </c>
      <c r="I53" s="223" t="str">
        <f>IF($B53=0,"",VLOOKUP($B53,Table2[],5,FALSE))</f>
        <v>bushel</v>
      </c>
      <c r="J53" s="215">
        <f>IF($B53=0,"",VLOOKUP($B53,Table2[],7,FALSE))</f>
        <v>0.1</v>
      </c>
      <c r="K53" s="215">
        <f t="shared" si="2"/>
        <v>1.75</v>
      </c>
      <c r="L53" s="216"/>
    </row>
    <row r="54" spans="1:12" x14ac:dyDescent="0.2">
      <c r="B54" s="111" t="s">
        <v>313</v>
      </c>
      <c r="C54" s="388" t="str">
        <f>IF(B54=0,"",VLOOKUP($B54,Table2[],2,FALSE))</f>
        <v>Scouting</v>
      </c>
      <c r="D54" s="388"/>
      <c r="E54" s="388"/>
      <c r="F54" s="112"/>
      <c r="G54" s="175">
        <v>1</v>
      </c>
      <c r="H54" s="178">
        <v>1</v>
      </c>
      <c r="I54" s="120" t="str">
        <f>IF($B54=0,"",VLOOKUP($B54,Table2[],5,FALSE))</f>
        <v>acre</v>
      </c>
      <c r="J54" s="109">
        <f>IF($B54=0,"",VLOOKUP($B54,Table2[],7,FALSE))</f>
        <v>13</v>
      </c>
      <c r="K54" s="109">
        <f t="shared" si="2"/>
        <v>13</v>
      </c>
      <c r="L54" s="110"/>
    </row>
    <row r="55" spans="1:12" ht="12.75" hidden="1" customHeight="1" x14ac:dyDescent="0.2">
      <c r="B55" s="111"/>
      <c r="C55" s="388" t="str">
        <f>IF(B55=0,"",VLOOKUP($B55,Table2[],2,FALSE))</f>
        <v/>
      </c>
      <c r="D55" s="388"/>
      <c r="E55" s="388"/>
      <c r="F55" s="112"/>
      <c r="G55" s="175">
        <v>0.3</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8</v>
      </c>
      <c r="K62" s="109">
        <f ca="1">IF(B62=0,0,J62)</f>
        <v>8</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 ca="1">SUM(K37:K62)</f>
        <v>426.75</v>
      </c>
      <c r="L64" s="110"/>
    </row>
    <row r="65" spans="2:12" x14ac:dyDescent="0.2">
      <c r="B65" s="144"/>
      <c r="K65" s="128"/>
    </row>
    <row r="66" spans="2:12" x14ac:dyDescent="0.2">
      <c r="B66" s="107" t="s">
        <v>672</v>
      </c>
      <c r="K66" s="141">
        <f ca="1">K33+K64</f>
        <v>642.79</v>
      </c>
      <c r="L66" s="110"/>
    </row>
    <row r="67" spans="2:12" ht="13.5" thickBot="1" x14ac:dyDescent="0.25">
      <c r="D67" s="128" t="s">
        <v>673</v>
      </c>
      <c r="E67" s="129">
        <f ca="1">ROUND(SUM($E$33:$H$33)+$K$64,2)</f>
        <v>539.05999999999995</v>
      </c>
      <c r="F67" s="388" t="s">
        <v>674</v>
      </c>
      <c r="G67" s="388"/>
      <c r="H67" s="130">
        <f>'General Variables'!$B$11</f>
        <v>7.4999999999999997E-2</v>
      </c>
      <c r="I67" s="131" t="str">
        <f>CONCATENATE("for ",TEXT('General Variables'!$B$12,"0.0")," mo.")</f>
        <v>for 6.0 mo.</v>
      </c>
      <c r="K67" s="145">
        <f ca="1">E67*H67*'General Variables'!$B$12/12</f>
        <v>20.214749999999999</v>
      </c>
      <c r="L67" s="133"/>
    </row>
    <row r="68" spans="2:12" ht="13.5" thickTop="1" x14ac:dyDescent="0.2">
      <c r="B68" s="107" t="s">
        <v>675</v>
      </c>
      <c r="K68" s="141">
        <f ca="1">SUM(K66:K67)</f>
        <v>663.00474999999994</v>
      </c>
      <c r="L68" s="110"/>
    </row>
    <row r="69" spans="2:12" x14ac:dyDescent="0.2">
      <c r="K69" s="128"/>
    </row>
    <row r="70" spans="2:12" x14ac:dyDescent="0.2">
      <c r="B70" s="104" t="s">
        <v>676</v>
      </c>
      <c r="C70" s="134"/>
      <c r="D70" s="134"/>
      <c r="E70" s="134"/>
      <c r="F70" s="134"/>
      <c r="G70" s="134"/>
      <c r="H70" s="134"/>
      <c r="I70" s="134"/>
      <c r="J70" s="134"/>
      <c r="K70" s="142">
        <f>'General Variables'!B14</f>
        <v>35</v>
      </c>
      <c r="L70" s="110"/>
    </row>
    <row r="71" spans="2:12" x14ac:dyDescent="0.2">
      <c r="B71" s="103" t="s">
        <v>687</v>
      </c>
      <c r="C71" s="402" t="s">
        <v>42</v>
      </c>
      <c r="D71" s="403"/>
      <c r="E71" s="404"/>
      <c r="F71" s="136">
        <f>IF(C71=0,0,VLOOKUP(C71,RETable,2,FALSE))</f>
        <v>3970</v>
      </c>
      <c r="G71" s="388" t="s">
        <v>678</v>
      </c>
      <c r="H71" s="388"/>
      <c r="I71" s="130">
        <f>'General Variables'!$B$10</f>
        <v>0.03</v>
      </c>
      <c r="K71" s="146">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7">
        <f>ROUND(F72*I72,2)</f>
        <v>51.61</v>
      </c>
      <c r="L72" s="133"/>
    </row>
    <row r="73" spans="2:12" ht="13.5" thickTop="1" x14ac:dyDescent="0.2">
      <c r="B73" s="107" t="s">
        <v>680</v>
      </c>
      <c r="K73" s="141">
        <f ca="1">SUM(K68:K72)</f>
        <v>868.71474999999998</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3.6907699999999997</v>
      </c>
      <c r="L75" s="148"/>
    </row>
    <row r="76" spans="2:12" x14ac:dyDescent="0.2">
      <c r="B76" s="107" t="str">
        <f>IF(G4="","","Cost of production per "&amp;H4)</f>
        <v>Cost of production per bushel</v>
      </c>
      <c r="K76" s="141">
        <f ca="1">IF(G4="","",K73/G4)</f>
        <v>4.9640842857142857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F67:G67"/>
    <mergeCell ref="C71:E71"/>
    <mergeCell ref="G71:H71"/>
    <mergeCell ref="G72:H72"/>
    <mergeCell ref="C57:E57"/>
    <mergeCell ref="C58:E58"/>
    <mergeCell ref="C59:E59"/>
    <mergeCell ref="C60:E60"/>
    <mergeCell ref="C61:E61"/>
    <mergeCell ref="C62:E62"/>
    <mergeCell ref="C56:E56"/>
    <mergeCell ref="C44:E44"/>
    <mergeCell ref="C45:E45"/>
    <mergeCell ref="C46:E46"/>
    <mergeCell ref="C47:E47"/>
    <mergeCell ref="C49:E49"/>
    <mergeCell ref="C50:E50"/>
    <mergeCell ref="C52:E52"/>
    <mergeCell ref="C53:E53"/>
    <mergeCell ref="C54:E54"/>
    <mergeCell ref="C55:E55"/>
    <mergeCell ref="C51:E51"/>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2B00-000000000000}">
      <formula1>$B$112:$B$209</formula1>
    </dataValidation>
    <dataValidation type="list" showInputMessage="1" showErrorMessage="1" sqref="B63" xr:uid="{00000000-0002-0000-2B00-000001000000}">
      <formula1>$C$112:$C$235</formula1>
    </dataValidation>
    <dataValidation type="list" allowBlank="1" showInputMessage="1" showErrorMessage="1" sqref="K4" xr:uid="{00000000-0002-0000-2B00-000002000000}">
      <formula1>$K$112:$K$114</formula1>
    </dataValidation>
    <dataValidation type="list" allowBlank="1" showInputMessage="1" showErrorMessage="1" sqref="B37:B61" xr:uid="{00000000-0002-0000-2B00-000003000000}">
      <formula1>MaterialList</formula1>
    </dataValidation>
    <dataValidation type="list" allowBlank="1" showInputMessage="1" showErrorMessage="1" sqref="C71:E71" xr:uid="{00000000-0002-0000-2B00-000004000000}">
      <formula1>RealEstateList</formula1>
    </dataValidation>
    <dataValidation type="list" allowBlank="1" showInputMessage="1" showErrorMessage="1" sqref="B12:B31" xr:uid="{00000000-0002-0000-2B00-000005000000}">
      <formula1>OperationList</formula1>
    </dataValidation>
    <dataValidation type="list" allowBlank="1" showInputMessage="1" showErrorMessage="1" sqref="D12:D19 D21:D32" xr:uid="{00000000-0002-0000-2B00-000006000000}">
      <formula1>#REF!</formula1>
    </dataValidation>
    <dataValidation type="list" allowBlank="1" showInputMessage="1" showErrorMessage="1" sqref="K2" xr:uid="{00000000-0002-0000-2B00-000007000000}">
      <formula1>watersource</formula1>
    </dataValidation>
    <dataValidation type="list" allowBlank="1" showInputMessage="1" showErrorMessage="1" sqref="C3" xr:uid="{00000000-0002-0000-2B00-000008000000}">
      <formula1>TillageSystem</formula1>
    </dataValidation>
  </dataValidations>
  <pageMargins left="0.7" right="0.7" top="0.75" bottom="0.75" header="0.3" footer="0.3"/>
  <pageSetup scale="71" orientation="portrait" r:id="rId1"/>
  <ignoredErrors>
    <ignoredError sqref="C21" unlockedFormula="1"/>
    <ignoredError sqref="E21:J2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76">
    <pageSetUpPr fitToPage="1"/>
  </sheetPr>
  <dimension ref="A2:M257"/>
  <sheetViews>
    <sheetView zoomScaleNormal="100" workbookViewId="0">
      <selection activeCell="G45" sqref="G4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713</v>
      </c>
      <c r="H2" s="392"/>
      <c r="J2" s="128" t="s">
        <v>649</v>
      </c>
      <c r="K2" s="401" t="s">
        <v>70</v>
      </c>
      <c r="L2" s="401"/>
    </row>
    <row r="3" spans="1:13" hidden="1" x14ac:dyDescent="0.2">
      <c r="B3" s="103" t="s">
        <v>38</v>
      </c>
      <c r="C3" s="391" t="s">
        <v>43</v>
      </c>
      <c r="D3" s="391"/>
      <c r="E3" s="391"/>
      <c r="G3" s="128" t="s">
        <v>650</v>
      </c>
      <c r="H3" s="187" t="s">
        <v>719</v>
      </c>
      <c r="J3" s="128" t="s">
        <v>651</v>
      </c>
      <c r="K3" s="187">
        <v>13</v>
      </c>
    </row>
    <row r="4" spans="1:13" hidden="1" x14ac:dyDescent="0.2">
      <c r="B4" s="103" t="s">
        <v>652</v>
      </c>
      <c r="C4" s="392" t="s">
        <v>722</v>
      </c>
      <c r="D4" s="392"/>
      <c r="E4" s="392"/>
      <c r="G4" s="103">
        <f>IFERROR(VALUE(LEFT($H$3,FIND(" ",$H$3))),"")</f>
        <v>185</v>
      </c>
      <c r="H4" s="103" t="str">
        <f>IFERROR(RIGHT(H3,LEN(H3)-LEN(G4)-1),"")</f>
        <v>bushel</v>
      </c>
      <c r="J4" s="128" t="s">
        <v>653</v>
      </c>
      <c r="K4" s="188" t="s">
        <v>681</v>
      </c>
    </row>
    <row r="5" spans="1:13" ht="15.75" hidden="1" customHeight="1" x14ac:dyDescent="0.2">
      <c r="B5" s="103" t="s">
        <v>655</v>
      </c>
      <c r="C5" s="103" t="str">
        <f ca="1">MID(CELL("filename",C5),FIND("]",CELL("filename",C5))+1,255)</f>
        <v>39-Corn</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39-Corn, Bt, ECB, RR2, LL, &amp; RIB, Panhandle, Conventional Tillage, after Beans, 185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39-Corn, Bt, ECB, RR2, LL, &amp; RIB, Panhandle, Conventional Tillage, after Beans, 185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13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498</v>
      </c>
      <c r="C12" s="174">
        <v>1</v>
      </c>
      <c r="D12" s="174"/>
      <c r="E12" s="109">
        <f>IF(B12=0,"",IF(C12&gt;9999,"",ROUND('General Variables'!$B$4*VLOOKUP(B12,Operations!$A$2:$U$79,10,FALSE)/VLOOKUP(B12,Operations!$A$2:$U$79,9,FALSE)*C12,2)))</f>
        <v>1.98</v>
      </c>
      <c r="F12" s="109">
        <f>IF(B12=0,0,IF(C12&gt;9999,"",ROUND(IF(VLOOKUP(B12,Operations!$A$2:$U$79,12,FALSE)=0,VLOOKUP(B12,Operations!$A$2:$U$79,13,FALSE)*'General Variables'!$B$8,VLOOKUP(B12,Operations!$A$2:$U$79,12,FALSE)*'General Variables'!$B$7)/VLOOKUP(B12,Operations!$A$2:$U$79,9,FALSE)*C12,2)))</f>
        <v>1.75</v>
      </c>
      <c r="G12" s="109">
        <f>IF(B12=0,0,IF(C12&gt;9999,"",ROUND(VLOOKUP(VLOOKUP(B12,Operations!$A$2:$U$79,11,FALSE),PowerUnits[],10,FALSE)/VLOOKUP(B12,Operations!$A$2:$U$79,9,FALSE)*C12,2)))</f>
        <v>0.23</v>
      </c>
      <c r="H12" s="109">
        <f>IF(B12=0,"",IF(C12&gt;9999,"",ROUND(VLOOKUP($B12,Operations!$A$2:$U$79,15,FALSE)*C12,2)))</f>
        <v>2.14</v>
      </c>
      <c r="I12" s="109">
        <f>IF(B12=0,0,IF(C12&gt;9999,"",ROUND(VLOOKUP(VLOOKUP(B12,Operations!$A$2:$U$79,11,FALSE),PowerUnits[],16,FALSE)/VLOOKUP(B12,Operations!$A$2:$U$79,9,FALSE)*C12,2)))</f>
        <v>6.15</v>
      </c>
      <c r="J12" s="109">
        <f>IF(B12=0,"",IF(C12&gt;9999,"",ROUND(VLOOKUP($B12,Operations!$A$2:$U$79,21,FALSE)*$C12,2)))</f>
        <v>2.4300000000000002</v>
      </c>
      <c r="K12" s="109">
        <f>IF(C12&gt;9999,"",ROUND(SUM(E12:J12),2))</f>
        <v>14.68</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526</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0.87</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22.1</v>
      </c>
      <c r="L14" s="110"/>
    </row>
    <row r="15" spans="1:13" x14ac:dyDescent="0.2">
      <c r="A15" s="170">
        <v>4</v>
      </c>
      <c r="B15" s="213" t="s">
        <v>545</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1.02</v>
      </c>
      <c r="G15" s="215">
        <f>IF(B15=0,0,IF(C15&gt;9999,"",ROUND(VLOOKUP(VLOOKUP(B15,Operations!$A$2:$U$79,11,FALSE),PowerUnits[],10,FALSE)/VLOOKUP(B15,Operations!$A$2:$U$79,9,FALSE)*C15,2)))</f>
        <v>0.08</v>
      </c>
      <c r="H15" s="215">
        <f>IF(B15=0,"",IF(C15&gt;9999,"",ROUND(VLOOKUP($B15,Operations!$A$2:$U$79,15,FALSE)*C15,2)))</f>
        <v>1.4</v>
      </c>
      <c r="I15" s="215">
        <f>IF(B15=0,0,IF(C15&gt;9999,"",ROUND(VLOOKUP(VLOOKUP(B15,Operations!$A$2:$U$79,11,FALSE),PowerUnits[],16,FALSE)/VLOOKUP(B15,Operations!$A$2:$U$79,9,FALSE)*C15,2)))</f>
        <v>3.93</v>
      </c>
      <c r="J15" s="215">
        <f>IF(B15=0,"",IF(C15&gt;9999,"",ROUND(VLOOKUP($B15,Operations!$A$2:$U$79,21,FALSE)*$C15,2)))</f>
        <v>3.2</v>
      </c>
      <c r="K15" s="215">
        <f t="shared" si="0"/>
        <v>12.33</v>
      </c>
      <c r="L15" s="216"/>
    </row>
    <row r="16" spans="1:13" x14ac:dyDescent="0.2">
      <c r="A16" s="170">
        <v>5</v>
      </c>
      <c r="B16" s="180" t="s">
        <v>551</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183</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525</v>
      </c>
      <c r="C19" s="214">
        <f>$K$3</f>
        <v>13</v>
      </c>
      <c r="D19" s="214" t="s">
        <v>693</v>
      </c>
      <c r="E19" s="215">
        <f>IF(B19=0,"",IF(C19&gt;9999,"",ROUND('General Variables'!$B$4*VLOOKUP(B19,Operations!$A$2:$U$79,10,FALSE)/VLOOKUP(B19,Operations!$A$2:$U$79,9,FALSE)*C19,2)))</f>
        <v>16.25</v>
      </c>
      <c r="F19" s="215">
        <f>IF(B19=0,0,IF(C19&gt;9999,"",ROUND(IF(VLOOKUP(B19,Operations!$A$2:$U$79,12,FALSE)=0,VLOOKUP(B19,Operations!$A$2:$U$79,13,FALSE)*'General Variables'!$B$8,VLOOKUP(B19,Operations!$A$2:$U$79,12,FALSE)*'General Variables'!$B$7)/VLOOKUP(B19,Operations!$A$2:$U$79,9,FALSE)*C19,2)))</f>
        <v>27.61</v>
      </c>
      <c r="G19" s="215">
        <f>IF(B19=0,0,IF(C19&gt;9999,"",ROUND(VLOOKUP(VLOOKUP(B19,Operations!$A$2:$U$79,11,FALSE),PowerUnits[],10,FALSE)/VLOOKUP(B19,Operations!$A$2:$U$79,9,FALSE)*C19,2)))</f>
        <v>7.24</v>
      </c>
      <c r="H19" s="215">
        <v>8</v>
      </c>
      <c r="I19" s="215">
        <f>IF(B19=0,0,IF(C19&gt;9999,"",ROUND(VLOOKUP(VLOOKUP(B19,Operations!$A$2:$U$79,11,FALSE),PowerUnits[],16,FALSE)/VLOOKUP(B19,Operations!$A$2:$U$79,9,FALSE)*C19,2)))</f>
        <v>12.69</v>
      </c>
      <c r="J19" s="215">
        <f>IF(B19=0,"",IF(C19&gt;9999,"",ROUND(VLOOKUP($B19,Operations!$A$2:$U$79,21,FALSE)*$C19,2)))</f>
        <v>20.57</v>
      </c>
      <c r="K19" s="215">
        <f>IF(C19&gt;9999,"",ROUND(SUM(E19:J19),2))</f>
        <v>92.36</v>
      </c>
      <c r="L19" s="216"/>
    </row>
    <row r="20" spans="1:12" x14ac:dyDescent="0.2">
      <c r="A20" s="170">
        <v>9</v>
      </c>
      <c r="B20" s="180" t="s">
        <v>944</v>
      </c>
      <c r="C20" s="174">
        <f>$G$4</f>
        <v>185</v>
      </c>
      <c r="D20" s="174"/>
      <c r="E20" s="109">
        <f>IF(B20=0,"",IF(C20&gt;9999,"",ROUND('General Variables'!$B$4*VLOOKUP(B20,Operations!$A$2:$U$79,10,FALSE)/VLOOKUP(B20,Operations!$A$2:$U$79,9,FALSE)*C20,2))/100)</f>
        <v>4.431</v>
      </c>
      <c r="F20" s="109">
        <f>IF(B20=0,0,IF(C20&gt;9999,"",ROUND(IF(VLOOKUP(B20,Operations!$A$2:$U$79,12,FALSE)=0,VLOOKUP(B20,Operations!$A$2:$U$79,13,FALSE)*'General Variables'!$B$8,VLOOKUP(B20,Operations!$A$2:$U$79,12,FALSE)*'General Variables'!$B$7)/VLOOKUP(B20,Operations!$A$2:$U$79,9,FALSE)*C20,2))/100)</f>
        <v>5.0081999999999995</v>
      </c>
      <c r="G20" s="109">
        <f>IF(B20=0,0,IF(C20&gt;9999,"",ROUND(VLOOKUP(VLOOKUP(B20,Operations!$A$2:$U$79,11,FALSE),PowerUnits[],10,FALSE)/VLOOKUP(B20,Operations!$A$2:$U$79,9,FALSE)*C20,2))/100)</f>
        <v>7.6996000000000002</v>
      </c>
      <c r="H20" s="109">
        <f>IF(B20=0,"",IF(C20&gt;9999,"",ROUND(VLOOKUP($B20,Operations!$A$2:$U$79,15,FALSE)*C20,2))/100)</f>
        <v>1.9875999999999998</v>
      </c>
      <c r="I20" s="109">
        <f>IF(B20=0,0,IF(C20&gt;9999,"",ROUND(VLOOKUP(VLOOKUP(B20,Operations!$A$2:$U$79,11,FALSE),PowerUnits[],16,FALSE)/VLOOKUP(B20,Operations!$A$2:$U$79,9,FALSE)*C20,2))/100)</f>
        <v>18.5426</v>
      </c>
      <c r="J20" s="109">
        <f>IF(B20=0,"",IF(C20&gt;9999,"",ROUND(VLOOKUP($B20,Operations!$A$2:$U$79,21,FALSE)*$C20,2))/100)</f>
        <v>8.2478999999999996</v>
      </c>
      <c r="K20" s="109">
        <f>IF(C20&gt;9999,"",ROUND(SUM(E20:J20),2))</f>
        <v>45.92</v>
      </c>
      <c r="L20" s="110"/>
    </row>
    <row r="21" spans="1:12" x14ac:dyDescent="0.2">
      <c r="A21" s="170">
        <v>10</v>
      </c>
      <c r="B21" s="180" t="s">
        <v>414</v>
      </c>
      <c r="C21" s="174">
        <f>$G$4</f>
        <v>185</v>
      </c>
      <c r="D21" s="174" t="s">
        <v>706</v>
      </c>
      <c r="E21" s="109">
        <f>IF(B21=0,"",IF(C21&gt;9999,"",ROUND('General Variables'!$B$4*VLOOKUP(B21,Operations!$A$2:$U$79,10,FALSE)/VLOOKUP(B21,Operations!$A$2:$U$79,9,FALSE)*C21,2)))</f>
        <v>1.67</v>
      </c>
      <c r="F21" s="109">
        <f>IF(B21=0,0,IF(C21&gt;9999,"",ROUND(IF(VLOOKUP(B21,Operations!$A$2:$U$79,12,FALSE)=0,VLOOKUP(B21,Operations!$A$2:$U$79,13,FALSE)*'General Variables'!$B$8,VLOOKUP(B21,Operations!$A$2:$U$79,12,FALSE)*'General Variables'!$B$7)/VLOOKUP(B21,Operations!$A$2:$U$79,9,FALSE)*C21,2)))</f>
        <v>0.54</v>
      </c>
      <c r="G21" s="109">
        <f>IF(B21=0,0,IF(C21&gt;9999,"",ROUND(VLOOKUP(VLOOKUP(B21,Operations!$A$2:$U$79,11,FALSE),PowerUnits[],10,FALSE)/VLOOKUP(B21,Operations!$A$2:$U$79,9,FALSE)*C21,2)))</f>
        <v>0.05</v>
      </c>
      <c r="H21" s="109">
        <f>IF(B21=0,"",IF(C21&gt;9999,"",ROUND(VLOOKUP($B21,Operations!$A$2:$U$79,15,FALSE)*C21,2)))</f>
        <v>1.02</v>
      </c>
      <c r="I21" s="109">
        <f>IF(B21=0,0,IF(C21&gt;9999,"",ROUND(VLOOKUP(VLOOKUP(B21,Operations!$A$2:$U$79,11,FALSE),PowerUnits[],16,FALSE)/VLOOKUP(B21,Operations!$A$2:$U$79,9,FALSE)*C21,2)))</f>
        <v>2.4300000000000002</v>
      </c>
      <c r="J21" s="109">
        <f>IF(B21=0,"",IF(C21&gt;9999,"",ROUND(VLOOKUP($B21,Operations!$A$2:$U$79,21,FALSE)*$C21,2)))</f>
        <v>2.04</v>
      </c>
      <c r="K21" s="109">
        <f t="shared" si="0"/>
        <v>7.75</v>
      </c>
      <c r="L21" s="110"/>
    </row>
    <row r="22" spans="1:12" x14ac:dyDescent="0.2">
      <c r="A22" s="170">
        <v>11</v>
      </c>
      <c r="B22" s="180" t="s">
        <v>565</v>
      </c>
      <c r="C22" s="174" t="s">
        <v>184</v>
      </c>
      <c r="D22" s="174"/>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x14ac:dyDescent="0.2">
      <c r="A23" s="170">
        <v>12</v>
      </c>
      <c r="B23" s="213" t="s">
        <v>496</v>
      </c>
      <c r="C23" s="214" t="s">
        <v>184</v>
      </c>
      <c r="D23" s="214"/>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31.291000000000004</v>
      </c>
      <c r="F33" s="109">
        <f t="shared" ref="F33:K33" si="1">SUM(F12:F31)</f>
        <v>37.058199999999999</v>
      </c>
      <c r="G33" s="109">
        <f t="shared" si="1"/>
        <v>15.409600000000001</v>
      </c>
      <c r="H33" s="109">
        <f t="shared" si="1"/>
        <v>22.627599999999997</v>
      </c>
      <c r="I33" s="109">
        <f t="shared" si="1"/>
        <v>49.382600000000004</v>
      </c>
      <c r="J33" s="109">
        <f t="shared" si="1"/>
        <v>45.117899999999999</v>
      </c>
      <c r="K33" s="109">
        <f t="shared" si="1"/>
        <v>200.89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241</v>
      </c>
      <c r="C37" s="388" t="str">
        <f>IF(B37=0,"",VLOOKUP($B37,Table2[],2,FALSE))</f>
        <v>Herbicide</v>
      </c>
      <c r="D37" s="388"/>
      <c r="E37" s="388"/>
      <c r="F37" s="174">
        <v>2</v>
      </c>
      <c r="G37" s="175">
        <v>1</v>
      </c>
      <c r="H37" s="176">
        <v>4</v>
      </c>
      <c r="I37" s="120" t="str">
        <f>IF($B37=0,"",VLOOKUP($B37,Table2[],5,FALSE))</f>
        <v>ounce</v>
      </c>
      <c r="J37" s="109">
        <f>IF($B37=0,"",VLOOKUP($B37,Table2[],7,FALSE))</f>
        <v>6.5</v>
      </c>
      <c r="K37" s="109">
        <f t="shared" ref="K37:K49" si="2">IF(B37=0,0,ROUND(G37*H37*J37,2))</f>
        <v>26</v>
      </c>
      <c r="L37" s="110"/>
    </row>
    <row r="38" spans="1:12" x14ac:dyDescent="0.2">
      <c r="A38" s="105"/>
      <c r="B38" s="180" t="s">
        <v>244</v>
      </c>
      <c r="C38" s="388" t="str">
        <f>IF(B38=0,"",VLOOKUP($B38,Table2[],2,FALSE))</f>
        <v>Herbicide</v>
      </c>
      <c r="D38" s="388"/>
      <c r="E38" s="388"/>
      <c r="F38" s="174">
        <v>2</v>
      </c>
      <c r="G38" s="175">
        <v>1</v>
      </c>
      <c r="H38" s="176">
        <v>2.1</v>
      </c>
      <c r="I38" s="120" t="str">
        <f>IF($B38=0,"",VLOOKUP($B38,Table2[],5,FALSE))</f>
        <v>quart</v>
      </c>
      <c r="J38" s="109">
        <f>IF($B38=0,"",VLOOKUP($B38,Table2[],7,FALSE))</f>
        <v>13.25</v>
      </c>
      <c r="K38" s="109">
        <f t="shared" si="2"/>
        <v>27.83</v>
      </c>
      <c r="L38" s="110"/>
    </row>
    <row r="39" spans="1:12" x14ac:dyDescent="0.2">
      <c r="A39" s="105"/>
      <c r="B39" s="180" t="s">
        <v>201</v>
      </c>
      <c r="C39" s="388" t="str">
        <f>IF(B39=0,"",VLOOKUP($B39,Table2[],2,FALSE))</f>
        <v>Fertilizer</v>
      </c>
      <c r="D39" s="388"/>
      <c r="E39" s="388"/>
      <c r="F39" s="174">
        <v>3</v>
      </c>
      <c r="G39" s="175">
        <v>1</v>
      </c>
      <c r="H39" s="176">
        <v>8</v>
      </c>
      <c r="I39" s="120" t="str">
        <f>IF($B39=0,"",VLOOKUP($B39,Table2[],5,FALSE))</f>
        <v>gallon</v>
      </c>
      <c r="J39" s="109">
        <f>IF($B39=0,"",VLOOKUP($B39,Table2[],7,FALSE))</f>
        <v>3.1</v>
      </c>
      <c r="K39" s="109">
        <f t="shared" si="2"/>
        <v>24.8</v>
      </c>
      <c r="L39" s="110"/>
    </row>
    <row r="40" spans="1:12" x14ac:dyDescent="0.2">
      <c r="A40" s="105"/>
      <c r="B40" s="213" t="s">
        <v>324</v>
      </c>
      <c r="C40" s="387" t="str">
        <f>IF(B40=0,"",VLOOKUP($B40,Table2[],2,FALSE))</f>
        <v>Seed</v>
      </c>
      <c r="D40" s="387"/>
      <c r="E40" s="387"/>
      <c r="F40" s="214">
        <v>3</v>
      </c>
      <c r="G40" s="221">
        <v>1</v>
      </c>
      <c r="H40" s="308">
        <v>28.8</v>
      </c>
      <c r="I40" s="223" t="str">
        <f>IF($B40=0,"",VLOOKUP($B40,Table2[],5,FALSE))</f>
        <v>k seed</v>
      </c>
      <c r="J40" s="215">
        <f>IF($B40=0,"",VLOOKUP($B40,Table2[],7,FALSE))</f>
        <v>3.875</v>
      </c>
      <c r="K40" s="215">
        <f t="shared" si="2"/>
        <v>111.6</v>
      </c>
      <c r="L40" s="216"/>
    </row>
    <row r="41" spans="1:12" x14ac:dyDescent="0.2">
      <c r="A41" s="105"/>
      <c r="B41" s="180" t="s">
        <v>209</v>
      </c>
      <c r="C41" s="388" t="str">
        <f>IF(B41=0,"",VLOOKUP($B41,Table2[],2,FALSE))</f>
        <v>Fertilizer</v>
      </c>
      <c r="D41" s="388"/>
      <c r="E41" s="388"/>
      <c r="F41" s="174">
        <v>8</v>
      </c>
      <c r="G41" s="175">
        <v>1</v>
      </c>
      <c r="H41" s="181">
        <v>140</v>
      </c>
      <c r="I41" s="120" t="str">
        <f>IF($B41=0,"",VLOOKUP($B41,Table2[],5,FALSE))</f>
        <v>lbs N</v>
      </c>
      <c r="J41" s="109">
        <f>IF($B41=0,"",VLOOKUP($B41,Table2[],7,FALSE))</f>
        <v>0.5</v>
      </c>
      <c r="K41" s="109">
        <f t="shared" si="2"/>
        <v>70</v>
      </c>
      <c r="L41" s="110"/>
    </row>
    <row r="42" spans="1:12" x14ac:dyDescent="0.2">
      <c r="A42" s="105"/>
      <c r="B42" s="180" t="s">
        <v>200</v>
      </c>
      <c r="C42" s="388" t="str">
        <f>IF(B42=0,"",VLOOKUP($B42,Table2[],2,FALSE))</f>
        <v>Custom</v>
      </c>
      <c r="D42" s="388"/>
      <c r="E42" s="388"/>
      <c r="F42" s="174">
        <v>5</v>
      </c>
      <c r="G42" s="175">
        <v>1</v>
      </c>
      <c r="H42" s="176">
        <v>1</v>
      </c>
      <c r="I42" s="120" t="str">
        <f>IF($B42=0,"",VLOOKUP($B42,Table2[],5,FALSE))</f>
        <v>acre</v>
      </c>
      <c r="J42" s="109">
        <f>IF($B42=0,"",VLOOKUP($B42,Table2[],7,FALSE))</f>
        <v>9</v>
      </c>
      <c r="K42" s="109">
        <f t="shared" si="2"/>
        <v>9</v>
      </c>
      <c r="L42" s="110"/>
    </row>
    <row r="43" spans="1:12" x14ac:dyDescent="0.2">
      <c r="A43" s="143"/>
      <c r="B43" s="180" t="s">
        <v>249</v>
      </c>
      <c r="C43" s="388" t="str">
        <f>IF(B43=0,"",VLOOKUP($B43,Table2[],2,FALSE))</f>
        <v>Herbicide</v>
      </c>
      <c r="D43" s="388"/>
      <c r="E43" s="388"/>
      <c r="F43" s="174">
        <v>5</v>
      </c>
      <c r="G43" s="175">
        <v>1</v>
      </c>
      <c r="H43" s="176">
        <v>32</v>
      </c>
      <c r="I43" s="120" t="str">
        <f>IF($B43=0,"",VLOOKUP($B43,Table2[],5,FALSE))</f>
        <v>ounce</v>
      </c>
      <c r="J43" s="109">
        <f>IF($B43=0,"",VLOOKUP($B43,Table2[],7,FALSE))</f>
        <v>0.9375</v>
      </c>
      <c r="K43" s="109">
        <f t="shared" si="2"/>
        <v>30</v>
      </c>
      <c r="L43" s="110"/>
    </row>
    <row r="44" spans="1:12" x14ac:dyDescent="0.2">
      <c r="A44" s="143"/>
      <c r="B44" s="213" t="s">
        <v>177</v>
      </c>
      <c r="C44" s="247"/>
      <c r="D44" s="247" t="s">
        <v>171</v>
      </c>
      <c r="E44" s="247"/>
      <c r="F44" s="214">
        <v>5</v>
      </c>
      <c r="G44" s="221">
        <v>1</v>
      </c>
      <c r="H44" s="222">
        <v>1.6</v>
      </c>
      <c r="I44" s="223" t="s">
        <v>179</v>
      </c>
      <c r="J44" s="215">
        <f>IF($B44=0,"",VLOOKUP($B44,Table2[],7,FALSE))</f>
        <v>1.875</v>
      </c>
      <c r="K44" s="215">
        <f t="shared" ref="K44" si="3">IF(B44=0,0,ROUND(G44*H44*J44,2))</f>
        <v>3</v>
      </c>
      <c r="L44" s="216"/>
    </row>
    <row r="45" spans="1:12" x14ac:dyDescent="0.2">
      <c r="A45" s="143"/>
      <c r="B45" s="180" t="s">
        <v>183</v>
      </c>
      <c r="C45" s="388" t="str">
        <f>IF(B45=0,"",VLOOKUP($B45,Table2[],2,FALSE))</f>
        <v>Custom</v>
      </c>
      <c r="D45" s="388"/>
      <c r="E45" s="388"/>
      <c r="F45" s="174">
        <v>6</v>
      </c>
      <c r="G45" s="175">
        <v>0.2</v>
      </c>
      <c r="H45" s="176">
        <v>1</v>
      </c>
      <c r="I45" s="120" t="str">
        <f>IF($B45=0,"",VLOOKUP($B45,Table2[],5,FALSE))</f>
        <v>acre</v>
      </c>
      <c r="J45" s="109">
        <f>IF($B45=0,"",VLOOKUP($B45,Table2[],7,FALSE))</f>
        <v>11</v>
      </c>
      <c r="K45" s="109">
        <f t="shared" si="2"/>
        <v>2.2000000000000002</v>
      </c>
      <c r="L45" s="110"/>
    </row>
    <row r="46" spans="1:12" x14ac:dyDescent="0.2">
      <c r="A46" s="143"/>
      <c r="B46" s="180" t="s">
        <v>286</v>
      </c>
      <c r="C46" s="388" t="str">
        <f>IF(B46=0,"",VLOOKUP($B46,Table2[],2,FALSE))</f>
        <v>Insecticide</v>
      </c>
      <c r="D46" s="388"/>
      <c r="E46" s="388"/>
      <c r="F46" s="174">
        <v>6</v>
      </c>
      <c r="G46" s="175">
        <v>0.1</v>
      </c>
      <c r="H46" s="176">
        <v>5.12</v>
      </c>
      <c r="I46" s="120" t="str">
        <f>IF($B46=0,"",VLOOKUP($B46,Table2[],5,FALSE))</f>
        <v>ounce</v>
      </c>
      <c r="J46" s="109">
        <f>IF($B46=0,"",VLOOKUP($B46,Table2[],7,FALSE))</f>
        <v>1.015625</v>
      </c>
      <c r="K46" s="109">
        <f t="shared" si="2"/>
        <v>0.52</v>
      </c>
      <c r="L46" s="110"/>
    </row>
    <row r="47" spans="1:12" x14ac:dyDescent="0.2">
      <c r="A47" s="143"/>
      <c r="B47" s="180" t="s">
        <v>288</v>
      </c>
      <c r="C47" s="170"/>
      <c r="D47" s="170" t="s">
        <v>285</v>
      </c>
      <c r="E47" s="170"/>
      <c r="F47" s="174">
        <v>6</v>
      </c>
      <c r="G47" s="175">
        <v>0.2</v>
      </c>
      <c r="H47" s="176">
        <v>3</v>
      </c>
      <c r="I47" s="120" t="s">
        <v>174</v>
      </c>
      <c r="J47" s="109">
        <f>IF($B47=0,"",VLOOKUP($B47,Table2[],7,FALSE))</f>
        <v>1.25</v>
      </c>
      <c r="K47" s="109">
        <f t="shared" ref="K47" si="4">IF(B47=0,0,ROUND(G47*H47*J47,2))</f>
        <v>0.75</v>
      </c>
      <c r="L47" s="110"/>
    </row>
    <row r="48" spans="1:12" x14ac:dyDescent="0.2">
      <c r="A48" s="143"/>
      <c r="B48" s="213" t="s">
        <v>183</v>
      </c>
      <c r="C48" s="387" t="str">
        <f>IF(B48=0,"",VLOOKUP($B48,Table2[],2,FALSE))</f>
        <v>Custom</v>
      </c>
      <c r="D48" s="387"/>
      <c r="E48" s="387"/>
      <c r="F48" s="214">
        <v>7</v>
      </c>
      <c r="G48" s="221">
        <v>0.2</v>
      </c>
      <c r="H48" s="222">
        <v>1</v>
      </c>
      <c r="I48" s="223" t="str">
        <f>IF($B48=0,"",VLOOKUP($B48,Table2[],5,FALSE))</f>
        <v>acre</v>
      </c>
      <c r="J48" s="215">
        <f>IF($B48=0,"",VLOOKUP($B48,Table2[],7,FALSE))</f>
        <v>11</v>
      </c>
      <c r="K48" s="215">
        <f t="shared" si="2"/>
        <v>2.2000000000000002</v>
      </c>
      <c r="L48" s="216"/>
    </row>
    <row r="49" spans="1:12" x14ac:dyDescent="0.2">
      <c r="A49" s="105"/>
      <c r="B49" s="180" t="s">
        <v>217</v>
      </c>
      <c r="C49" s="388" t="str">
        <f>IF(B49=0,"",VLOOKUP($B49,Table2[],2,FALSE))</f>
        <v>Fungicide</v>
      </c>
      <c r="D49" s="388"/>
      <c r="E49" s="388"/>
      <c r="F49" s="174">
        <v>7</v>
      </c>
      <c r="G49" s="175">
        <v>0.2</v>
      </c>
      <c r="H49" s="176">
        <v>10</v>
      </c>
      <c r="I49" s="120" t="str">
        <f>IF($B49=0,"",VLOOKUP($B49,Table2[],5,FALSE))</f>
        <v>ounce</v>
      </c>
      <c r="J49" s="109">
        <f>IF($B49=0,"",VLOOKUP($B49,Table2[],7,FALSE))</f>
        <v>2.03125</v>
      </c>
      <c r="K49" s="109">
        <f t="shared" si="2"/>
        <v>4.0599999999999996</v>
      </c>
      <c r="L49" s="110"/>
    </row>
    <row r="50" spans="1:12" x14ac:dyDescent="0.2">
      <c r="A50" s="105"/>
      <c r="B50" s="180" t="s">
        <v>291</v>
      </c>
      <c r="C50" s="388" t="str">
        <f>IF(B50=0,"",VLOOKUP($B50,Table2[],2,FALSE))</f>
        <v>Other</v>
      </c>
      <c r="D50" s="388"/>
      <c r="E50" s="388"/>
      <c r="F50" s="174">
        <v>8</v>
      </c>
      <c r="G50" s="175">
        <v>1</v>
      </c>
      <c r="H50" s="176">
        <v>1</v>
      </c>
      <c r="I50" s="120" t="str">
        <f>IF($B50=0,"",VLOOKUP($B50,Table2[],5,FALSE))</f>
        <v>acre</v>
      </c>
      <c r="J50" s="109">
        <f>IF($B50=0,"",VLOOKUP($B50,Table2[],7,FALSE))</f>
        <v>52</v>
      </c>
      <c r="K50" s="109">
        <f>IF(B50=0,0,ROUND(G50*H50*J50,2))</f>
        <v>52</v>
      </c>
      <c r="L50" s="110"/>
    </row>
    <row r="51" spans="1:12" x14ac:dyDescent="0.2">
      <c r="A51" s="105"/>
      <c r="B51" s="180" t="s">
        <v>198</v>
      </c>
      <c r="C51" s="388" t="str">
        <f>IF(B51=0,"",VLOOKUP($B51,Table2[],2,FALSE))</f>
        <v>Custom</v>
      </c>
      <c r="D51" s="388"/>
      <c r="E51" s="388"/>
      <c r="F51" s="174">
        <v>11</v>
      </c>
      <c r="G51" s="175">
        <v>1</v>
      </c>
      <c r="H51" s="176">
        <f>$G$4</f>
        <v>185</v>
      </c>
      <c r="I51" s="120" t="str">
        <f>IF($B51=0,"",VLOOKUP($B51,Table2[],5,FALSE))</f>
        <v>bushel</v>
      </c>
      <c r="J51" s="109">
        <f>IF($B51=0,"",VLOOKUP($B51,Table2[],7,FALSE))</f>
        <v>0.15</v>
      </c>
      <c r="K51" s="109">
        <f t="shared" ref="K51:K53" si="5">IF(B51=0,0,ROUND(G51*H51*J51,2))</f>
        <v>27.75</v>
      </c>
      <c r="L51" s="110"/>
    </row>
    <row r="52" spans="1:12" x14ac:dyDescent="0.2">
      <c r="B52" s="213" t="s">
        <v>190</v>
      </c>
      <c r="C52" s="387" t="str">
        <f>IF(B52=0,"",VLOOKUP($B52,Table2[],2,FALSE))</f>
        <v>Custom</v>
      </c>
      <c r="D52" s="387"/>
      <c r="E52" s="387"/>
      <c r="F52" s="214">
        <v>12</v>
      </c>
      <c r="G52" s="221">
        <v>0.1</v>
      </c>
      <c r="H52" s="222">
        <f>$G$4</f>
        <v>185</v>
      </c>
      <c r="I52" s="223" t="str">
        <f>IF($B52=0,"",VLOOKUP($B52,Table2[],5,FALSE))</f>
        <v>bushel</v>
      </c>
      <c r="J52" s="215">
        <f>IF($B52=0,"",VLOOKUP($B52,Table2[],7,FALSE))</f>
        <v>0.1</v>
      </c>
      <c r="K52" s="215">
        <f t="shared" si="5"/>
        <v>1.85</v>
      </c>
      <c r="L52" s="216"/>
    </row>
    <row r="53" spans="1:12" x14ac:dyDescent="0.2">
      <c r="B53" s="111" t="s">
        <v>313</v>
      </c>
      <c r="C53" s="388" t="str">
        <f>IF(B53=0,"",VLOOKUP($B53,Table2[],2,FALSE))</f>
        <v>Scouting</v>
      </c>
      <c r="D53" s="388"/>
      <c r="E53" s="388"/>
      <c r="F53" s="112"/>
      <c r="G53" s="175">
        <v>1</v>
      </c>
      <c r="H53" s="178">
        <v>1</v>
      </c>
      <c r="I53" s="120" t="str">
        <f>IF($B53=0,"",VLOOKUP($B53,Table2[],5,FALSE))</f>
        <v>acre</v>
      </c>
      <c r="J53" s="109">
        <f>IF($B53=0,"",VLOOKUP($B53,Table2[],7,FALSE))</f>
        <v>13</v>
      </c>
      <c r="K53" s="109">
        <f t="shared" si="5"/>
        <v>13</v>
      </c>
      <c r="L53" s="110"/>
    </row>
    <row r="54" spans="1:12" hidden="1" x14ac:dyDescent="0.2">
      <c r="B54" s="111"/>
      <c r="C54" s="388" t="str">
        <f>IF(B54=0,"",VLOOKUP($B54,Table2[],2,FALSE))</f>
        <v/>
      </c>
      <c r="D54" s="388"/>
      <c r="E54" s="388"/>
      <c r="F54" s="112"/>
      <c r="G54" s="175">
        <v>0.2</v>
      </c>
      <c r="H54" s="178"/>
      <c r="I54" s="120" t="str">
        <f>IF($B54=0,"",VLOOKUP($B54,Table2[],5,FALSE))</f>
        <v/>
      </c>
      <c r="J54" s="109" t="str">
        <f>IF($B54=0,"",VLOOKUP($B54,Table2[],7,FALSE))</f>
        <v/>
      </c>
      <c r="K54" s="109">
        <f t="shared" ref="K54:K56" si="6">IF(B54=0,0,ROUND(G54*H54*J54,2))</f>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6"/>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6"/>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9</v>
      </c>
      <c r="K62" s="109">
        <f ca="1">IF(B62=0,0,J62)</f>
        <v>9</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 ca="1">SUM(K37:K62)</f>
        <v>415.56</v>
      </c>
      <c r="L64" s="110"/>
    </row>
    <row r="65" spans="2:12" x14ac:dyDescent="0.2">
      <c r="B65" s="144"/>
      <c r="K65" s="128"/>
    </row>
    <row r="66" spans="2:12" x14ac:dyDescent="0.2">
      <c r="B66" s="107" t="s">
        <v>672</v>
      </c>
      <c r="K66" s="141">
        <f ca="1">K33+K64</f>
        <v>616.45000000000005</v>
      </c>
      <c r="L66" s="110"/>
    </row>
    <row r="67" spans="2:12" ht="13.5" thickBot="1" x14ac:dyDescent="0.25">
      <c r="D67" s="128" t="s">
        <v>673</v>
      </c>
      <c r="E67" s="129">
        <f ca="1">ROUND(SUM($E$33:$H$33)+$K$64,2)</f>
        <v>521.95000000000005</v>
      </c>
      <c r="F67" s="388" t="s">
        <v>674</v>
      </c>
      <c r="G67" s="388"/>
      <c r="H67" s="130">
        <f>'General Variables'!$B$11</f>
        <v>7.4999999999999997E-2</v>
      </c>
      <c r="I67" s="131" t="str">
        <f>CONCATENATE("for ",TEXT('General Variables'!$B$12,"0.0")," mo.")</f>
        <v>for 6.0 mo.</v>
      </c>
      <c r="K67" s="145">
        <f ca="1">E67*H67*'General Variables'!$B$12/12</f>
        <v>19.573125000000001</v>
      </c>
      <c r="L67" s="133"/>
    </row>
    <row r="68" spans="2:12" ht="13.5" thickTop="1" x14ac:dyDescent="0.2">
      <c r="B68" s="107" t="s">
        <v>675</v>
      </c>
      <c r="K68" s="141">
        <f ca="1">SUM(K66:K67)</f>
        <v>636.02312500000005</v>
      </c>
      <c r="L68" s="110"/>
    </row>
    <row r="69" spans="2:12" x14ac:dyDescent="0.2">
      <c r="K69" s="128"/>
    </row>
    <row r="70" spans="2:12" x14ac:dyDescent="0.2">
      <c r="B70" s="104" t="s">
        <v>676</v>
      </c>
      <c r="C70" s="134"/>
      <c r="D70" s="134"/>
      <c r="E70" s="134"/>
      <c r="F70" s="134"/>
      <c r="G70" s="134"/>
      <c r="H70" s="134"/>
      <c r="I70" s="134"/>
      <c r="J70" s="134"/>
      <c r="K70" s="142">
        <f>'General Variables'!B14</f>
        <v>35</v>
      </c>
      <c r="L70" s="110"/>
    </row>
    <row r="71" spans="2:12" x14ac:dyDescent="0.2">
      <c r="B71" s="103" t="s">
        <v>687</v>
      </c>
      <c r="C71" s="402" t="s">
        <v>42</v>
      </c>
      <c r="D71" s="403"/>
      <c r="E71" s="404"/>
      <c r="F71" s="136">
        <f>IF(C71=0,0,VLOOKUP(C71,RETable,2,FALSE))</f>
        <v>3970</v>
      </c>
      <c r="G71" s="388" t="s">
        <v>678</v>
      </c>
      <c r="H71" s="388"/>
      <c r="I71" s="130">
        <f>'General Variables'!$B$10</f>
        <v>0.03</v>
      </c>
      <c r="K71" s="146">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7">
        <f>ROUND(F72*I72,2)</f>
        <v>51.61</v>
      </c>
      <c r="L72" s="133"/>
    </row>
    <row r="73" spans="2:12" ht="13.5" thickTop="1" x14ac:dyDescent="0.2">
      <c r="B73" s="107" t="s">
        <v>680</v>
      </c>
      <c r="K73" s="141">
        <f ca="1">SUM(K68:K72)</f>
        <v>841.73312500000009</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3.3953141891891896</v>
      </c>
      <c r="L75" s="148"/>
    </row>
    <row r="76" spans="2:12" x14ac:dyDescent="0.2">
      <c r="B76" s="107" t="str">
        <f>IF(G4="","","Cost of production per "&amp;H4)</f>
        <v>Cost of production per bushel</v>
      </c>
      <c r="K76" s="141">
        <f ca="1">IF(G4="","",K73/G4)</f>
        <v>4.5499087837837839</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7">
    <mergeCell ref="F67:G67"/>
    <mergeCell ref="C71:E71"/>
    <mergeCell ref="G71:H71"/>
    <mergeCell ref="G72:H72"/>
    <mergeCell ref="C57:E57"/>
    <mergeCell ref="C58:E58"/>
    <mergeCell ref="C59:E59"/>
    <mergeCell ref="C60:E60"/>
    <mergeCell ref="C61:E61"/>
    <mergeCell ref="C62:E62"/>
    <mergeCell ref="C56:E56"/>
    <mergeCell ref="C45:E45"/>
    <mergeCell ref="C46:E46"/>
    <mergeCell ref="C48:E48"/>
    <mergeCell ref="C49:E49"/>
    <mergeCell ref="C50:E50"/>
    <mergeCell ref="C51:E51"/>
    <mergeCell ref="C52:E52"/>
    <mergeCell ref="C53:E53"/>
    <mergeCell ref="C54:E54"/>
    <mergeCell ref="C55:E55"/>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12:B31" xr:uid="{00000000-0002-0000-2C00-000000000000}">
      <formula1>OperationList</formula1>
    </dataValidation>
    <dataValidation type="list" allowBlank="1" showInputMessage="1" showErrorMessage="1" sqref="C71:E71" xr:uid="{00000000-0002-0000-2C00-000001000000}">
      <formula1>RealEstateList</formula1>
    </dataValidation>
    <dataValidation type="list" allowBlank="1" showInputMessage="1" showErrorMessage="1" sqref="K4" xr:uid="{00000000-0002-0000-2C00-000003000000}">
      <formula1>$K$112:$K$114</formula1>
    </dataValidation>
    <dataValidation type="list" showInputMessage="1" showErrorMessage="1" sqref="B63" xr:uid="{00000000-0002-0000-2C00-000004000000}">
      <formula1>$C$112:$C$235</formula1>
    </dataValidation>
    <dataValidation type="list" allowBlank="1" showInputMessage="1" showErrorMessage="1" sqref="B32" xr:uid="{00000000-0002-0000-2C00-000005000000}">
      <formula1>$B$112:$B$209</formula1>
    </dataValidation>
    <dataValidation type="list" allowBlank="1" showInputMessage="1" showErrorMessage="1" sqref="D12:D18 D20:D32" xr:uid="{00000000-0002-0000-2C00-000006000000}">
      <formula1>#REF!</formula1>
    </dataValidation>
    <dataValidation type="list" allowBlank="1" showInputMessage="1" showErrorMessage="1" sqref="K2" xr:uid="{00000000-0002-0000-2C00-000007000000}">
      <formula1>watersource</formula1>
    </dataValidation>
    <dataValidation type="list" allowBlank="1" showInputMessage="1" showErrorMessage="1" sqref="C3" xr:uid="{00000000-0002-0000-2C00-000008000000}">
      <formula1>TillageSystem</formula1>
    </dataValidation>
    <dataValidation type="list" allowBlank="1" showInputMessage="1" showErrorMessage="1" sqref="B37:B61" xr:uid="{00000000-0002-0000-2C00-000002000000}">
      <formula1>MaterialList</formula1>
    </dataValidation>
  </dataValidations>
  <pageMargins left="0.7" right="0.7" top="0.75" bottom="0.75" header="0.3" footer="0.3"/>
  <pageSetup scale="71" orientation="portrait" r:id="rId1"/>
  <ignoredErrors>
    <ignoredError sqref="C20" unlockedFormula="1"/>
    <ignoredError sqref="E20:J20"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7">
    <pageSetUpPr fitToPage="1"/>
  </sheetPr>
  <dimension ref="A2:M259"/>
  <sheetViews>
    <sheetView zoomScaleNormal="100" workbookViewId="0">
      <selection activeCell="G49" sqref="G4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717</v>
      </c>
      <c r="H2" s="392"/>
      <c r="J2" s="128" t="s">
        <v>649</v>
      </c>
      <c r="K2" s="401" t="s">
        <v>70</v>
      </c>
      <c r="L2" s="401"/>
    </row>
    <row r="3" spans="1:13" hidden="1" x14ac:dyDescent="0.2">
      <c r="B3" s="103" t="s">
        <v>38</v>
      </c>
      <c r="C3" s="391" t="s">
        <v>43</v>
      </c>
      <c r="D3" s="391"/>
      <c r="E3" s="391"/>
      <c r="G3" s="128" t="s">
        <v>650</v>
      </c>
      <c r="H3" s="187" t="s">
        <v>736</v>
      </c>
      <c r="J3" s="128" t="s">
        <v>651</v>
      </c>
      <c r="K3" s="187">
        <v>13</v>
      </c>
    </row>
    <row r="4" spans="1:13" hidden="1" x14ac:dyDescent="0.2">
      <c r="B4" s="103" t="s">
        <v>652</v>
      </c>
      <c r="C4" s="392" t="s">
        <v>62</v>
      </c>
      <c r="D4" s="392"/>
      <c r="E4" s="392"/>
      <c r="G4" s="103">
        <f>IFERROR(VALUE(LEFT($H$3,FIND(" ",$H$3))),"")</f>
        <v>240</v>
      </c>
      <c r="H4" s="103" t="str">
        <f>IFERROR(RIGHT(H3,LEN(H3)-LEN(G4)-1),"")</f>
        <v>bushel</v>
      </c>
      <c r="J4" s="128" t="s">
        <v>653</v>
      </c>
      <c r="K4" s="188" t="s">
        <v>654</v>
      </c>
    </row>
    <row r="5" spans="1:13" ht="15.75" hidden="1" customHeight="1" x14ac:dyDescent="0.2">
      <c r="B5" s="103" t="s">
        <v>655</v>
      </c>
      <c r="C5" s="103" t="str">
        <f ca="1">MID(CELL("filename",C5),FIND("]",CELL("filename",C5))+1,255)</f>
        <v>40-Corn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40-Corn, SmartStax RIB Complete, Conventional Tillage, Continuous, 240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40-Corn, SmartStax RIB Complete, Conventional Tillage, Continuous, 240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13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545</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1.02</v>
      </c>
      <c r="G16" s="109">
        <f>IF(B16=0,0,IF(C16&gt;9999,"",ROUND(VLOOKUP(VLOOKUP(B16,Operations!$A$2:$U$79,11,FALSE),PowerUnits[],10,FALSE)/VLOOKUP(B16,Operations!$A$2:$U$79,9,FALSE)*C16,2)))</f>
        <v>0.08</v>
      </c>
      <c r="H16" s="109">
        <f>IF(B16=0,"",IF(C16&gt;9999,"",ROUND(VLOOKUP($B16,Operations!$A$2:$U$79,15,FALSE)*C16,2)))</f>
        <v>1.4</v>
      </c>
      <c r="I16" s="109">
        <f>IF(B16=0,0,IF(C16&gt;9999,"",ROUND(VLOOKUP(VLOOKUP(B16,Operations!$A$2:$U$79,11,FALSE),PowerUnits[],16,FALSE)/VLOOKUP(B16,Operations!$A$2:$U$79,9,FALSE)*C16,2)))</f>
        <v>3.93</v>
      </c>
      <c r="J16" s="109">
        <f>IF(B16=0,"",IF(C16&gt;9999,"",ROUND(VLOOKUP($B16,Operations!$A$2:$U$79,21,FALSE)*$C16,2)))</f>
        <v>3.2</v>
      </c>
      <c r="K16" s="109">
        <f t="shared" si="0"/>
        <v>12.33</v>
      </c>
      <c r="L16" s="110"/>
    </row>
    <row r="17" spans="1:12" x14ac:dyDescent="0.2">
      <c r="A17" s="170">
        <v>6</v>
      </c>
      <c r="B17" s="180" t="s">
        <v>545</v>
      </c>
      <c r="C17" s="174">
        <v>0.25</v>
      </c>
      <c r="D17" s="174"/>
      <c r="E17" s="109">
        <f>IF(B17=0,"",IF(C17&gt;9999,"",ROUND('General Variables'!$B$4*VLOOKUP(B17,Operations!$A$2:$U$79,10,FALSE)/VLOOKUP(B17,Operations!$A$2:$U$79,9,FALSE)*C17,2)))</f>
        <v>0.68</v>
      </c>
      <c r="F17" s="109">
        <f>IF(B17=0,0,IF(C17&gt;9999,"",ROUND(IF(VLOOKUP(B17,Operations!$A$2:$U$79,12,FALSE)=0,VLOOKUP(B17,Operations!$A$2:$U$79,13,FALSE)*'General Variables'!$B$8,VLOOKUP(B17,Operations!$A$2:$U$79,12,FALSE)*'General Variables'!$B$7)/VLOOKUP(B17,Operations!$A$2:$U$79,9,FALSE)*C17,2)))</f>
        <v>0.25</v>
      </c>
      <c r="G17" s="109">
        <f>IF(B17=0,0,IF(C17&gt;9999,"",ROUND(VLOOKUP(VLOOKUP(B17,Operations!$A$2:$U$79,11,FALSE),PowerUnits[],10,FALSE)/VLOOKUP(B17,Operations!$A$2:$U$79,9,FALSE)*C17,2)))</f>
        <v>0.02</v>
      </c>
      <c r="H17" s="109">
        <f>IF(B17=0,"",IF(C17&gt;9999,"",ROUND(VLOOKUP($B17,Operations!$A$2:$U$79,15,FALSE)*C17,2)))</f>
        <v>0.35</v>
      </c>
      <c r="I17" s="109">
        <f>IF(B17=0,0,IF(C17&gt;9999,"",ROUND(VLOOKUP(VLOOKUP(B17,Operations!$A$2:$U$79,11,FALSE),PowerUnits[],16,FALSE)/VLOOKUP(B17,Operations!$A$2:$U$79,9,FALSE)*C17,2)))</f>
        <v>0.98</v>
      </c>
      <c r="J17" s="109">
        <f>IF(B17=0,"",IF(C17&gt;9999,"",ROUND(VLOOKUP($B17,Operations!$A$2:$U$79,21,FALSE)*$C17,2)))</f>
        <v>0.8</v>
      </c>
      <c r="K17" s="109">
        <f t="shared" si="0"/>
        <v>3.08</v>
      </c>
      <c r="L17" s="110"/>
    </row>
    <row r="18" spans="1:12" x14ac:dyDescent="0.2">
      <c r="A18" s="170">
        <v>7</v>
      </c>
      <c r="B18" s="180" t="s">
        <v>552</v>
      </c>
      <c r="C18" s="174" t="s">
        <v>184</v>
      </c>
      <c r="D18" s="109"/>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54" t="s">
        <v>890</v>
      </c>
      <c r="C19" s="345" t="s">
        <v>184</v>
      </c>
      <c r="D19" s="109"/>
      <c r="E19" s="109" t="str">
        <f>IF(B19=0,"",IF(C19&gt;9999,"",ROUND('General Variables'!$B$4*VLOOKUP(B19,Operations!$A$2:$U$79,10,FALSE)/VLOOKUP(B19,Operations!$A$2:$U$79,9,FALSE)*C19,2)))</f>
        <v/>
      </c>
      <c r="F19" s="109" t="str">
        <f>IF(B19=0,0,IF(C19&gt;9999,"",ROUND(IF(VLOOKUP(B19,Operations!$A$2:$U$79,12,FALSE)=0,VLOOKUP(B19,Operations!$A$2:$U$79,13,FALSE)*'General Variables'!$B$8,VLOOKUP(B19,Operations!$A$2:$U$79,12,FALSE)*'General Variables'!$B$7)/VLOOKUP(B19,Operations!$A$2:$U$79,9,FALSE)*C19,2)))</f>
        <v/>
      </c>
      <c r="G19" s="109" t="str">
        <f>IF(B19=0,0,IF(C19&gt;9999,"",ROUND(VLOOKUP(VLOOKUP(B19,Operations!$A$2:$U$79,11,FALSE),PowerUnits[],10,FALSE)/VLOOKUP(B19,Operations!$A$2:$U$79,9,FALSE)*C19,2)))</f>
        <v/>
      </c>
      <c r="H19" s="109" t="str">
        <f>IF(B19=0,"",IF(C19&gt;9999,"",ROUND(VLOOKUP($B19,Operations!$A$2:$U$79,15,FALSE)*C19,2)))</f>
        <v/>
      </c>
      <c r="I19" s="109" t="str">
        <f>IF(B19=0,0,IF(C19&gt;9999,"",ROUND(VLOOKUP(VLOOKUP(B19,Operations!$A$2:$U$79,11,FALSE),PowerUnits[],16,FALSE)/VLOOKUP(B19,Operations!$A$2:$U$79,9,FALSE)*C19,2)))</f>
        <v/>
      </c>
      <c r="J19" s="109" t="str">
        <f>IF(B19=0,"",IF(C19&gt;9999,"",ROUND(VLOOKUP($B19,Operations!$A$2:$U$79,21,FALSE)*$C19,2)))</f>
        <v/>
      </c>
      <c r="K19" s="109" t="str">
        <f t="shared" si="0"/>
        <v/>
      </c>
      <c r="L19" s="257"/>
    </row>
    <row r="20" spans="1:12" x14ac:dyDescent="0.2">
      <c r="A20" s="170">
        <v>9</v>
      </c>
      <c r="B20" s="213" t="s">
        <v>551</v>
      </c>
      <c r="C20" s="214" t="s">
        <v>184</v>
      </c>
      <c r="D20" s="218"/>
      <c r="E20" s="215"/>
      <c r="F20" s="215"/>
      <c r="G20" s="215"/>
      <c r="H20" s="215"/>
      <c r="I20" s="215"/>
      <c r="J20" s="215"/>
      <c r="K20" s="215"/>
      <c r="L20" s="216"/>
    </row>
    <row r="21" spans="1:12" x14ac:dyDescent="0.2">
      <c r="A21" s="170">
        <v>10</v>
      </c>
      <c r="B21" s="180" t="s">
        <v>525</v>
      </c>
      <c r="C21" s="174">
        <f>$K$3</f>
        <v>13</v>
      </c>
      <c r="D21" s="112" t="s">
        <v>693</v>
      </c>
      <c r="E21" s="109">
        <f>IF(B21=0,"",IF(C21&gt;9999,"",ROUND('General Variables'!$B$4*VLOOKUP(B21,Operations!$A$2:$U$79,10,FALSE)/VLOOKUP(B21,Operations!$A$2:$U$79,9,FALSE)*C21,2)))</f>
        <v>16.25</v>
      </c>
      <c r="F21" s="109">
        <f>IF(B21=0,0,IF(C21&gt;9999,"",ROUND(IF(VLOOKUP(B21,Operations!$A$2:$U$79,12,FALSE)=0,VLOOKUP(B21,Operations!$A$2:$U$79,13,FALSE)*'General Variables'!$B$8,VLOOKUP(B21,Operations!$A$2:$U$79,12,FALSE)*'General Variables'!$B$7)/VLOOKUP(B21,Operations!$A$2:$U$79,9,FALSE)*C21,2)))</f>
        <v>27.61</v>
      </c>
      <c r="G21" s="109">
        <f>IF(B21=0,0,IF(C21&gt;9999,"",ROUND(VLOOKUP(VLOOKUP(B21,Operations!$A$2:$U$79,11,FALSE),PowerUnits[],10,FALSE)/VLOOKUP(B21,Operations!$A$2:$U$79,9,FALSE)*C21,2)))</f>
        <v>7.24</v>
      </c>
      <c r="H21" s="109">
        <v>8</v>
      </c>
      <c r="I21" s="109">
        <f>IF(B21=0,0,IF(C21&gt;9999,"",ROUND(VLOOKUP(VLOOKUP(B21,Operations!$A$2:$U$79,11,FALSE),PowerUnits[],16,FALSE)/VLOOKUP(B21,Operations!$A$2:$U$79,9,FALSE)*C21,2)))</f>
        <v>12.69</v>
      </c>
      <c r="J21" s="109">
        <f>IF(B21=0,"",IF(C21&gt;9999,"",ROUND(VLOOKUP($B21,Operations!$A$2:$U$79,21,FALSE)*$C21,2)))</f>
        <v>20.57</v>
      </c>
      <c r="K21" s="109">
        <f>IF(C21&gt;9999,"",ROUND(SUM(E21:J21),2))</f>
        <v>92.36</v>
      </c>
      <c r="L21" s="110"/>
    </row>
    <row r="22" spans="1:12" x14ac:dyDescent="0.2">
      <c r="A22" s="170">
        <v>11</v>
      </c>
      <c r="B22" s="180" t="s">
        <v>944</v>
      </c>
      <c r="C22" s="174">
        <v>220</v>
      </c>
      <c r="D22" s="112"/>
      <c r="E22" s="109">
        <f>IF(B22=0,"",IF(C22&gt;9999,"",ROUND('General Variables'!$B$4*VLOOKUP(B22,Operations!$A$2:$U$79,10,FALSE)/VLOOKUP(B22,Operations!$A$2:$U$79,9,FALSE)*C22,2))/100)</f>
        <v>5.269400000000001</v>
      </c>
      <c r="F22" s="109">
        <f>IF(B22=0,0,IF(C22&gt;9999,"",ROUND(IF(VLOOKUP(B22,Operations!$A$2:$U$79,12,FALSE)=0,VLOOKUP(B22,Operations!$A$2:$U$79,13,FALSE)*'General Variables'!$B$8,VLOOKUP(B22,Operations!$A$2:$U$79,12,FALSE)*'General Variables'!$B$7)/VLOOKUP(B22,Operations!$A$2:$U$79,9,FALSE)*C22,2))/100)</f>
        <v>5.9557000000000002</v>
      </c>
      <c r="G22" s="109">
        <f>IF(B22=0,0,IF(C22&gt;9999,"",ROUND(VLOOKUP(VLOOKUP(B22,Operations!$A$2:$U$79,11,FALSE),PowerUnits[],10,FALSE)/VLOOKUP(B22,Operations!$A$2:$U$79,9,FALSE)*C22,2))/100)</f>
        <v>9.1562999999999999</v>
      </c>
      <c r="H22" s="109">
        <f>IF(B22=0,"",IF(C22&gt;9999,"",ROUND(VLOOKUP($B22,Operations!$A$2:$U$79,15,FALSE)*C22,2))/100)</f>
        <v>2.3637000000000001</v>
      </c>
      <c r="I22" s="109">
        <f>IF(B22=0,0,IF(C22&gt;9999,"",ROUND(VLOOKUP(VLOOKUP(B22,Operations!$A$2:$U$79,11,FALSE),PowerUnits[],16,FALSE)/VLOOKUP(B22,Operations!$A$2:$U$79,9,FALSE)*C22,2))/100)</f>
        <v>22.050700000000003</v>
      </c>
      <c r="J22" s="109">
        <f>IF(B22=0,"",IF(C22&gt;9999,"",ROUND(VLOOKUP($B22,Operations!$A$2:$U$79,21,FALSE)*$C22,2))/100)</f>
        <v>9.8083000000000009</v>
      </c>
      <c r="K22" s="109">
        <f>IF(C22&gt;9999,"",ROUND(SUM(E22:J22),2))</f>
        <v>54.6</v>
      </c>
      <c r="L22" s="110"/>
    </row>
    <row r="23" spans="1:12" x14ac:dyDescent="0.2">
      <c r="A23" s="170">
        <v>12</v>
      </c>
      <c r="B23" s="180" t="s">
        <v>414</v>
      </c>
      <c r="C23" s="174">
        <f>$G$4</f>
        <v>240</v>
      </c>
      <c r="D23" s="112" t="s">
        <v>706</v>
      </c>
      <c r="E23" s="109">
        <f>IF(B23=0,"",IF(C23&gt;9999,"",ROUND('General Variables'!$B$4*VLOOKUP(B23,Operations!$A$2:$U$79,10,FALSE)/VLOOKUP(B23,Operations!$A$2:$U$79,9,FALSE)*C23,2)))</f>
        <v>2.16</v>
      </c>
      <c r="F23" s="109">
        <f>IF(B23=0,0,IF(C23&gt;9999,"",ROUND(IF(VLOOKUP(B23,Operations!$A$2:$U$79,12,FALSE)=0,VLOOKUP(B23,Operations!$A$2:$U$79,13,FALSE)*'General Variables'!$B$8,VLOOKUP(B23,Operations!$A$2:$U$79,12,FALSE)*'General Variables'!$B$7)/VLOOKUP(B23,Operations!$A$2:$U$79,9,FALSE)*C23,2)))</f>
        <v>0.7</v>
      </c>
      <c r="G23" s="109">
        <f>IF(B23=0,0,IF(C23&gt;9999,"",ROUND(VLOOKUP(VLOOKUP(B23,Operations!$A$2:$U$79,11,FALSE),PowerUnits[],10,FALSE)/VLOOKUP(B23,Operations!$A$2:$U$79,9,FALSE)*C23,2)))</f>
        <v>0.06</v>
      </c>
      <c r="H23" s="109">
        <f>IF(B23=0,"",IF(C23&gt;9999,"",ROUND(VLOOKUP($B23,Operations!$A$2:$U$79,15,FALSE)*C23,2)))</f>
        <v>1.33</v>
      </c>
      <c r="I23" s="109">
        <f>IF(B23=0,0,IF(C23&gt;9999,"",ROUND(VLOOKUP(VLOOKUP(B23,Operations!$A$2:$U$79,11,FALSE),PowerUnits[],16,FALSE)/VLOOKUP(B23,Operations!$A$2:$U$79,9,FALSE)*C23,2)))</f>
        <v>3.15</v>
      </c>
      <c r="J23" s="109">
        <f>IF(B23=0,"",IF(C23&gt;9999,"",ROUND(VLOOKUP($B23,Operations!$A$2:$U$79,21,FALSE)*$C23,2)))</f>
        <v>2.65</v>
      </c>
      <c r="K23" s="109">
        <f>IF(C23&gt;9999,"",ROUND(SUM(E23:J23),2))</f>
        <v>10.050000000000001</v>
      </c>
      <c r="L23" s="110"/>
    </row>
    <row r="24" spans="1:12" x14ac:dyDescent="0.2">
      <c r="A24" s="170">
        <v>13</v>
      </c>
      <c r="B24" s="213" t="s">
        <v>565</v>
      </c>
      <c r="C24" s="214" t="s">
        <v>184</v>
      </c>
      <c r="D24" s="218"/>
      <c r="E24" s="215" t="str">
        <f>IF(B24=0,"",IF(C24&gt;9999,"",ROUND('General Variables'!$B$4*VLOOKUP(B24,Operations!$A$2:$U$79,10,FALSE)/VLOOKUP(B24,Operations!$A$2:$U$79,9,FALSE)*C24,2)))</f>
        <v/>
      </c>
      <c r="F24" s="215" t="str">
        <f>IF(B24=0,0,IF(C24&gt;9999,"",ROUND(IF(VLOOKUP(B24,Operations!$A$2:$U$79,12,FALSE)=0,VLOOKUP(B24,Operations!$A$2:$U$79,13,FALSE)*'General Variables'!$B$8,VLOOKUP(B24,Operations!$A$2:$U$79,12,FALSE)*'General Variables'!$B$7)/VLOOKUP(B24,Operations!$A$2:$U$79,9,FALSE)*C24,2)))</f>
        <v/>
      </c>
      <c r="G24" s="215" t="str">
        <f>IF(B24=0,0,IF(C24&gt;9999,"",ROUND(VLOOKUP(VLOOKUP(B24,Operations!$A$2:$U$79,11,FALSE),PowerUnits[],10,FALSE)/VLOOKUP(B24,Operations!$A$2:$U$79,9,FALSE)*C24,2)))</f>
        <v/>
      </c>
      <c r="H24" s="215" t="str">
        <f>IF(B24=0,"",IF(C24&gt;9999,"",ROUND(VLOOKUP($B24,Operations!$A$2:$U$79,15,FALSE)*C24,2)))</f>
        <v/>
      </c>
      <c r="I24" s="215" t="str">
        <f>IF(B24=0,0,IF(C24&gt;9999,"",ROUND(VLOOKUP(VLOOKUP(B24,Operations!$A$2:$U$79,11,FALSE),PowerUnits[],16,FALSE)/VLOOKUP(B24,Operations!$A$2:$U$79,9,FALSE)*C24,2)))</f>
        <v/>
      </c>
      <c r="J24" s="215" t="str">
        <f>IF(B24=0,"",IF(C24&gt;9999,"",ROUND(VLOOKUP($B24,Operations!$A$2:$U$79,21,FALSE)*$C24,2)))</f>
        <v/>
      </c>
      <c r="K24" s="215" t="str">
        <f t="shared" ref="K24:K25" si="1">IF(C24&gt;9999,"",ROUND(SUM(E24:J24),2))</f>
        <v/>
      </c>
      <c r="L24" s="216"/>
    </row>
    <row r="25" spans="1:12" x14ac:dyDescent="0.2">
      <c r="A25" s="170">
        <v>14</v>
      </c>
      <c r="B25" s="180" t="s">
        <v>496</v>
      </c>
      <c r="C25" s="174" t="s">
        <v>184</v>
      </c>
      <c r="D25" s="112"/>
      <c r="E25" s="109" t="str">
        <f>IF(B25=0,"",IF(C25&gt;9999,"",ROUND('General Variables'!$B$4*VLOOKUP(B25,Operations!$A$2:$U$79,10,FALSE)/VLOOKUP(B25,Operations!$A$2:$U$79,9,FALSE)*C25,2)))</f>
        <v/>
      </c>
      <c r="F25" s="109" t="str">
        <f>IF(B25=0,0,IF(C25&gt;9999,"",ROUND(IF(VLOOKUP(B25,Operations!$A$2:$U$79,12,FALSE)=0,VLOOKUP(B25,Operations!$A$2:$U$79,13,FALSE)*'General Variables'!$B$8,VLOOKUP(B25,Operations!$A$2:$U$79,12,FALSE)*'General Variables'!$B$7)/VLOOKUP(B25,Operations!$A$2:$U$79,9,FALSE)*C25,2)))</f>
        <v/>
      </c>
      <c r="G25" s="109" t="str">
        <f>IF(B25=0,0,IF(C25&gt;9999,"",ROUND(VLOOKUP(VLOOKUP(B25,Operations!$A$2:$U$79,11,FALSE),PowerUnits[],10,FALSE)/VLOOKUP(B25,Operations!$A$2:$U$79,9,FALSE)*C25,2)))</f>
        <v/>
      </c>
      <c r="H25" s="109" t="str">
        <f>IF(B25=0,"",IF(C25&gt;9999,"",ROUND(VLOOKUP($B25,Operations!$A$2:$U$79,15,FALSE)*C25,2)))</f>
        <v/>
      </c>
      <c r="I25" s="109" t="str">
        <f>IF(B25=0,0,IF(C25&gt;9999,"",ROUND(VLOOKUP(VLOOKUP(B25,Operations!$A$2:$U$79,11,FALSE),PowerUnits[],16,FALSE)/VLOOKUP(B25,Operations!$A$2:$U$79,9,FALSE)*C25,2)))</f>
        <v/>
      </c>
      <c r="J25" s="109" t="str">
        <f>IF(B25=0,"",IF(C25&gt;9999,"",ROUND(VLOOKUP($B25,Operations!$A$2:$U$79,21,FALSE)*$C25,2)))</f>
        <v/>
      </c>
      <c r="K25" s="109" t="str">
        <f t="shared" si="1"/>
        <v/>
      </c>
      <c r="L25" s="110"/>
    </row>
    <row r="26" spans="1:12" hidden="1" x14ac:dyDescent="0.2">
      <c r="A26" s="170">
        <v>15</v>
      </c>
      <c r="B26" s="180"/>
      <c r="C26" s="174"/>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2">SUM(E12:E31)</f>
        <v>36.019400000000005</v>
      </c>
      <c r="F33" s="109">
        <f t="shared" si="2"/>
        <v>40.845700000000001</v>
      </c>
      <c r="G33" s="109">
        <f t="shared" si="2"/>
        <v>17.206299999999999</v>
      </c>
      <c r="H33" s="109">
        <f t="shared" si="2"/>
        <v>25.343699999999998</v>
      </c>
      <c r="I33" s="109">
        <f t="shared" si="2"/>
        <v>63.050699999999999</v>
      </c>
      <c r="J33" s="109">
        <f t="shared" si="2"/>
        <v>50.548300000000005</v>
      </c>
      <c r="K33" s="109">
        <f t="shared" si="2"/>
        <v>233.01000000000002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2.75" customHeight="1" thickTop="1" x14ac:dyDescent="0.2">
      <c r="A37" s="105"/>
      <c r="B37" s="180" t="s">
        <v>241</v>
      </c>
      <c r="C37" s="388" t="str">
        <f>IF(B37=0,"",VLOOKUP($B37,Table2[],2,FALSE))</f>
        <v>Herbicide</v>
      </c>
      <c r="D37" s="388"/>
      <c r="E37" s="388"/>
      <c r="F37" s="174">
        <v>3</v>
      </c>
      <c r="G37" s="175">
        <v>1</v>
      </c>
      <c r="H37" s="176">
        <v>4</v>
      </c>
      <c r="I37" s="120" t="str">
        <f>IF($B37=0,"",VLOOKUP($B37,Table2[],5,FALSE))</f>
        <v>ounce</v>
      </c>
      <c r="J37" s="109">
        <f>IF($B37=0,"",VLOOKUP($B37,Table2[],7,FALSE))</f>
        <v>6.5</v>
      </c>
      <c r="K37" s="109">
        <f>IF(B37=0,0,ROUND(G37*H37*J37,2))</f>
        <v>26</v>
      </c>
      <c r="L37" s="110"/>
    </row>
    <row r="38" spans="1:12" ht="12.75" customHeight="1" x14ac:dyDescent="0.2">
      <c r="A38" s="105"/>
      <c r="B38" s="180" t="s">
        <v>244</v>
      </c>
      <c r="C38" s="388" t="str">
        <f>IF(B38=0,"",VLOOKUP($B38,Table2[],2,FALSE))</f>
        <v>Herbicide</v>
      </c>
      <c r="D38" s="388"/>
      <c r="E38" s="388"/>
      <c r="F38" s="174">
        <v>3</v>
      </c>
      <c r="G38" s="175">
        <v>1</v>
      </c>
      <c r="H38" s="176">
        <v>2.1</v>
      </c>
      <c r="I38" s="120" t="str">
        <f>IF($B38=0,"",VLOOKUP($B38,Table2[],5,FALSE))</f>
        <v>quart</v>
      </c>
      <c r="J38" s="109">
        <f>IF($B38=0,"",VLOOKUP($B38,Table2[],7,FALSE))</f>
        <v>13.25</v>
      </c>
      <c r="K38" s="109">
        <f t="shared" ref="K38:K59" si="3">IF(B38=0,0,ROUND(G38*H38*J38,2))</f>
        <v>27.83</v>
      </c>
      <c r="L38" s="110"/>
    </row>
    <row r="39" spans="1:12" ht="12.75" customHeight="1" x14ac:dyDescent="0.2">
      <c r="A39" s="105"/>
      <c r="B39" s="180" t="s">
        <v>329</v>
      </c>
      <c r="C39" s="388" t="str">
        <f>IF(B39=0,"",VLOOKUP($B39,Table2[],2,FALSE))</f>
        <v>Seed</v>
      </c>
      <c r="D39" s="388"/>
      <c r="E39" s="388"/>
      <c r="F39" s="174">
        <v>4</v>
      </c>
      <c r="G39" s="175">
        <v>1</v>
      </c>
      <c r="H39" s="300">
        <v>33.299999999999997</v>
      </c>
      <c r="I39" s="120" t="str">
        <f>IF($B39=0,"",VLOOKUP($B39,Table2[],5,FALSE))</f>
        <v>k seed</v>
      </c>
      <c r="J39" s="109">
        <f>IF($B39=0,"",VLOOKUP($B39,Table2[],7,FALSE))</f>
        <v>4.375</v>
      </c>
      <c r="K39" s="109">
        <f t="shared" si="3"/>
        <v>145.69</v>
      </c>
      <c r="L39" s="110"/>
    </row>
    <row r="40" spans="1:12" ht="12.75" customHeight="1" x14ac:dyDescent="0.2">
      <c r="A40" s="105"/>
      <c r="B40" s="213" t="s">
        <v>201</v>
      </c>
      <c r="C40" s="387" t="str">
        <f>IF(B40=0,"",VLOOKUP($B40,Table2[],2,FALSE))</f>
        <v>Fertilizer</v>
      </c>
      <c r="D40" s="387"/>
      <c r="E40" s="387"/>
      <c r="F40" s="214">
        <v>4</v>
      </c>
      <c r="G40" s="221">
        <v>1</v>
      </c>
      <c r="H40" s="222">
        <v>6</v>
      </c>
      <c r="I40" s="223" t="str">
        <f>IF($B40=0,"",VLOOKUP($B40,Table2[],5,FALSE))</f>
        <v>gallon</v>
      </c>
      <c r="J40" s="215">
        <f>IF($B40=0,"",VLOOKUP($B40,Table2[],7,FALSE))</f>
        <v>3.1</v>
      </c>
      <c r="K40" s="215">
        <f t="shared" si="3"/>
        <v>18.600000000000001</v>
      </c>
      <c r="L40" s="216"/>
    </row>
    <row r="41" spans="1:12" ht="12.75" customHeight="1" x14ac:dyDescent="0.2">
      <c r="A41" s="105"/>
      <c r="B41" s="180" t="s">
        <v>200</v>
      </c>
      <c r="C41" s="388" t="str">
        <f>IF(B41=0,"",VLOOKUP($B41,Table2[],2,FALSE))</f>
        <v>Custom</v>
      </c>
      <c r="D41" s="388"/>
      <c r="E41" s="388"/>
      <c r="F41" s="174">
        <v>7</v>
      </c>
      <c r="G41" s="175">
        <v>0.2</v>
      </c>
      <c r="H41" s="300">
        <v>1</v>
      </c>
      <c r="I41" s="120" t="str">
        <f>IF($B41=0,"",VLOOKUP($B41,Table2[],5,FALSE))</f>
        <v>acre</v>
      </c>
      <c r="J41" s="109">
        <f>IF($B41=0,"",VLOOKUP($B41,Table2[],7,FALSE))</f>
        <v>9</v>
      </c>
      <c r="K41" s="109">
        <f t="shared" ref="K41:K53" si="4">IF(B41=0,0,ROUND(G41*H41*J41,2))</f>
        <v>1.8</v>
      </c>
      <c r="L41" s="110"/>
    </row>
    <row r="42" spans="1:12" ht="12.75" customHeight="1" x14ac:dyDescent="0.2">
      <c r="A42" s="143"/>
      <c r="B42" s="180" t="s">
        <v>286</v>
      </c>
      <c r="C42" s="388" t="str">
        <f>IF(B42=0,"",VLOOKUP($B42,Table2[],2,FALSE))</f>
        <v>Insecticide</v>
      </c>
      <c r="D42" s="388"/>
      <c r="E42" s="388"/>
      <c r="F42" s="174">
        <v>7</v>
      </c>
      <c r="G42" s="175">
        <v>0.1</v>
      </c>
      <c r="H42" s="176">
        <v>5.12</v>
      </c>
      <c r="I42" s="120" t="str">
        <f>IF($B42=0,"",VLOOKUP($B42,Table2[],5,FALSE))</f>
        <v>ounce</v>
      </c>
      <c r="J42" s="109">
        <f>IF($B42=0,"",VLOOKUP($B42,Table2[],7,FALSE))</f>
        <v>1.015625</v>
      </c>
      <c r="K42" s="109">
        <f t="shared" si="4"/>
        <v>0.52</v>
      </c>
      <c r="L42" s="110"/>
    </row>
    <row r="43" spans="1:12" ht="12.75" customHeight="1" x14ac:dyDescent="0.2">
      <c r="A43" s="143"/>
      <c r="B43" s="180" t="s">
        <v>288</v>
      </c>
      <c r="C43" s="170"/>
      <c r="D43" s="170" t="s">
        <v>285</v>
      </c>
      <c r="E43" s="170"/>
      <c r="F43" s="174">
        <v>7</v>
      </c>
      <c r="G43" s="175">
        <v>0.2</v>
      </c>
      <c r="H43" s="176">
        <v>3</v>
      </c>
      <c r="I43" s="120" t="s">
        <v>174</v>
      </c>
      <c r="J43" s="109">
        <f>IF($B43=0,"",VLOOKUP($B43,Table2[],7,FALSE))</f>
        <v>1.25</v>
      </c>
      <c r="K43" s="109">
        <f t="shared" ref="K43" si="5">IF(B43=0,0,ROUND(G43*H43*J43,2))</f>
        <v>0.75</v>
      </c>
      <c r="L43" s="110"/>
    </row>
    <row r="44" spans="1:12" ht="12.75" customHeight="1" x14ac:dyDescent="0.2">
      <c r="A44" s="143"/>
      <c r="B44" s="180" t="s">
        <v>200</v>
      </c>
      <c r="C44" s="388" t="str">
        <f>IF(B44=0,"",VLOOKUP($B44,Table2[],2,FALSE))</f>
        <v>Custom</v>
      </c>
      <c r="D44" s="388"/>
      <c r="E44" s="388"/>
      <c r="F44" s="174">
        <v>8</v>
      </c>
      <c r="G44" s="175">
        <v>0.3</v>
      </c>
      <c r="H44" s="176">
        <v>1</v>
      </c>
      <c r="I44" s="120" t="str">
        <f>IF($B44=0,"",VLOOKUP($B44,Table2[],5,FALSE))</f>
        <v>acre</v>
      </c>
      <c r="J44" s="109">
        <f>IF($B44=0,"",VLOOKUP($B44,Table2[],7,FALSE))</f>
        <v>9</v>
      </c>
      <c r="K44" s="109">
        <f t="shared" si="4"/>
        <v>2.7</v>
      </c>
      <c r="L44" s="257"/>
    </row>
    <row r="45" spans="1:12" ht="12.75" customHeight="1" x14ac:dyDescent="0.2">
      <c r="A45" s="143"/>
      <c r="B45" s="213" t="s">
        <v>224</v>
      </c>
      <c r="C45" s="387" t="str">
        <f>IF(B45=0,"",VLOOKUP($B45,Table2[],2,FALSE))</f>
        <v>Fungicide</v>
      </c>
      <c r="D45" s="387"/>
      <c r="E45" s="387"/>
      <c r="F45" s="214">
        <v>8</v>
      </c>
      <c r="G45" s="221">
        <v>0.3</v>
      </c>
      <c r="H45" s="308">
        <v>10</v>
      </c>
      <c r="I45" s="223" t="str">
        <f>IF($B45=0,"",VLOOKUP($B45,Table2[],5,FALSE))</f>
        <v>ounce</v>
      </c>
      <c r="J45" s="215">
        <f>IF($B45=0,"",VLOOKUP($B45,Table2[],7,FALSE))</f>
        <v>3.90625</v>
      </c>
      <c r="K45" s="215">
        <f t="shared" si="4"/>
        <v>11.72</v>
      </c>
      <c r="L45" s="216"/>
    </row>
    <row r="46" spans="1:12" ht="12.75" customHeight="1" x14ac:dyDescent="0.2">
      <c r="A46" s="105"/>
      <c r="B46" s="180" t="s">
        <v>200</v>
      </c>
      <c r="C46" s="388" t="s">
        <v>184</v>
      </c>
      <c r="D46" s="388" t="s">
        <v>228</v>
      </c>
      <c r="E46" s="388"/>
      <c r="F46" s="174">
        <v>9</v>
      </c>
      <c r="G46" s="175">
        <v>1</v>
      </c>
      <c r="H46" s="176">
        <v>1</v>
      </c>
      <c r="I46" s="120" t="s">
        <v>176</v>
      </c>
      <c r="J46" s="109">
        <v>8.5</v>
      </c>
      <c r="K46" s="109">
        <f>IF(B46=0,0,ROUND(G46*H46*J46,2))</f>
        <v>8.5</v>
      </c>
      <c r="L46" s="110"/>
    </row>
    <row r="47" spans="1:12" ht="12.75" customHeight="1" x14ac:dyDescent="0.2">
      <c r="A47" s="105"/>
      <c r="B47" s="180" t="s">
        <v>249</v>
      </c>
      <c r="C47" s="388" t="str">
        <f>IF(B47=0,"",VLOOKUP($B47,Table2[],2,FALSE))</f>
        <v>Herbicide</v>
      </c>
      <c r="D47" s="388"/>
      <c r="E47" s="388"/>
      <c r="F47" s="174">
        <v>9</v>
      </c>
      <c r="G47" s="175">
        <v>1</v>
      </c>
      <c r="H47" s="176">
        <v>32</v>
      </c>
      <c r="I47" s="120" t="str">
        <f>IF($B47=0,"",VLOOKUP($B47,Table2[],5,FALSE))</f>
        <v>ounce</v>
      </c>
      <c r="J47" s="109">
        <f>IF($B47=0,"",VLOOKUP($B47,Table2[],7,FALSE))</f>
        <v>0.9375</v>
      </c>
      <c r="K47" s="109">
        <f>IF(B47=0,0,ROUND(G47*H47*J47,2))</f>
        <v>30</v>
      </c>
      <c r="L47" s="110"/>
    </row>
    <row r="48" spans="1:12" ht="12.75" customHeight="1" x14ac:dyDescent="0.2">
      <c r="A48" s="105"/>
      <c r="B48" s="180" t="s">
        <v>177</v>
      </c>
      <c r="C48" s="170"/>
      <c r="D48" s="170" t="s">
        <v>171</v>
      </c>
      <c r="E48" s="170"/>
      <c r="F48" s="174">
        <v>9</v>
      </c>
      <c r="G48" s="175">
        <v>1</v>
      </c>
      <c r="H48" s="176">
        <v>1.6</v>
      </c>
      <c r="I48" s="120" t="s">
        <v>179</v>
      </c>
      <c r="J48" s="109">
        <f>IF($B48=0,"",VLOOKUP($B48,Table2[],7,FALSE))</f>
        <v>1.875</v>
      </c>
      <c r="K48" s="109">
        <f>IF(B48=0,0,ROUND(G48*H48*J48,2))</f>
        <v>3</v>
      </c>
      <c r="L48" s="110"/>
    </row>
    <row r="49" spans="1:12" ht="12.75" customHeight="1" x14ac:dyDescent="0.2">
      <c r="A49" s="105"/>
      <c r="B49" s="213" t="s">
        <v>209</v>
      </c>
      <c r="C49" s="387" t="str">
        <f>IF(B49=0,"",VLOOKUP($B49,Table2[],2,FALSE))</f>
        <v>Fertilizer</v>
      </c>
      <c r="D49" s="387"/>
      <c r="E49" s="387"/>
      <c r="F49" s="214">
        <v>10</v>
      </c>
      <c r="G49" s="221">
        <v>1</v>
      </c>
      <c r="H49" s="308">
        <v>210</v>
      </c>
      <c r="I49" s="223" t="str">
        <f>IF($B49=0,"",VLOOKUP($B49,Table2[],5,FALSE))</f>
        <v>lbs N</v>
      </c>
      <c r="J49" s="215">
        <f>IF($B49=0,"",VLOOKUP($B49,Table2[],7,FALSE))</f>
        <v>0.5</v>
      </c>
      <c r="K49" s="215">
        <f>IF(B49=0,0,ROUND(G49*H49*J49,2))</f>
        <v>105</v>
      </c>
      <c r="L49" s="216"/>
    </row>
    <row r="50" spans="1:12" ht="12.75" customHeight="1" x14ac:dyDescent="0.2">
      <c r="A50" s="143"/>
      <c r="B50" s="180" t="s">
        <v>291</v>
      </c>
      <c r="C50" s="170"/>
      <c r="D50" s="170" t="s">
        <v>292</v>
      </c>
      <c r="E50" s="170"/>
      <c r="F50" s="174">
        <v>10</v>
      </c>
      <c r="G50" s="175">
        <v>1</v>
      </c>
      <c r="H50" s="176">
        <v>1</v>
      </c>
      <c r="I50" s="120" t="s">
        <v>176</v>
      </c>
      <c r="J50" s="109">
        <f>IF($B50=0,"",VLOOKUP($B50,Table2[],7,FALSE))</f>
        <v>52</v>
      </c>
      <c r="K50" s="109">
        <f>IF(B50=0,0,ROUND(G50*H50*J50,2))</f>
        <v>52</v>
      </c>
      <c r="L50" s="110"/>
    </row>
    <row r="51" spans="1:12" ht="12.75" customHeight="1" x14ac:dyDescent="0.2">
      <c r="A51" s="143"/>
      <c r="B51" s="180" t="s">
        <v>198</v>
      </c>
      <c r="C51" s="388" t="str">
        <f>IF(B51=0,"",VLOOKUP($B51,Table2[],2,FALSE))</f>
        <v>Custom</v>
      </c>
      <c r="D51" s="388"/>
      <c r="E51" s="388"/>
      <c r="F51" s="174">
        <v>13</v>
      </c>
      <c r="G51" s="175">
        <v>1</v>
      </c>
      <c r="H51" s="176">
        <f>$G$4</f>
        <v>240</v>
      </c>
      <c r="I51" s="120" t="str">
        <f>IF($B51=0,"",VLOOKUP($B51,Table2[],5,FALSE))</f>
        <v>bushel</v>
      </c>
      <c r="J51" s="109">
        <f>IF($B51=0,"",VLOOKUP($B51,Table2[],7,FALSE))</f>
        <v>0.15</v>
      </c>
      <c r="K51" s="109">
        <f t="shared" si="4"/>
        <v>36</v>
      </c>
      <c r="L51" s="110"/>
    </row>
    <row r="52" spans="1:12" ht="12.75" customHeight="1" x14ac:dyDescent="0.2">
      <c r="A52" s="105"/>
      <c r="B52" s="180" t="s">
        <v>190</v>
      </c>
      <c r="C52" s="388" t="str">
        <f>IF(B52=0,"",VLOOKUP($B52,Table2[],2,FALSE))</f>
        <v>Custom</v>
      </c>
      <c r="D52" s="388"/>
      <c r="E52" s="388"/>
      <c r="F52" s="174">
        <v>14</v>
      </c>
      <c r="G52" s="175">
        <v>0.2</v>
      </c>
      <c r="H52" s="176">
        <f>$G$4</f>
        <v>240</v>
      </c>
      <c r="I52" s="120" t="str">
        <f>IF($B52=0,"",VLOOKUP($B52,Table2[],5,FALSE))</f>
        <v>bushel</v>
      </c>
      <c r="J52" s="109">
        <f>IF($B52=0,"",VLOOKUP($B52,Table2[],7,FALSE))</f>
        <v>0.1</v>
      </c>
      <c r="K52" s="109">
        <f t="shared" si="4"/>
        <v>4.8</v>
      </c>
      <c r="L52" s="110"/>
    </row>
    <row r="53" spans="1:12" ht="12.75" customHeight="1" x14ac:dyDescent="0.2">
      <c r="A53" s="105"/>
      <c r="B53" s="213" t="s">
        <v>313</v>
      </c>
      <c r="C53" s="387" t="str">
        <f>IF(B53=0,"",VLOOKUP($B53,Table2[],2,FALSE))</f>
        <v>Scouting</v>
      </c>
      <c r="D53" s="387"/>
      <c r="E53" s="387"/>
      <c r="F53" s="214"/>
      <c r="G53" s="221">
        <v>1</v>
      </c>
      <c r="H53" s="222">
        <v>1</v>
      </c>
      <c r="I53" s="223" t="str">
        <f>IF($B53=0,"",VLOOKUP($B53,Table2[],5,FALSE))</f>
        <v>acre</v>
      </c>
      <c r="J53" s="215">
        <f>IF($B53=0,"",VLOOKUP($B53,Table2[],7,FALSE))</f>
        <v>13</v>
      </c>
      <c r="K53" s="215">
        <f t="shared" si="4"/>
        <v>13</v>
      </c>
      <c r="L53" s="216"/>
    </row>
    <row r="54" spans="1:12" ht="12.75" hidden="1" customHeight="1" x14ac:dyDescent="0.2">
      <c r="B54" s="180"/>
      <c r="C54" s="388" t="str">
        <f>IF(B54=0,"",VLOOKUP($B54,Table2[],2,FALSE))</f>
        <v/>
      </c>
      <c r="D54" s="388"/>
      <c r="E54" s="388"/>
      <c r="F54" s="174"/>
      <c r="G54" s="175"/>
      <c r="H54" s="300"/>
      <c r="I54" s="120" t="str">
        <f>IF($B54=0,"",VLOOKUP($B54,Table2[],5,FALSE))</f>
        <v/>
      </c>
      <c r="J54" s="109" t="str">
        <f>IF($B54=0,"",VLOOKUP($B54,Table2[],7,FALSE))</f>
        <v/>
      </c>
      <c r="K54" s="109">
        <f t="shared" si="3"/>
        <v>0</v>
      </c>
      <c r="L54" s="110"/>
    </row>
    <row r="55" spans="1:12" ht="12.75" hidden="1" customHeight="1" x14ac:dyDescent="0.2">
      <c r="B55" s="180"/>
      <c r="C55" s="388" t="str">
        <f>IF(B55=0,"",VLOOKUP($B55,Table2[],2,FALSE))</f>
        <v/>
      </c>
      <c r="D55" s="388"/>
      <c r="E55" s="388"/>
      <c r="F55" s="174"/>
      <c r="G55" s="175"/>
      <c r="H55" s="176"/>
      <c r="I55" s="120" t="str">
        <f>IF($B55=0,"",VLOOKUP($B55,Table2[],5,FALSE))</f>
        <v/>
      </c>
      <c r="J55" s="109" t="str">
        <f>IF($B55=0,"",VLOOKUP($B55,Table2[],7,FALSE))</f>
        <v/>
      </c>
      <c r="K55" s="109">
        <f t="shared" si="3"/>
        <v>0</v>
      </c>
      <c r="L55" s="110"/>
    </row>
    <row r="56" spans="1:12" ht="12.75" hidden="1" customHeight="1" x14ac:dyDescent="0.2">
      <c r="B56" s="217"/>
      <c r="C56" s="387" t="str">
        <f>IF(B56=0,"",VLOOKUP($B56,Table2[],2,FALSE))</f>
        <v/>
      </c>
      <c r="D56" s="387"/>
      <c r="E56" s="387"/>
      <c r="F56" s="218"/>
      <c r="G56" s="221"/>
      <c r="H56" s="225"/>
      <c r="I56" s="223" t="str">
        <f>IF($B56=0,"",VLOOKUP($B56,Table2[],5,FALSE))</f>
        <v/>
      </c>
      <c r="J56" s="215" t="str">
        <f>IF($B56=0,"",VLOOKUP($B56,Table2[],7,FALSE))</f>
        <v/>
      </c>
      <c r="K56" s="215">
        <f t="shared" si="3"/>
        <v>0</v>
      </c>
      <c r="L56" s="216"/>
    </row>
    <row r="57" spans="1:12" ht="12.75" hidden="1" customHeight="1" x14ac:dyDescent="0.2">
      <c r="B57" s="111"/>
      <c r="C57" s="388" t="str">
        <f>IF(B57=0,"",VLOOKUP($B57,Table2[],2,FALSE))</f>
        <v/>
      </c>
      <c r="D57" s="388"/>
      <c r="E57" s="388"/>
      <c r="F57" s="112"/>
      <c r="G57" s="175"/>
      <c r="H57" s="178"/>
      <c r="I57" s="120" t="str">
        <f>IF($B57=0,"",VLOOKUP($B57,Table2[],5,FALSE))</f>
        <v/>
      </c>
      <c r="J57" s="109" t="str">
        <f>IF($B57=0,"",VLOOKUP($B57,Table2[],7,FALSE))</f>
        <v/>
      </c>
      <c r="K57" s="109">
        <f t="shared" si="3"/>
        <v>0</v>
      </c>
      <c r="L57" s="110"/>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3"/>
        <v>0</v>
      </c>
      <c r="L58" s="110"/>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3"/>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217"/>
      <c r="C63" s="387" t="str">
        <f>IF(B63=0,"",VLOOKUP($B63,Table2[],2,FALSE))</f>
        <v/>
      </c>
      <c r="D63" s="387"/>
      <c r="E63" s="387"/>
      <c r="F63" s="218"/>
      <c r="G63" s="224"/>
      <c r="H63" s="225"/>
      <c r="I63" s="223" t="str">
        <f>IF($B63=0,"",VLOOKUP($B63,Table2[],5,FALSE))</f>
        <v/>
      </c>
      <c r="J63" s="215" t="str">
        <f>IF($B63=0,"",VLOOKUP($B63,Table2[],7,FALSE))</f>
        <v/>
      </c>
      <c r="K63" s="215">
        <f>IF(B63=0,0,ROUND(G63*H63*J63,2))</f>
        <v>0</v>
      </c>
      <c r="L63" s="227"/>
    </row>
    <row r="64" spans="1:12" ht="12.75" customHeight="1" x14ac:dyDescent="0.2">
      <c r="B64" s="185" t="s">
        <v>430</v>
      </c>
      <c r="C64" s="388" t="s">
        <v>655</v>
      </c>
      <c r="D64" s="388"/>
      <c r="E64" s="388"/>
      <c r="F64" s="112"/>
      <c r="G64" s="177"/>
      <c r="H64" s="178"/>
      <c r="I64" s="170"/>
      <c r="J64" s="109">
        <f ca="1">IF(F5=0,E5,F5)</f>
        <v>5</v>
      </c>
      <c r="K64" s="109">
        <f ca="1">IF(B64=0,0,J64)</f>
        <v>5</v>
      </c>
      <c r="L64" s="113"/>
    </row>
    <row r="65" spans="2:12" ht="3.75" customHeight="1" thickBot="1" x14ac:dyDescent="0.25">
      <c r="B65" s="114"/>
      <c r="C65" s="121"/>
      <c r="D65" s="121"/>
      <c r="E65" s="121"/>
      <c r="F65" s="115"/>
      <c r="G65" s="122"/>
      <c r="H65" s="114"/>
      <c r="I65" s="123"/>
      <c r="J65" s="124"/>
      <c r="K65" s="125"/>
      <c r="L65" s="117"/>
    </row>
    <row r="66" spans="2:12" ht="13.5" thickTop="1" x14ac:dyDescent="0.2">
      <c r="C66" s="108" t="s">
        <v>671</v>
      </c>
      <c r="D66" s="108"/>
      <c r="E66" s="161">
        <v>31200</v>
      </c>
      <c r="F66" s="105" t="s">
        <v>737</v>
      </c>
      <c r="J66" s="126"/>
      <c r="K66" s="127">
        <f ca="1">SUM(K37:K64)</f>
        <v>492.91</v>
      </c>
      <c r="L66" s="110"/>
    </row>
    <row r="67" spans="2:12" x14ac:dyDescent="0.2">
      <c r="B67" s="144"/>
      <c r="K67" s="127"/>
    </row>
    <row r="68" spans="2:12" x14ac:dyDescent="0.2">
      <c r="B68" s="107" t="s">
        <v>672</v>
      </c>
      <c r="K68" s="127">
        <f ca="1">K33+K66</f>
        <v>725.92000000000007</v>
      </c>
      <c r="L68" s="110"/>
    </row>
    <row r="69" spans="2:12" ht="13.5" thickBot="1" x14ac:dyDescent="0.25">
      <c r="D69" s="128" t="s">
        <v>673</v>
      </c>
      <c r="E69" s="129">
        <f ca="1">ROUND(SUM($E$33:$H$33)+$K$66,2)</f>
        <v>612.33000000000004</v>
      </c>
      <c r="F69" s="388" t="s">
        <v>674</v>
      </c>
      <c r="G69" s="388"/>
      <c r="H69" s="130">
        <f>'General Variables'!$B$11</f>
        <v>7.4999999999999997E-2</v>
      </c>
      <c r="I69" s="131" t="str">
        <f>CONCATENATE("for ",TEXT('General Variables'!$B$12,"0.0")," mo.")</f>
        <v>for 6.0 mo.</v>
      </c>
      <c r="K69" s="132">
        <f ca="1">E69*H69*'General Variables'!$B$12/12</f>
        <v>22.962374999999998</v>
      </c>
      <c r="L69" s="133"/>
    </row>
    <row r="70" spans="2:12" ht="13.5" thickTop="1" x14ac:dyDescent="0.2">
      <c r="B70" s="107" t="s">
        <v>675</v>
      </c>
      <c r="K70" s="127">
        <f ca="1">SUM(K68:K69)</f>
        <v>748.88237500000002</v>
      </c>
      <c r="L70" s="110"/>
    </row>
    <row r="71" spans="2:12" x14ac:dyDescent="0.2">
      <c r="B71" s="104"/>
      <c r="K71" s="127"/>
    </row>
    <row r="72" spans="2:12" x14ac:dyDescent="0.2">
      <c r="B72" s="104" t="s">
        <v>676</v>
      </c>
      <c r="C72" s="134"/>
      <c r="D72" s="134"/>
      <c r="E72" s="134"/>
      <c r="F72" s="134"/>
      <c r="G72" s="134"/>
      <c r="H72" s="134"/>
      <c r="I72" s="134"/>
      <c r="J72" s="134"/>
      <c r="K72" s="135">
        <f>'General Variables'!B14</f>
        <v>35</v>
      </c>
      <c r="L72" s="110"/>
    </row>
    <row r="73" spans="2:12" x14ac:dyDescent="0.2">
      <c r="B73" s="103" t="s">
        <v>687</v>
      </c>
      <c r="C73" s="398" t="s">
        <v>40</v>
      </c>
      <c r="D73" s="399"/>
      <c r="E73" s="400"/>
      <c r="F73" s="136">
        <f>IF(C73=0,0,VLOOKUP(C73,RETable,2,FALSE))</f>
        <v>9115</v>
      </c>
      <c r="G73" s="388" t="s">
        <v>678</v>
      </c>
      <c r="H73" s="388"/>
      <c r="I73" s="130">
        <f>'General Variables'!$B$10</f>
        <v>0.03</v>
      </c>
      <c r="K73" s="137">
        <f>ROUND(F73*I73,2)</f>
        <v>273.45</v>
      </c>
      <c r="L73" s="110"/>
    </row>
    <row r="74" spans="2:12" ht="13.5" thickBot="1" x14ac:dyDescent="0.25">
      <c r="B74" s="103" t="s">
        <v>679</v>
      </c>
      <c r="F74" s="138">
        <f>IF(C73=0,0,VLOOKUP(C73,RETable,2,FALSE))</f>
        <v>9115</v>
      </c>
      <c r="G74" s="397" t="s">
        <v>678</v>
      </c>
      <c r="H74" s="397"/>
      <c r="I74" s="139">
        <f>'General Variables'!$B$13</f>
        <v>1.2999999999999999E-2</v>
      </c>
      <c r="J74" s="105"/>
      <c r="K74" s="140">
        <f>ROUND(F74*I74,2)</f>
        <v>118.5</v>
      </c>
      <c r="L74" s="133"/>
    </row>
    <row r="75" spans="2:12" ht="13.5" thickTop="1" x14ac:dyDescent="0.2">
      <c r="B75" s="107" t="s">
        <v>680</v>
      </c>
      <c r="K75" s="127">
        <f ca="1">SUM(K70:K74)</f>
        <v>1175.832375</v>
      </c>
      <c r="L75" s="110"/>
    </row>
    <row r="76" spans="2:12" x14ac:dyDescent="0.2">
      <c r="K76" s="128"/>
    </row>
    <row r="77" spans="2:12" x14ac:dyDescent="0.2">
      <c r="B77" s="104" t="str">
        <f>IF(G4="","","Cash Cost per "&amp;H4)</f>
        <v>Cash Cost per bushel</v>
      </c>
      <c r="C77" s="261" t="s">
        <v>688</v>
      </c>
      <c r="D77" s="105"/>
      <c r="E77" s="105"/>
      <c r="F77" s="105"/>
      <c r="G77" s="105"/>
      <c r="H77" s="105"/>
      <c r="I77" s="105"/>
      <c r="J77" s="105"/>
      <c r="K77" s="142">
        <f ca="1">IF(G4=0,0,(E69+K69+K72+K74)/G4)</f>
        <v>3.2866348958333331</v>
      </c>
      <c r="L77" s="148"/>
    </row>
    <row r="78" spans="2:12" x14ac:dyDescent="0.2">
      <c r="B78" s="107" t="str">
        <f>IF(G4="","","Cost of production per "&amp;H4)</f>
        <v>Cost of production per bushel</v>
      </c>
      <c r="K78" s="141">
        <f ca="1">IF(G4="","",K75/G4)</f>
        <v>4.8993015624999998</v>
      </c>
      <c r="L78" s="113"/>
    </row>
    <row r="79" spans="2:12" x14ac:dyDescent="0.2">
      <c r="B79" s="104"/>
      <c r="C79" s="105"/>
      <c r="D79" s="105"/>
      <c r="E79" s="105"/>
      <c r="F79" s="105"/>
      <c r="G79" s="105"/>
      <c r="H79" s="105"/>
      <c r="I79" s="105"/>
      <c r="J79" s="105"/>
      <c r="K79" s="142"/>
      <c r="L79" s="105"/>
    </row>
    <row r="80" spans="2:12" x14ac:dyDescent="0.2">
      <c r="D80" s="103" t="s">
        <v>900</v>
      </c>
      <c r="G80" s="105"/>
      <c r="H80" s="105"/>
      <c r="I80" s="105"/>
      <c r="J80" s="105"/>
      <c r="K80" s="355" t="s">
        <v>901</v>
      </c>
      <c r="L80" s="105"/>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5"/>
      <c r="C114" s="105"/>
      <c r="D114" s="105"/>
      <c r="H114" s="103" t="e">
        <f>'General Variables'!#REF!</f>
        <v>#REF!</v>
      </c>
    </row>
    <row r="115" spans="2:11" x14ac:dyDescent="0.2">
      <c r="B115" s="105"/>
      <c r="C115" s="105"/>
      <c r="D115" s="105"/>
      <c r="H115" s="103" t="e">
        <f>'General Variables'!#REF!</f>
        <v>#REF!</v>
      </c>
      <c r="K115" s="103" t="s">
        <v>681</v>
      </c>
    </row>
    <row r="116" spans="2:11" x14ac:dyDescent="0.2">
      <c r="B116" s="105"/>
      <c r="C116" s="105"/>
      <c r="D116" s="105"/>
      <c r="H116" s="103" t="e">
        <f>'General Variables'!#REF!</f>
        <v>#REF!</v>
      </c>
      <c r="K116" s="103" t="s">
        <v>654</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t="str">
        <f>IF(Operations!A96="","",Operations!A96)</f>
        <v/>
      </c>
      <c r="C244" s="105" t="str">
        <f>IF(Materials!B140="","",Materials!B140)</f>
        <v>Alfalfa w/Inoculant</v>
      </c>
    </row>
    <row r="245" spans="2:3" x14ac:dyDescent="0.2">
      <c r="B245" s="105" t="str">
        <f>IF(Operations!A97="","",Operations!A97)</f>
        <v/>
      </c>
      <c r="C245" s="105" t="str">
        <f>IF(Materials!B141="","",Materials!B141)</f>
        <v>Corn</v>
      </c>
    </row>
    <row r="246" spans="2:3" x14ac:dyDescent="0.2">
      <c r="B246" s="105" t="str">
        <f>IF(Operations!A98="","",Operations!A98)</f>
        <v/>
      </c>
      <c r="C246" s="105" t="str">
        <f>IF(Materials!B142="","",Materials!B142)</f>
        <v>Corn Bt, ECB, &amp; RIB</v>
      </c>
    </row>
    <row r="247" spans="2:3" x14ac:dyDescent="0.2">
      <c r="B247" s="105" t="str">
        <f>IF(Operations!A99="","",Operations!A99)</f>
        <v/>
      </c>
      <c r="C247" s="105" t="str">
        <f>IF(Materials!B143="","",Materials!B143)</f>
        <v>Corn Bt, ECB, RR2, LL, &amp; RIB</v>
      </c>
    </row>
    <row r="248" spans="2:3" x14ac:dyDescent="0.2">
      <c r="B248" s="105" t="str">
        <f>IF(Operations!A100="","",Operations!A100)</f>
        <v/>
      </c>
      <c r="C248" s="105" t="str">
        <f>IF(Materials!B144="","",Materials!B144)</f>
        <v>Corn Bt, ECB, RW, &amp; RIB</v>
      </c>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row>
    <row r="259" spans="2:3" x14ac:dyDescent="0.2">
      <c r="B259" s="105"/>
    </row>
  </sheetData>
  <mergeCells count="48">
    <mergeCell ref="C45:E45"/>
    <mergeCell ref="C51:E51"/>
    <mergeCell ref="C53:E53"/>
    <mergeCell ref="C52:E52"/>
    <mergeCell ref="C37:E37"/>
    <mergeCell ref="C38:E38"/>
    <mergeCell ref="C39:E39"/>
    <mergeCell ref="C40:E40"/>
    <mergeCell ref="C49:E49"/>
    <mergeCell ref="C47:E47"/>
    <mergeCell ref="C41:E41"/>
    <mergeCell ref="C42:E42"/>
    <mergeCell ref="C44:E44"/>
    <mergeCell ref="C46:E46"/>
    <mergeCell ref="G74:H74"/>
    <mergeCell ref="C54:E54"/>
    <mergeCell ref="C55:E55"/>
    <mergeCell ref="C56:E56"/>
    <mergeCell ref="C57:E57"/>
    <mergeCell ref="C58:E58"/>
    <mergeCell ref="C59:E59"/>
    <mergeCell ref="C64:E64"/>
    <mergeCell ref="F69:G69"/>
    <mergeCell ref="C73:E73"/>
    <mergeCell ref="G73:H73"/>
    <mergeCell ref="C60:E60"/>
    <mergeCell ref="C61:E61"/>
    <mergeCell ref="C62:E62"/>
    <mergeCell ref="C63:E63"/>
    <mergeCell ref="A6:M6"/>
    <mergeCell ref="C3:E3"/>
    <mergeCell ref="K2:L2"/>
    <mergeCell ref="G2:H2"/>
    <mergeCell ref="C4:E4"/>
    <mergeCell ref="F35:F36"/>
    <mergeCell ref="G35:G36"/>
    <mergeCell ref="H35:I35"/>
    <mergeCell ref="B7:L7"/>
    <mergeCell ref="J35:J36"/>
    <mergeCell ref="L35:L36"/>
    <mergeCell ref="B10:B11"/>
    <mergeCell ref="C10:C11"/>
    <mergeCell ref="E10:E11"/>
    <mergeCell ref="F10:F11"/>
    <mergeCell ref="G10:H10"/>
    <mergeCell ref="K10:K11"/>
    <mergeCell ref="L10:L11"/>
    <mergeCell ref="I10:J10"/>
  </mergeCells>
  <dataValidations count="9">
    <dataValidation type="list" allowBlank="1" showInputMessage="1" showErrorMessage="1" sqref="B32" xr:uid="{00000000-0002-0000-2D00-000000000000}">
      <formula1>$B$114:$B$211</formula1>
    </dataValidation>
    <dataValidation type="list" showInputMessage="1" showErrorMessage="1" sqref="B65" xr:uid="{00000000-0002-0000-2D00-000001000000}">
      <formula1>$C$114:$C$237</formula1>
    </dataValidation>
    <dataValidation type="list" allowBlank="1" showInputMessage="1" showErrorMessage="1" sqref="K4" xr:uid="{00000000-0002-0000-2D00-000002000000}">
      <formula1>$K$114:$K$116</formula1>
    </dataValidation>
    <dataValidation type="list" allowBlank="1" showInputMessage="1" showErrorMessage="1" sqref="C73:E73" xr:uid="{00000000-0002-0000-2D00-000004000000}">
      <formula1>RealEstateList</formula1>
    </dataValidation>
    <dataValidation type="list" allowBlank="1" showInputMessage="1" showErrorMessage="1" sqref="K2" xr:uid="{00000000-0002-0000-2D00-000005000000}">
      <formula1>watersource</formula1>
    </dataValidation>
    <dataValidation type="list" allowBlank="1" showInputMessage="1" showErrorMessage="1" sqref="C3" xr:uid="{00000000-0002-0000-2D00-000006000000}">
      <formula1>TillageSystem</formula1>
    </dataValidation>
    <dataValidation type="list" allowBlank="1" showInputMessage="1" showErrorMessage="1" sqref="B12:B31" xr:uid="{00000000-0002-0000-2D00-000007000000}">
      <formula1>OperationList</formula1>
    </dataValidation>
    <dataValidation type="list" allowBlank="1" showInputMessage="1" showErrorMessage="1" sqref="D12:D32" xr:uid="{00000000-0002-0000-2D00-000008000000}">
      <formula1>#REF!</formula1>
    </dataValidation>
    <dataValidation type="list" allowBlank="1" showInputMessage="1" showErrorMessage="1" sqref="B37:B63" xr:uid="{00000000-0002-0000-2D00-000003000000}">
      <formula1>MaterialList</formula1>
    </dataValidation>
  </dataValidations>
  <pageMargins left="0.7" right="0.7" top="0.75" bottom="0.75" header="0.3" footer="0.3"/>
  <pageSetup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9">
    <pageSetUpPr fitToPage="1"/>
  </sheetPr>
  <dimension ref="A2:M257"/>
  <sheetViews>
    <sheetView topLeftCell="A17" zoomScaleNormal="100" workbookViewId="0">
      <selection activeCell="A2" sqref="A2:XFD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738</v>
      </c>
      <c r="H2" s="392"/>
      <c r="J2" s="128" t="s">
        <v>649</v>
      </c>
      <c r="K2" s="401" t="s">
        <v>69</v>
      </c>
      <c r="L2" s="401"/>
    </row>
    <row r="3" spans="1:13" hidden="1" x14ac:dyDescent="0.2">
      <c r="B3" s="103" t="s">
        <v>38</v>
      </c>
      <c r="C3" s="391" t="s">
        <v>46</v>
      </c>
      <c r="D3" s="391"/>
      <c r="E3" s="391"/>
      <c r="G3" s="128" t="s">
        <v>650</v>
      </c>
      <c r="H3" s="187" t="s">
        <v>739</v>
      </c>
      <c r="J3" s="128" t="s">
        <v>651</v>
      </c>
      <c r="K3" s="187">
        <v>12</v>
      </c>
    </row>
    <row r="4" spans="1:13" hidden="1" x14ac:dyDescent="0.2">
      <c r="B4" s="103" t="s">
        <v>652</v>
      </c>
      <c r="C4" s="392" t="s">
        <v>62</v>
      </c>
      <c r="D4" s="392"/>
      <c r="E4" s="392"/>
      <c r="G4" s="103">
        <f>IFERROR(VALUE(LEFT($H$3,FIND(" ",$H$3))),"")</f>
        <v>28</v>
      </c>
      <c r="H4" s="103" t="str">
        <f>IFERROR(RIGHT(H3,LEN(H3)-LEN(G4)-1),"")</f>
        <v>ton</v>
      </c>
      <c r="J4" s="128" t="s">
        <v>653</v>
      </c>
      <c r="K4" s="188" t="s">
        <v>654</v>
      </c>
    </row>
    <row r="5" spans="1:13" ht="15.75" hidden="1" customHeight="1" x14ac:dyDescent="0.2">
      <c r="B5" s="103" t="s">
        <v>655</v>
      </c>
      <c r="C5" s="103" t="str">
        <f ca="1">MID(CELL("filename",C5),FIND("]",CELL("filename",C5))+1,255)</f>
        <v>41-Corn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41-Corn, Silage, No Till, Continuous, 28 ton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41-Corn, Silage, No Till, Continuous, 28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557</v>
      </c>
      <c r="C13" s="174" t="s">
        <v>184</v>
      </c>
      <c r="D13" s="174"/>
      <c r="E13" s="109" t="str">
        <f>IF(B13=0,"",IF(C13&gt;9999,"",ROUND('General Variables'!$B$4*VLOOKUP(B13,Operations!$A$2:$U$79,10,FALSE)/VLOOKUP(B13,Operations!$A$2:$U$79,9,FALSE)*C13,2)))</f>
        <v/>
      </c>
      <c r="F13" s="109" t="str">
        <f>IF(B13=0,0,IF(C13&gt;9999,"",ROUND(IF(VLOOKUP(B13,Operations!$A$2:$U$79,12,FALSE)=0,VLOOKUP(B13,Operations!$A$2:$U$79,13,FALSE)*'General Variables'!$B$8,VLOOKUP(B13,Operations!$A$2:$U$79,12,FALSE)*'General Variables'!$B$7)/VLOOKUP(B13,Operations!$A$2:$U$79,9,FALSE)*C13,2)))</f>
        <v/>
      </c>
      <c r="G13" s="109" t="str">
        <f>IF(B13=0,0,IF(C13&gt;9999,"",ROUND(VLOOKUP(VLOOKUP(B13,Operations!$A$2:$U$79,11,FALSE),PowerUnits[],10,FALSE)/VLOOKUP(B13,Operations!$A$2:$U$79,9,FALSE)*C13,2)))</f>
        <v/>
      </c>
      <c r="H13" s="109" t="str">
        <f>IF(B13=0,"",IF(C13&gt;9999,"",ROUND(VLOOKUP($B13,Operations!$A$2:$U$79,15,FALSE)*C13,2)))</f>
        <v/>
      </c>
      <c r="I13" s="109" t="str">
        <f>IF(B13=0,0,IF(C13&gt;9999,"",ROUND(VLOOKUP(VLOOKUP(B13,Operations!$A$2:$U$79,11,FALSE),PowerUnits[],16,FALSE)/VLOOKUP(B13,Operations!$A$2:$U$79,9,FALSE)*C13,2)))</f>
        <v/>
      </c>
      <c r="J13" s="109" t="str">
        <f>IF(B13=0,"",IF(C13&gt;9999,"",ROUND(VLOOKUP($B13,Operations!$A$2:$U$79,21,FALSE)*$C13,2)))</f>
        <v/>
      </c>
      <c r="K13" s="109" t="str">
        <f t="shared" ref="K13:K31" si="0">IF(C13&gt;9999,"",ROUND(SUM(E13:J13),2))</f>
        <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522</v>
      </c>
      <c r="C16" s="174">
        <f>$K$3</f>
        <v>12</v>
      </c>
      <c r="D16" s="174" t="s">
        <v>693</v>
      </c>
      <c r="E16" s="109">
        <f>IF(B16=0,"",IF(C16&gt;9999,"",ROUND('General Variables'!$B$4*VLOOKUP(B16,Operations!$A$2:$U$79,10,FALSE)/VLOOKUP(B16,Operations!$A$2:$U$79,9,FALSE)*C16,2)))</f>
        <v>11.25</v>
      </c>
      <c r="F16" s="109">
        <f>IF(B16=0,0,IF(C16&gt;9999,"",ROUND(IF(VLOOKUP(B16,Operations!$A$2:$U$79,12,FALSE)=0,VLOOKUP(B16,Operations!$A$2:$U$79,13,FALSE)*'General Variables'!$B$8,VLOOKUP(B16,Operations!$A$2:$U$79,12,FALSE)*'General Variables'!$B$7)/VLOOKUP(B16,Operations!$A$2:$U$79,9,FALSE)*C16,2)))</f>
        <v>71.19</v>
      </c>
      <c r="G16" s="109">
        <f>IF(B16=0,0,IF(C16&gt;9999,"",ROUND(VLOOKUP(VLOOKUP(B16,Operations!$A$2:$U$79,11,FALSE),PowerUnits[],10,FALSE)/VLOOKUP(B16,Operations!$A$2:$U$79,9,FALSE)*C16,2)))</f>
        <v>6.53</v>
      </c>
      <c r="H16" s="109">
        <v>8</v>
      </c>
      <c r="I16" s="109">
        <f>IF(B16=0,0,IF(C16&gt;9999,"",ROUND(VLOOKUP(VLOOKUP(B16,Operations!$A$2:$U$79,11,FALSE),PowerUnits[],16,FALSE)/VLOOKUP(B16,Operations!$A$2:$U$79,9,FALSE)*C16,2)))</f>
        <v>12.4</v>
      </c>
      <c r="J16" s="109">
        <f>IF(B16=0,"",IF(C16&gt;9999,"",ROUND(VLOOKUP($B16,Operations!$A$2:$U$79,21,FALSE)*$C16,2)))</f>
        <v>17.47</v>
      </c>
      <c r="K16" s="109">
        <f t="shared" si="0"/>
        <v>126.84</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IF(C17&gt;9999,"",ROUND(SUM(E17:J17),2))</f>
        <v/>
      </c>
      <c r="L17" s="110"/>
    </row>
    <row r="18" spans="1:12" x14ac:dyDescent="0.2">
      <c r="A18" s="170">
        <v>7</v>
      </c>
      <c r="B18" s="180" t="s">
        <v>429</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15.51</v>
      </c>
      <c r="F33" s="109">
        <f t="shared" ref="F33:K33" si="1">SUM(F12:F31)</f>
        <v>72.53</v>
      </c>
      <c r="G33" s="109">
        <f t="shared" si="1"/>
        <v>6.6400000000000006</v>
      </c>
      <c r="H33" s="109">
        <f t="shared" si="1"/>
        <v>16.079999999999998</v>
      </c>
      <c r="I33" s="109">
        <f t="shared" si="1"/>
        <v>18.04</v>
      </c>
      <c r="J33" s="109">
        <f t="shared" si="1"/>
        <v>26.1</v>
      </c>
      <c r="K33" s="109">
        <f t="shared" si="1"/>
        <v>154.9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229</v>
      </c>
      <c r="C37" s="388" t="str">
        <f>IF(B37=0,"",VLOOKUP($B37,Table2[],2,FALSE))</f>
        <v>Herbicide</v>
      </c>
      <c r="D37" s="388"/>
      <c r="E37" s="388"/>
      <c r="F37" s="174">
        <v>1</v>
      </c>
      <c r="G37" s="175">
        <v>1</v>
      </c>
      <c r="H37" s="176">
        <v>1</v>
      </c>
      <c r="I37" s="120" t="str">
        <f>IF($B37=0,"",VLOOKUP($B37,Table2[],5,FALSE))</f>
        <v>pint</v>
      </c>
      <c r="J37" s="109">
        <f>IF($B37=0,"",VLOOKUP($B37,Table2[],7,FALSE))</f>
        <v>2.5</v>
      </c>
      <c r="K37" s="109">
        <f>IF(B37=0,0,ROUND(G37*H37*J37,2))</f>
        <v>2.5</v>
      </c>
      <c r="L37" s="110"/>
    </row>
    <row r="38" spans="1:12" x14ac:dyDescent="0.2">
      <c r="A38" s="105"/>
      <c r="B38" s="180" t="s">
        <v>259</v>
      </c>
      <c r="C38" s="388" t="str">
        <f>IF(B38=0,"",VLOOKUP($B38,Table2[],2,FALSE))</f>
        <v>Herbicide</v>
      </c>
      <c r="D38" s="388"/>
      <c r="E38" s="388"/>
      <c r="F38" s="174">
        <v>1</v>
      </c>
      <c r="G38" s="175">
        <v>1</v>
      </c>
      <c r="H38" s="176">
        <v>32</v>
      </c>
      <c r="I38" s="120" t="s">
        <v>174</v>
      </c>
      <c r="J38" s="109">
        <f>IF($B38=0,"",VLOOKUP($B38,Table2[],7,FALSE))</f>
        <v>0.1328125</v>
      </c>
      <c r="K38" s="109">
        <f>IF(B38=0,0,ROUND(G38*H38*J38,2))</f>
        <v>4.25</v>
      </c>
      <c r="L38" s="110"/>
    </row>
    <row r="39" spans="1:12" x14ac:dyDescent="0.2">
      <c r="A39" s="105"/>
      <c r="B39" s="180" t="s">
        <v>212</v>
      </c>
      <c r="C39" s="388" t="str">
        <f>IF(B39=0,"",VLOOKUP($B39,Table2[],2,FALSE))</f>
        <v>Fertilizer</v>
      </c>
      <c r="D39" s="388"/>
      <c r="E39" s="388"/>
      <c r="F39" s="174">
        <v>2</v>
      </c>
      <c r="G39" s="175">
        <v>1</v>
      </c>
      <c r="H39" s="176">
        <v>20</v>
      </c>
      <c r="I39" s="120" t="str">
        <f>IF($B39=0,"",VLOOKUP($B39,Table2[],5,FALSE))</f>
        <v>ton</v>
      </c>
      <c r="J39" s="109">
        <f>IF($B39=0,"",VLOOKUP($B39,Table2[],7,FALSE))</f>
        <v>5</v>
      </c>
      <c r="K39" s="109">
        <f t="shared" ref="K39:K56" si="2">IF(B39=0,0,ROUND(G39*H39*J39,2))</f>
        <v>100</v>
      </c>
      <c r="L39" s="110"/>
    </row>
    <row r="40" spans="1:12" x14ac:dyDescent="0.2">
      <c r="A40" s="105"/>
      <c r="B40" s="180" t="s">
        <v>192</v>
      </c>
      <c r="C40" s="388" t="str">
        <f>IF(B40=0,"",VLOOKUP($B40,Table2[],2,FALSE))</f>
        <v>Custom</v>
      </c>
      <c r="D40" s="388"/>
      <c r="E40" s="388"/>
      <c r="F40" s="174">
        <v>2</v>
      </c>
      <c r="G40" s="175">
        <v>1</v>
      </c>
      <c r="H40" s="176">
        <v>20</v>
      </c>
      <c r="I40" s="120" t="str">
        <f>IF($B40=0,"",VLOOKUP($B40,Table2[],5,FALSE))</f>
        <v>ton</v>
      </c>
      <c r="J40" s="109">
        <f>IF($B40=0,"",VLOOKUP($B40,Table2[],7,FALSE))</f>
        <v>8</v>
      </c>
      <c r="K40" s="109">
        <f t="shared" si="2"/>
        <v>160</v>
      </c>
      <c r="L40" s="110"/>
    </row>
    <row r="41" spans="1:12" x14ac:dyDescent="0.2">
      <c r="A41" s="105"/>
      <c r="B41" s="213" t="s">
        <v>244</v>
      </c>
      <c r="C41" s="387" t="str">
        <f>IF(B41=0,"",VLOOKUP($B41,Table2[],2,FALSE))</f>
        <v>Herbicide</v>
      </c>
      <c r="D41" s="387"/>
      <c r="E41" s="387"/>
      <c r="F41" s="214">
        <v>3</v>
      </c>
      <c r="G41" s="221">
        <v>1</v>
      </c>
      <c r="H41" s="222">
        <v>1.4</v>
      </c>
      <c r="I41" s="223" t="str">
        <f>IF($B41=0,"",VLOOKUP($B41,Table2[],5,FALSE))</f>
        <v>quart</v>
      </c>
      <c r="J41" s="215">
        <f>IF($B41=0,"",VLOOKUP($B41,Table2[],7,FALSE))</f>
        <v>13.25</v>
      </c>
      <c r="K41" s="215">
        <f t="shared" si="2"/>
        <v>18.55</v>
      </c>
      <c r="L41" s="216"/>
    </row>
    <row r="42" spans="1:12" x14ac:dyDescent="0.2">
      <c r="A42" s="105"/>
      <c r="B42" s="180" t="s">
        <v>320</v>
      </c>
      <c r="C42" s="388" t="str">
        <f>IF(B42=0,"",VLOOKUP($B42,Table2[],2,FALSE))</f>
        <v>Seed</v>
      </c>
      <c r="D42" s="388"/>
      <c r="E42" s="388"/>
      <c r="F42" s="174">
        <v>3</v>
      </c>
      <c r="G42" s="175">
        <v>1</v>
      </c>
      <c r="H42" s="302">
        <v>32.200000000000003</v>
      </c>
      <c r="I42" s="120" t="str">
        <f>IF($B42=0,"",VLOOKUP($B42,Table2[],5,FALSE))</f>
        <v>k seed</v>
      </c>
      <c r="J42" s="109">
        <f>IF($B42=0,"",VLOOKUP($B42,Table2[],7,FALSE))</f>
        <v>3.5</v>
      </c>
      <c r="K42" s="109">
        <f t="shared" si="2"/>
        <v>112.7</v>
      </c>
      <c r="L42" s="110"/>
    </row>
    <row r="43" spans="1:12" x14ac:dyDescent="0.2">
      <c r="A43" s="143" t="s">
        <v>638</v>
      </c>
      <c r="B43" s="180" t="s">
        <v>287</v>
      </c>
      <c r="C43" s="388" t="str">
        <f>IF(B43=0,"",VLOOKUP($B43,Table2[],2,FALSE))</f>
        <v>Insecticide</v>
      </c>
      <c r="D43" s="388"/>
      <c r="E43" s="388"/>
      <c r="F43" s="174">
        <v>3</v>
      </c>
      <c r="G43" s="175">
        <v>1</v>
      </c>
      <c r="H43" s="176">
        <v>6.6</v>
      </c>
      <c r="I43" s="120" t="str">
        <f>IF($B43=0,"",VLOOKUP($B43,Table2[],5,FALSE))</f>
        <v>ounce</v>
      </c>
      <c r="J43" s="109">
        <f>IF($B43=0,"",VLOOKUP($B43,Table2[],7,FALSE))</f>
        <v>1.4453125</v>
      </c>
      <c r="K43" s="109">
        <f t="shared" si="2"/>
        <v>9.5399999999999991</v>
      </c>
      <c r="L43" s="110"/>
    </row>
    <row r="44" spans="1:12" x14ac:dyDescent="0.2">
      <c r="A44" s="143"/>
      <c r="B44" s="180" t="s">
        <v>200</v>
      </c>
      <c r="C44" s="388" t="str">
        <f>IF(B44=0,"",VLOOKUP($B44,Table2[],2,FALSE))</f>
        <v>Custom</v>
      </c>
      <c r="D44" s="388"/>
      <c r="E44" s="388"/>
      <c r="F44" s="174">
        <v>4</v>
      </c>
      <c r="G44" s="175">
        <v>1</v>
      </c>
      <c r="H44" s="176">
        <v>1</v>
      </c>
      <c r="I44" s="120" t="str">
        <f>IF($B44=0,"",VLOOKUP($B44,Table2[],5,FALSE))</f>
        <v>acre</v>
      </c>
      <c r="J44" s="109">
        <f>IF($B44=0,"",VLOOKUP($B44,Table2[],7,FALSE))</f>
        <v>9</v>
      </c>
      <c r="K44" s="109">
        <f t="shared" si="2"/>
        <v>9</v>
      </c>
      <c r="L44" s="110"/>
    </row>
    <row r="45" spans="1:12" x14ac:dyDescent="0.2">
      <c r="A45" s="143"/>
      <c r="B45" s="213" t="s">
        <v>236</v>
      </c>
      <c r="C45" s="387" t="str">
        <f>IF(B45=0,"",VLOOKUP($B45,Table2[],2,FALSE))</f>
        <v>Herbicide</v>
      </c>
      <c r="D45" s="387"/>
      <c r="E45" s="387"/>
      <c r="F45" s="214">
        <v>4</v>
      </c>
      <c r="G45" s="221">
        <v>1</v>
      </c>
      <c r="H45" s="222">
        <v>14</v>
      </c>
      <c r="I45" s="223" t="str">
        <f>IF($B45=0,"",VLOOKUP($B45,Table2[],5,FALSE))</f>
        <v>ounce</v>
      </c>
      <c r="J45" s="215">
        <f>IF($B45=0,"",VLOOKUP($B45,Table2[],7,FALSE))</f>
        <v>1.640625</v>
      </c>
      <c r="K45" s="215">
        <f t="shared" si="2"/>
        <v>22.97</v>
      </c>
      <c r="L45" s="216"/>
    </row>
    <row r="46" spans="1:12" x14ac:dyDescent="0.2">
      <c r="A46" s="143"/>
      <c r="B46" s="180" t="s">
        <v>181</v>
      </c>
      <c r="C46" s="388" t="str">
        <f>IF(B46=0,"",VLOOKUP($B46,Table2[],2,FALSE))</f>
        <v>Additive</v>
      </c>
      <c r="D46" s="388"/>
      <c r="E46" s="388"/>
      <c r="F46" s="174">
        <v>4</v>
      </c>
      <c r="G46" s="175">
        <v>1</v>
      </c>
      <c r="H46" s="176">
        <v>6</v>
      </c>
      <c r="I46" s="120" t="str">
        <f>IF($B46=0,"",VLOOKUP($B46,Table2[],5,FALSE))</f>
        <v>ounce</v>
      </c>
      <c r="J46" s="109">
        <f>IF($B46=0,"",VLOOKUP($B46,Table2[],7,FALSE))</f>
        <v>0.203125</v>
      </c>
      <c r="K46" s="109">
        <f t="shared" si="2"/>
        <v>1.22</v>
      </c>
      <c r="L46" s="110"/>
    </row>
    <row r="47" spans="1:12" x14ac:dyDescent="0.2">
      <c r="A47" s="143"/>
      <c r="B47" s="180" t="s">
        <v>182</v>
      </c>
      <c r="C47" s="388" t="str">
        <f>IF(B47=0,"",VLOOKUP($B47,Table2[],2,FALSE))</f>
        <v>Additive</v>
      </c>
      <c r="D47" s="388"/>
      <c r="E47" s="388"/>
      <c r="F47" s="174">
        <v>4</v>
      </c>
      <c r="G47" s="175">
        <v>1</v>
      </c>
      <c r="H47" s="176">
        <v>4</v>
      </c>
      <c r="I47" s="120" t="str">
        <f>IF($B47=0,"",VLOOKUP($B47,Table2[],5,FALSE))</f>
        <v>pint</v>
      </c>
      <c r="J47" s="109">
        <f>IF($B47=0,"",VLOOKUP($B47,Table2[],7,FALSE))</f>
        <v>0.22500000000000001</v>
      </c>
      <c r="K47" s="109">
        <f t="shared" si="2"/>
        <v>0.9</v>
      </c>
      <c r="L47" s="110"/>
    </row>
    <row r="48" spans="1:12" x14ac:dyDescent="0.2">
      <c r="A48" s="143" t="s">
        <v>638</v>
      </c>
      <c r="B48" s="180" t="s">
        <v>183</v>
      </c>
      <c r="C48" s="388" t="str">
        <f>IF(B48=0,"",VLOOKUP($B48,Table2[],2,FALSE))</f>
        <v>Custom</v>
      </c>
      <c r="D48" s="388"/>
      <c r="E48" s="388"/>
      <c r="F48" s="174">
        <v>6</v>
      </c>
      <c r="G48" s="175">
        <v>0.15</v>
      </c>
      <c r="H48" s="176">
        <v>1</v>
      </c>
      <c r="I48" s="120" t="str">
        <f>IF($B48=0,"",VLOOKUP($B48,Table2[],5,FALSE))</f>
        <v>acre</v>
      </c>
      <c r="J48" s="109">
        <f>IF($B48=0,"",VLOOKUP($B48,Table2[],7,FALSE))</f>
        <v>11</v>
      </c>
      <c r="K48" s="109">
        <f t="shared" si="2"/>
        <v>1.65</v>
      </c>
      <c r="L48" s="110"/>
    </row>
    <row r="49" spans="1:12" x14ac:dyDescent="0.2">
      <c r="A49" s="143" t="s">
        <v>638</v>
      </c>
      <c r="B49" s="213" t="s">
        <v>286</v>
      </c>
      <c r="C49" s="387" t="str">
        <f>IF(B49=0,"",VLOOKUP($B49,Table2[],2,FALSE))</f>
        <v>Insecticide</v>
      </c>
      <c r="D49" s="387"/>
      <c r="E49" s="387"/>
      <c r="F49" s="214">
        <v>6</v>
      </c>
      <c r="G49" s="221">
        <v>0.1</v>
      </c>
      <c r="H49" s="222">
        <v>2.5</v>
      </c>
      <c r="I49" s="223" t="str">
        <f>IF($B49=0,"",VLOOKUP($B49,Table2[],5,FALSE))</f>
        <v>ounce</v>
      </c>
      <c r="J49" s="215">
        <f>IF($B49=0,"",VLOOKUP($B49,Table2[],7,FALSE))</f>
        <v>1.015625</v>
      </c>
      <c r="K49" s="215">
        <f t="shared" si="2"/>
        <v>0.25</v>
      </c>
      <c r="L49" s="216"/>
    </row>
    <row r="50" spans="1:12" ht="12.75" customHeight="1" x14ac:dyDescent="0.2">
      <c r="A50" s="143" t="s">
        <v>638</v>
      </c>
      <c r="B50" s="180" t="s">
        <v>288</v>
      </c>
      <c r="C50" s="388" t="str">
        <f>IF(B50=0,"",VLOOKUP($B50,Table2[],2,FALSE))</f>
        <v>Insecticide</v>
      </c>
      <c r="D50" s="388"/>
      <c r="E50" s="388"/>
      <c r="F50" s="174">
        <v>6</v>
      </c>
      <c r="G50" s="175">
        <v>0.05</v>
      </c>
      <c r="H50" s="176">
        <v>3</v>
      </c>
      <c r="I50" s="120" t="str">
        <f>IF($B50=0,"",VLOOKUP($B50,Table2[],5,FALSE))</f>
        <v>ounce</v>
      </c>
      <c r="J50" s="109">
        <f>IF($B50=0,"",VLOOKUP($B50,Table2[],7,FALSE))</f>
        <v>1.25</v>
      </c>
      <c r="K50" s="109">
        <f t="shared" si="2"/>
        <v>0.19</v>
      </c>
      <c r="L50" s="110"/>
    </row>
    <row r="51" spans="1:12" ht="12.75" customHeight="1" x14ac:dyDescent="0.2">
      <c r="A51" s="105"/>
      <c r="B51" s="180" t="s">
        <v>189</v>
      </c>
      <c r="C51" s="388" t="str">
        <f>IF(B51=0,"",VLOOKUP($B51,Table2[],2,FALSE))</f>
        <v>Custom</v>
      </c>
      <c r="D51" s="388"/>
      <c r="E51" s="388"/>
      <c r="F51" s="174">
        <v>7</v>
      </c>
      <c r="G51" s="175">
        <v>1</v>
      </c>
      <c r="H51" s="176">
        <f>G4</f>
        <v>28</v>
      </c>
      <c r="I51" s="120" t="str">
        <f>IF($B51=0,"",VLOOKUP($B51,Table2[],5,FALSE))</f>
        <v>ton</v>
      </c>
      <c r="J51" s="109">
        <f>IF($B51=0,"",VLOOKUP($B51,Table2[],7,FALSE))</f>
        <v>20</v>
      </c>
      <c r="K51" s="109">
        <f>IF(B51=0,0,ROUND(G51*H51*J51,2))</f>
        <v>560</v>
      </c>
      <c r="L51" s="110"/>
    </row>
    <row r="52" spans="1:12" x14ac:dyDescent="0.2">
      <c r="B52" s="111" t="s">
        <v>313</v>
      </c>
      <c r="C52" s="388" t="str">
        <f>IF(B52=0,"",VLOOKUP($B52,Table2[],2,FALSE))</f>
        <v>Scouting</v>
      </c>
      <c r="D52" s="388"/>
      <c r="E52" s="388"/>
      <c r="F52" s="174"/>
      <c r="G52" s="175">
        <v>1</v>
      </c>
      <c r="H52" s="178">
        <v>1</v>
      </c>
      <c r="I52" s="120" t="str">
        <f>IF($B52=0,"",VLOOKUP($B52,Table2[],5,FALSE))</f>
        <v>acre</v>
      </c>
      <c r="J52" s="109">
        <f>IF($B52=0,"",VLOOKUP($B52,Table2[],7,FALSE))</f>
        <v>13</v>
      </c>
      <c r="K52" s="109">
        <f t="shared" si="2"/>
        <v>13</v>
      </c>
      <c r="L52" s="110"/>
    </row>
    <row r="53" spans="1:12" ht="12.75" hidden="1" customHeight="1" x14ac:dyDescent="0.2">
      <c r="B53" s="217"/>
      <c r="C53" s="387" t="str">
        <f>IF(B53=0,"",VLOOKUP($B53,Table2[],2,FALSE))</f>
        <v/>
      </c>
      <c r="D53" s="387"/>
      <c r="E53" s="387"/>
      <c r="F53" s="218"/>
      <c r="G53" s="221">
        <v>0.1</v>
      </c>
      <c r="H53" s="225"/>
      <c r="I53" s="223" t="str">
        <f>IF($B53=0,"",VLOOKUP($B53,Table2[],5,FALSE))</f>
        <v/>
      </c>
      <c r="J53" s="215" t="str">
        <f>IF($B53=0,"",VLOOKUP($B53,Table2[],7,FALSE))</f>
        <v/>
      </c>
      <c r="K53" s="215">
        <f t="shared" si="2"/>
        <v>0</v>
      </c>
      <c r="L53" s="216"/>
    </row>
    <row r="54" spans="1: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260" t="s">
        <v>430</v>
      </c>
      <c r="C62" s="387" t="s">
        <v>655</v>
      </c>
      <c r="D62" s="387"/>
      <c r="E62" s="387"/>
      <c r="F62" s="218"/>
      <c r="G62" s="224"/>
      <c r="H62" s="225"/>
      <c r="I62" s="247"/>
      <c r="J62" s="215">
        <f ca="1">IF(F5=0,E5,F5)</f>
        <v>5</v>
      </c>
      <c r="K62" s="215">
        <f ca="1">IF(B62=0,0,J62)</f>
        <v>5</v>
      </c>
      <c r="L62" s="227"/>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 ca="1">SUM(K37:K62)</f>
        <v>1021.72</v>
      </c>
      <c r="L64" s="110"/>
    </row>
    <row r="65" spans="2:12" x14ac:dyDescent="0.2">
      <c r="B65" s="144" t="s">
        <v>740</v>
      </c>
      <c r="K65" s="127"/>
    </row>
    <row r="66" spans="2:12" x14ac:dyDescent="0.2">
      <c r="B66" s="107" t="s">
        <v>672</v>
      </c>
      <c r="K66" s="127">
        <f ca="1">K33+K64</f>
        <v>1176.6200000000001</v>
      </c>
      <c r="L66" s="110"/>
    </row>
    <row r="67" spans="2:12" ht="13.5" thickBot="1" x14ac:dyDescent="0.25">
      <c r="D67" s="128" t="s">
        <v>673</v>
      </c>
      <c r="E67" s="129">
        <f ca="1">ROUND(SUM($E$33:$H$33)+$K$64,2)</f>
        <v>1132.48</v>
      </c>
      <c r="F67" s="388" t="s">
        <v>674</v>
      </c>
      <c r="G67" s="388"/>
      <c r="H67" s="130">
        <f>'General Variables'!$B$11</f>
        <v>7.4999999999999997E-2</v>
      </c>
      <c r="I67" s="131" t="str">
        <f>CONCATENATE("for ",TEXT('General Variables'!$B$12,"0.0")," mo.")</f>
        <v>for 6.0 mo.</v>
      </c>
      <c r="K67" s="132">
        <f ca="1">E67*H67*'General Variables'!$B$12/12</f>
        <v>42.467999999999996</v>
      </c>
      <c r="L67" s="133"/>
    </row>
    <row r="68" spans="2:12" ht="13.5" thickTop="1" x14ac:dyDescent="0.2">
      <c r="B68" s="107" t="s">
        <v>675</v>
      </c>
      <c r="K68" s="127">
        <f ca="1">SUM(K66:K67)</f>
        <v>1219.0880000000002</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37">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0">
        <f>ROUND(F72*I72,2)</f>
        <v>118.5</v>
      </c>
      <c r="L72" s="133"/>
    </row>
    <row r="73" spans="2:12" ht="13.5" thickTop="1" x14ac:dyDescent="0.2">
      <c r="B73" s="107" t="s">
        <v>680</v>
      </c>
      <c r="K73" s="127">
        <f ca="1">SUM(K68:K72)</f>
        <v>1646.0380000000002</v>
      </c>
      <c r="L73" s="110"/>
    </row>
    <row r="74" spans="2:12" x14ac:dyDescent="0.2">
      <c r="K74" s="128"/>
    </row>
    <row r="75" spans="2:12" x14ac:dyDescent="0.2">
      <c r="B75" s="104" t="str">
        <f>IF(G4="","","Cash Cost per "&amp;H4)</f>
        <v>Cash Cost per ton</v>
      </c>
      <c r="C75" s="261" t="s">
        <v>688</v>
      </c>
      <c r="D75" s="105"/>
      <c r="E75" s="105"/>
      <c r="F75" s="105"/>
      <c r="G75" s="105"/>
      <c r="H75" s="105"/>
      <c r="I75" s="105"/>
      <c r="J75" s="105"/>
      <c r="K75" s="142">
        <f ca="1">IF(G4=0,0,(E67+K67+K70+K72)/G4)</f>
        <v>47.444571428571429</v>
      </c>
      <c r="L75" s="148"/>
    </row>
    <row r="76" spans="2:12" x14ac:dyDescent="0.2">
      <c r="B76" s="107" t="str">
        <f>IF(G4="","","Cost of production per "&amp;H4)</f>
        <v>Cost of production per ton</v>
      </c>
      <c r="K76" s="141">
        <f ca="1">IF(G4="","",K73/G4)</f>
        <v>58.787071428571437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F35:F36"/>
    <mergeCell ref="G35:G36"/>
    <mergeCell ref="H35:I35"/>
    <mergeCell ref="J35:J36"/>
    <mergeCell ref="B7:L7"/>
    <mergeCell ref="L35:L36"/>
    <mergeCell ref="B10:B11"/>
    <mergeCell ref="C10:C11"/>
    <mergeCell ref="E10:E11"/>
    <mergeCell ref="F10:F11"/>
    <mergeCell ref="G10:H10"/>
    <mergeCell ref="K10:K11"/>
    <mergeCell ref="L10:L11"/>
    <mergeCell ref="I10:J10"/>
    <mergeCell ref="G72:H72"/>
    <mergeCell ref="C50:E50"/>
    <mergeCell ref="C51:E51"/>
    <mergeCell ref="C52:E52"/>
    <mergeCell ref="C53:E53"/>
    <mergeCell ref="C54:E54"/>
    <mergeCell ref="C55:E55"/>
    <mergeCell ref="C56:E56"/>
    <mergeCell ref="C62:E62"/>
    <mergeCell ref="F67:G67"/>
    <mergeCell ref="C71:E71"/>
    <mergeCell ref="G71:H71"/>
    <mergeCell ref="C57:E57"/>
    <mergeCell ref="C58:E58"/>
    <mergeCell ref="C59:E59"/>
    <mergeCell ref="C60:E60"/>
    <mergeCell ref="C61:E61"/>
    <mergeCell ref="C49:E49"/>
    <mergeCell ref="C37:E37"/>
    <mergeCell ref="C39:E39"/>
    <mergeCell ref="C40:E40"/>
    <mergeCell ref="C41:E41"/>
    <mergeCell ref="C42:E42"/>
    <mergeCell ref="C43:E43"/>
    <mergeCell ref="C44:E44"/>
    <mergeCell ref="C45:E45"/>
    <mergeCell ref="C46:E46"/>
    <mergeCell ref="C47:E47"/>
    <mergeCell ref="C48:E48"/>
    <mergeCell ref="C38:E38"/>
    <mergeCell ref="A6:M6"/>
    <mergeCell ref="C3:E3"/>
    <mergeCell ref="K2:L2"/>
    <mergeCell ref="G2:H2"/>
    <mergeCell ref="C4:E4"/>
  </mergeCells>
  <dataValidations count="9">
    <dataValidation type="list" allowBlank="1" showInputMessage="1" showErrorMessage="1" sqref="B32" xr:uid="{00000000-0002-0000-2E00-000000000000}">
      <formula1>$B$112:$B$209</formula1>
    </dataValidation>
    <dataValidation type="list" showInputMessage="1" showErrorMessage="1" sqref="B63" xr:uid="{00000000-0002-0000-2E00-000001000000}">
      <formula1>$C$112:$C$235</formula1>
    </dataValidation>
    <dataValidation type="list" allowBlank="1" showInputMessage="1" showErrorMessage="1" sqref="K4" xr:uid="{00000000-0002-0000-2E00-000002000000}">
      <formula1>$K$112:$K$114</formula1>
    </dataValidation>
    <dataValidation type="list" allowBlank="1" showInputMessage="1" showErrorMessage="1" sqref="B37:B61" xr:uid="{00000000-0002-0000-2E00-000003000000}">
      <formula1>MaterialList</formula1>
    </dataValidation>
    <dataValidation type="list" allowBlank="1" showInputMessage="1" showErrorMessage="1" sqref="C71:E71" xr:uid="{00000000-0002-0000-2E00-000004000000}">
      <formula1>RealEstateList</formula1>
    </dataValidation>
    <dataValidation type="list" allowBlank="1" showInputMessage="1" showErrorMessage="1" sqref="B12:B31" xr:uid="{00000000-0002-0000-2E00-000005000000}">
      <formula1>OperationList</formula1>
    </dataValidation>
    <dataValidation type="list" allowBlank="1" showInputMessage="1" showErrorMessage="1" sqref="D12:D32" xr:uid="{00000000-0002-0000-2E00-000006000000}">
      <formula1>#REF!</formula1>
    </dataValidation>
    <dataValidation type="list" allowBlank="1" showInputMessage="1" showErrorMessage="1" sqref="K2" xr:uid="{00000000-0002-0000-2E00-000007000000}">
      <formula1>watersource</formula1>
    </dataValidation>
    <dataValidation type="list" allowBlank="1" showInputMessage="1" showErrorMessage="1" sqref="C3" xr:uid="{00000000-0002-0000-2E00-000008000000}">
      <formula1>TillageSystem</formula1>
    </dataValidation>
  </dataValidations>
  <pageMargins left="0.7" right="0.7" top="0.75" bottom="0.75" header="0.3" footer="0.3"/>
  <pageSetup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37D34-D30F-42D2-986A-561FBCC9B5CC}">
  <sheetPr codeName="Sheet184">
    <pageSetUpPr fitToPage="1"/>
  </sheetPr>
  <dimension ref="A2:M257"/>
  <sheetViews>
    <sheetView zoomScaleNormal="100" workbookViewId="0">
      <selection activeCell="I19" sqref="I1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10.5703125" style="103" customWidth="1"/>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70</v>
      </c>
      <c r="L2" s="401"/>
    </row>
    <row r="3" spans="1:13" hidden="1" x14ac:dyDescent="0.2">
      <c r="B3" s="103" t="s">
        <v>38</v>
      </c>
      <c r="C3" s="391" t="s">
        <v>46</v>
      </c>
      <c r="D3" s="391"/>
      <c r="E3" s="391"/>
      <c r="G3" s="128" t="s">
        <v>650</v>
      </c>
      <c r="H3" s="187" t="s">
        <v>949</v>
      </c>
      <c r="J3" s="128" t="s">
        <v>651</v>
      </c>
      <c r="K3" s="187">
        <v>9</v>
      </c>
    </row>
    <row r="4" spans="1:13" hidden="1" x14ac:dyDescent="0.2">
      <c r="B4" s="103" t="s">
        <v>652</v>
      </c>
      <c r="C4" s="392" t="s">
        <v>722</v>
      </c>
      <c r="D4" s="392"/>
      <c r="E4" s="392"/>
      <c r="G4" s="103">
        <v>8000</v>
      </c>
      <c r="H4" s="103" t="s">
        <v>172</v>
      </c>
      <c r="J4" s="128" t="s">
        <v>653</v>
      </c>
      <c r="K4" s="188" t="s">
        <v>681</v>
      </c>
    </row>
    <row r="5" spans="1:13" ht="15.75" hidden="1" customHeight="1" x14ac:dyDescent="0.2">
      <c r="B5" s="103" t="s">
        <v>655</v>
      </c>
      <c r="C5" s="103" t="str">
        <f ca="1">MID(CELL("filename",C5),FIND("]",CELL("filename",C5))+1,255)</f>
        <v>42-Popcorn</v>
      </c>
      <c r="E5" s="103">
        <f ca="1">VLOOKUP($C$5,CropInsurance,5,FALSE)</f>
        <v>5</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42-Popcorn, No Till, after Beans, 8000 Lbs. Yield, Pivot Irrigated Electric</v>
      </c>
      <c r="B6" s="390"/>
      <c r="C6" s="390"/>
      <c r="D6" s="390"/>
      <c r="E6" s="390"/>
      <c r="F6" s="390"/>
      <c r="G6" s="390"/>
      <c r="H6" s="390"/>
      <c r="I6" s="390"/>
      <c r="J6" s="390"/>
      <c r="K6" s="390"/>
      <c r="L6" s="390"/>
      <c r="M6" s="390"/>
    </row>
    <row r="7" spans="1:13" ht="30" customHeight="1" x14ac:dyDescent="0.25">
      <c r="B7" s="393" t="s">
        <v>950</v>
      </c>
      <c r="C7" s="393"/>
      <c r="D7" s="393"/>
      <c r="E7" s="393"/>
      <c r="F7" s="393"/>
      <c r="G7" s="393"/>
      <c r="H7" s="393"/>
      <c r="I7" s="393"/>
      <c r="J7" s="393"/>
      <c r="K7" s="393"/>
      <c r="L7" s="393"/>
      <c r="M7" s="186"/>
    </row>
    <row r="8" spans="1:13" ht="12.75" customHeight="1" x14ac:dyDescent="0.25">
      <c r="B8" s="189" t="str">
        <f>IF(K2="","",K2)&amp;IF(LEFT(K2,5)="Pivot",", 800 GPM 35 PSI","") &amp; IF(K2="Gravity Irrigated, fed by a well",", 1,000 GPM 10 PSI","") &amp; IF(K3="","",", "&amp; K3&amp;" "&amp;J3)</f>
        <v>Pivot Irrigated Electric, 800 GPM 35 PSI, 9 acre/inches</v>
      </c>
    </row>
    <row r="9" spans="1:13" ht="12.75" customHeight="1" x14ac:dyDescent="0.2">
      <c r="J9" s="245"/>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2.75" customHeight="1" thickTop="1" x14ac:dyDescent="0.2">
      <c r="A12" s="170">
        <v>1</v>
      </c>
      <c r="B12" s="180" t="s">
        <v>553</v>
      </c>
      <c r="C12" s="174">
        <v>0.5</v>
      </c>
      <c r="D12" s="174"/>
      <c r="E12" s="109">
        <f>IF(B12=0,"",IF(C12&gt;9999,"",ROUND('General Variables'!$B$4*VLOOKUP(B12,Operations!$A$2:$U$79,10,FALSE)/VLOOKUP(B12,Operations!$A$2:$U$79,9,FALSE)*C12,2)))</f>
        <v>0.51</v>
      </c>
      <c r="F12" s="109">
        <f>IF(B12=0,0,IF(C12&gt;9999,"",ROUND(IF(VLOOKUP(B12,Operations!$A$2:$U$79,12,FALSE)=0,VLOOKUP(B12,Operations!$A$2:$U$79,13,FALSE)*'General Variables'!$B$8,VLOOKUP(B12,Operations!$A$2:$U$79,12,FALSE)*'General Variables'!$B$7)/VLOOKUP(B12,Operations!$A$2:$U$79,9,FALSE)*C12,2)))</f>
        <v>0.13</v>
      </c>
      <c r="G12" s="109">
        <f>IF(B12=0,0,IF(C12&gt;9999,"",ROUND(VLOOKUP(VLOOKUP(B12,Operations!$A$2:$U$79,11,FALSE),PowerUnits[],10,FALSE)/VLOOKUP(B12,Operations!$A$2:$U$79,9,FALSE)*C12,2)))</f>
        <v>0.01</v>
      </c>
      <c r="H12" s="109">
        <f>IF(B12=0,"",IF(C12&gt;9999,"",ROUND(VLOOKUP($B12,Operations!$A$2:$U$79,15,FALSE)*C12,2)))</f>
        <v>0.55000000000000004</v>
      </c>
      <c r="I12" s="109">
        <f>IF(B12=0,0,IF(C12&gt;9999,"",ROUND(VLOOKUP(VLOOKUP(B12,Operations!$A$2:$U$79,11,FALSE),PowerUnits[],16,FALSE)/VLOOKUP(B12,Operations!$A$2:$U$79,9,FALSE)*C12,2)))</f>
        <v>0.66</v>
      </c>
      <c r="J12" s="109">
        <f>IF(B12=0,"",IF(C12&gt;9999,"",ROUND(VLOOKUP($B12,Operations!$A$2:$U$79,21,FALSE)*$C12,2)))</f>
        <v>1.01</v>
      </c>
      <c r="K12" s="109">
        <f>IF(C12&gt;9999,"",ROUND(SUM(E12:J12),2))</f>
        <v>2.87</v>
      </c>
      <c r="L12" s="110"/>
    </row>
    <row r="13" spans="1:13" ht="12.75" customHeight="1"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ht="12.75" customHeight="1"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ht="12.75" customHeight="1" x14ac:dyDescent="0.2">
      <c r="A15" s="170">
        <v>4</v>
      </c>
      <c r="B15" s="213" t="s">
        <v>525</v>
      </c>
      <c r="C15" s="214">
        <f>$K$3</f>
        <v>9</v>
      </c>
      <c r="D15" s="214" t="s">
        <v>693</v>
      </c>
      <c r="E15" s="215">
        <f>IF(B15=0,"",IF(C15&gt;9999,"",ROUND('General Variables'!$B$4*VLOOKUP(B15,Operations!$A$2:$U$79,10,FALSE)/VLOOKUP(B15,Operations!$A$2:$U$79,9,FALSE)*C15,2)))</f>
        <v>11.25</v>
      </c>
      <c r="F15" s="215">
        <f>IF(B15=0,0,IF(C15&gt;9999,"",ROUND(IF(VLOOKUP(B15,Operations!$A$2:$U$79,12,FALSE)=0,VLOOKUP(B15,Operations!$A$2:$U$79,13,FALSE)*'General Variables'!$B$8,VLOOKUP(B15,Operations!$A$2:$U$79,12,FALSE)*'General Variables'!$B$7)/VLOOKUP(B15,Operations!$A$2:$U$79,9,FALSE)*C15,2)))</f>
        <v>19.11</v>
      </c>
      <c r="G15" s="215">
        <f>IF(B15=0,0,IF(C15&gt;9999,"",ROUND(VLOOKUP(VLOOKUP(B15,Operations!$A$2:$U$79,11,FALSE),PowerUnits[],10,FALSE)/VLOOKUP(B15,Operations!$A$2:$U$79,9,FALSE)*C15,2)))</f>
        <v>5.0199999999999996</v>
      </c>
      <c r="H15" s="215">
        <v>8</v>
      </c>
      <c r="I15" s="215">
        <v>5</v>
      </c>
      <c r="J15" s="215">
        <f>IF(B15=0,"",IF(C15&gt;9999,"",ROUND(VLOOKUP($B15,Operations!$A$2:$U$79,21,FALSE)*$C15,2)))</f>
        <v>14.24</v>
      </c>
      <c r="K15" s="215">
        <f t="shared" si="0"/>
        <v>62.62</v>
      </c>
      <c r="L15" s="216"/>
    </row>
    <row r="16" spans="1:13" ht="12.75" customHeight="1"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ht="12.75" customHeight="1" x14ac:dyDescent="0.2">
      <c r="A17" s="170">
        <v>6</v>
      </c>
      <c r="B17" s="180" t="s">
        <v>552</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890</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IF(C18&gt;9999,"",ROUND(SUM(E18:J18),2))</f>
        <v/>
      </c>
      <c r="L18" s="110"/>
    </row>
    <row r="19" spans="1:12" x14ac:dyDescent="0.2">
      <c r="A19" s="170">
        <v>8</v>
      </c>
      <c r="B19" s="213" t="s">
        <v>944</v>
      </c>
      <c r="C19" s="214">
        <v>123</v>
      </c>
      <c r="D19" s="214"/>
      <c r="E19" s="215">
        <f>IF(B19=0,"",IF(C19&gt;9999,"",ROUND('General Variables'!$B$4*VLOOKUP(B19,Operations!$A$2:$U$79,10,FALSE)/VLOOKUP(B19,Operations!$A$2:$U$79,9,FALSE)*C19,2))/85)</f>
        <v>3.4658823529411769</v>
      </c>
      <c r="F19" s="215">
        <f>IF(B19=0,0,IF(C19&gt;9999,"",ROUND(IF(VLOOKUP(B19,Operations!$A$2:$U$79,12,FALSE)=0,VLOOKUP(B19,Operations!$A$2:$U$79,13,FALSE)*'General Variables'!$B$8,VLOOKUP(B19,Operations!$A$2:$U$79,12,FALSE)*'General Variables'!$B$7)/VLOOKUP(B19,Operations!$A$2:$U$79,9,FALSE)*C19,2))/85)</f>
        <v>3.9174117647058826</v>
      </c>
      <c r="G19" s="215">
        <f>IF(B19=0,0,IF(C19&gt;9999,"",ROUND(VLOOKUP(VLOOKUP(B19,Operations!$A$2:$U$79,11,FALSE),PowerUnits[],10,FALSE)/VLOOKUP(B19,Operations!$A$2:$U$79,9,FALSE)*C19,2))/85)</f>
        <v>6.0225882352941182</v>
      </c>
      <c r="H19" s="215">
        <f>IF(B19=0,"",IF(C19&gt;9999,"",ROUND(VLOOKUP($B19,Operations!$A$2:$U$79,15,FALSE)*C19,2))/85)</f>
        <v>1.5547058823529412</v>
      </c>
      <c r="I19" s="215">
        <f>IF(B19=0,0,IF(C19&gt;9999,"",ROUND(VLOOKUP(VLOOKUP(B19,Operations!$A$2:$U$79,11,FALSE),PowerUnits[],16,FALSE)/VLOOKUP(B19,Operations!$A$2:$U$79,9,FALSE)*C19,2))/85)</f>
        <v>14.503882352941176</v>
      </c>
      <c r="J19" s="215">
        <f>IF(B19=0,"",IF(C19&gt;9999,"",ROUND(VLOOKUP($B19,Operations!$A$2:$U$79,21,FALSE)*$C19,2))/85)</f>
        <v>6.4514117647058828</v>
      </c>
      <c r="K19" s="215">
        <f>IF(C19&gt;9999,"",ROUND(SUM(E19:J19),2))</f>
        <v>35.92</v>
      </c>
      <c r="L19" s="216"/>
    </row>
    <row r="20" spans="1:12" x14ac:dyDescent="0.2">
      <c r="A20" s="170">
        <v>9</v>
      </c>
      <c r="B20" s="180" t="s">
        <v>414</v>
      </c>
      <c r="C20" s="174">
        <v>123</v>
      </c>
      <c r="D20" s="112" t="s">
        <v>706</v>
      </c>
      <c r="E20" s="109">
        <f>IF(B20=0,"",IF(C20&gt;9999,"",ROUND('General Variables'!$B$4*VLOOKUP(B20,Operations!$A$2:$U$79,10,FALSE)/VLOOKUP(B20,Operations!$A$2:$U$79,9,FALSE)*C20,2)))</f>
        <v>1.1100000000000001</v>
      </c>
      <c r="F20" s="109">
        <f>IF(B20=0,0,IF(C20&gt;9999,"",ROUND(IF(VLOOKUP(B20,Operations!$A$2:$U$79,12,FALSE)=0,VLOOKUP(B20,Operations!$A$2:$U$79,13,FALSE)*'General Variables'!$B$8,VLOOKUP(B20,Operations!$A$2:$U$79,12,FALSE)*'General Variables'!$B$7)/VLOOKUP(B20,Operations!$A$2:$U$79,9,FALSE)*C20,2)))</f>
        <v>0.36</v>
      </c>
      <c r="G20" s="109">
        <f>IF(B20=0,0,IF(C20&gt;9999,"",ROUND(VLOOKUP(VLOOKUP(B20,Operations!$A$2:$U$79,11,FALSE),PowerUnits[],10,FALSE)/VLOOKUP(B20,Operations!$A$2:$U$79,9,FALSE)*C20,2)))</f>
        <v>0.03</v>
      </c>
      <c r="H20" s="109">
        <f>IF(B20=0,"",IF(C20&gt;9999,"",ROUND(VLOOKUP($B20,Operations!$A$2:$U$79,15,FALSE)*C20,2)))</f>
        <v>0.68</v>
      </c>
      <c r="I20" s="109">
        <f>IF(B20=0,0,IF(C20&gt;9999,"",ROUND(VLOOKUP(VLOOKUP(B20,Operations!$A$2:$U$79,11,FALSE),PowerUnits[],16,FALSE)/VLOOKUP(B20,Operations!$A$2:$U$79,9,FALSE)*C20,2)))</f>
        <v>1.61</v>
      </c>
      <c r="J20" s="109">
        <f>IF(B20=0,"",IF(C20&gt;9999,"",ROUND(VLOOKUP($B20,Operations!$A$2:$U$79,21,FALSE)*$C20,2)))</f>
        <v>1.36</v>
      </c>
      <c r="K20" s="109">
        <f>IF(C20&gt;9999,"",ROUND(SUM(E20:J20),2))</f>
        <v>5.15</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IF(C21&gt;9999,"",ROUND(SUM(E21:J21),2))</f>
        <v/>
      </c>
      <c r="L21" s="110"/>
    </row>
    <row r="22" spans="1:12" x14ac:dyDescent="0.2">
      <c r="A22" s="170">
        <v>11</v>
      </c>
      <c r="B22" s="180" t="s">
        <v>496</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21.615882352941174</v>
      </c>
      <c r="F33" s="109">
        <f t="shared" ref="F33:K33" si="1">SUM(F12:F31)</f>
        <v>25.117411764705881</v>
      </c>
      <c r="G33" s="109">
        <f t="shared" si="1"/>
        <v>11.222588235294117</v>
      </c>
      <c r="H33" s="109">
        <f t="shared" si="1"/>
        <v>19.974705882352939</v>
      </c>
      <c r="I33" s="109">
        <f t="shared" si="1"/>
        <v>28.723882352941175</v>
      </c>
      <c r="J33" s="109">
        <f t="shared" si="1"/>
        <v>33.711411764705886</v>
      </c>
      <c r="K33" s="109">
        <f t="shared" si="1"/>
        <v>140.37</v>
      </c>
      <c r="L33" s="110"/>
    </row>
    <row r="34" spans="1:12" x14ac:dyDescent="0.2">
      <c r="B34" s="374" t="s">
        <v>948</v>
      </c>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 t="shared" ref="K38:K43" si="2">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si="2"/>
        <v>0.68</v>
      </c>
      <c r="L39" s="110"/>
    </row>
    <row r="40" spans="1:12" x14ac:dyDescent="0.2">
      <c r="A40" s="105"/>
      <c r="B40" s="213" t="s">
        <v>232</v>
      </c>
      <c r="C40" s="387" t="str">
        <f>IF(B40=0,"",VLOOKUP($B40,Table2[],2,FALSE))</f>
        <v>Herbicide</v>
      </c>
      <c r="D40" s="387"/>
      <c r="E40" s="387"/>
      <c r="F40" s="214">
        <v>2</v>
      </c>
      <c r="G40" s="221">
        <v>1</v>
      </c>
      <c r="H40" s="222">
        <v>2.5</v>
      </c>
      <c r="I40" s="223" t="str">
        <f>IF($B40=0,"",VLOOKUP($B40,Table2[],5,FALSE))</f>
        <v>quart</v>
      </c>
      <c r="J40" s="215">
        <f>IF($B40=0,"",VLOOKUP($B40,Table2[],7,FALSE))</f>
        <v>21.25</v>
      </c>
      <c r="K40" s="215">
        <f t="shared" si="2"/>
        <v>53.13</v>
      </c>
      <c r="L40" s="216"/>
    </row>
    <row r="41" spans="1:12" x14ac:dyDescent="0.2">
      <c r="A41" s="105"/>
      <c r="B41" s="180" t="s">
        <v>177</v>
      </c>
      <c r="C41" s="388" t="str">
        <f>IF(B41=0,"",VLOOKUP($B41,Table2[],2,FALSE))</f>
        <v>Additive</v>
      </c>
      <c r="D41" s="388"/>
      <c r="E41" s="388"/>
      <c r="F41" s="174">
        <v>2</v>
      </c>
      <c r="G41" s="175">
        <v>1</v>
      </c>
      <c r="H41" s="302">
        <v>1.6</v>
      </c>
      <c r="I41" s="120" t="str">
        <f>IF($B41=0,"",VLOOKUP($B41,Table2[],5,FALSE))</f>
        <v>pint</v>
      </c>
      <c r="J41" s="109">
        <f>IF($B41=0,"",VLOOKUP($B41,Table2[],7,FALSE))</f>
        <v>1.875</v>
      </c>
      <c r="K41" s="109">
        <f t="shared" si="2"/>
        <v>3</v>
      </c>
      <c r="L41" s="110"/>
    </row>
    <row r="42" spans="1:12" x14ac:dyDescent="0.2">
      <c r="A42" s="105"/>
      <c r="B42" s="180" t="s">
        <v>170</v>
      </c>
      <c r="C42" s="388" t="str">
        <f>IF(B42=0,"",VLOOKUP($B42,Table2[],2,FALSE))</f>
        <v>Additive</v>
      </c>
      <c r="D42" s="388"/>
      <c r="E42" s="388"/>
      <c r="F42" s="174">
        <v>2</v>
      </c>
      <c r="G42" s="175">
        <v>1</v>
      </c>
      <c r="H42" s="302">
        <v>2.5</v>
      </c>
      <c r="I42" s="120" t="str">
        <f>IF($B42=0,"",VLOOKUP($B42,Table2[],5,FALSE))</f>
        <v>pound</v>
      </c>
      <c r="J42" s="109">
        <f>IF($B42=0,"",VLOOKUP($B42,Table2[],7,FALSE))</f>
        <v>0.4</v>
      </c>
      <c r="K42" s="109">
        <f t="shared" si="2"/>
        <v>1</v>
      </c>
      <c r="L42" s="110"/>
    </row>
    <row r="43" spans="1:12" x14ac:dyDescent="0.2">
      <c r="A43" s="105"/>
      <c r="B43" s="180" t="s">
        <v>946</v>
      </c>
      <c r="C43" s="388" t="str">
        <f>IF(B43=0,"",VLOOKUP($B43,Table2[],2,FALSE))</f>
        <v>Seed</v>
      </c>
      <c r="D43" s="388"/>
      <c r="E43" s="388"/>
      <c r="F43" s="174">
        <v>3</v>
      </c>
      <c r="G43" s="175">
        <v>1</v>
      </c>
      <c r="H43" s="300">
        <v>33</v>
      </c>
      <c r="I43" s="120" t="str">
        <f>IF($B43=0,"",VLOOKUP($B43,Table2[],5,FALSE))</f>
        <v>k seed</v>
      </c>
      <c r="J43" s="109">
        <f>IF($B43=0,"",VLOOKUP($B43,Table2[],7,FALSE))</f>
        <v>3.25</v>
      </c>
      <c r="K43" s="109">
        <f t="shared" si="2"/>
        <v>107.25</v>
      </c>
      <c r="L43" s="110"/>
    </row>
    <row r="44" spans="1:12" x14ac:dyDescent="0.2">
      <c r="A44" s="143"/>
      <c r="B44" s="213" t="s">
        <v>201</v>
      </c>
      <c r="C44" s="387" t="str">
        <f>IF(B44=0,"",VLOOKUP($B44,Table2[],2,FALSE))</f>
        <v>Fertilizer</v>
      </c>
      <c r="D44" s="387"/>
      <c r="E44" s="387"/>
      <c r="F44" s="214">
        <v>3</v>
      </c>
      <c r="G44" s="221">
        <v>1</v>
      </c>
      <c r="H44" s="303">
        <v>6</v>
      </c>
      <c r="I44" s="223" t="str">
        <f>IF($B44=0,"",VLOOKUP($B44,Table2[],5,FALSE))</f>
        <v>gallon</v>
      </c>
      <c r="J44" s="215">
        <f>IF($B44=0,"",VLOOKUP($B44,Table2[],7,FALSE))</f>
        <v>3.1</v>
      </c>
      <c r="K44" s="215">
        <f>IF(B44=0,0,ROUND(G44*H44*J44,2))</f>
        <v>18.600000000000001</v>
      </c>
      <c r="L44" s="216"/>
    </row>
    <row r="45" spans="1:12" x14ac:dyDescent="0.2">
      <c r="B45" s="180" t="s">
        <v>209</v>
      </c>
      <c r="C45" s="388" t="str">
        <f>IF(B45=0,"",VLOOKUP($B45,Table2[],2,FALSE))</f>
        <v>Fertilizer</v>
      </c>
      <c r="D45" s="388"/>
      <c r="E45" s="388"/>
      <c r="F45" s="174">
        <v>4</v>
      </c>
      <c r="G45" s="175">
        <v>1</v>
      </c>
      <c r="H45" s="302">
        <v>90</v>
      </c>
      <c r="I45" s="120" t="str">
        <f>IF($B45=0,"",VLOOKUP($B45,Table2[],5,FALSE))</f>
        <v>lbs N</v>
      </c>
      <c r="J45" s="109">
        <f>IF($B45=0,"",VLOOKUP($B45,Table2[],7,FALSE))</f>
        <v>0.5</v>
      </c>
      <c r="K45" s="109">
        <f t="shared" ref="K45:K61" si="3">IF(B45=0,0,ROUND(G45*H45*J45,2))</f>
        <v>45</v>
      </c>
      <c r="L45" s="110"/>
    </row>
    <row r="46" spans="1:12" x14ac:dyDescent="0.2">
      <c r="B46" s="180" t="s">
        <v>291</v>
      </c>
      <c r="C46" s="170"/>
      <c r="D46" s="170" t="s">
        <v>292</v>
      </c>
      <c r="E46" s="170"/>
      <c r="F46" s="174">
        <v>4</v>
      </c>
      <c r="G46" s="175">
        <v>1</v>
      </c>
      <c r="H46" s="302">
        <v>1</v>
      </c>
      <c r="I46" s="120" t="s">
        <v>176</v>
      </c>
      <c r="J46" s="109">
        <f>IF($B46=0,"",VLOOKUP($B46,Table2[],7,FALSE))</f>
        <v>52</v>
      </c>
      <c r="K46" s="109">
        <f t="shared" si="3"/>
        <v>52</v>
      </c>
      <c r="L46" s="110"/>
    </row>
    <row r="47" spans="1:12" x14ac:dyDescent="0.2">
      <c r="B47" s="180" t="s">
        <v>236</v>
      </c>
      <c r="C47" s="388" t="str">
        <f>IF(B47=0,"",VLOOKUP($B47,Table2[],2,FALSE))</f>
        <v>Herbicide</v>
      </c>
      <c r="D47" s="388"/>
      <c r="E47" s="388"/>
      <c r="F47" s="174">
        <v>5</v>
      </c>
      <c r="G47" s="177">
        <v>1</v>
      </c>
      <c r="H47" s="176">
        <v>14</v>
      </c>
      <c r="I47" s="120" t="str">
        <f>IF($B47=0,"",VLOOKUP($B47,Table2[],5,FALSE))</f>
        <v>ounce</v>
      </c>
      <c r="J47" s="109">
        <f>IF($B47=0,"",VLOOKUP($B47,Table2[],7,FALSE))</f>
        <v>1.640625</v>
      </c>
      <c r="K47" s="109">
        <f t="shared" si="3"/>
        <v>22.97</v>
      </c>
      <c r="L47" s="110"/>
    </row>
    <row r="48" spans="1:12" x14ac:dyDescent="0.2">
      <c r="B48" s="217" t="s">
        <v>238</v>
      </c>
      <c r="C48" s="387" t="str">
        <f>IF(B48=0,"",VLOOKUP($B48,Table2[],2,FALSE))</f>
        <v>Herbicide</v>
      </c>
      <c r="D48" s="387"/>
      <c r="E48" s="387"/>
      <c r="F48" s="214">
        <v>5</v>
      </c>
      <c r="G48" s="221">
        <v>1</v>
      </c>
      <c r="H48" s="333">
        <v>1</v>
      </c>
      <c r="I48" s="223" t="str">
        <f>IF($B48=0,"",VLOOKUP($B48,Table2[],5,FALSE))</f>
        <v>pound</v>
      </c>
      <c r="J48" s="215">
        <f>IF($B48=0,"",VLOOKUP($B48,Table2[],7,FALSE))</f>
        <v>4.3</v>
      </c>
      <c r="K48" s="215">
        <f t="shared" si="3"/>
        <v>4.3</v>
      </c>
      <c r="L48" s="216"/>
    </row>
    <row r="49" spans="1:12" x14ac:dyDescent="0.2">
      <c r="B49" s="180" t="s">
        <v>177</v>
      </c>
      <c r="C49" s="388" t="str">
        <f>IF(B49=0,"",VLOOKUP($B49,Table2[],2,FALSE))</f>
        <v>Additive</v>
      </c>
      <c r="D49" s="388"/>
      <c r="E49" s="388"/>
      <c r="F49" s="174">
        <v>5</v>
      </c>
      <c r="G49" s="175">
        <v>1</v>
      </c>
      <c r="H49" s="176">
        <v>0.5</v>
      </c>
      <c r="I49" s="120" t="str">
        <f>IF($B49=0,"",VLOOKUP($B49,Table2[],5,FALSE))</f>
        <v>pint</v>
      </c>
      <c r="J49" s="109">
        <f>IF($B49=0,"",VLOOKUP($B49,Table2[],7,FALSE))</f>
        <v>1.875</v>
      </c>
      <c r="K49" s="109">
        <f t="shared" si="3"/>
        <v>0.94</v>
      </c>
      <c r="L49" s="110"/>
    </row>
    <row r="50" spans="1:12" x14ac:dyDescent="0.2">
      <c r="B50" s="180" t="s">
        <v>182</v>
      </c>
      <c r="C50" s="388" t="str">
        <f>IF(B50=0,"",VLOOKUP($B50,Table2[],2,FALSE))</f>
        <v>Additive</v>
      </c>
      <c r="D50" s="388"/>
      <c r="E50" s="388"/>
      <c r="F50" s="174">
        <v>5</v>
      </c>
      <c r="G50" s="175">
        <v>1</v>
      </c>
      <c r="H50" s="176">
        <v>3</v>
      </c>
      <c r="I50" s="120" t="str">
        <f>IF($B50=0,"",VLOOKUP($B50,Table2[],5,FALSE))</f>
        <v>pint</v>
      </c>
      <c r="J50" s="109">
        <f>IF($B50=0,"",VLOOKUP($B50,Table2[],7,FALSE))</f>
        <v>0.22500000000000001</v>
      </c>
      <c r="K50" s="109">
        <f t="shared" si="3"/>
        <v>0.68</v>
      </c>
      <c r="L50" s="110"/>
    </row>
    <row r="51" spans="1:12" x14ac:dyDescent="0.2">
      <c r="A51" s="143"/>
      <c r="B51" s="180" t="s">
        <v>200</v>
      </c>
      <c r="C51" s="388" t="str">
        <f>IF(B51=0,"",VLOOKUP($B51,Table2[],2,FALSE))</f>
        <v>Custom</v>
      </c>
      <c r="D51" s="388"/>
      <c r="E51" s="388"/>
      <c r="F51" s="174">
        <v>6</v>
      </c>
      <c r="G51" s="175">
        <v>0.5</v>
      </c>
      <c r="H51" s="176">
        <v>1</v>
      </c>
      <c r="I51" s="120" t="str">
        <f>IF($B51=0,"",VLOOKUP($B51,Table2[],5,FALSE))</f>
        <v>acre</v>
      </c>
      <c r="J51" s="109">
        <f>IF($B51=0,"",VLOOKUP($B51,Table2[],7,FALSE))</f>
        <v>9</v>
      </c>
      <c r="K51" s="109">
        <f t="shared" si="3"/>
        <v>4.5</v>
      </c>
      <c r="L51" s="110"/>
    </row>
    <row r="52" spans="1:12" x14ac:dyDescent="0.2">
      <c r="A52" s="143" t="s">
        <v>638</v>
      </c>
      <c r="B52" s="213" t="s">
        <v>286</v>
      </c>
      <c r="C52" s="387" t="str">
        <f>IF(B52=0,"",VLOOKUP($B52,Table2[],2,FALSE))</f>
        <v>Insecticide</v>
      </c>
      <c r="D52" s="387"/>
      <c r="E52" s="387"/>
      <c r="F52" s="214">
        <v>6</v>
      </c>
      <c r="G52" s="221">
        <v>0.5</v>
      </c>
      <c r="H52" s="222">
        <v>5.12</v>
      </c>
      <c r="I52" s="223" t="str">
        <f>IF($B52=0,"",VLOOKUP($B52,Table2[],5,FALSE))</f>
        <v>ounce</v>
      </c>
      <c r="J52" s="215">
        <f>IF($B52=0,"",VLOOKUP($B52,Table2[],7,FALSE))</f>
        <v>1.015625</v>
      </c>
      <c r="K52" s="215">
        <f t="shared" si="3"/>
        <v>2.6</v>
      </c>
      <c r="L52" s="216"/>
    </row>
    <row r="53" spans="1:12" x14ac:dyDescent="0.2">
      <c r="A53" s="143" t="s">
        <v>638</v>
      </c>
      <c r="B53" s="180" t="s">
        <v>288</v>
      </c>
      <c r="C53" s="388" t="str">
        <f>IF(B53=0,"",VLOOKUP($B53,Table2[],2,FALSE))</f>
        <v>Insecticide</v>
      </c>
      <c r="D53" s="388"/>
      <c r="E53" s="388"/>
      <c r="F53" s="174">
        <v>6</v>
      </c>
      <c r="G53" s="175">
        <v>0.5</v>
      </c>
      <c r="H53" s="176">
        <v>3</v>
      </c>
      <c r="I53" s="120" t="str">
        <f>IF($B53=0,"",VLOOKUP($B53,Table2[],5,FALSE))</f>
        <v>ounce</v>
      </c>
      <c r="J53" s="109">
        <f>IF($B53=0,"",VLOOKUP($B53,Table2[],7,FALSE))</f>
        <v>1.25</v>
      </c>
      <c r="K53" s="109">
        <f t="shared" si="3"/>
        <v>1.88</v>
      </c>
      <c r="L53" s="110"/>
    </row>
    <row r="54" spans="1:12" x14ac:dyDescent="0.2">
      <c r="B54" s="180" t="s">
        <v>200</v>
      </c>
      <c r="C54" s="388" t="str">
        <f>IF(B54=0,"",VLOOKUP($B54,Table2[],2,FALSE))</f>
        <v>Custom</v>
      </c>
      <c r="D54" s="388"/>
      <c r="E54" s="388"/>
      <c r="F54" s="174">
        <v>7</v>
      </c>
      <c r="G54" s="175">
        <v>0.6</v>
      </c>
      <c r="H54" s="176">
        <v>1</v>
      </c>
      <c r="I54" s="120" t="str">
        <f>IF($B54=0,"",VLOOKUP($B54,Table2[],5,FALSE))</f>
        <v>acre</v>
      </c>
      <c r="J54" s="109">
        <f>IF($B54=0,"",VLOOKUP($B54,Table2[],7,FALSE))</f>
        <v>9</v>
      </c>
      <c r="K54" s="109">
        <f t="shared" si="3"/>
        <v>5.4</v>
      </c>
      <c r="L54" s="110"/>
    </row>
    <row r="55" spans="1:12" x14ac:dyDescent="0.2">
      <c r="B55" s="180" t="s">
        <v>928</v>
      </c>
      <c r="C55" s="388" t="str">
        <f>IF(B55=0,"",VLOOKUP($B55,Table2[],2,FALSE))</f>
        <v>Fungicide</v>
      </c>
      <c r="D55" s="388"/>
      <c r="E55" s="388"/>
      <c r="F55" s="174">
        <v>7</v>
      </c>
      <c r="G55" s="175">
        <v>0.6</v>
      </c>
      <c r="H55" s="176">
        <v>12</v>
      </c>
      <c r="I55" s="120" t="str">
        <f>IF($B55=0,"",VLOOKUP($B55,Table2[],5,FALSE))</f>
        <v>ounce</v>
      </c>
      <c r="J55" s="109">
        <f>IF($B55=0,"",VLOOKUP($B55,Table2[],7,FALSE))</f>
        <v>4.140625</v>
      </c>
      <c r="K55" s="109">
        <f t="shared" si="3"/>
        <v>29.81</v>
      </c>
      <c r="L55" s="110"/>
    </row>
    <row r="56" spans="1:12" x14ac:dyDescent="0.2">
      <c r="B56" s="213" t="s">
        <v>951</v>
      </c>
      <c r="C56" s="387" t="str">
        <f>IF(B56=0,"",VLOOKUP($B56,Table2[],2,FALSE))</f>
        <v>Custom</v>
      </c>
      <c r="D56" s="387"/>
      <c r="E56" s="387"/>
      <c r="F56" s="214">
        <v>10</v>
      </c>
      <c r="G56" s="221">
        <v>1</v>
      </c>
      <c r="H56" s="222">
        <v>8000</v>
      </c>
      <c r="I56" s="223" t="str">
        <f>IF($B56=0,"",VLOOKUP($B56,Table2[],5,FALSE))</f>
        <v>pound</v>
      </c>
      <c r="J56" s="372">
        <f>IF($B56=0,"",VLOOKUP($B56,Table2[],7,FALSE))</f>
        <v>3.0000000000000001E-3</v>
      </c>
      <c r="K56" s="215">
        <f t="shared" si="3"/>
        <v>24</v>
      </c>
      <c r="L56" s="227"/>
    </row>
    <row r="57" spans="1:12" x14ac:dyDescent="0.2">
      <c r="B57" s="180" t="s">
        <v>947</v>
      </c>
      <c r="C57" s="388" t="str">
        <f>IF(B57=0,"",VLOOKUP($B57,Table2[],2,FALSE))</f>
        <v>Custom</v>
      </c>
      <c r="D57" s="388"/>
      <c r="E57" s="388"/>
      <c r="F57" s="174">
        <v>11</v>
      </c>
      <c r="G57" s="175">
        <v>0.3</v>
      </c>
      <c r="H57" s="176">
        <v>8000</v>
      </c>
      <c r="I57" s="120" t="str">
        <f>IF($B57=0,"",VLOOKUP($B57,Table2[],5,FALSE))</f>
        <v>pound</v>
      </c>
      <c r="J57" s="373">
        <f>IF($B57=0,"",VLOOKUP($B57,Table2[],7,FALSE))</f>
        <v>2E-3</v>
      </c>
      <c r="K57" s="109">
        <f t="shared" si="3"/>
        <v>4.8</v>
      </c>
      <c r="L57" s="113"/>
    </row>
    <row r="58" spans="1:12" x14ac:dyDescent="0.2">
      <c r="B58" s="180" t="s">
        <v>313</v>
      </c>
      <c r="C58" s="388" t="str">
        <f>IF(B58=0,"",VLOOKUP($B58,Table2[],2,FALSE))</f>
        <v>Scouting</v>
      </c>
      <c r="D58" s="388"/>
      <c r="E58" s="388"/>
      <c r="F58" s="174"/>
      <c r="G58" s="175">
        <v>1</v>
      </c>
      <c r="H58" s="176">
        <v>1</v>
      </c>
      <c r="I58" s="120" t="str">
        <f>IF($B58=0,"",VLOOKUP($B58,Table2[],5,FALSE))</f>
        <v>acre</v>
      </c>
      <c r="J58" s="109">
        <f>IF($B58=0,"",VLOOKUP($B58,Table2[],7,FALSE))</f>
        <v>13</v>
      </c>
      <c r="K58" s="109">
        <f t="shared" si="3"/>
        <v>13</v>
      </c>
      <c r="L58" s="113"/>
    </row>
    <row r="59" spans="1:12" hidden="1" x14ac:dyDescent="0.2">
      <c r="B59" s="111"/>
      <c r="C59" s="388" t="str">
        <f>IF(B59=0,"",VLOOKUP($B59,Table2[],2,FALSE))</f>
        <v/>
      </c>
      <c r="D59" s="388"/>
      <c r="E59" s="388"/>
      <c r="F59" s="112"/>
      <c r="G59" s="177"/>
      <c r="H59" s="178"/>
      <c r="I59" s="120" t="str">
        <f>IF($B59=0,"",VLOOKUP($B59,Table2[],5,FALSE))</f>
        <v/>
      </c>
      <c r="J59" s="109" t="str">
        <f>IF($B59=0,"",VLOOKUP($B59,Table2[],7,FALSE))</f>
        <v/>
      </c>
      <c r="K59" s="109">
        <f t="shared" si="3"/>
        <v>0</v>
      </c>
      <c r="L59" s="113"/>
    </row>
    <row r="60" spans="1:12" ht="12.75" hidden="1" customHeight="1" x14ac:dyDescent="0.2">
      <c r="B60" s="111"/>
      <c r="C60" s="388"/>
      <c r="D60" s="388"/>
      <c r="E60" s="388"/>
      <c r="F60" s="112"/>
      <c r="G60" s="177"/>
      <c r="H60" s="178"/>
      <c r="I60" s="120" t="str">
        <f>IF($B60=0,"",VLOOKUP($B60,Table2[],5,FALSE))</f>
        <v/>
      </c>
      <c r="J60" s="109" t="str">
        <f>IF($B60=0,"",VLOOKUP($B60,Table2[],7,FALSE))</f>
        <v/>
      </c>
      <c r="K60" s="109"/>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 t="shared" si="3"/>
        <v>0</v>
      </c>
      <c r="L61" s="227"/>
    </row>
    <row r="62" spans="1:12" x14ac:dyDescent="0.2">
      <c r="B62" s="185" t="s">
        <v>430</v>
      </c>
      <c r="C62" s="388" t="s">
        <v>655</v>
      </c>
      <c r="D62" s="388"/>
      <c r="E62" s="388"/>
      <c r="F62" s="112"/>
      <c r="G62" s="177"/>
      <c r="H62" s="178"/>
      <c r="I62" s="170"/>
      <c r="J62" s="109">
        <v>14</v>
      </c>
      <c r="K62" s="109">
        <f>IF(B62=0,0,J62)</f>
        <v>14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E64" s="161"/>
      <c r="F64" s="105"/>
      <c r="J64" s="126"/>
      <c r="K64" s="127">
        <f>SUM(K37:K62)</f>
        <v>416.29</v>
      </c>
      <c r="L64" s="110"/>
    </row>
    <row r="65" spans="2:12" x14ac:dyDescent="0.2">
      <c r="B65" s="144" t="s">
        <v>715</v>
      </c>
      <c r="K65" s="127"/>
    </row>
    <row r="66" spans="2:12" x14ac:dyDescent="0.2">
      <c r="B66" s="107" t="s">
        <v>672</v>
      </c>
      <c r="K66" s="127">
        <f>K33+K64</f>
        <v>556.66000000000008</v>
      </c>
      <c r="L66" s="110"/>
    </row>
    <row r="67" spans="2:12" ht="13.5" thickBot="1" x14ac:dyDescent="0.25">
      <c r="D67" s="128" t="s">
        <v>673</v>
      </c>
      <c r="E67" s="129">
        <f>ROUND(SUM($E$33:$H$33)+$K$64,2)</f>
        <v>494.22</v>
      </c>
      <c r="F67" s="388" t="s">
        <v>674</v>
      </c>
      <c r="G67" s="388"/>
      <c r="H67" s="130">
        <f>'General Variables'!$B$11</f>
        <v>7.4999999999999997E-2</v>
      </c>
      <c r="I67" s="131" t="str">
        <f>CONCATENATE("for ",TEXT('General Variables'!$B$12,"0.0")," mo.")</f>
        <v>for 6.0 mo.</v>
      </c>
      <c r="K67" s="132">
        <f>E67*H67*'General Variables'!$B$12/12</f>
        <v>18.533249999999999</v>
      </c>
      <c r="L67" s="133"/>
    </row>
    <row r="68" spans="2:12" ht="13.5" thickTop="1" x14ac:dyDescent="0.2">
      <c r="B68" s="107" t="s">
        <v>675</v>
      </c>
      <c r="K68" s="127">
        <f>SUM(K66:K67)</f>
        <v>575.19325000000003</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40</v>
      </c>
      <c r="D71" s="399"/>
      <c r="E71" s="400"/>
      <c r="F71" s="136">
        <f>IF(C71=0,0,VLOOKUP(C71,RETable,2,FALSE))</f>
        <v>9115</v>
      </c>
      <c r="G71" s="388" t="s">
        <v>678</v>
      </c>
      <c r="H71" s="388"/>
      <c r="I71" s="130">
        <f>'General Variables'!$B$10</f>
        <v>0.03</v>
      </c>
      <c r="K71" s="137">
        <f>ROUND(F71*I71,2)</f>
        <v>273.45</v>
      </c>
      <c r="L71" s="110"/>
    </row>
    <row r="72" spans="2:12" ht="13.5" thickBot="1" x14ac:dyDescent="0.25">
      <c r="B72" s="103" t="s">
        <v>679</v>
      </c>
      <c r="F72" s="138">
        <f>IF(C71=0,0,VLOOKUP(C71,RETable,2,FALSE))</f>
        <v>9115</v>
      </c>
      <c r="G72" s="397" t="s">
        <v>678</v>
      </c>
      <c r="H72" s="397"/>
      <c r="I72" s="139">
        <f>'General Variables'!$B$13</f>
        <v>1.2999999999999999E-2</v>
      </c>
      <c r="J72" s="105"/>
      <c r="K72" s="140">
        <f>ROUND(F72*I72,2)</f>
        <v>118.5</v>
      </c>
      <c r="L72" s="133"/>
    </row>
    <row r="73" spans="2:12" ht="13.5" thickTop="1" x14ac:dyDescent="0.2">
      <c r="B73" s="107" t="s">
        <v>680</v>
      </c>
      <c r="K73" s="127">
        <f>SUM(K68:K72)</f>
        <v>1002.1432500000001</v>
      </c>
      <c r="L73" s="110"/>
    </row>
    <row r="74" spans="2:12" x14ac:dyDescent="0.2">
      <c r="K74" s="128"/>
    </row>
    <row r="75" spans="2:12" x14ac:dyDescent="0.2">
      <c r="B75" s="104" t="str">
        <f>IF(G4="","","Cash Cost per "&amp;H4)</f>
        <v>Cash Cost per pound</v>
      </c>
      <c r="C75" s="261" t="s">
        <v>688</v>
      </c>
      <c r="D75" s="105"/>
      <c r="E75" s="105"/>
      <c r="F75" s="105"/>
      <c r="G75" s="105"/>
      <c r="H75" s="105"/>
      <c r="I75" s="105"/>
      <c r="J75" s="105"/>
      <c r="K75" s="142">
        <f>IF(G4=0,0,(E67+K67+K70+K72)/G4)</f>
        <v>8.3281656250000002E-2</v>
      </c>
      <c r="L75" s="148"/>
    </row>
    <row r="76" spans="2:12" x14ac:dyDescent="0.2">
      <c r="B76" s="107" t="str">
        <f>IF(G4="","","Cost of production per "&amp;H4)</f>
        <v>Cost of production per pound</v>
      </c>
      <c r="K76" s="141">
        <f>IF(G4="","",K73/G4)</f>
        <v>0.12526790625000001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62:E62"/>
    <mergeCell ref="F67:G67"/>
    <mergeCell ref="C71:E71"/>
    <mergeCell ref="G71:H71"/>
    <mergeCell ref="G72:H72"/>
    <mergeCell ref="C61:E61"/>
    <mergeCell ref="C50:E50"/>
    <mergeCell ref="C51:E51"/>
    <mergeCell ref="C52:E52"/>
    <mergeCell ref="C53:E53"/>
    <mergeCell ref="C54:E54"/>
    <mergeCell ref="C55:E55"/>
    <mergeCell ref="C56:E56"/>
    <mergeCell ref="C57:E57"/>
    <mergeCell ref="C58:E58"/>
    <mergeCell ref="C59:E59"/>
    <mergeCell ref="C60:E60"/>
    <mergeCell ref="C49:E49"/>
    <mergeCell ref="C37:E37"/>
    <mergeCell ref="C38:E38"/>
    <mergeCell ref="C39:E39"/>
    <mergeCell ref="C40:E40"/>
    <mergeCell ref="C41:E41"/>
    <mergeCell ref="C42:E42"/>
    <mergeCell ref="C43:E43"/>
    <mergeCell ref="C44:E44"/>
    <mergeCell ref="C45:E45"/>
    <mergeCell ref="C47:E47"/>
    <mergeCell ref="C48:E48"/>
    <mergeCell ref="K10:K11"/>
    <mergeCell ref="L10:L11"/>
    <mergeCell ref="F35:F36"/>
    <mergeCell ref="G35:G36"/>
    <mergeCell ref="H35:I35"/>
    <mergeCell ref="J35:J36"/>
    <mergeCell ref="L35:L36"/>
    <mergeCell ref="I10:J10"/>
    <mergeCell ref="B10:B11"/>
    <mergeCell ref="C10:C11"/>
    <mergeCell ref="E10:E11"/>
    <mergeCell ref="F10:F11"/>
    <mergeCell ref="G10:H10"/>
    <mergeCell ref="B7:L7"/>
    <mergeCell ref="G2:H2"/>
    <mergeCell ref="K2:L2"/>
    <mergeCell ref="C3:E3"/>
    <mergeCell ref="C4:E4"/>
    <mergeCell ref="A6:M6"/>
  </mergeCells>
  <dataValidations count="9">
    <dataValidation type="list" allowBlank="1" showInputMessage="1" showErrorMessage="1" sqref="C3" xr:uid="{18177733-5B47-4CDC-B8CC-5E62B9EF0DD2}">
      <formula1>TillageSystem</formula1>
    </dataValidation>
    <dataValidation type="list" allowBlank="1" showInputMessage="1" showErrorMessage="1" sqref="K2" xr:uid="{142B36A4-D8F1-4959-B2BC-2162CC543908}">
      <formula1>watersource</formula1>
    </dataValidation>
    <dataValidation type="list" allowBlank="1" showInputMessage="1" showErrorMessage="1" sqref="D12:D32" xr:uid="{04778ABD-70DE-40CB-B45B-D21C9F17E933}">
      <formula1>#REF!</formula1>
    </dataValidation>
    <dataValidation type="list" allowBlank="1" showInputMessage="1" showErrorMessage="1" sqref="B12:B31" xr:uid="{F32927A0-386F-416E-8F5B-0254378363AC}">
      <formula1>OperationList</formula1>
    </dataValidation>
    <dataValidation type="list" allowBlank="1" showInputMessage="1" showErrorMessage="1" sqref="C71:E71" xr:uid="{C17B4D6F-E502-4CF6-8400-31BFF99CCC82}">
      <formula1>RealEstateList</formula1>
    </dataValidation>
    <dataValidation type="list" allowBlank="1" showInputMessage="1" showErrorMessage="1" sqref="B37:B61" xr:uid="{BB26C3AC-9422-4A44-B998-11C89909A149}">
      <formula1>MaterialList</formula1>
    </dataValidation>
    <dataValidation type="list" allowBlank="1" showInputMessage="1" showErrorMessage="1" sqref="K4" xr:uid="{5AD925ED-2EBD-4611-A759-0F2E5E212495}">
      <formula1>$K$112:$K$114</formula1>
    </dataValidation>
    <dataValidation type="list" showInputMessage="1" showErrorMessage="1" sqref="B63" xr:uid="{C7EC802D-E64B-49D6-9F64-1BDCAE26DD9B}">
      <formula1>$C$112:$C$235</formula1>
    </dataValidation>
    <dataValidation type="list" allowBlank="1" showInputMessage="1" showErrorMessage="1" sqref="B32" xr:uid="{467BAD4B-598B-4D06-A2F0-4060DEE7792E}">
      <formula1>$B$112:$B$209</formula1>
    </dataValidation>
  </dataValidations>
  <pageMargins left="0.7" right="0.7" top="0.75" bottom="0.75" header="0.3" footer="0.3"/>
  <pageSetup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0">
    <pageSetUpPr fitToPage="1"/>
  </sheetPr>
  <dimension ref="A2:M257"/>
  <sheetViews>
    <sheetView topLeftCell="A21" zoomScaleNormal="100" workbookViewId="0">
      <selection activeCell="B21" sqref="B2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70</v>
      </c>
      <c r="L2" s="401"/>
    </row>
    <row r="3" spans="1:13" hidden="1" x14ac:dyDescent="0.2">
      <c r="B3" s="103" t="s">
        <v>38</v>
      </c>
      <c r="C3" s="391" t="s">
        <v>58</v>
      </c>
      <c r="D3" s="391"/>
      <c r="E3" s="391"/>
      <c r="G3" s="128" t="s">
        <v>650</v>
      </c>
      <c r="H3" s="187" t="s">
        <v>741</v>
      </c>
      <c r="J3" s="128" t="s">
        <v>651</v>
      </c>
      <c r="K3" s="187">
        <v>8</v>
      </c>
    </row>
    <row r="4" spans="1:13" hidden="1" x14ac:dyDescent="0.2">
      <c r="B4" s="103" t="s">
        <v>652</v>
      </c>
      <c r="C4" s="392" t="s">
        <v>742</v>
      </c>
      <c r="D4" s="392"/>
      <c r="E4" s="392"/>
      <c r="G4" s="103">
        <f>IFERROR(VALUE(LEFT($H$3,FIND(" ",$H$3))),"")</f>
        <v>27</v>
      </c>
      <c r="H4" s="103" t="str">
        <f>IFERROR(RIGHT(H3,LEN(H3)-LEN(G4)-1),"")</f>
        <v>cwt</v>
      </c>
      <c r="J4" s="128" t="s">
        <v>653</v>
      </c>
      <c r="K4" s="188" t="s">
        <v>654</v>
      </c>
    </row>
    <row r="5" spans="1:13" ht="15.75" hidden="1" customHeight="1" x14ac:dyDescent="0.2">
      <c r="B5" s="103" t="s">
        <v>655</v>
      </c>
      <c r="C5" s="238" t="str">
        <f ca="1">MID(CELL("filename",C5),FIND("]",CELL("filename",C5))+1,255)</f>
        <v>43-Dry Beans</v>
      </c>
      <c r="E5" s="103">
        <f ca="1">VLOOKUP($C$5,CropInsurance,5,FALSE)</f>
        <v>18</v>
      </c>
      <c r="F5" s="103">
        <f ca="1">VLOOKUP($C$5,CropInsurance,6,FALSE)</f>
        <v>0</v>
      </c>
    </row>
    <row r="6" spans="1:13" ht="15.75" hidden="1" customHeight="1" x14ac:dyDescent="0.25">
      <c r="A6" s="390" t="str">
        <f ca="1">REPLACE(CELL("filename",$C$5),1,FIND("]",CELL("filename",$C$5)),"") &amp;  IF($G$2="","", ", " &amp; $G$2 ) &amp; IF($C$2="","",", "&amp;$C$2&amp;"") &amp; IF($C$3="","",", "&amp;$C$3) &amp; IF($C$4="","",", "&amp;$C$4) &amp; IF($H$3="","",", "&amp;$H$3 &amp; " Yield") &amp; IF(K2="","",", " &amp;K2)</f>
        <v>43-Dry Beans, Panhandle, Reduced Till, after Harvest Cover Crop, 27 cwt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REPLACE(CELL("filename",$C$5),1,FIND("]",CELL("filename",$C$5)),"") &amp;  IF($G$2="","", ", " &amp; $G$2 ) &amp; IF($C$2="","",", "&amp;$C$2) &amp; IF($C$3="","",", "&amp;$C$3) &amp; IF($C$4="","",", "&amp;$C$4) &amp; IF($H$3="","",", "&amp;$H$3 &amp; " Yield")</f>
        <v>2025 Budget 43-Dry Beans, Panhandle, Reduced Till, after Harvest Cover Crop, 27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524</v>
      </c>
      <c r="C16" s="174">
        <f>$K$3</f>
        <v>8</v>
      </c>
      <c r="D16" s="112" t="s">
        <v>693</v>
      </c>
      <c r="E16" s="109">
        <f>IF(B16=0,"",IF(C16&gt;9999,"",ROUND('General Variables'!$B$4*VLOOKUP(B16,Operations!$A$2:$U$79,10,FALSE)/VLOOKUP(B16,Operations!$A$2:$U$79,9,FALSE)*C16,2)))</f>
        <v>7.5</v>
      </c>
      <c r="F16" s="109">
        <f>IF(B16=0,0,IF(C16&gt;9999,"",ROUND(IF(VLOOKUP(B16,Operations!$A$2:$U$79,12,FALSE)=0,VLOOKUP(B16,Operations!$A$2:$U$79,13,FALSE)*'General Variables'!$B$8,VLOOKUP(B16,Operations!$A$2:$U$79,12,FALSE)*'General Variables'!$B$7)/VLOOKUP(B16,Operations!$A$2:$U$79,9,FALSE)*C16,2)))</f>
        <v>16.989999999999998</v>
      </c>
      <c r="G16" s="109">
        <f>IF(B16=0,0,IF(C16&gt;9999,"",ROUND(VLOOKUP(VLOOKUP(B16,Operations!$A$2:$U$79,11,FALSE),PowerUnits[],10,FALSE)/VLOOKUP(B16,Operations!$A$2:$U$79,9,FALSE)*C16,2)))</f>
        <v>4.46</v>
      </c>
      <c r="H16" s="109">
        <v>8</v>
      </c>
      <c r="I16" s="109">
        <f>IF(B16=0,0,IF(C16&gt;9999,"",ROUND(VLOOKUP(VLOOKUP(B16,Operations!$A$2:$U$79,11,FALSE),PowerUnits[],16,FALSE)/VLOOKUP(B16,Operations!$A$2:$U$79,9,FALSE)*C16,2)))</f>
        <v>7.81</v>
      </c>
      <c r="J16" s="109">
        <f>IF(B16=0,"",IF(C16&gt;9999,"",ROUND(VLOOKUP($B16,Operations!$A$2:$U$79,21,FALSE)*$C16,2)))</f>
        <v>11.64</v>
      </c>
      <c r="K16" s="109">
        <f>IF(C16&gt;9999,"",ROUND(SUM(E16:J16),2))</f>
        <v>56.4</v>
      </c>
      <c r="L16" s="110"/>
    </row>
    <row r="17" spans="1:13" x14ac:dyDescent="0.2">
      <c r="A17" s="170">
        <v>6</v>
      </c>
      <c r="B17" s="180" t="s">
        <v>551</v>
      </c>
      <c r="C17" s="174">
        <v>1</v>
      </c>
      <c r="D17" s="112"/>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IF(C17&gt;9999,"",ROUND(SUM(E17:J17),2))</f>
        <v>5.75</v>
      </c>
      <c r="L17" s="110"/>
    </row>
    <row r="18" spans="1:13" x14ac:dyDescent="0.2">
      <c r="A18" s="170">
        <v>7</v>
      </c>
      <c r="B18" s="180" t="s">
        <v>183</v>
      </c>
      <c r="C18" s="174" t="s">
        <v>184</v>
      </c>
      <c r="D18" s="112"/>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ref="K18:K23" si="1">IF(C18&gt;9999,"",ROUND(SUM(E18:J18),2))</f>
        <v/>
      </c>
      <c r="L18" s="110"/>
    </row>
    <row r="19" spans="1:13" x14ac:dyDescent="0.2">
      <c r="A19" s="170">
        <v>8</v>
      </c>
      <c r="B19" s="213" t="s">
        <v>183</v>
      </c>
      <c r="C19" s="214" t="s">
        <v>184</v>
      </c>
      <c r="D19" s="218"/>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1"/>
        <v/>
      </c>
      <c r="L19" s="216"/>
    </row>
    <row r="20" spans="1:13" x14ac:dyDescent="0.2">
      <c r="A20" s="170">
        <v>9</v>
      </c>
      <c r="B20" s="180" t="s">
        <v>518</v>
      </c>
      <c r="C20" s="174">
        <v>1</v>
      </c>
      <c r="D20" s="112"/>
      <c r="E20" s="109">
        <f>IF(B20=0,"",IF(C20&gt;9999,"",ROUND('General Variables'!$B$4*VLOOKUP(B20,Operations!$A$2:$U$79,10,FALSE)/VLOOKUP(B20,Operations!$A$2:$U$79,9,FALSE)*C20,2)))</f>
        <v>2.97</v>
      </c>
      <c r="F20" s="109">
        <f>IF(B20=0,0,IF(C20&gt;9999,"",ROUND(IF(VLOOKUP(B20,Operations!$A$2:$U$79,12,FALSE)=0,VLOOKUP(B20,Operations!$A$2:$U$79,13,FALSE)*'General Variables'!$B$8,VLOOKUP(B20,Operations!$A$2:$U$79,12,FALSE)*'General Variables'!$B$7)/VLOOKUP(B20,Operations!$A$2:$U$79,9,FALSE)*C20,2)))</f>
        <v>1.94</v>
      </c>
      <c r="G20" s="109">
        <f>IF(B20=0,0,IF(C20&gt;9999,"",ROUND(VLOOKUP(VLOOKUP(B20,Operations!$A$2:$U$79,11,FALSE),PowerUnits[],10,FALSE)/VLOOKUP(B20,Operations!$A$2:$U$79,9,FALSE)*C20,2)))</f>
        <v>0.08</v>
      </c>
      <c r="H20" s="109">
        <f>IF(B20=0,"",IF(C20&gt;9999,"",ROUND(VLOOKUP($B20,Operations!$A$2:$U$79,15,FALSE)*C20,2)))</f>
        <v>1.21</v>
      </c>
      <c r="I20" s="109">
        <f>IF(B20=0,0,IF(C20&gt;9999,"",ROUND(VLOOKUP(VLOOKUP(B20,Operations!$A$2:$U$79,11,FALSE),PowerUnits[],16,FALSE)/VLOOKUP(B20,Operations!$A$2:$U$79,9,FALSE)*C20,2)))</f>
        <v>4.33</v>
      </c>
      <c r="J20" s="109">
        <f>IF(B20=0,"",IF(C20&gt;9999,"",ROUND(VLOOKUP($B20,Operations!$A$2:$U$79,21,FALSE)*$C20,2)))</f>
        <v>2.14</v>
      </c>
      <c r="K20" s="109">
        <f t="shared" si="1"/>
        <v>12.67</v>
      </c>
      <c r="L20" s="110"/>
    </row>
    <row r="21" spans="1:13" x14ac:dyDescent="0.2">
      <c r="A21" s="170">
        <v>10</v>
      </c>
      <c r="B21" s="183" t="s">
        <v>939</v>
      </c>
      <c r="C21" s="306">
        <v>1</v>
      </c>
      <c r="D21" s="112"/>
      <c r="E21" s="109">
        <f>IF(B21=0,"",IF(C21&gt;9999,"",ROUND('General Variables'!$B$4*VLOOKUP(B21,Operations!$A$2:$U$79,10,FALSE)/VLOOKUP(B21,Operations!$A$2:$U$79,9,FALSE)*C21,2)))</f>
        <v>2.2799999999999998</v>
      </c>
      <c r="F21" s="109">
        <f>IF(B21=0,0,IF(C21&gt;9999,"",ROUND(IF(VLOOKUP(B21,Operations!$A$2:$U$79,12,FALSE)=0,VLOOKUP(B21,Operations!$A$2:$U$79,13,FALSE)*'General Variables'!$B$8,VLOOKUP(B21,Operations!$A$2:$U$79,12,FALSE)*'General Variables'!$B$7)/VLOOKUP(B21,Operations!$A$2:$U$79,9,FALSE)*C21,2)))</f>
        <v>2.58</v>
      </c>
      <c r="G21" s="109">
        <f>IF(B21=0,0,IF(C21&gt;9999,"",ROUND(VLOOKUP(VLOOKUP(B21,Operations!$A$2:$U$79,11,FALSE),PowerUnits[],10,FALSE)/VLOOKUP(B21,Operations!$A$2:$U$79,9,FALSE)*C21,2)))</f>
        <v>3.97</v>
      </c>
      <c r="H21" s="109">
        <f>IF(B21=0,"",IF(C21&gt;9999,"",ROUND(VLOOKUP($B21,Operations!$A$2:$U$79,15,FALSE)*C21,2)))</f>
        <v>0.49</v>
      </c>
      <c r="I21" s="109">
        <f>IF(B21=0,0,IF(C21&gt;9999,"",ROUND(VLOOKUP(VLOOKUP(B21,Operations!$A$2:$U$79,11,FALSE),PowerUnits[],16,FALSE)/VLOOKUP(B21,Operations!$A$2:$U$79,9,FALSE)*C21,2)))</f>
        <v>9.56</v>
      </c>
      <c r="J21" s="109">
        <f>IF(B21=0,"",IF(C21&gt;9999,"",ROUND(VLOOKUP($B21,Operations!$A$2:$U$79,21,FALSE)*$C21,2)))</f>
        <v>5.72</v>
      </c>
      <c r="K21" s="109">
        <f t="shared" si="1"/>
        <v>24.6</v>
      </c>
      <c r="L21" s="110"/>
      <c r="M21" s="332"/>
    </row>
    <row r="22" spans="1:13" x14ac:dyDescent="0.2">
      <c r="A22" s="170">
        <v>11</v>
      </c>
      <c r="B22" s="180" t="s">
        <v>565</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1"/>
        <v/>
      </c>
      <c r="L22" s="110"/>
    </row>
    <row r="23" spans="1:13" x14ac:dyDescent="0.2">
      <c r="A23" s="170">
        <v>12</v>
      </c>
      <c r="B23" s="213" t="s">
        <v>488</v>
      </c>
      <c r="C23" s="214">
        <v>1</v>
      </c>
      <c r="D23" s="218"/>
      <c r="E23" s="215">
        <f>IF(B23=0,"",IF(C23&gt;9999,"",ROUND('General Variables'!$B$4*VLOOKUP(B23,Operations!$A$2:$U$79,10,FALSE)/VLOOKUP(B23,Operations!$A$2:$U$79,9,FALSE)*C23,2)))</f>
        <v>2.38</v>
      </c>
      <c r="F23" s="215">
        <f>IF(B23=0,0,IF(C23&gt;9999,"",ROUND(IF(VLOOKUP(B23,Operations!$A$2:$U$79,12,FALSE)=0,VLOOKUP(B23,Operations!$A$2:$U$79,13,FALSE)*'General Variables'!$B$8,VLOOKUP(B23,Operations!$A$2:$U$79,12,FALSE)*'General Variables'!$B$7)/VLOOKUP(B23,Operations!$A$2:$U$79,9,FALSE)*C23,2)))</f>
        <v>1.28</v>
      </c>
      <c r="G23" s="215">
        <f>IF(B23=0,0,IF(C23&gt;9999,"",ROUND(VLOOKUP(VLOOKUP(B23,Operations!$A$2:$U$79,11,FALSE),PowerUnits[],10,FALSE)/VLOOKUP(B23,Operations!$A$2:$U$79,9,FALSE)*C23,2)))</f>
        <v>7.0000000000000007E-2</v>
      </c>
      <c r="H23" s="215">
        <f>IF(B23=0,"",IF(C23&gt;9999,"",ROUND(VLOOKUP($B23,Operations!$A$2:$U$79,15,FALSE)*C23,2)))</f>
        <v>7.18</v>
      </c>
      <c r="I23" s="215">
        <f>IF(B23=0,0,IF(C23&gt;9999,"",ROUND(VLOOKUP(VLOOKUP(B23,Operations!$A$2:$U$79,11,FALSE),PowerUnits[],16,FALSE)/VLOOKUP(B23,Operations!$A$2:$U$79,9,FALSE)*C23,2)))</f>
        <v>3.46</v>
      </c>
      <c r="J23" s="215">
        <f>IF(B23=0,"",IF(C23&gt;9999,"",ROUND(VLOOKUP($B23,Operations!$A$2:$U$79,21,FALSE)*$C23,2)))</f>
        <v>2.4500000000000002</v>
      </c>
      <c r="K23" s="215">
        <f t="shared" si="1"/>
        <v>16.82</v>
      </c>
      <c r="L23" s="216"/>
    </row>
    <row r="24" spans="1:13"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3" hidden="1" x14ac:dyDescent="0.2">
      <c r="A25" s="170">
        <v>14</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3" hidden="1" x14ac:dyDescent="0.2">
      <c r="A26" s="170">
        <v>15</v>
      </c>
      <c r="B26" s="180"/>
      <c r="C26" s="174"/>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3" hidden="1" x14ac:dyDescent="0.2">
      <c r="A27" s="170">
        <v>16</v>
      </c>
      <c r="B27" s="213"/>
      <c r="C27" s="214"/>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3"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3"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3"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3"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3"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25.11</v>
      </c>
      <c r="F33" s="109">
        <f t="shared" ref="F33:K33" si="2">SUM(F12:F31)</f>
        <v>28.36</v>
      </c>
      <c r="G33" s="109">
        <f t="shared" si="2"/>
        <v>9.2600000000000016</v>
      </c>
      <c r="H33" s="109">
        <f t="shared" si="2"/>
        <v>29.889999999999997</v>
      </c>
      <c r="I33" s="109">
        <f t="shared" si="2"/>
        <v>46.72</v>
      </c>
      <c r="J33" s="109">
        <f t="shared" si="2"/>
        <v>37.49</v>
      </c>
      <c r="K33" s="109">
        <f t="shared" si="2"/>
        <v>176.82999999999998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264</v>
      </c>
      <c r="C37" s="388" t="str">
        <f>IF(B37=0,"",VLOOKUP($B37,Table2[],2,FALSE))</f>
        <v>Herbicide</v>
      </c>
      <c r="D37" s="388"/>
      <c r="E37" s="388"/>
      <c r="F37" s="174">
        <v>3</v>
      </c>
      <c r="G37" s="175">
        <v>1</v>
      </c>
      <c r="H37" s="176">
        <v>11</v>
      </c>
      <c r="I37" s="120" t="str">
        <f>IF($B37=0,"",VLOOKUP($B37,Table2[],5,FALSE))</f>
        <v>ounce</v>
      </c>
      <c r="J37" s="109">
        <f>IF($B37=0,"",VLOOKUP($B37,Table2[],7,FALSE))</f>
        <v>1.5234375</v>
      </c>
      <c r="K37" s="109">
        <f>IF(B37=0,0,ROUND(G37*H37*J37,2))</f>
        <v>16.760000000000002</v>
      </c>
      <c r="L37" s="110"/>
    </row>
    <row r="38" spans="1:12" x14ac:dyDescent="0.2">
      <c r="A38" s="105"/>
      <c r="B38" s="180" t="s">
        <v>266</v>
      </c>
      <c r="C38" s="388" t="str">
        <f>IF(B38=0,"",VLOOKUP($B38,Table2[],2,FALSE))</f>
        <v>Herbicide</v>
      </c>
      <c r="D38" s="388"/>
      <c r="E38" s="388"/>
      <c r="F38" s="174">
        <v>3</v>
      </c>
      <c r="G38" s="175">
        <v>1</v>
      </c>
      <c r="H38" s="176">
        <v>2</v>
      </c>
      <c r="I38" s="120" t="str">
        <f>IF($B38=0,"",VLOOKUP($B38,Table2[],5,FALSE))</f>
        <v>pint</v>
      </c>
      <c r="J38" s="109">
        <f>IF($B38=0,"",VLOOKUP($B38,Table2[],7,FALSE))</f>
        <v>7.5</v>
      </c>
      <c r="K38" s="109">
        <f>IF(B38=0,0,ROUND(G38*H38*J38,2))</f>
        <v>15</v>
      </c>
      <c r="L38" s="110"/>
    </row>
    <row r="39" spans="1:12" x14ac:dyDescent="0.2">
      <c r="A39" s="105"/>
      <c r="B39" s="180" t="s">
        <v>332</v>
      </c>
      <c r="C39" s="388" t="str">
        <f>IF(B39=0,"",VLOOKUP($B39,Table2[],2,FALSE))</f>
        <v>Seed</v>
      </c>
      <c r="D39" s="388"/>
      <c r="E39" s="388"/>
      <c r="F39" s="174">
        <v>4</v>
      </c>
      <c r="G39" s="175">
        <v>1</v>
      </c>
      <c r="H39" s="176">
        <v>0.75</v>
      </c>
      <c r="I39" s="120" t="str">
        <f>IF($B39=0,"",VLOOKUP($B39,Table2[],5,FALSE))</f>
        <v>cwt</v>
      </c>
      <c r="J39" s="109">
        <f>IF($B39=0,"",VLOOKUP($B39,Table2[],7,FALSE))</f>
        <v>100</v>
      </c>
      <c r="K39" s="109">
        <f t="shared" ref="K39:K56" si="3">IF(B39=0,0,ROUND(G39*H39*J39,2))</f>
        <v>75</v>
      </c>
      <c r="L39" s="110"/>
    </row>
    <row r="40" spans="1:12" x14ac:dyDescent="0.2">
      <c r="A40" s="105"/>
      <c r="B40" s="213" t="s">
        <v>203</v>
      </c>
      <c r="C40" s="387" t="str">
        <f>IF(B40=0,"",VLOOKUP($B40,Table2[],2,FALSE))</f>
        <v>Fertilizer</v>
      </c>
      <c r="D40" s="387"/>
      <c r="E40" s="387"/>
      <c r="F40" s="214">
        <v>4</v>
      </c>
      <c r="G40" s="221">
        <v>1</v>
      </c>
      <c r="H40" s="222">
        <v>7</v>
      </c>
      <c r="I40" s="223" t="str">
        <f>IF($B40=0,"",VLOOKUP($B40,Table2[],5,FALSE))</f>
        <v>gallon</v>
      </c>
      <c r="J40" s="215">
        <f>IF($B40=0,"",VLOOKUP($B40,Table2[],7,FALSE))</f>
        <v>3.2</v>
      </c>
      <c r="K40" s="215">
        <f t="shared" si="3"/>
        <v>22.4</v>
      </c>
      <c r="L40" s="216"/>
    </row>
    <row r="41" spans="1:12" x14ac:dyDescent="0.2">
      <c r="A41" s="105"/>
      <c r="B41" s="180" t="s">
        <v>210</v>
      </c>
      <c r="C41" s="388" t="str">
        <f>IF(B41=0,"",VLOOKUP($B41,Table2[],2,FALSE))</f>
        <v>Fertilizer</v>
      </c>
      <c r="D41" s="388"/>
      <c r="E41" s="388"/>
      <c r="F41" s="174">
        <v>4</v>
      </c>
      <c r="G41" s="175">
        <v>1</v>
      </c>
      <c r="H41" s="176">
        <v>50</v>
      </c>
      <c r="I41" s="120" t="str">
        <f>IF($B41=0,"",VLOOKUP($B41,Table2[],5,FALSE))</f>
        <v>lbs N</v>
      </c>
      <c r="J41" s="109">
        <f>IF($B41=0,"",VLOOKUP($B41,Table2[],7,FALSE))</f>
        <v>0.55000000000000004</v>
      </c>
      <c r="K41" s="109">
        <f t="shared" si="3"/>
        <v>27.5</v>
      </c>
      <c r="L41" s="110"/>
    </row>
    <row r="42" spans="1:12" x14ac:dyDescent="0.2">
      <c r="A42" s="105"/>
      <c r="B42" s="180" t="s">
        <v>291</v>
      </c>
      <c r="C42" s="388" t="str">
        <f>IF(B42=0,"",VLOOKUP($B42,Table2[],2,FALSE))</f>
        <v>Other</v>
      </c>
      <c r="D42" s="388"/>
      <c r="E42" s="388"/>
      <c r="F42" s="174">
        <v>5</v>
      </c>
      <c r="G42" s="175">
        <v>1</v>
      </c>
      <c r="H42" s="176">
        <v>1</v>
      </c>
      <c r="I42" s="120" t="str">
        <f>IF($B42=0,"",VLOOKUP($B42,Table2[],5,FALSE))</f>
        <v>acre</v>
      </c>
      <c r="J42" s="109">
        <f>IF($B42=0,"",VLOOKUP($B42,Table2[],7,FALSE))</f>
        <v>52</v>
      </c>
      <c r="K42" s="109">
        <f t="shared" si="3"/>
        <v>52</v>
      </c>
      <c r="L42" s="110"/>
    </row>
    <row r="43" spans="1:12" x14ac:dyDescent="0.2">
      <c r="A43" s="105"/>
      <c r="B43" s="180" t="s">
        <v>242</v>
      </c>
      <c r="C43" s="388" t="str">
        <f>IF(B43=0,"",VLOOKUP($B43,Table2[],2,FALSE))</f>
        <v>Herbicide</v>
      </c>
      <c r="D43" s="388"/>
      <c r="E43" s="388"/>
      <c r="F43" s="174">
        <v>6</v>
      </c>
      <c r="G43" s="175">
        <v>1</v>
      </c>
      <c r="H43" s="176">
        <v>1.2</v>
      </c>
      <c r="I43" s="120" t="str">
        <f>IF($B43=0,"",VLOOKUP($B43,Table2[],5,FALSE))</f>
        <v>pint</v>
      </c>
      <c r="J43" s="109">
        <f>IF($B43=0,"",VLOOKUP($B43,Table2[],7,FALSE))</f>
        <v>11.875</v>
      </c>
      <c r="K43" s="109">
        <f t="shared" si="3"/>
        <v>14.25</v>
      </c>
      <c r="L43" s="110"/>
    </row>
    <row r="44" spans="1:12" x14ac:dyDescent="0.2">
      <c r="A44" s="105"/>
      <c r="B44" s="180" t="s">
        <v>264</v>
      </c>
      <c r="C44" s="170"/>
      <c r="D44" s="170" t="s">
        <v>228</v>
      </c>
      <c r="E44" s="170"/>
      <c r="F44" s="174">
        <v>6</v>
      </c>
      <c r="G44" s="175">
        <v>1</v>
      </c>
      <c r="H44" s="176">
        <v>10</v>
      </c>
      <c r="I44" s="120" t="s">
        <v>174</v>
      </c>
      <c r="J44" s="109">
        <f>IF($B44=0,"",VLOOKUP($B44,Table2[],7,FALSE))</f>
        <v>1.5234375</v>
      </c>
      <c r="K44" s="109">
        <f>IF(B44=0,0,ROUND(G44*H44*J44,2))</f>
        <v>15.23</v>
      </c>
      <c r="L44" s="110"/>
    </row>
    <row r="45" spans="1:12" x14ac:dyDescent="0.2">
      <c r="A45" s="143"/>
      <c r="B45" s="213" t="s">
        <v>268</v>
      </c>
      <c r="C45" s="387" t="str">
        <f>IF(B45=0,"",VLOOKUP($B45,Table2[],2,FALSE))</f>
        <v>Herbicide</v>
      </c>
      <c r="D45" s="387"/>
      <c r="E45" s="387"/>
      <c r="F45" s="214">
        <v>6</v>
      </c>
      <c r="G45" s="221">
        <v>1</v>
      </c>
      <c r="H45" s="222">
        <v>4</v>
      </c>
      <c r="I45" s="223" t="str">
        <f>IF($B45=0,"",VLOOKUP($B45,Table2[],5,FALSE))</f>
        <v>ounce</v>
      </c>
      <c r="J45" s="215">
        <f>IF($B45=0,"",VLOOKUP($B45,Table2[],7,FALSE))</f>
        <v>3.671875</v>
      </c>
      <c r="K45" s="215">
        <f t="shared" si="3"/>
        <v>14.69</v>
      </c>
      <c r="L45" s="216"/>
    </row>
    <row r="46" spans="1:12" x14ac:dyDescent="0.2">
      <c r="A46" s="143"/>
      <c r="B46" s="180" t="s">
        <v>181</v>
      </c>
      <c r="C46" s="388" t="str">
        <f>IF(B46=0,"",VLOOKUP($B46,Table2[],2,FALSE))</f>
        <v>Additive</v>
      </c>
      <c r="D46" s="388"/>
      <c r="E46" s="388"/>
      <c r="F46" s="174">
        <v>6</v>
      </c>
      <c r="G46" s="175">
        <v>1</v>
      </c>
      <c r="H46" s="176">
        <v>5</v>
      </c>
      <c r="I46" s="120" t="str">
        <f>IF($B46=0,"",VLOOKUP($B46,Table2[],5,FALSE))</f>
        <v>ounce</v>
      </c>
      <c r="J46" s="109">
        <f>IF($B46=0,"",VLOOKUP($B46,Table2[],7,FALSE))</f>
        <v>0.203125</v>
      </c>
      <c r="K46" s="109">
        <f t="shared" si="3"/>
        <v>1.02</v>
      </c>
      <c r="L46" s="110"/>
    </row>
    <row r="47" spans="1:12" ht="12" customHeight="1" x14ac:dyDescent="0.2">
      <c r="A47" s="143"/>
      <c r="B47" s="180" t="s">
        <v>182</v>
      </c>
      <c r="C47" s="388" t="str">
        <f>IF(B47=0,"",VLOOKUP($B47,Table2[],2,FALSE))</f>
        <v>Additive</v>
      </c>
      <c r="D47" s="388"/>
      <c r="E47" s="388"/>
      <c r="F47" s="174">
        <v>6</v>
      </c>
      <c r="G47" s="175">
        <v>1</v>
      </c>
      <c r="H47" s="176">
        <v>4</v>
      </c>
      <c r="I47" s="120" t="str">
        <f>IF($B47=0,"",VLOOKUP($B47,Table2[],5,FALSE))</f>
        <v>pint</v>
      </c>
      <c r="J47" s="109">
        <f>IF($B47=0,"",VLOOKUP($B47,Table2[],7,FALSE))</f>
        <v>0.22500000000000001</v>
      </c>
      <c r="K47" s="109">
        <f t="shared" si="3"/>
        <v>0.9</v>
      </c>
      <c r="L47" s="110"/>
    </row>
    <row r="48" spans="1:12" x14ac:dyDescent="0.2">
      <c r="A48" s="143" t="s">
        <v>638</v>
      </c>
      <c r="B48" s="180" t="s">
        <v>183</v>
      </c>
      <c r="C48" s="388" t="str">
        <f>IF(B48=0,"",VLOOKUP($B48,Table2[],2,FALSE))</f>
        <v>Custom</v>
      </c>
      <c r="D48" s="388"/>
      <c r="E48" s="388"/>
      <c r="F48" s="174">
        <v>7</v>
      </c>
      <c r="G48" s="175">
        <v>0.6</v>
      </c>
      <c r="H48" s="176">
        <v>1</v>
      </c>
      <c r="I48" s="120" t="str">
        <f>IF($B48=0,"",VLOOKUP($B48,Table2[],5,FALSE))</f>
        <v>acre</v>
      </c>
      <c r="J48" s="109">
        <f>IF($B48=0,"",VLOOKUP($B48,Table2[],7,FALSE))</f>
        <v>11</v>
      </c>
      <c r="K48" s="109">
        <f t="shared" si="3"/>
        <v>6.6</v>
      </c>
      <c r="L48" s="110"/>
    </row>
    <row r="49" spans="1:12" x14ac:dyDescent="0.2">
      <c r="A49" s="143" t="s">
        <v>638</v>
      </c>
      <c r="B49" s="213" t="s">
        <v>284</v>
      </c>
      <c r="C49" s="387" t="str">
        <f>IF(B49=0,"",VLOOKUP($B49,Table2[],2,FALSE))</f>
        <v>Insecticide</v>
      </c>
      <c r="D49" s="387"/>
      <c r="E49" s="387"/>
      <c r="F49" s="214">
        <v>7</v>
      </c>
      <c r="G49" s="221">
        <v>0.6</v>
      </c>
      <c r="H49" s="222">
        <v>5.8</v>
      </c>
      <c r="I49" s="223" t="str">
        <f>IF($B49=0,"",VLOOKUP($B49,Table2[],5,FALSE))</f>
        <v>ounce</v>
      </c>
      <c r="J49" s="215">
        <f>IF($B49=0,"",VLOOKUP($B49,Table2[],7,FALSE))</f>
        <v>0.6640625</v>
      </c>
      <c r="K49" s="215">
        <f t="shared" si="3"/>
        <v>2.31</v>
      </c>
      <c r="L49" s="216"/>
    </row>
    <row r="50" spans="1:12" x14ac:dyDescent="0.2">
      <c r="A50" s="143"/>
      <c r="B50" s="180" t="s">
        <v>183</v>
      </c>
      <c r="C50" s="388" t="str">
        <f>IF(B50=0,"",VLOOKUP($B50,Table2[],2,FALSE))</f>
        <v>Custom</v>
      </c>
      <c r="D50" s="388"/>
      <c r="E50" s="388"/>
      <c r="F50" s="174">
        <v>8</v>
      </c>
      <c r="G50" s="175">
        <v>1</v>
      </c>
      <c r="H50" s="176">
        <v>1</v>
      </c>
      <c r="I50" s="120" t="str">
        <f>IF($B50=0,"",VLOOKUP($B50,Table2[],5,FALSE))</f>
        <v>acre</v>
      </c>
      <c r="J50" s="109">
        <f>IF($B50=0,"",VLOOKUP($B50,Table2[],7,FALSE))</f>
        <v>11</v>
      </c>
      <c r="K50" s="109">
        <f t="shared" si="3"/>
        <v>11</v>
      </c>
      <c r="L50" s="110"/>
    </row>
    <row r="51" spans="1:12" x14ac:dyDescent="0.2">
      <c r="A51" s="105"/>
      <c r="B51" s="180" t="s">
        <v>213</v>
      </c>
      <c r="C51" s="388" t="str">
        <f>IF(B51=0,"",VLOOKUP($B51,Table2[],2,FALSE))</f>
        <v>Fungicide</v>
      </c>
      <c r="D51" s="388"/>
      <c r="E51" s="388"/>
      <c r="F51" s="174">
        <v>8</v>
      </c>
      <c r="G51" s="175">
        <v>1</v>
      </c>
      <c r="H51" s="176">
        <v>2</v>
      </c>
      <c r="I51" s="120" t="str">
        <f>IF($B51=0,"",VLOOKUP($B51,Table2[],5,FALSE))</f>
        <v>pint</v>
      </c>
      <c r="J51" s="109">
        <f>IF($B51=0,"",VLOOKUP($B51,Table2[],7,FALSE))</f>
        <v>8</v>
      </c>
      <c r="K51" s="109">
        <f t="shared" si="3"/>
        <v>16</v>
      </c>
      <c r="L51" s="110"/>
    </row>
    <row r="52" spans="1:12" x14ac:dyDescent="0.2">
      <c r="A52" s="105"/>
      <c r="B52" s="180" t="s">
        <v>219</v>
      </c>
      <c r="C52" s="388" t="str">
        <f>IF(B52=0,"",VLOOKUP($B52,Table2[],2,FALSE))</f>
        <v>Fungicide</v>
      </c>
      <c r="D52" s="388"/>
      <c r="E52" s="388"/>
      <c r="F52" s="174">
        <v>8</v>
      </c>
      <c r="G52" s="175">
        <v>1</v>
      </c>
      <c r="H52" s="176">
        <v>4</v>
      </c>
      <c r="I52" s="120" t="str">
        <f>IF($B52=0,"",VLOOKUP($B52,Table2[],5,FALSE))</f>
        <v>ounce</v>
      </c>
      <c r="J52" s="109">
        <f>IF($B52=0,"",VLOOKUP($B52,Table2[],7,FALSE))</f>
        <v>5</v>
      </c>
      <c r="K52" s="109">
        <f t="shared" si="3"/>
        <v>20</v>
      </c>
      <c r="L52" s="110"/>
    </row>
    <row r="53" spans="1:12" x14ac:dyDescent="0.2">
      <c r="A53" s="143"/>
      <c r="B53" s="213" t="s">
        <v>194</v>
      </c>
      <c r="C53" s="387" t="str">
        <f>IF(B53=0,"",VLOOKUP($B53,Table2[],2,FALSE))</f>
        <v>Custom</v>
      </c>
      <c r="D53" s="387"/>
      <c r="E53" s="387"/>
      <c r="F53" s="214">
        <v>11</v>
      </c>
      <c r="G53" s="221">
        <v>1</v>
      </c>
      <c r="H53" s="222">
        <f>$G$4</f>
        <v>27</v>
      </c>
      <c r="I53" s="223" t="str">
        <f>IF($B53=0,"",VLOOKUP($B53,Table2[],5,FALSE))</f>
        <v>cwt</v>
      </c>
      <c r="J53" s="215">
        <f>IF($B53=0,"",VLOOKUP($B53,Table2[],7,FALSE))</f>
        <v>0.32</v>
      </c>
      <c r="K53" s="215">
        <f t="shared" si="3"/>
        <v>8.64</v>
      </c>
      <c r="L53" s="216"/>
    </row>
    <row r="54" spans="1:12" x14ac:dyDescent="0.2">
      <c r="A54" s="143"/>
      <c r="B54" s="180" t="s">
        <v>351</v>
      </c>
      <c r="C54" s="388" t="str">
        <f>IF(B54=0,"",VLOOKUP($B54,Table2[],2,FALSE))</f>
        <v>Seed</v>
      </c>
      <c r="D54" s="388"/>
      <c r="E54" s="388"/>
      <c r="F54" s="174">
        <v>12</v>
      </c>
      <c r="G54" s="175">
        <v>1</v>
      </c>
      <c r="H54" s="176">
        <v>30</v>
      </c>
      <c r="I54" s="120" t="str">
        <f>IF($B54=0,"",VLOOKUP($B54,Table2[],5,FALSE))</f>
        <v>pound</v>
      </c>
      <c r="J54" s="109">
        <f>IF($B54=0,"",VLOOKUP($B54,Table2[],7,FALSE))</f>
        <v>0.33</v>
      </c>
      <c r="K54" s="109">
        <f t="shared" si="3"/>
        <v>9.9</v>
      </c>
      <c r="L54" s="110"/>
    </row>
    <row r="55" spans="1:12" x14ac:dyDescent="0.2">
      <c r="A55" s="105"/>
      <c r="B55" s="180" t="s">
        <v>307</v>
      </c>
      <c r="C55" s="388" t="str">
        <f>IF(B55=0,"",VLOOKUP($B55,Table2[],2,FALSE))</f>
        <v>Scouting</v>
      </c>
      <c r="D55" s="388"/>
      <c r="E55" s="388"/>
      <c r="F55" s="174"/>
      <c r="G55" s="175">
        <v>1</v>
      </c>
      <c r="H55" s="176">
        <v>1</v>
      </c>
      <c r="I55" s="120" t="str">
        <f>IF($B55=0,"",VLOOKUP($B55,Table2[],5,FALSE))</f>
        <v>acre</v>
      </c>
      <c r="J55" s="109">
        <f>IF($B55=0,"",VLOOKUP($B55,Table2[],7,FALSE))</f>
        <v>13</v>
      </c>
      <c r="K55" s="109">
        <f t="shared" si="3"/>
        <v>13</v>
      </c>
      <c r="L55" s="110"/>
    </row>
    <row r="56" spans="1:12" ht="12.75" hidden="1" customHeight="1" x14ac:dyDescent="0.2">
      <c r="B56" s="180"/>
      <c r="C56" s="388" t="str">
        <f>IF(B56=0,"",VLOOKUP($B56,Table2[],2,FALSE))</f>
        <v/>
      </c>
      <c r="D56" s="388"/>
      <c r="E56" s="388"/>
      <c r="F56" s="174"/>
      <c r="G56" s="175"/>
      <c r="H56" s="176"/>
      <c r="I56" s="120" t="str">
        <f>IF($B56=0,"",VLOOKUP($B56,Table2[],5,FALSE))</f>
        <v/>
      </c>
      <c r="J56" s="109" t="str">
        <f>IF($B56=0,"",VLOOKUP($B56,Table2[],7,FALSE))</f>
        <v/>
      </c>
      <c r="K56" s="109">
        <f t="shared" si="3"/>
        <v>0</v>
      </c>
      <c r="L56" s="113"/>
    </row>
    <row r="57" spans="1:12" ht="12.75" hidden="1" customHeight="1" x14ac:dyDescent="0.2">
      <c r="B57" s="213"/>
      <c r="C57" s="387" t="str">
        <f>IF(B57=0,"",VLOOKUP($B57,Table2[],2,FALSE))</f>
        <v/>
      </c>
      <c r="D57" s="387"/>
      <c r="E57" s="387"/>
      <c r="F57" s="214"/>
      <c r="G57" s="221"/>
      <c r="H57" s="222"/>
      <c r="I57" s="223" t="str">
        <f>IF($B57=0,"",VLOOKUP($B57,Table2[],5,FALSE))</f>
        <v/>
      </c>
      <c r="J57" s="215" t="str">
        <f>IF($B57=0,"",VLOOKUP($B57,Table2[],7,FALSE))</f>
        <v/>
      </c>
      <c r="K57" s="215">
        <f>IF(B57=0,0,ROUND(G57*H57*J57,2))</f>
        <v>0</v>
      </c>
      <c r="L57" s="227"/>
    </row>
    <row r="58" spans="1:12" ht="12.75" hidden="1" customHeight="1" x14ac:dyDescent="0.2">
      <c r="B58" s="180"/>
      <c r="C58" s="388" t="str">
        <f>IF(B58=0,"",VLOOKUP($B58,Table2[],2,FALSE))</f>
        <v/>
      </c>
      <c r="D58" s="388"/>
      <c r="E58" s="388"/>
      <c r="F58" s="174"/>
      <c r="G58" s="175"/>
      <c r="H58" s="176"/>
      <c r="I58" s="120" t="str">
        <f>IF($B58=0,"",VLOOKUP($B58,Table2[],5,FALSE))</f>
        <v/>
      </c>
      <c r="J58" s="109" t="str">
        <f>IF($B58=0,"",VLOOKUP($B58,Table2[],7,FALSE))</f>
        <v/>
      </c>
      <c r="K58" s="109">
        <f>IF(B58=0,0,ROUND(G58*H58*J58,2))</f>
        <v>0</v>
      </c>
      <c r="L58" s="113"/>
    </row>
    <row r="59" spans="1:12" ht="12.75" hidden="1" customHeight="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113"/>
    </row>
    <row r="60" spans="1:12" ht="12.75" hidden="1" customHeight="1" x14ac:dyDescent="0.2">
      <c r="B60" s="180"/>
      <c r="C60" s="388" t="str">
        <f>IF(B60=0,"",VLOOKUP($B60,Table2[],2,FALSE))</f>
        <v/>
      </c>
      <c r="D60" s="388"/>
      <c r="E60" s="388"/>
      <c r="F60" s="174"/>
      <c r="G60" s="175"/>
      <c r="H60" s="176"/>
      <c r="I60" s="120" t="str">
        <f>IF($B60=0,"",VLOOKUP($B60,Table2[],5,FALSE))</f>
        <v/>
      </c>
      <c r="J60" s="109" t="str">
        <f>IF($B60=0,"",VLOOKUP($B60,Table2[],7,FALSE))</f>
        <v/>
      </c>
      <c r="K60" s="109">
        <f>IF(B60=0,0,ROUND(G60*H60*J60,2))</f>
        <v>0</v>
      </c>
      <c r="L60" s="113"/>
    </row>
    <row r="61" spans="1:12" ht="12.75" hidden="1" customHeight="1" x14ac:dyDescent="0.2">
      <c r="B61" s="213"/>
      <c r="C61" s="387" t="str">
        <f>IF(B61=0,"",VLOOKUP($B61,Table2[],2,FALSE))</f>
        <v/>
      </c>
      <c r="D61" s="387"/>
      <c r="E61" s="387"/>
      <c r="F61" s="214"/>
      <c r="G61" s="221"/>
      <c r="H61" s="222"/>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18</v>
      </c>
      <c r="K62" s="109">
        <f ca="1">IF(B62=0,0,J62)</f>
        <v>18</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F64" s="105" t="s">
        <v>743</v>
      </c>
      <c r="J64" s="126"/>
      <c r="K64" s="127">
        <f ca="1">SUM(K37:K62)</f>
        <v>360.2</v>
      </c>
      <c r="L64" s="110"/>
    </row>
    <row r="65" spans="2:12" x14ac:dyDescent="0.2">
      <c r="B65" s="144" t="s">
        <v>744</v>
      </c>
      <c r="K65" s="127"/>
    </row>
    <row r="66" spans="2:12" x14ac:dyDescent="0.2">
      <c r="B66" s="107" t="s">
        <v>672</v>
      </c>
      <c r="K66" s="127">
        <f ca="1">K33+K64</f>
        <v>537.03</v>
      </c>
      <c r="L66" s="110"/>
    </row>
    <row r="67" spans="2:12" ht="13.5" thickBot="1" x14ac:dyDescent="0.25">
      <c r="D67" s="128" t="s">
        <v>673</v>
      </c>
      <c r="E67" s="129">
        <f ca="1">ROUND(SUM($E$33:$H$33)+$K$64,2)</f>
        <v>452.82</v>
      </c>
      <c r="F67" s="388" t="s">
        <v>674</v>
      </c>
      <c r="G67" s="388"/>
      <c r="H67" s="130">
        <f>'General Variables'!$B$11</f>
        <v>7.4999999999999997E-2</v>
      </c>
      <c r="I67" s="131" t="str">
        <f>CONCATENATE("for ",TEXT('General Variables'!$B$12,"0.0")," mo.")</f>
        <v>for 6.0 mo.</v>
      </c>
      <c r="K67" s="132">
        <f ca="1">E67*H67*'General Variables'!$B$12/12</f>
        <v>16.98075</v>
      </c>
      <c r="L67" s="133"/>
    </row>
    <row r="68" spans="2:12" ht="13.5" thickTop="1" x14ac:dyDescent="0.2">
      <c r="B68" s="107" t="s">
        <v>675</v>
      </c>
      <c r="K68" s="127">
        <f ca="1">SUM(K66:K67)</f>
        <v>554.01074999999992</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42</v>
      </c>
      <c r="D71" s="399"/>
      <c r="E71" s="400"/>
      <c r="F71" s="136">
        <f>IF(C71=0,0,VLOOKUP(C71,RETable,2,FALSE))</f>
        <v>3970</v>
      </c>
      <c r="G71" s="388" t="s">
        <v>678</v>
      </c>
      <c r="H71" s="388"/>
      <c r="I71" s="130">
        <f>'General Variables'!$B$10</f>
        <v>0.03</v>
      </c>
      <c r="K71" s="137">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0">
        <f>ROUND(F72*I72,2)</f>
        <v>51.61</v>
      </c>
      <c r="L72" s="133"/>
    </row>
    <row r="73" spans="2:12" ht="13.5" thickTop="1" x14ac:dyDescent="0.2">
      <c r="B73" s="107" t="s">
        <v>680</v>
      </c>
      <c r="K73" s="127">
        <f ca="1">SUM(K68:K72)</f>
        <v>759.72074999999995</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20.607805555555554</v>
      </c>
      <c r="L75" s="148"/>
    </row>
    <row r="76" spans="2:12" x14ac:dyDescent="0.2">
      <c r="B76" s="107" t="str">
        <f>IF(G4="","","Cost of production per "&amp;H4)</f>
        <v>Cost of production per cwt</v>
      </c>
      <c r="K76" s="141">
        <f ca="1">IF(G4="","",K73/G4)</f>
        <v>28.137805555555556</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45:E45"/>
    <mergeCell ref="K10:K11"/>
    <mergeCell ref="L10:L11"/>
    <mergeCell ref="F35:F36"/>
    <mergeCell ref="G35:G36"/>
    <mergeCell ref="H35:I35"/>
    <mergeCell ref="J35:J36"/>
    <mergeCell ref="L35:L36"/>
    <mergeCell ref="I10:J10"/>
    <mergeCell ref="C37:E37"/>
    <mergeCell ref="C39:E39"/>
    <mergeCell ref="C41:E41"/>
    <mergeCell ref="C42:E42"/>
    <mergeCell ref="C43:E43"/>
    <mergeCell ref="C38:E38"/>
    <mergeCell ref="C40:E40"/>
    <mergeCell ref="C51:E51"/>
    <mergeCell ref="C46:E46"/>
    <mergeCell ref="C47:E47"/>
    <mergeCell ref="C48:E48"/>
    <mergeCell ref="C49:E49"/>
    <mergeCell ref="C50:E50"/>
    <mergeCell ref="C71:E71"/>
    <mergeCell ref="G71:H71"/>
    <mergeCell ref="G72:H72"/>
    <mergeCell ref="C52:E52"/>
    <mergeCell ref="C53:E53"/>
    <mergeCell ref="C54:E54"/>
    <mergeCell ref="C55:E55"/>
    <mergeCell ref="C56:E56"/>
    <mergeCell ref="C62:E62"/>
    <mergeCell ref="F67:G67"/>
    <mergeCell ref="C57:E57"/>
    <mergeCell ref="C58:E58"/>
    <mergeCell ref="C59:E59"/>
    <mergeCell ref="C60:E60"/>
    <mergeCell ref="C61:E61"/>
    <mergeCell ref="C3:E3"/>
    <mergeCell ref="K2:L2"/>
    <mergeCell ref="G2:H2"/>
    <mergeCell ref="C4:E4"/>
    <mergeCell ref="B10:B11"/>
    <mergeCell ref="C10:C11"/>
    <mergeCell ref="E10:E11"/>
    <mergeCell ref="F10:F11"/>
    <mergeCell ref="G10:H10"/>
    <mergeCell ref="B7:L7"/>
    <mergeCell ref="A6:M6"/>
  </mergeCells>
  <dataValidations count="9">
    <dataValidation type="list" allowBlank="1" showInputMessage="1" showErrorMessage="1" sqref="B63" xr:uid="{00000000-0002-0000-2F00-000000000000}">
      <formula1>$C$112:$C$235</formula1>
    </dataValidation>
    <dataValidation type="list" allowBlank="1" showInputMessage="1" showErrorMessage="1" sqref="B32" xr:uid="{00000000-0002-0000-2F00-000001000000}">
      <formula1>$B$112:$B$209</formula1>
    </dataValidation>
    <dataValidation type="list" allowBlank="1" showInputMessage="1" showErrorMessage="1" sqref="K4" xr:uid="{00000000-0002-0000-2F00-000002000000}">
      <formula1>$K$112:$K$114</formula1>
    </dataValidation>
    <dataValidation type="list" allowBlank="1" showInputMessage="1" showErrorMessage="1" sqref="B37:B61" xr:uid="{00000000-0002-0000-2F00-000003000000}">
      <formula1>MaterialList</formula1>
    </dataValidation>
    <dataValidation type="list" allowBlank="1" showInputMessage="1" showErrorMessage="1" sqref="C71:E71" xr:uid="{00000000-0002-0000-2F00-000004000000}">
      <formula1>RealEstateList</formula1>
    </dataValidation>
    <dataValidation type="list" allowBlank="1" showInputMessage="1" showErrorMessage="1" sqref="B12:B31" xr:uid="{00000000-0002-0000-2F00-000005000000}">
      <formula1>OperationList</formula1>
    </dataValidation>
    <dataValidation type="list" allowBlank="1" showInputMessage="1" showErrorMessage="1" sqref="D12:D32" xr:uid="{00000000-0002-0000-2F00-000006000000}">
      <formula1>#REF!</formula1>
    </dataValidation>
    <dataValidation type="list" allowBlank="1" showInputMessage="1" showErrorMessage="1" sqref="K2" xr:uid="{00000000-0002-0000-2F00-000007000000}">
      <formula1>watersource</formula1>
    </dataValidation>
    <dataValidation type="list" allowBlank="1" showInputMessage="1" showErrorMessage="1" sqref="C3" xr:uid="{00000000-0002-0000-2F00-000008000000}">
      <formula1>TillageSystem</formula1>
    </dataValidation>
  </dataValidations>
  <pageMargins left="0.7" right="0.7" top="0.75" bottom="0.75" header="0.3" footer="0.3"/>
  <pageSetup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04">
    <pageSetUpPr fitToPage="1"/>
  </sheetPr>
  <dimension ref="A1:AO79"/>
  <sheetViews>
    <sheetView topLeftCell="A43" zoomScaleNormal="100" workbookViewId="0">
      <pane xSplit="1" topLeftCell="G1" activePane="topRight" state="frozen"/>
      <selection pane="topRight" activeCell="N72" sqref="N72"/>
    </sheetView>
  </sheetViews>
  <sheetFormatPr defaultColWidth="9.140625" defaultRowHeight="12.75" x14ac:dyDescent="0.2"/>
  <cols>
    <col min="1" max="1" width="44" style="58" customWidth="1"/>
    <col min="2" max="2" width="14.5703125" style="67" customWidth="1"/>
    <col min="3" max="3" width="17.85546875" style="67" customWidth="1"/>
    <col min="4" max="4" width="23.42578125" style="67" customWidth="1"/>
    <col min="5" max="6" width="11.5703125" style="58" customWidth="1"/>
    <col min="7" max="7" width="9" style="58" customWidth="1"/>
    <col min="8" max="8" width="13.42578125" style="58" customWidth="1"/>
    <col min="9" max="9" width="16" style="58" customWidth="1"/>
    <col min="10" max="10" width="11.140625" style="58" customWidth="1"/>
    <col min="11" max="11" width="17.85546875" style="58" customWidth="1"/>
    <col min="12" max="12" width="8.140625" style="58" customWidth="1"/>
    <col min="13" max="13" width="8" style="58" customWidth="1"/>
    <col min="14" max="14" width="10.5703125" style="58" customWidth="1"/>
    <col min="15" max="15" width="9.5703125" style="58" customWidth="1"/>
    <col min="16" max="16" width="14.140625" style="58" customWidth="1"/>
    <col min="17" max="17" width="20" style="58" customWidth="1"/>
    <col min="18" max="18" width="12.28515625" style="58" customWidth="1"/>
    <col min="19" max="19" width="13.85546875" style="23" customWidth="1"/>
    <col min="20" max="20" width="12.7109375" style="23" customWidth="1"/>
    <col min="21" max="21" width="12.140625" style="23" customWidth="1"/>
    <col min="22" max="22" width="9.140625" style="58"/>
    <col min="23" max="23" width="32.85546875" style="58" bestFit="1" customWidth="1"/>
    <col min="24" max="24" width="20.42578125" style="58" bestFit="1" customWidth="1"/>
    <col min="25" max="26" width="6.7109375" style="58" customWidth="1"/>
    <col min="27" max="27" width="11" style="58" bestFit="1" customWidth="1"/>
    <col min="28" max="29" width="9.140625" style="58"/>
    <col min="30" max="30" width="28.140625" style="58" customWidth="1"/>
    <col min="31" max="31" width="40.5703125" style="58" bestFit="1" customWidth="1"/>
    <col min="32" max="33" width="6.7109375" style="58" customWidth="1"/>
    <col min="34" max="34" width="7.85546875" style="58" customWidth="1"/>
    <col min="35" max="36" width="9.140625" style="58"/>
    <col min="37" max="37" width="19.5703125" style="58" bestFit="1" customWidth="1"/>
    <col min="38" max="38" width="9.85546875" style="58" bestFit="1" customWidth="1"/>
    <col min="39" max="39" width="29.7109375" style="58" customWidth="1"/>
    <col min="40" max="16384" width="9.140625" style="58"/>
  </cols>
  <sheetData>
    <row r="1" spans="1:41" s="55" customFormat="1" ht="44.25" customHeight="1" x14ac:dyDescent="0.2">
      <c r="A1" s="95" t="s">
        <v>927</v>
      </c>
      <c r="B1" s="96" t="s">
        <v>352</v>
      </c>
      <c r="C1" s="96" t="s">
        <v>76</v>
      </c>
      <c r="D1" s="96" t="s">
        <v>77</v>
      </c>
      <c r="E1" s="96" t="s">
        <v>78</v>
      </c>
      <c r="F1" s="96" t="s">
        <v>353</v>
      </c>
      <c r="G1" s="96" t="s">
        <v>80</v>
      </c>
      <c r="H1" s="96" t="s">
        <v>354</v>
      </c>
      <c r="I1" s="96" t="s">
        <v>355</v>
      </c>
      <c r="J1" s="96" t="s">
        <v>356</v>
      </c>
      <c r="K1" s="96" t="s">
        <v>357</v>
      </c>
      <c r="L1" s="96" t="s">
        <v>358</v>
      </c>
      <c r="M1" s="96" t="s">
        <v>359</v>
      </c>
      <c r="N1" s="96" t="s">
        <v>360</v>
      </c>
      <c r="O1" s="97" t="s">
        <v>361</v>
      </c>
      <c r="P1" s="97" t="s">
        <v>362</v>
      </c>
      <c r="Q1" s="97" t="s">
        <v>363</v>
      </c>
      <c r="R1" s="97" t="s">
        <v>364</v>
      </c>
      <c r="S1" s="97" t="s">
        <v>365</v>
      </c>
      <c r="T1" s="97" t="s">
        <v>366</v>
      </c>
      <c r="U1" s="97" t="s">
        <v>367</v>
      </c>
      <c r="W1" s="7" t="s">
        <v>91</v>
      </c>
      <c r="X1" s="7" t="s">
        <v>92</v>
      </c>
      <c r="Y1" s="7" t="s">
        <v>93</v>
      </c>
      <c r="Z1" s="7" t="s">
        <v>94</v>
      </c>
      <c r="AA1" s="56" t="s">
        <v>95</v>
      </c>
      <c r="AD1" s="8" t="s">
        <v>368</v>
      </c>
      <c r="AE1" s="8" t="s">
        <v>91</v>
      </c>
      <c r="AF1" s="8" t="s">
        <v>369</v>
      </c>
      <c r="AG1" s="8" t="s">
        <v>370</v>
      </c>
      <c r="AH1" s="8" t="s">
        <v>371</v>
      </c>
      <c r="AK1" s="382" t="s">
        <v>372</v>
      </c>
      <c r="AL1" s="382"/>
      <c r="AM1" s="382"/>
      <c r="AO1" s="57" t="s">
        <v>373</v>
      </c>
    </row>
    <row r="2" spans="1:41" ht="12.75" customHeight="1" x14ac:dyDescent="0.25">
      <c r="A2" s="94" t="s">
        <v>183</v>
      </c>
      <c r="B2" s="77" t="s">
        <v>184</v>
      </c>
      <c r="C2" s="78"/>
      <c r="D2" s="78"/>
      <c r="E2" s="79"/>
      <c r="F2" s="80"/>
      <c r="G2" s="79"/>
      <c r="H2" s="79"/>
      <c r="I2" s="81"/>
      <c r="J2" s="82"/>
      <c r="K2" s="78"/>
      <c r="L2" s="80"/>
      <c r="M2" s="82"/>
      <c r="N2" s="83">
        <f>IF(Operations!$E2&gt;1,Operations!$E2,IF(Operations!$D2=0,0,Operations!$F2/(VLOOKUP(Operations!$D2,ImpDepLookup,2,FALSE)-VLOOKUP(Operations!$D2,ImpDepLookup,3,FALSE)*Operations!$G2^0.5-VLOOKUP(Operations!$D2,ImpDepLookup,4,FALSE)*(Operations!$G2*(Operations!$G2*Operations!$H2/Operations!$I2)^0.5))^2))</f>
        <v>0</v>
      </c>
      <c r="O2" s="84">
        <f>IF(Operations!$C2="",0,(((Operations!$G2+1)*Operations!$H2/Operations!$I2/1000)^VLOOKUP(Operations!$C2,ImpRepairFac[],4,FALSE)-(Operations!$G2*Operations!$H2/Operations!$I2/1000)^VLOOKUP(Operations!$C2,ImpRepairFac[],4,FALSE))*Operations!$N2*VLOOKUP(Operations!$C2,ImpRepairFac[],3,FALSE)/Operations!$H2)</f>
        <v>0</v>
      </c>
      <c r="P2" s="85">
        <f>IF(Operations!$N2=0,0,Operations!$N2*(VLOOKUP(Operations!$D2,ImpDepLookup,2,FALSE)-VLOOKUP(Operations!$D2,ImpDepLookup,3,FALSE)*Operations!$G2^0.5-VLOOKUP(Operations!$D2,ImpDepLookup,4,FALSE)*(Operations!$G2*Operations!$H2/Operations!$I2)^0.5)^2)</f>
        <v>0</v>
      </c>
      <c r="Q2" s="85">
        <f>IF(Operations!$N2=0,0,Operations!$N2*(VLOOKUP(Operations!$D2,ImpDepLookup,2,FALSE)-VLOOKUP(Operations!$D2,ImpDepLookup,3,FALSE)*(Operations!$G2+1)^0.5-VLOOKUP(Operations!$D2,ImpDepLookup,4,FALSE)*(Operations!$G2*Operations!$H2/Operations!$I2)^0.5)^2)</f>
        <v>0</v>
      </c>
      <c r="R2" s="84">
        <f>IF(Operations!$N2=0,0,IF(Operations!$I2*Operations!$H2=0,0,(Operations!$P2-Operations!$Q2)/(Operations!$H2)))</f>
        <v>0</v>
      </c>
      <c r="S2" s="86">
        <f>IF(Operations!$H2=0,0,Operations!$P2*'General Variables'!$B$9/Operations!$H2)</f>
        <v>0</v>
      </c>
      <c r="T2" s="86">
        <f>IF(Operations!$H2=0,0,Operations!$P2*'General Variables'!$B$10/Operations!$H2)</f>
        <v>0</v>
      </c>
      <c r="U2" s="86">
        <f>SUM(Table3[[#This Row],[Depreciation per Unit]:[Opportunity Cost per Unit]])</f>
        <v>0</v>
      </c>
      <c r="W2" s="1" t="s">
        <v>374</v>
      </c>
      <c r="X2" s="1" t="s">
        <v>124</v>
      </c>
      <c r="Y2" s="2" t="s">
        <v>375</v>
      </c>
      <c r="Z2" s="2" t="s">
        <v>134</v>
      </c>
      <c r="AA2" s="4">
        <v>3000</v>
      </c>
      <c r="AD2" s="1" t="s">
        <v>135</v>
      </c>
      <c r="AE2" s="1" t="s">
        <v>136</v>
      </c>
      <c r="AF2" s="1" t="s">
        <v>137</v>
      </c>
      <c r="AG2" s="1" t="s">
        <v>138</v>
      </c>
      <c r="AH2" s="1">
        <v>0</v>
      </c>
      <c r="AK2" s="382"/>
      <c r="AL2" s="382"/>
      <c r="AM2" s="382"/>
      <c r="AO2" s="59" t="str">
        <f>IF(PowerUnits[[#This Row],[Name]]=0,"",PowerUnits[[#This Row],[Name]])</f>
        <v>Large Tractor</v>
      </c>
    </row>
    <row r="3" spans="1:41" ht="12.75" customHeight="1" x14ac:dyDescent="0.25">
      <c r="A3" s="94" t="s">
        <v>376</v>
      </c>
      <c r="B3" s="77" t="s">
        <v>176</v>
      </c>
      <c r="C3" s="78" t="s">
        <v>377</v>
      </c>
      <c r="D3" s="78" t="s">
        <v>378</v>
      </c>
      <c r="E3" s="88"/>
      <c r="F3" s="92">
        <v>35000</v>
      </c>
      <c r="G3" s="79">
        <v>5</v>
      </c>
      <c r="H3" s="79">
        <v>1000</v>
      </c>
      <c r="I3" s="87">
        <v>15</v>
      </c>
      <c r="J3" s="82">
        <v>1.1000000000000001</v>
      </c>
      <c r="K3" s="78" t="s">
        <v>100</v>
      </c>
      <c r="L3" s="80">
        <v>3.3</v>
      </c>
      <c r="M3" s="82"/>
      <c r="N3" s="83">
        <v>79963</v>
      </c>
      <c r="O3" s="84">
        <f>IF(Operations!$C3="",0,(((Operations!$G3+1)*Operations!$H3/Operations!$I3/1000)^VLOOKUP(Operations!$C3,ImpRepairFac[],4,FALSE)-(Operations!$G3*Operations!$H3/Operations!$I3/1000)^VLOOKUP(Operations!$C3,ImpRepairFac[],4,FALSE))*Operations!$N3*VLOOKUP(Operations!$C3,ImpRepairFac[],3,FALSE)/Operations!$H3)</f>
        <v>1.3984553979416325</v>
      </c>
      <c r="P3" s="85">
        <f>IF(Operations!$N3=0,0,Operations!$N3*(VLOOKUP(Operations!$D3,ImpDepLookup,2,FALSE)-VLOOKUP(Operations!$D3,ImpDepLookup,3,FALSE)*Operations!$G3^0.5-VLOOKUP(Operations!$D3,ImpDepLookup,4,FALSE)*(Operations!$G3*Operations!$H3/Operations!$I3)^0.5)^2)</f>
        <v>38601.507596398566</v>
      </c>
      <c r="Q3" s="85">
        <f>IF(Operations!$N3=0,0,Operations!$N3*(VLOOKUP(Operations!$D3,ImpDepLookup,2,FALSE)-VLOOKUP(Operations!$D3,ImpDepLookup,3,FALSE)*(Operations!$G3+1)^0.5-VLOOKUP(Operations!$D3,ImpDepLookup,4,FALSE)*(Operations!$G3*Operations!$H3/Operations!$I3)^0.5)^2)</f>
        <v>36014.065412133656</v>
      </c>
      <c r="R3" s="84">
        <f>IF(Operations!$N3=0,0,IF(Operations!$I3*Operations!$H3=0,0,(Operations!$P3-Operations!$Q3)/(Operations!$H3)))</f>
        <v>2.5874421842649098</v>
      </c>
      <c r="S3" s="86">
        <f>IF(Operations!$H3=0,0,Operations!$P3*'General Variables'!$B$9/Operations!$H3)</f>
        <v>0.77203015192797131</v>
      </c>
      <c r="T3" s="86">
        <f>IF(Operations!$H3=0,0,Operations!$P3*'General Variables'!$B$10/Operations!$H3)</f>
        <v>1.1580452278919571</v>
      </c>
      <c r="U3" s="86">
        <f>SUM(Table3[[#This Row],[Depreciation per Unit]:[Opportunity Cost per Unit]])</f>
        <v>4.5175175640848382</v>
      </c>
      <c r="W3" s="1" t="s">
        <v>379</v>
      </c>
      <c r="X3" s="1" t="s">
        <v>124</v>
      </c>
      <c r="Y3" s="2" t="s">
        <v>380</v>
      </c>
      <c r="Z3" s="2" t="s">
        <v>134</v>
      </c>
      <c r="AA3" s="4">
        <v>1500</v>
      </c>
      <c r="AD3" s="1" t="s">
        <v>135</v>
      </c>
      <c r="AE3" s="1" t="s">
        <v>381</v>
      </c>
      <c r="AF3" s="1" t="s">
        <v>382</v>
      </c>
      <c r="AG3" s="1" t="s">
        <v>383</v>
      </c>
      <c r="AH3" s="1"/>
      <c r="AK3" t="s">
        <v>384</v>
      </c>
      <c r="AL3" t="s">
        <v>385</v>
      </c>
      <c r="AM3" s="60" t="s">
        <v>386</v>
      </c>
      <c r="AO3" s="59" t="str">
        <f>IF(PowerUnits[[#This Row],[Name]]=0,"",PowerUnits[[#This Row],[Name]])</f>
        <v>Medium Tractor</v>
      </c>
    </row>
    <row r="4" spans="1:41" ht="12.75" customHeight="1" x14ac:dyDescent="0.25">
      <c r="A4" s="94" t="s">
        <v>387</v>
      </c>
      <c r="B4" s="77" t="s">
        <v>187</v>
      </c>
      <c r="C4" s="78" t="s">
        <v>388</v>
      </c>
      <c r="D4" s="78" t="s">
        <v>389</v>
      </c>
      <c r="E4" s="79">
        <v>83924</v>
      </c>
      <c r="F4" s="80"/>
      <c r="G4" s="79">
        <v>5</v>
      </c>
      <c r="H4" s="79">
        <v>1000</v>
      </c>
      <c r="I4" s="87">
        <v>12</v>
      </c>
      <c r="J4" s="82">
        <v>1.1000000000000001</v>
      </c>
      <c r="K4" s="78" t="s">
        <v>112</v>
      </c>
      <c r="L4" s="80">
        <v>2.8761467889908259</v>
      </c>
      <c r="M4" s="82"/>
      <c r="N4" s="83">
        <f>IF(Operations!$E4&gt;1,Operations!$E4,IF(Operations!$D4=0,0,Operations!$F4/(VLOOKUP(Operations!$D4,ImpDepLookup,2,FALSE)-VLOOKUP(Operations!$D4,ImpDepLookup,3,FALSE)*Operations!$G4^0.5-VLOOKUP(Operations!$D4,ImpDepLookup,4,FALSE)*(Operations!$G4*(Operations!$G4*Operations!$H4/Operations!$I4)^0.5))^2))</f>
        <v>83924</v>
      </c>
      <c r="O4" s="84">
        <f>IF(Operations!$C4="",0,(((Operations!$G4+1)*Operations!$H4/Operations!$I4/1000)^VLOOKUP(Operations!$C4,ImpRepairFac[],4,FALSE)-(Operations!$G4*Operations!$H4/Operations!$I4/1000)^VLOOKUP(Operations!$C4,ImpRepairFac[],4,FALSE))*Operations!$N4*VLOOKUP(Operations!$C4,ImpRepairFac[],3,FALSE)/Operations!$H4)</f>
        <v>2.8993137617151143</v>
      </c>
      <c r="P4" s="85">
        <f>IF(Operations!$N4=0,0,Operations!$N4*(VLOOKUP(Operations!$D4,ImpDepLookup,2,FALSE)-VLOOKUP(Operations!$D4,ImpDepLookup,3,FALSE)*Operations!$G4^0.5-VLOOKUP(Operations!$D4,ImpDepLookup,4,FALSE)*(Operations!$G4*Operations!$H4/Operations!$I4)^0.5)^2)</f>
        <v>32904.314041714766</v>
      </c>
      <c r="Q4" s="85">
        <f>IF(Operations!$N4=0,0,Operations!$N4*(VLOOKUP(Operations!$D4,ImpDepLookup,2,FALSE)-VLOOKUP(Operations!$D4,ImpDepLookup,3,FALSE)*(Operations!$G4+1)^0.5-VLOOKUP(Operations!$D4,ImpDepLookup,4,FALSE)*(Operations!$G4*Operations!$H4/Operations!$I4)^0.5)^2)</f>
        <v>30677.832184560277</v>
      </c>
      <c r="R4" s="84">
        <f>IF(Operations!$N4=0,0,IF(Operations!$I4*Operations!$H4=0,0,(Operations!$P4-Operations!$Q4)/(Operations!$H4)))</f>
        <v>2.2264818571544893</v>
      </c>
      <c r="S4" s="86">
        <f>IF(Operations!$H4=0,0,Operations!$P4*'General Variables'!$B$9/Operations!$H4)</f>
        <v>0.65808628083429532</v>
      </c>
      <c r="T4" s="86">
        <f>IF(Operations!$H4=0,0,Operations!$P4*'General Variables'!$B$10/Operations!$H4)</f>
        <v>0.98712942125144298</v>
      </c>
      <c r="U4" s="86">
        <f>SUM(Table3[[#This Row],[Depreciation per Unit]:[Opportunity Cost per Unit]])</f>
        <v>3.8716975592402276</v>
      </c>
      <c r="W4" s="1" t="s">
        <v>390</v>
      </c>
      <c r="X4" s="1" t="s">
        <v>124</v>
      </c>
      <c r="Y4" s="2" t="s">
        <v>391</v>
      </c>
      <c r="Z4" s="2" t="s">
        <v>134</v>
      </c>
      <c r="AA4" s="4">
        <v>2000</v>
      </c>
      <c r="AD4" s="1" t="s">
        <v>135</v>
      </c>
      <c r="AE4" s="1" t="s">
        <v>392</v>
      </c>
      <c r="AF4" s="1" t="s">
        <v>393</v>
      </c>
      <c r="AG4" s="1" t="s">
        <v>394</v>
      </c>
      <c r="AH4" s="1"/>
      <c r="AK4" t="s">
        <v>395</v>
      </c>
      <c r="AL4" s="61">
        <v>15</v>
      </c>
      <c r="AM4" s="61">
        <v>2</v>
      </c>
      <c r="AO4" s="59" t="str">
        <f>IF(PowerUnits[[#This Row],[Name]]=0,"",PowerUnits[[#This Row],[Name]])</f>
        <v>Combine</v>
      </c>
    </row>
    <row r="5" spans="1:41" ht="12.75" customHeight="1" x14ac:dyDescent="0.25">
      <c r="A5" s="94" t="s">
        <v>396</v>
      </c>
      <c r="B5" s="77" t="s">
        <v>187</v>
      </c>
      <c r="C5" s="78" t="s">
        <v>397</v>
      </c>
      <c r="D5" s="78" t="s">
        <v>389</v>
      </c>
      <c r="E5" s="79">
        <v>170000</v>
      </c>
      <c r="F5" s="80"/>
      <c r="G5" s="79">
        <v>5</v>
      </c>
      <c r="H5" s="79">
        <v>1000</v>
      </c>
      <c r="I5" s="87">
        <v>17</v>
      </c>
      <c r="J5" s="82">
        <v>1.1000000000000001</v>
      </c>
      <c r="K5" s="78" t="s">
        <v>100</v>
      </c>
      <c r="L5" s="80">
        <v>6.1859778597785988</v>
      </c>
      <c r="M5" s="82"/>
      <c r="N5" s="83">
        <f>IF(Operations!$E5&gt;1,Operations!$E5,IF(Operations!$D5=0,0,Operations!$F5/(VLOOKUP(Operations!$D5,ImpDepLookup,2,FALSE)-VLOOKUP(Operations!$D5,ImpDepLookup,3,FALSE)*Operations!$G5^0.5-VLOOKUP(Operations!$D5,ImpDepLookup,4,FALSE)*(Operations!$G5*(Operations!$G5*Operations!$H5/Operations!$I5)^0.5))^2))</f>
        <v>170000</v>
      </c>
      <c r="O5" s="84">
        <f>IF(Operations!$C5="",0,(((Operations!$G5+1)*Operations!$H5/Operations!$I5/1000)^VLOOKUP(Operations!$C5,ImpRepairFac[],4,FALSE)-(Operations!$G5*Operations!$H5/Operations!$I5/1000)^VLOOKUP(Operations!$C5,ImpRepairFac[],4,FALSE))*Operations!$N5*VLOOKUP(Operations!$C5,ImpRepairFac[],3,FALSE)/Operations!$H5)</f>
        <v>0.72963841634421756</v>
      </c>
      <c r="P5" s="85">
        <f>IF(Operations!$N5=0,0,Operations!$N5*(VLOOKUP(Operations!$D5,ImpDepLookup,2,FALSE)-VLOOKUP(Operations!$D5,ImpDepLookup,3,FALSE)*Operations!$G5^0.5-VLOOKUP(Operations!$D5,ImpDepLookup,4,FALSE)*(Operations!$G5*Operations!$H5/Operations!$I5)^0.5)^2)</f>
        <v>66652.368656063947</v>
      </c>
      <c r="Q5" s="85">
        <f>IF(Operations!$N5=0,0,Operations!$N5*(VLOOKUP(Operations!$D5,ImpDepLookup,2,FALSE)-VLOOKUP(Operations!$D5,ImpDepLookup,3,FALSE)*(Operations!$G5+1)^0.5-VLOOKUP(Operations!$D5,ImpDepLookup,4,FALSE)*(Operations!$G5*Operations!$H5/Operations!$I5)^0.5)^2)</f>
        <v>62142.312942367462</v>
      </c>
      <c r="R5" s="84">
        <f>IF(Operations!$N5=0,0,IF(Operations!$I5*Operations!$H5=0,0,(Operations!$P5-Operations!$Q5)/(Operations!$H5)))</f>
        <v>4.5100557136964854</v>
      </c>
      <c r="S5" s="86">
        <f>IF(Operations!$H5=0,0,Operations!$P5*'General Variables'!$B$9/Operations!$H5)</f>
        <v>1.3330473731212789</v>
      </c>
      <c r="T5" s="86">
        <f>IF(Operations!$H5=0,0,Operations!$P5*'General Variables'!$B$10/Operations!$H5)</f>
        <v>1.9995710596819183</v>
      </c>
      <c r="U5" s="86">
        <f>SUM(Table3[[#This Row],[Depreciation per Unit]:[Opportunity Cost per Unit]])</f>
        <v>7.8426741464996832</v>
      </c>
      <c r="W5" s="1" t="s">
        <v>398</v>
      </c>
      <c r="X5" s="1" t="s">
        <v>399</v>
      </c>
      <c r="Y5" s="2" t="s">
        <v>400</v>
      </c>
      <c r="Z5" s="2" t="s">
        <v>401</v>
      </c>
      <c r="AA5" s="3">
        <v>2000</v>
      </c>
      <c r="AD5" s="1" t="s">
        <v>135</v>
      </c>
      <c r="AE5" s="1" t="s">
        <v>145</v>
      </c>
      <c r="AF5" s="1" t="s">
        <v>146</v>
      </c>
      <c r="AG5" s="1" t="s">
        <v>147</v>
      </c>
      <c r="AH5" s="1"/>
      <c r="AK5" t="s">
        <v>402</v>
      </c>
      <c r="AL5" s="61">
        <v>10</v>
      </c>
      <c r="AM5" s="61">
        <v>3</v>
      </c>
      <c r="AO5" s="59" t="str">
        <f>IF(PowerUnits[[#This Row],[Name]]=0,"",PowerUnits[[#This Row],[Name]])</f>
        <v>Diesel Pump</v>
      </c>
    </row>
    <row r="6" spans="1:41" ht="12.75" customHeight="1" x14ac:dyDescent="0.25">
      <c r="A6" s="94" t="s">
        <v>403</v>
      </c>
      <c r="B6" s="77" t="s">
        <v>404</v>
      </c>
      <c r="C6" s="78" t="s">
        <v>405</v>
      </c>
      <c r="D6" s="78" t="s">
        <v>389</v>
      </c>
      <c r="E6" s="79">
        <v>48581</v>
      </c>
      <c r="F6" s="80"/>
      <c r="G6" s="79">
        <v>5</v>
      </c>
      <c r="H6" s="79">
        <v>1250</v>
      </c>
      <c r="I6" s="89">
        <v>4</v>
      </c>
      <c r="J6" s="82">
        <v>1.1000000000000001</v>
      </c>
      <c r="K6" s="78" t="s">
        <v>112</v>
      </c>
      <c r="L6" s="80">
        <v>3.5</v>
      </c>
      <c r="M6" s="82"/>
      <c r="N6" s="83">
        <f>IF(Operations!$E6&gt;1,Operations!$E6,IF(Operations!$D6=0,0,Operations!$F6/(VLOOKUP(Operations!$D6,ImpDepLookup,2,FALSE)-VLOOKUP(Operations!$D6,ImpDepLookup,3,FALSE)*Operations!$G6^0.5-VLOOKUP(Operations!$D6,ImpDepLookup,4,FALSE)*(Operations!$G6*(Operations!$G6*Operations!$H6/Operations!$I6)^0.5))^2))</f>
        <v>48581</v>
      </c>
      <c r="O6" s="84">
        <f>IF(Operations!$C6="",0,(((Operations!$G6+1)*Operations!$H6/Operations!$I6/1000)^VLOOKUP(Operations!$C6,ImpRepairFac[],4,FALSE)-(Operations!$G6*Operations!$H6/Operations!$I6/1000)^VLOOKUP(Operations!$C6,ImpRepairFac[],4,FALSE))*Operations!$N6*VLOOKUP(Operations!$C6,ImpRepairFac[],3,FALSE)/Operations!$H6)</f>
        <v>7.7532027538508377</v>
      </c>
      <c r="P6" s="85">
        <f>IF(Operations!$N6=0,0,Operations!$N6*(VLOOKUP(Operations!$D6,ImpDepLookup,2,FALSE)-VLOOKUP(Operations!$D6,ImpDepLookup,3,FALSE)*Operations!$G6^0.5-VLOOKUP(Operations!$D6,ImpDepLookup,4,FALSE)*(Operations!$G6*Operations!$H6/Operations!$I6)^0.5)^2)</f>
        <v>19047.286598119073</v>
      </c>
      <c r="Q6" s="85">
        <f>IF(Operations!$N6=0,0,Operations!$N6*(VLOOKUP(Operations!$D6,ImpDepLookup,2,FALSE)-VLOOKUP(Operations!$D6,ImpDepLookup,3,FALSE)*(Operations!$G6+1)^0.5-VLOOKUP(Operations!$D6,ImpDepLookup,4,FALSE)*(Operations!$G6*Operations!$H6/Operations!$I6)^0.5)^2)</f>
        <v>17758.445323842079</v>
      </c>
      <c r="R6" s="84">
        <f>IF(Operations!$N6=0,0,IF(Operations!$I6*Operations!$H6=0,0,(Operations!$P6-Operations!$Q6)/(Operations!$H6)))</f>
        <v>1.0310730194215953</v>
      </c>
      <c r="S6" s="86">
        <f>IF(Operations!$H6=0,0,Operations!$P6*'General Variables'!$B$9/Operations!$H6)</f>
        <v>0.3047565855699052</v>
      </c>
      <c r="T6" s="86">
        <f>IF(Operations!$H6=0,0,Operations!$P6*'General Variables'!$B$10/Operations!$H6)</f>
        <v>0.45713487835485778</v>
      </c>
      <c r="U6" s="86">
        <f>SUM(Table3[[#This Row],[Depreciation per Unit]:[Opportunity Cost per Unit]])</f>
        <v>1.7929644833463585</v>
      </c>
      <c r="W6" s="1" t="s">
        <v>406</v>
      </c>
      <c r="X6" s="1" t="s">
        <v>399</v>
      </c>
      <c r="Y6" s="2" t="s">
        <v>407</v>
      </c>
      <c r="Z6" s="2" t="s">
        <v>408</v>
      </c>
      <c r="AA6" s="4">
        <v>1200</v>
      </c>
      <c r="AD6" s="1" t="s">
        <v>409</v>
      </c>
      <c r="AE6" s="1" t="s">
        <v>410</v>
      </c>
      <c r="AF6" s="1" t="s">
        <v>411</v>
      </c>
      <c r="AG6" s="1" t="s">
        <v>412</v>
      </c>
      <c r="AH6" s="1"/>
      <c r="AK6" t="s">
        <v>413</v>
      </c>
      <c r="AL6" s="61">
        <v>15</v>
      </c>
      <c r="AM6" s="61">
        <v>2</v>
      </c>
      <c r="AO6" s="59" t="str">
        <f>IF(PowerUnits[[#This Row],[Name]]=0,"",PowerUnits[[#This Row],[Name]])</f>
        <v>Electric Pump</v>
      </c>
    </row>
    <row r="7" spans="1:41" ht="12.75" customHeight="1" x14ac:dyDescent="0.25">
      <c r="A7" s="94" t="s">
        <v>414</v>
      </c>
      <c r="B7" s="77" t="s">
        <v>191</v>
      </c>
      <c r="C7" s="78" t="s">
        <v>415</v>
      </c>
      <c r="D7" s="78" t="s">
        <v>378</v>
      </c>
      <c r="E7" s="79">
        <v>86000</v>
      </c>
      <c r="F7" s="80"/>
      <c r="G7" s="79">
        <v>5</v>
      </c>
      <c r="H7" s="79">
        <f>2000*220</f>
        <v>440000</v>
      </c>
      <c r="I7" s="89">
        <v>3300</v>
      </c>
      <c r="J7" s="82">
        <v>1.1000000000000001</v>
      </c>
      <c r="K7" s="78" t="s">
        <v>112</v>
      </c>
      <c r="L7" s="80">
        <v>3</v>
      </c>
      <c r="M7" s="82"/>
      <c r="N7" s="83">
        <f>IF(Operations!$E7&gt;1,Operations!$E7,IF(Operations!$D7=0,0,Operations!$F7/(VLOOKUP(Operations!$D7,ImpDepLookup,2,FALSE)-VLOOKUP(Operations!$D7,ImpDepLookup,3,FALSE)*Operations!$G7^0.5-VLOOKUP(Operations!$D7,ImpDepLookup,4,FALSE)*(Operations!$G7*(Operations!$G7*Operations!$H7/Operations!$I7)^0.5))^2))</f>
        <v>86000</v>
      </c>
      <c r="O7" s="84">
        <f>IF(Operations!$C7="",0,(((Operations!$G7+1)*Operations!$H7/Operations!$I7/1000)^VLOOKUP(Operations!$C7,ImpRepairFac[],4,FALSE)-(Operations!$G7*Operations!$H7/Operations!$I7/1000)^VLOOKUP(Operations!$C7,ImpRepairFac[],4,FALSE))*Operations!$N7*VLOOKUP(Operations!$C7,ImpRepairFac[],3,FALSE)/Operations!$H7)</f>
        <v>5.5368344727294763E-3</v>
      </c>
      <c r="P7" s="85">
        <f>IF(Operations!$N7=0,0,Operations!$N7*(VLOOKUP(Operations!$D7,ImpDepLookup,2,FALSE)-VLOOKUP(Operations!$D7,ImpDepLookup,3,FALSE)*Operations!$G7^0.5-VLOOKUP(Operations!$D7,ImpDepLookup,4,FALSE)*(Operations!$G7*Operations!$H7/Operations!$I7)^0.5)^2)</f>
        <v>41515.821733680285</v>
      </c>
      <c r="Q7" s="85">
        <f>IF(Operations!$N7=0,0,Operations!$N7*(VLOOKUP(Operations!$D7,ImpDepLookup,2,FALSE)-VLOOKUP(Operations!$D7,ImpDepLookup,3,FALSE)*(Operations!$G7+1)^0.5-VLOOKUP(Operations!$D7,ImpDepLookup,4,FALSE)*(Operations!$G7*Operations!$H7/Operations!$I7)^0.5)^2)</f>
        <v>38733.034346428896</v>
      </c>
      <c r="R7" s="84">
        <f>IF(Operations!$N7=0,0,IF(Operations!$I7*Operations!$H7=0,0,(Operations!$P7-Operations!$Q7)/(Operations!$H7)))</f>
        <v>6.3245167892077006E-3</v>
      </c>
      <c r="S7" s="86">
        <f>IF(Operations!$H7=0,0,Operations!$P7*'General Variables'!$B$9/Operations!$H7)</f>
        <v>1.8870828060763766E-3</v>
      </c>
      <c r="T7" s="86">
        <f>IF(Operations!$H7=0,0,Operations!$P7*'General Variables'!$B$10/Operations!$H7)</f>
        <v>2.830624209114565E-3</v>
      </c>
      <c r="U7" s="86">
        <f>SUM(Table3[[#This Row],[Depreciation per Unit]:[Opportunity Cost per Unit]])</f>
        <v>1.1042223804398642E-2</v>
      </c>
      <c r="W7" s="1" t="s">
        <v>416</v>
      </c>
      <c r="X7" s="1" t="s">
        <v>417</v>
      </c>
      <c r="Y7" s="2" t="s">
        <v>407</v>
      </c>
      <c r="Z7" s="2" t="s">
        <v>408</v>
      </c>
      <c r="AA7" s="3">
        <v>2000</v>
      </c>
      <c r="AD7" s="1" t="s">
        <v>409</v>
      </c>
      <c r="AE7" s="1" t="s">
        <v>418</v>
      </c>
      <c r="AF7" s="1" t="s">
        <v>419</v>
      </c>
      <c r="AG7" s="1" t="s">
        <v>420</v>
      </c>
      <c r="AH7" s="1"/>
      <c r="AK7" t="s">
        <v>421</v>
      </c>
      <c r="AL7" s="61">
        <v>10</v>
      </c>
      <c r="AM7" s="61">
        <v>6</v>
      </c>
      <c r="AO7" s="59" t="str">
        <f>IF(PowerUnits[[#This Row],[Name]]=0,"",PowerUnits[[#This Row],[Name]])</f>
        <v>Diesel Pump for Pipe</v>
      </c>
    </row>
    <row r="8" spans="1:41" ht="12.75" customHeight="1" x14ac:dyDescent="0.25">
      <c r="A8" s="94" t="s">
        <v>422</v>
      </c>
      <c r="B8" s="77" t="s">
        <v>176</v>
      </c>
      <c r="C8" s="78" t="s">
        <v>377</v>
      </c>
      <c r="D8" s="78" t="s">
        <v>423</v>
      </c>
      <c r="E8" s="79">
        <v>79963</v>
      </c>
      <c r="F8" s="80"/>
      <c r="G8" s="79">
        <v>5</v>
      </c>
      <c r="H8" s="79">
        <v>2000</v>
      </c>
      <c r="I8" s="87">
        <v>11.092436974789917</v>
      </c>
      <c r="J8" s="82">
        <v>1.1000000000000001</v>
      </c>
      <c r="K8" s="78" t="s">
        <v>100</v>
      </c>
      <c r="L8" s="80">
        <v>8.2638655462184882</v>
      </c>
      <c r="M8" s="82"/>
      <c r="N8" s="83">
        <f>IF(Operations!$E8&gt;1,Operations!$E8,IF(Operations!$D8=0,0,Operations!$F8/(VLOOKUP(Operations!$D8,ImpDepLookup,2,FALSE)-VLOOKUP(Operations!$D8,ImpDepLookup,3,FALSE)*Operations!$G8^0.5-VLOOKUP(Operations!$D8,ImpDepLookup,4,FALSE)*(Operations!$G8*(Operations!$G8*Operations!$H8/Operations!$I8)^0.5))^2))</f>
        <v>79963</v>
      </c>
      <c r="O8" s="84">
        <f>IF(Operations!$C8="",0,(((Operations!$G8+1)*Operations!$H8/Operations!$I8/1000)^VLOOKUP(Operations!$C8,ImpRepairFac[],4,FALSE)-(Operations!$G8*Operations!$H8/Operations!$I8/1000)^VLOOKUP(Operations!$C8,ImpRepairFac[],4,FALSE))*Operations!$N8*VLOOKUP(Operations!$C8,ImpRepairFac[],3,FALSE)/Operations!$H8)</f>
        <v>2.8154681764860121</v>
      </c>
      <c r="P8" s="85">
        <f>IF(Operations!$N8=0,0,Operations!$N8*(VLOOKUP(Operations!$D8,ImpDepLookup,2,FALSE)-VLOOKUP(Operations!$D8,ImpDepLookup,3,FALSE)*Operations!$G8^0.5-VLOOKUP(Operations!$D8,ImpDepLookup,4,FALSE)*(Operations!$G8*Operations!$H8/Operations!$I8)^0.5)^2)</f>
        <v>33269.961926702425</v>
      </c>
      <c r="Q8" s="85">
        <f>IF(Operations!$N8=0,0,Operations!$N8*(VLOOKUP(Operations!$D8,ImpDepLookup,2,FALSE)-VLOOKUP(Operations!$D8,ImpDepLookup,3,FALSE)*(Operations!$G8+1)^0.5-VLOOKUP(Operations!$D8,ImpDepLookup,4,FALSE)*(Operations!$G8*Operations!$H8/Operations!$I8)^0.5)^2)</f>
        <v>30892.267364808387</v>
      </c>
      <c r="R8" s="84">
        <f>IF(Operations!$N8=0,0,IF(Operations!$I8*Operations!$H8=0,0,(Operations!$P8-Operations!$Q8)/(Operations!$H8)))</f>
        <v>1.1888472809470185</v>
      </c>
      <c r="S8" s="86">
        <f>IF(Operations!$H8=0,0,Operations!$P8*'General Variables'!$B$9/Operations!$H8)</f>
        <v>0.33269961926702429</v>
      </c>
      <c r="T8" s="86">
        <f>IF(Operations!$H8=0,0,Operations!$P8*'General Variables'!$B$10/Operations!$H8)</f>
        <v>0.49904942890053633</v>
      </c>
      <c r="U8" s="86">
        <f>SUM(Table3[[#This Row],[Depreciation per Unit]:[Opportunity Cost per Unit]])</f>
        <v>2.020596329114579</v>
      </c>
      <c r="W8" s="1" t="s">
        <v>424</v>
      </c>
      <c r="X8" s="1" t="s">
        <v>124</v>
      </c>
      <c r="Y8" s="2" t="s">
        <v>425</v>
      </c>
      <c r="Z8" s="2" t="s">
        <v>426</v>
      </c>
      <c r="AA8" s="4">
        <v>2000</v>
      </c>
      <c r="AD8" s="1" t="s">
        <v>151</v>
      </c>
      <c r="AE8" s="1" t="s">
        <v>427</v>
      </c>
      <c r="AF8" s="1" t="s">
        <v>153</v>
      </c>
      <c r="AG8" s="1" t="s">
        <v>154</v>
      </c>
      <c r="AH8" s="1">
        <v>0</v>
      </c>
      <c r="AK8" t="s">
        <v>428</v>
      </c>
      <c r="AL8" s="61">
        <v>15</v>
      </c>
      <c r="AM8" s="61">
        <v>6</v>
      </c>
      <c r="AO8" s="59" t="str">
        <f>IF(PowerUnits[[#This Row],[Name]]=0,"",PowerUnits[[#This Row],[Name]])</f>
        <v>Windrower</v>
      </c>
    </row>
    <row r="9" spans="1:41" ht="12.75" customHeight="1" x14ac:dyDescent="0.25">
      <c r="A9" s="94" t="s">
        <v>429</v>
      </c>
      <c r="B9" s="77" t="s">
        <v>184</v>
      </c>
      <c r="C9" s="77"/>
      <c r="D9" s="77"/>
      <c r="E9" s="79"/>
      <c r="F9" s="80"/>
      <c r="G9" s="79"/>
      <c r="H9" s="79"/>
      <c r="I9" s="87" t="s">
        <v>430</v>
      </c>
      <c r="J9" s="82"/>
      <c r="K9" s="78"/>
      <c r="L9" s="80" t="s">
        <v>430</v>
      </c>
      <c r="M9" s="82"/>
      <c r="N9" s="83">
        <f>IF(Operations!$E9&gt;1,Operations!$E9,IF(Operations!$D9=0,0,Operations!$F9/(VLOOKUP(Operations!$D9,ImpDepLookup,2,FALSE)-VLOOKUP(Operations!$D9,ImpDepLookup,3,FALSE)*Operations!$G9^0.5-VLOOKUP(Operations!$D9,ImpDepLookup,4,FALSE)*(Operations!$G9*(Operations!$G9*Operations!$H9/Operations!$I9)^0.5))^2))</f>
        <v>0</v>
      </c>
      <c r="O9" s="84">
        <f>IF(Operations!$C9="",0,(((Operations!$G9+1)*Operations!$H9/Operations!$I9/1000)^VLOOKUP(Operations!$C9,ImpRepairFac[],4,FALSE)-(Operations!$G9*Operations!$H9/Operations!$I9/1000)^VLOOKUP(Operations!$C9,ImpRepairFac[],4,FALSE))*Operations!$N9*VLOOKUP(Operations!$C9,ImpRepairFac[],3,FALSE)/Operations!$H9)</f>
        <v>0</v>
      </c>
      <c r="P9" s="85">
        <f>IF(Operations!$N9=0,0,Operations!$N9*(VLOOKUP(Operations!$D9,ImpDepLookup,2,FALSE)-VLOOKUP(Operations!$D9,ImpDepLookup,3,FALSE)*Operations!$G9^0.5-VLOOKUP(Operations!$D9,ImpDepLookup,4,FALSE)*(Operations!$G9*Operations!$H9/Operations!$I9)^0.5)^2)</f>
        <v>0</v>
      </c>
      <c r="Q9" s="85">
        <f>IF(Operations!$N9=0,0,Operations!$N9*(VLOOKUP(Operations!$D9,ImpDepLookup,2,FALSE)-VLOOKUP(Operations!$D9,ImpDepLookup,3,FALSE)*(Operations!$G9+1)^0.5-VLOOKUP(Operations!$D9,ImpDepLookup,4,FALSE)*(Operations!$G9*Operations!$H9/Operations!$I9)^0.5)^2)</f>
        <v>0</v>
      </c>
      <c r="R9" s="84">
        <f>IF(Operations!$N9=0,0,IF(Operations!$I9*Operations!$H9=0,0,(Operations!$P9-Operations!$Q9)/(Operations!$H9)))</f>
        <v>0</v>
      </c>
      <c r="S9" s="86">
        <f>IF(Operations!$H9=0,0,Operations!$P9*'General Variables'!$B$9/Operations!$H9)</f>
        <v>0</v>
      </c>
      <c r="T9" s="86">
        <f>IF(Operations!$H9=0,0,Operations!$P9*'General Variables'!$B$10/Operations!$H9)</f>
        <v>0</v>
      </c>
      <c r="U9" s="86">
        <f>SUM(Table3[[#This Row],[Depreciation per Unit]:[Opportunity Cost per Unit]])</f>
        <v>0</v>
      </c>
      <c r="W9" s="1" t="s">
        <v>431</v>
      </c>
      <c r="X9" s="1" t="s">
        <v>124</v>
      </c>
      <c r="Y9" s="2" t="s">
        <v>432</v>
      </c>
      <c r="Z9" s="2" t="s">
        <v>426</v>
      </c>
      <c r="AA9" s="4">
        <v>2000</v>
      </c>
      <c r="AD9" s="1" t="s">
        <v>151</v>
      </c>
      <c r="AE9" s="1" t="s">
        <v>433</v>
      </c>
      <c r="AF9" s="1" t="s">
        <v>434</v>
      </c>
      <c r="AG9" s="1" t="s">
        <v>435</v>
      </c>
      <c r="AH9" s="1"/>
      <c r="AK9" t="s">
        <v>436</v>
      </c>
      <c r="AL9" s="61">
        <v>15</v>
      </c>
      <c r="AM9" s="61">
        <v>6</v>
      </c>
      <c r="AO9" s="59" t="str">
        <f>IF(PowerUnits[[#This Row],[Name]]=0,"",PowerUnits[[#This Row],[Name]])</f>
        <v>Self-propelled sprayer</v>
      </c>
    </row>
    <row r="10" spans="1:41" ht="12.75" customHeight="1" x14ac:dyDescent="0.25">
      <c r="A10" s="94" t="s">
        <v>437</v>
      </c>
      <c r="B10" s="77" t="s">
        <v>176</v>
      </c>
      <c r="C10" s="78" t="s">
        <v>438</v>
      </c>
      <c r="D10" s="78" t="s">
        <v>158</v>
      </c>
      <c r="E10" s="79">
        <v>38267</v>
      </c>
      <c r="F10" s="80"/>
      <c r="G10" s="79">
        <v>5</v>
      </c>
      <c r="H10" s="79">
        <v>500</v>
      </c>
      <c r="I10" s="87">
        <v>12.336448598130842</v>
      </c>
      <c r="J10" s="82">
        <v>1.1000000000000001</v>
      </c>
      <c r="K10" s="78" t="s">
        <v>112</v>
      </c>
      <c r="L10" s="80">
        <v>5.736448598130842</v>
      </c>
      <c r="M10" s="82"/>
      <c r="N10" s="83">
        <f>IF(Operations!$E10&gt;1,Operations!$E10,IF(Operations!$D10=0,0,Operations!$F10/(VLOOKUP(Operations!$D10,ImpDepLookup,2,FALSE)-VLOOKUP(Operations!$D10,ImpDepLookup,3,FALSE)*Operations!$G10^0.5-VLOOKUP(Operations!$D10,ImpDepLookup,4,FALSE)*(Operations!$G10*(Operations!$G10*Operations!$H10/Operations!$I10)^0.5))^2))</f>
        <v>38267</v>
      </c>
      <c r="O10" s="84">
        <f>IF(Operations!$C10="",0,(((Operations!$G10+1)*Operations!$H10/Operations!$I10/1000)^VLOOKUP(Operations!$C10,ImpRepairFac[],4,FALSE)-(Operations!$G10*Operations!$H10/Operations!$I10/1000)^VLOOKUP(Operations!$C10,ImpRepairFac[],4,FALSE))*Operations!$N10*VLOOKUP(Operations!$C10,ImpRepairFac[],3,FALSE)/Operations!$H10)</f>
        <v>0.66685821586087768</v>
      </c>
      <c r="P10" s="85">
        <f>IF(Operations!$N10=0,0,Operations!$N10*(VLOOKUP(Operations!$D10,ImpDepLookup,2,FALSE)-VLOOKUP(Operations!$D10,ImpDepLookup,3,FALSE)*Operations!$G10^0.5-VLOOKUP(Operations!$D10,ImpDepLookup,4,FALSE)*(Operations!$G10*Operations!$H10/Operations!$I10)^0.5)^2)</f>
        <v>13208.895216827454</v>
      </c>
      <c r="Q10" s="85">
        <f>IF(Operations!$N10=0,0,Operations!$N10*(VLOOKUP(Operations!$D10,ImpDepLookup,2,FALSE)-VLOOKUP(Operations!$D10,ImpDepLookup,3,FALSE)*(Operations!$G10+1)^0.5-VLOOKUP(Operations!$D10,ImpDepLookup,4,FALSE)*(Operations!$G10*Operations!$H10/Operations!$I10)^0.5)^2)</f>
        <v>12350.045050571434</v>
      </c>
      <c r="R10" s="84">
        <f>IF(Operations!$N10=0,0,IF(Operations!$I10*Operations!$H10=0,0,(Operations!$P10-Operations!$Q10)/(Operations!$H10)))</f>
        <v>1.7177003325120386</v>
      </c>
      <c r="S10" s="86">
        <f>IF(Operations!$H10=0,0,Operations!$P10*'General Variables'!$B$9/Operations!$H10)</f>
        <v>0.52835580867309817</v>
      </c>
      <c r="T10" s="86">
        <f>IF(Operations!$H10=0,0,Operations!$P10*'General Variables'!$B$10/Operations!$H10)</f>
        <v>0.79253371300964714</v>
      </c>
      <c r="U10" s="86">
        <f>SUM(Table3[[#This Row],[Depreciation per Unit]:[Opportunity Cost per Unit]])</f>
        <v>3.0385898541947838</v>
      </c>
      <c r="W10" s="1" t="s">
        <v>439</v>
      </c>
      <c r="X10" s="1" t="s">
        <v>417</v>
      </c>
      <c r="Y10" s="2" t="s">
        <v>440</v>
      </c>
      <c r="Z10" s="2" t="s">
        <v>408</v>
      </c>
      <c r="AA10" s="4">
        <v>2000</v>
      </c>
      <c r="AD10" s="1" t="s">
        <v>441</v>
      </c>
      <c r="AE10" s="1" t="s">
        <v>442</v>
      </c>
      <c r="AF10" s="1" t="s">
        <v>443</v>
      </c>
      <c r="AG10" s="1" t="s">
        <v>444</v>
      </c>
      <c r="AH10" s="1"/>
      <c r="AK10" t="s">
        <v>445</v>
      </c>
      <c r="AL10" s="61">
        <v>15</v>
      </c>
      <c r="AM10" s="61">
        <v>6</v>
      </c>
      <c r="AO10" s="59" t="str">
        <f>IF(PowerUnits[[#This Row],[Name]]=0,"",PowerUnits[[#This Row],[Name]])</f>
        <v>Medium Tractor</v>
      </c>
    </row>
    <row r="11" spans="1:41" ht="12.75" customHeight="1" x14ac:dyDescent="0.25">
      <c r="A11" s="94" t="s">
        <v>943</v>
      </c>
      <c r="B11" s="77" t="s">
        <v>176</v>
      </c>
      <c r="C11" s="78" t="s">
        <v>446</v>
      </c>
      <c r="D11" s="78" t="s">
        <v>122</v>
      </c>
      <c r="E11" s="79">
        <v>80061</v>
      </c>
      <c r="F11" s="80"/>
      <c r="G11" s="79">
        <v>5</v>
      </c>
      <c r="H11" s="88">
        <v>1500</v>
      </c>
      <c r="I11" s="89">
        <v>13</v>
      </c>
      <c r="J11" s="82">
        <v>1.1000000000000001</v>
      </c>
      <c r="K11" s="78" t="s">
        <v>120</v>
      </c>
      <c r="L11" s="80">
        <v>10.5</v>
      </c>
      <c r="M11" s="82"/>
      <c r="N11" s="83">
        <f>IF(Operations!$E11&gt;1,Operations!$E11,IF(Operations!$D11=0,0,Operations!$F11/(VLOOKUP(Operations!$D11,ImpDepLookup,2,FALSE)-VLOOKUP(Operations!$D11,ImpDepLookup,3,FALSE)*Operations!$G11^0.5-VLOOKUP(Operations!$D11,ImpDepLookup,4,FALSE)*(Operations!$G11*(Operations!$G11*Operations!$H11/Operations!$I11)^0.5))^2))</f>
        <v>80061</v>
      </c>
      <c r="O11" s="84">
        <f>IF(Operations!$C11="",0,(((Operations!$G11+1)*Operations!$H11/Operations!$I11/1000)^VLOOKUP(Operations!$C11,ImpRepairFac[],4,FALSE)-(Operations!$G11*Operations!$H11/Operations!$I11/1000)^VLOOKUP(Operations!$C11,ImpRepairFac[],4,FALSE))*Operations!$N11*VLOOKUP(Operations!$C11,ImpRepairFac[],3,FALSE)/Operations!$H11)</f>
        <v>0.94163776132807686</v>
      </c>
      <c r="P11" s="85">
        <f>IF(Operations!$N11=0,0,Operations!$N11*(VLOOKUP(Operations!$D11,ImpDepLookup,2,FALSE)-VLOOKUP(Operations!$D11,ImpDepLookup,3,FALSE)*Operations!$G11^0.5-VLOOKUP(Operations!$D11,ImpDepLookup,4,FALSE)*(Operations!$G11*Operations!$H11/Operations!$I11)^0.5)^2)</f>
        <v>46614.992556240111</v>
      </c>
      <c r="Q11" s="85">
        <f>IF(Operations!$N11=0,0,Operations!$N11*(VLOOKUP(Operations!$D11,ImpDepLookup,2,FALSE)-VLOOKUP(Operations!$D11,ImpDepLookup,3,FALSE)*(Operations!$G11+1)^0.5-VLOOKUP(Operations!$D11,ImpDepLookup,4,FALSE)*(Operations!$G11*Operations!$H11/Operations!$I11)^0.5)^2)</f>
        <v>42411.723234186109</v>
      </c>
      <c r="R11" s="84">
        <f>IF(Operations!$N11=0,0,IF(Operations!$I11*Operations!$H11=0,0,(Operations!$P11-Operations!$Q11)/(Operations!$H11)))</f>
        <v>2.8021795480360017</v>
      </c>
      <c r="S11" s="86">
        <f>IF(Operations!$H11=0,0,Operations!$P11*'General Variables'!$B$9/Operations!$H11)</f>
        <v>0.62153323408320149</v>
      </c>
      <c r="T11" s="86">
        <f>IF(Operations!$H11=0,0,Operations!$P11*'General Variables'!$B$10/Operations!$H11)</f>
        <v>0.93229985112480218</v>
      </c>
      <c r="U11" s="86">
        <f>SUM(Table3[[#This Row],[Depreciation per Unit]:[Opportunity Cost per Unit]])</f>
        <v>4.3560126332440054</v>
      </c>
      <c r="W11" s="1" t="s">
        <v>447</v>
      </c>
      <c r="X11" s="1" t="s">
        <v>417</v>
      </c>
      <c r="Y11" s="2" t="s">
        <v>448</v>
      </c>
      <c r="Z11" s="2" t="s">
        <v>449</v>
      </c>
      <c r="AA11" s="3">
        <v>2000</v>
      </c>
      <c r="AD11" s="1" t="s">
        <v>436</v>
      </c>
      <c r="AE11" s="1" t="s">
        <v>450</v>
      </c>
      <c r="AF11" s="1" t="s">
        <v>419</v>
      </c>
      <c r="AG11" s="1" t="s">
        <v>420</v>
      </c>
      <c r="AH11" s="1"/>
      <c r="AK11" t="s">
        <v>451</v>
      </c>
      <c r="AL11" s="61">
        <v>15</v>
      </c>
      <c r="AM11" s="61">
        <v>6</v>
      </c>
      <c r="AO11" s="59" t="str">
        <f>IF(PowerUnits[[#This Row],[Name]]=0,"",PowerUnits[[#This Row],[Name]])</f>
        <v/>
      </c>
    </row>
    <row r="12" spans="1:41" ht="12.75" customHeight="1" x14ac:dyDescent="0.25">
      <c r="A12" s="94" t="s">
        <v>936</v>
      </c>
      <c r="B12" s="77" t="s">
        <v>176</v>
      </c>
      <c r="C12" s="78" t="s">
        <v>446</v>
      </c>
      <c r="D12" s="78" t="s">
        <v>122</v>
      </c>
      <c r="E12" s="79">
        <v>70061</v>
      </c>
      <c r="F12" s="80"/>
      <c r="G12" s="79">
        <v>5</v>
      </c>
      <c r="H12" s="88">
        <v>1200</v>
      </c>
      <c r="I12" s="87">
        <v>13</v>
      </c>
      <c r="J12" s="82">
        <v>1.1000000000000001</v>
      </c>
      <c r="K12" s="78" t="s">
        <v>120</v>
      </c>
      <c r="L12" s="80">
        <v>10.5</v>
      </c>
      <c r="M12" s="82"/>
      <c r="N12" s="83">
        <f>IF(Operations!$E12&gt;1,Operations!$E12,IF(Operations!$D12=0,0,Operations!$F12/(VLOOKUP(Operations!$D12,ImpDepLookup,2,FALSE)-VLOOKUP(Operations!$D12,ImpDepLookup,3,FALSE)*Operations!$G12^0.5-VLOOKUP(Operations!$D12,ImpDepLookup,4,FALSE)*(Operations!$G12*(Operations!$G12*Operations!$H12/Operations!$I12)^0.5))^2))</f>
        <v>70061</v>
      </c>
      <c r="O12" s="84">
        <f>IF(Operations!$C12="",0,(((Operations!$G12+1)*Operations!$H12/Operations!$I12/1000)^VLOOKUP(Operations!$C12,ImpRepairFac[],4,FALSE)-(Operations!$G12*Operations!$H12/Operations!$I12/1000)^VLOOKUP(Operations!$C12,ImpRepairFac[],4,FALSE))*Operations!$N12*VLOOKUP(Operations!$C12,ImpRepairFac[],3,FALSE)/Operations!$H12)</f>
        <v>0.61653277784752925</v>
      </c>
      <c r="P12" s="85">
        <f>IF(Operations!$N12=0,0,Operations!$N12*(VLOOKUP(Operations!$D12,ImpDepLookup,2,FALSE)-VLOOKUP(Operations!$D12,ImpDepLookup,3,FALSE)*Operations!$G12^0.5-VLOOKUP(Operations!$D12,ImpDepLookup,4,FALSE)*(Operations!$G12*Operations!$H12/Operations!$I12)^0.5)^2)</f>
        <v>40792.558092988329</v>
      </c>
      <c r="Q12" s="85">
        <f>IF(Operations!$N12=0,0,Operations!$N12*(VLOOKUP(Operations!$D12,ImpDepLookup,2,FALSE)-VLOOKUP(Operations!$D12,ImpDepLookup,3,FALSE)*(Operations!$G12+1)^0.5-VLOOKUP(Operations!$D12,ImpDepLookup,4,FALSE)*(Operations!$G12*Operations!$H12/Operations!$I12)^0.5)^2)</f>
        <v>37114.297117326947</v>
      </c>
      <c r="R12" s="84">
        <f>IF(Operations!$N12=0,0,IF(Operations!$I12*Operations!$H12=0,0,(Operations!$P12-Operations!$Q12)/(Operations!$H12)))</f>
        <v>3.0652174797178184</v>
      </c>
      <c r="S12" s="86">
        <f>IF(Operations!$H12=0,0,Operations!$P12*'General Variables'!$B$9/Operations!$H12)</f>
        <v>0.67987596821647223</v>
      </c>
      <c r="T12" s="86">
        <f>IF(Operations!$H12=0,0,Operations!$P12*'General Variables'!$B$10/Operations!$H12)</f>
        <v>1.0198139523247083</v>
      </c>
      <c r="U12" s="86">
        <f>SUM(Table3[[#This Row],[Depreciation per Unit]:[Opportunity Cost per Unit]])</f>
        <v>4.7649074002589993</v>
      </c>
      <c r="W12" s="1" t="s">
        <v>452</v>
      </c>
      <c r="X12" s="1" t="s">
        <v>417</v>
      </c>
      <c r="Y12" s="2" t="s">
        <v>453</v>
      </c>
      <c r="Z12" s="2" t="s">
        <v>454</v>
      </c>
      <c r="AA12" s="3">
        <v>2000</v>
      </c>
      <c r="AK12" t="s">
        <v>455</v>
      </c>
      <c r="AL12" s="61">
        <v>15</v>
      </c>
      <c r="AM12" s="61">
        <v>6</v>
      </c>
    </row>
    <row r="13" spans="1:41" ht="12.75" customHeight="1" x14ac:dyDescent="0.25">
      <c r="A13" s="94" t="s">
        <v>938</v>
      </c>
      <c r="B13" s="77" t="s">
        <v>176</v>
      </c>
      <c r="C13" s="78" t="s">
        <v>446</v>
      </c>
      <c r="D13" s="78" t="s">
        <v>122</v>
      </c>
      <c r="E13" s="79">
        <v>45300</v>
      </c>
      <c r="F13" s="80"/>
      <c r="G13" s="79">
        <v>5</v>
      </c>
      <c r="H13" s="88">
        <v>1000</v>
      </c>
      <c r="I13" s="87">
        <v>13</v>
      </c>
      <c r="J13" s="82">
        <v>1.1000000000000001</v>
      </c>
      <c r="K13" s="78" t="s">
        <v>120</v>
      </c>
      <c r="L13" s="80">
        <v>10.5</v>
      </c>
      <c r="M13" s="82"/>
      <c r="N13" s="83">
        <f>IF(Operations!$E13&gt;1,Operations!$E13,IF(Operations!$D13=0,0,Operations!$F13/(VLOOKUP(Operations!$D13,ImpDepLookup,2,FALSE)-VLOOKUP(Operations!$D13,ImpDepLookup,3,FALSE)*Operations!$G13^0.5-VLOOKUP(Operations!$D13,ImpDepLookup,4,FALSE)*(Operations!$G13*(Operations!$G13*Operations!$H13/Operations!$I13)^0.5))^2))</f>
        <v>45300</v>
      </c>
      <c r="O13" s="84">
        <f>IF(Operations!$C13="",0,(((Operations!$G13+1)*Operations!$H13/Operations!$I13/1000)^VLOOKUP(Operations!$C13,ImpRepairFac[],4,FALSE)-(Operations!$G13*Operations!$H13/Operations!$I13/1000)^VLOOKUP(Operations!$C13,ImpRepairFac[],4,FALSE))*Operations!$N13*VLOOKUP(Operations!$C13,ImpRepairFac[],3,FALSE)/Operations!$H13)</f>
        <v>0.31451576634180783</v>
      </c>
      <c r="P13" s="85">
        <f>IF(Operations!$N13=0,0,Operations!$N13*(VLOOKUP(Operations!$D13,ImpDepLookup,2,FALSE)-VLOOKUP(Operations!$D13,ImpDepLookup,3,FALSE)*Operations!$G13^0.5-VLOOKUP(Operations!$D13,ImpDepLookup,4,FALSE)*(Operations!$G13*Operations!$H13/Operations!$I13)^0.5)^2)</f>
        <v>26375.628118530582</v>
      </c>
      <c r="Q13" s="85">
        <f>IF(Operations!$N13=0,0,Operations!$N13*(VLOOKUP(Operations!$D13,ImpDepLookup,2,FALSE)-VLOOKUP(Operations!$D13,ImpDepLookup,3,FALSE)*(Operations!$G13+1)^0.5-VLOOKUP(Operations!$D13,ImpDepLookup,4,FALSE)*(Operations!$G13*Operations!$H13/Operations!$I13)^0.5)^2)</f>
        <v>23997.34030937199</v>
      </c>
      <c r="R13" s="84">
        <f>IF(Operations!$N13=0,0,IF(Operations!$I13*Operations!$H13=0,0,(Operations!$P13-Operations!$Q13)/(Operations!$H13)))</f>
        <v>2.3782878091585915</v>
      </c>
      <c r="S13" s="86">
        <f>IF(Operations!$H13=0,0,Operations!$P13*'General Variables'!$B$9/Operations!$H13)</f>
        <v>0.52751256237061162</v>
      </c>
      <c r="T13" s="86">
        <f>IF(Operations!$H13=0,0,Operations!$P13*'General Variables'!$B$10/Operations!$H13)</f>
        <v>0.79126884355591742</v>
      </c>
      <c r="U13" s="86">
        <f>SUM(Table3[[#This Row],[Depreciation per Unit]:[Opportunity Cost per Unit]])</f>
        <v>3.6970692150851203</v>
      </c>
      <c r="W13" s="1" t="s">
        <v>456</v>
      </c>
      <c r="X13" s="1" t="s">
        <v>417</v>
      </c>
      <c r="Y13" s="2" t="s">
        <v>453</v>
      </c>
      <c r="Z13" s="2" t="s">
        <v>454</v>
      </c>
      <c r="AA13" s="4">
        <v>2000</v>
      </c>
      <c r="AK13" t="s">
        <v>457</v>
      </c>
      <c r="AL13" s="61">
        <v>15</v>
      </c>
      <c r="AM13" s="61">
        <v>2</v>
      </c>
    </row>
    <row r="14" spans="1:41" ht="12.75" customHeight="1" x14ac:dyDescent="0.25">
      <c r="A14" s="94" t="s">
        <v>944</v>
      </c>
      <c r="B14" s="77" t="s">
        <v>176</v>
      </c>
      <c r="C14" s="78" t="s">
        <v>446</v>
      </c>
      <c r="D14" s="78" t="s">
        <v>122</v>
      </c>
      <c r="E14" s="79">
        <v>81941</v>
      </c>
      <c r="F14" s="80"/>
      <c r="G14" s="79">
        <v>5</v>
      </c>
      <c r="H14" s="88">
        <v>1500</v>
      </c>
      <c r="I14" s="87">
        <v>12.4</v>
      </c>
      <c r="J14" s="82">
        <v>1.1000000000000001</v>
      </c>
      <c r="K14" s="78" t="s">
        <v>120</v>
      </c>
      <c r="L14" s="80">
        <v>10.5</v>
      </c>
      <c r="M14" s="82"/>
      <c r="N14" s="83">
        <f>IF(Operations!$E14&gt;1,Operations!$E14,IF(Operations!$D14=0,0,Operations!$F14/(VLOOKUP(Operations!$D14,ImpDepLookup,2,FALSE)-VLOOKUP(Operations!$D14,ImpDepLookup,3,FALSE)*Operations!$G14^0.5-VLOOKUP(Operations!$D14,ImpDepLookup,4,FALSE)*(Operations!$G14*(Operations!$G14*Operations!$H14/Operations!$I14)^0.5))^2))</f>
        <v>81941</v>
      </c>
      <c r="O14" s="84">
        <f>IF(Operations!$C14="",0,(((Operations!$G14+1)*Operations!$H14/Operations!$I14/1000)^VLOOKUP(Operations!$C14,ImpRepairFac[],4,FALSE)-(Operations!$G14*Operations!$H14/Operations!$I14/1000)^VLOOKUP(Operations!$C14,ImpRepairFac[],4,FALSE))*Operations!$N14*VLOOKUP(Operations!$C14,ImpRepairFac[],3,FALSE)/Operations!$H14)</f>
        <v>1.0743949293073511</v>
      </c>
      <c r="P14" s="85">
        <f>IF(Operations!$N14=0,0,Operations!$N14*(VLOOKUP(Operations!$D14,ImpDepLookup,2,FALSE)-VLOOKUP(Operations!$D14,ImpDepLookup,3,FALSE)*Operations!$G14^0.5-VLOOKUP(Operations!$D14,ImpDepLookup,4,FALSE)*(Operations!$G14*Operations!$H14/Operations!$I14)^0.5)^2)</f>
        <v>47709.610235331449</v>
      </c>
      <c r="Q14" s="85">
        <f>IF(Operations!$N14=0,0,Operations!$N14*(VLOOKUP(Operations!$D14,ImpDepLookup,2,FALSE)-VLOOKUP(Operations!$D14,ImpDepLookup,3,FALSE)*(Operations!$G14+1)^0.5-VLOOKUP(Operations!$D14,ImpDepLookup,4,FALSE)*(Operations!$G14*Operations!$H14/Operations!$I14)^0.5)^2)</f>
        <v>43407.639344155628</v>
      </c>
      <c r="R14" s="84">
        <f>IF(Operations!$N14=0,0,IF(Operations!$I14*Operations!$H14=0,0,(Operations!$P14-Operations!$Q14)/(Operations!$H14)))</f>
        <v>2.8679805941172138</v>
      </c>
      <c r="S14" s="86">
        <f>IF(Operations!$H14=0,0,Operations!$P14*'General Variables'!$B$9/Operations!$H14)</f>
        <v>0.63612813647108601</v>
      </c>
      <c r="T14" s="86">
        <f>IF(Operations!$H14=0,0,Operations!$P14*'General Variables'!$B$10/Operations!$H14)</f>
        <v>0.95419220470662902</v>
      </c>
      <c r="U14" s="86">
        <f>SUM(Table3[[#This Row],[Depreciation per Unit]:[Opportunity Cost per Unit]])</f>
        <v>4.458300935294929</v>
      </c>
      <c r="W14" s="1" t="s">
        <v>458</v>
      </c>
      <c r="X14" s="1" t="s">
        <v>417</v>
      </c>
      <c r="Y14" s="2" t="s">
        <v>459</v>
      </c>
      <c r="Z14" s="2" t="s">
        <v>126</v>
      </c>
      <c r="AA14" s="4">
        <v>1500</v>
      </c>
      <c r="AK14" t="s">
        <v>460</v>
      </c>
      <c r="AL14" s="61">
        <v>20</v>
      </c>
      <c r="AM14" s="61">
        <v>1</v>
      </c>
    </row>
    <row r="15" spans="1:41" ht="12.75" customHeight="1" x14ac:dyDescent="0.25">
      <c r="A15" s="94" t="s">
        <v>939</v>
      </c>
      <c r="B15" s="77" t="s">
        <v>176</v>
      </c>
      <c r="C15" s="78" t="s">
        <v>446</v>
      </c>
      <c r="D15" s="78" t="s">
        <v>122</v>
      </c>
      <c r="E15" s="79">
        <v>70061</v>
      </c>
      <c r="F15" s="80"/>
      <c r="G15" s="79">
        <v>5</v>
      </c>
      <c r="H15" s="79">
        <v>1000</v>
      </c>
      <c r="I15" s="87">
        <v>13</v>
      </c>
      <c r="J15" s="82">
        <v>1.1000000000000001</v>
      </c>
      <c r="K15" s="78" t="s">
        <v>120</v>
      </c>
      <c r="L15" s="80">
        <v>10.5</v>
      </c>
      <c r="M15" s="82"/>
      <c r="N15" s="83">
        <f>IF(Operations!$E15&gt;1,Operations!$E15,IF(Operations!$D15=0,0,Operations!$F15/(VLOOKUP(Operations!$D15,ImpDepLookup,2,FALSE)-VLOOKUP(Operations!$D15,ImpDepLookup,3,FALSE)*Operations!$G15^0.5-VLOOKUP(Operations!$D15,ImpDepLookup,4,FALSE)*(Operations!$G15*(Operations!$G15*Operations!$H15/Operations!$I15)^0.5))^2))</f>
        <v>70061</v>
      </c>
      <c r="O15" s="84">
        <f>IF(Operations!$C15="",0,(((Operations!$G15+1)*Operations!$H15/Operations!$I15/1000)^VLOOKUP(Operations!$C15,ImpRepairFac[],4,FALSE)-(Operations!$G15*Operations!$H15/Operations!$I15/1000)^VLOOKUP(Operations!$C15,ImpRepairFac[],4,FALSE))*Operations!$N15*VLOOKUP(Operations!$C15,ImpRepairFac[],3,FALSE)/Operations!$H15)</f>
        <v>0.48643022308329792</v>
      </c>
      <c r="P15" s="85">
        <f>IF(Operations!$N15=0,0,Operations!$N15*(VLOOKUP(Operations!$D15,ImpDepLookup,2,FALSE)-VLOOKUP(Operations!$D15,ImpDepLookup,3,FALSE)*Operations!$G15^0.5-VLOOKUP(Operations!$D15,ImpDepLookup,4,FALSE)*(Operations!$G15*Operations!$H15/Operations!$I15)^0.5)^2)</f>
        <v>40792.558092988329</v>
      </c>
      <c r="Q15" s="85">
        <f>IF(Operations!$N15=0,0,Operations!$N15*(VLOOKUP(Operations!$D15,ImpDepLookup,2,FALSE)-VLOOKUP(Operations!$D15,ImpDepLookup,3,FALSE)*(Operations!$G15+1)^0.5-VLOOKUP(Operations!$D15,ImpDepLookup,4,FALSE)*(Operations!$G15*Operations!$H15/Operations!$I15)^0.5)^2)</f>
        <v>37114.297117326947</v>
      </c>
      <c r="R15" s="84">
        <f>IF(Operations!$N15=0,0,IF(Operations!$I15*Operations!$H15=0,0,(Operations!$P15-Operations!$Q15)/(Operations!$H15)))</f>
        <v>3.6782609756613818</v>
      </c>
      <c r="S15" s="86">
        <f>IF(Operations!$H15=0,0,Operations!$P15*'General Variables'!$B$9/Operations!$H15)</f>
        <v>0.81585116185976669</v>
      </c>
      <c r="T15" s="86">
        <f>IF(Operations!$H15=0,0,Operations!$P15*'General Variables'!$B$10/Operations!$H15)</f>
        <v>1.22377674278965</v>
      </c>
      <c r="U15" s="86">
        <f>SUM(Table3[[#This Row],[Depreciation per Unit]:[Opportunity Cost per Unit]])</f>
        <v>5.7178888803107988</v>
      </c>
      <c r="W15" s="1" t="s">
        <v>461</v>
      </c>
      <c r="X15" s="1" t="s">
        <v>399</v>
      </c>
      <c r="Y15" s="2" t="s">
        <v>462</v>
      </c>
      <c r="Z15" s="2" t="s">
        <v>463</v>
      </c>
      <c r="AA15" s="4">
        <v>1200</v>
      </c>
      <c r="AK15" t="s">
        <v>464</v>
      </c>
      <c r="AL15" s="61">
        <v>15</v>
      </c>
      <c r="AM15" s="61">
        <v>3</v>
      </c>
    </row>
    <row r="16" spans="1:41" ht="12.75" customHeight="1" x14ac:dyDescent="0.25">
      <c r="A16" s="94" t="s">
        <v>940</v>
      </c>
      <c r="B16" s="77" t="s">
        <v>176</v>
      </c>
      <c r="C16" s="78" t="s">
        <v>446</v>
      </c>
      <c r="D16" s="78" t="s">
        <v>122</v>
      </c>
      <c r="E16" s="79">
        <v>70061</v>
      </c>
      <c r="F16" s="80"/>
      <c r="G16" s="79">
        <v>5</v>
      </c>
      <c r="H16" s="88">
        <v>1500</v>
      </c>
      <c r="I16" s="87">
        <v>13</v>
      </c>
      <c r="J16" s="82">
        <v>1.1000000000000001</v>
      </c>
      <c r="K16" s="78" t="s">
        <v>120</v>
      </c>
      <c r="L16" s="80">
        <v>10.5</v>
      </c>
      <c r="M16" s="82"/>
      <c r="N16" s="83">
        <f>IF(Operations!$E16&gt;1,Operations!$E16,IF(Operations!$D16=0,0,Operations!$F16/(VLOOKUP(Operations!$D16,ImpDepLookup,2,FALSE)-VLOOKUP(Operations!$D16,ImpDepLookup,3,FALSE)*Operations!$G16^0.5-VLOOKUP(Operations!$D16,ImpDepLookup,4,FALSE)*(Operations!$G16*(Operations!$G16*Operations!$H16/Operations!$I16)^0.5))^2))</f>
        <v>70061</v>
      </c>
      <c r="O16" s="84">
        <f>IF(Operations!$C16="",0,(((Operations!$G16+1)*Operations!$H16/Operations!$I16/1000)^VLOOKUP(Operations!$C16,ImpRepairFac[],4,FALSE)-(Operations!$G16*Operations!$H16/Operations!$I16/1000)^VLOOKUP(Operations!$C16,ImpRepairFac[],4,FALSE))*Operations!$N16*VLOOKUP(Operations!$C16,ImpRepairFac[],3,FALSE)/Operations!$H16)</f>
        <v>0.82402272262907517</v>
      </c>
      <c r="P16" s="85">
        <f>IF(Operations!$N16=0,0,Operations!$N16*(VLOOKUP(Operations!$D16,ImpDepLookup,2,FALSE)-VLOOKUP(Operations!$D16,ImpDepLookup,3,FALSE)*Operations!$G16^0.5-VLOOKUP(Operations!$D16,ImpDepLookup,4,FALSE)*(Operations!$G16*Operations!$H16/Operations!$I16)^0.5)^2)</f>
        <v>40792.558092988329</v>
      </c>
      <c r="Q16" s="85">
        <f>IF(Operations!$N16=0,0,Operations!$N16*(VLOOKUP(Operations!$D16,ImpDepLookup,2,FALSE)-VLOOKUP(Operations!$D16,ImpDepLookup,3,FALSE)*(Operations!$G16+1)^0.5-VLOOKUP(Operations!$D16,ImpDepLookup,4,FALSE)*(Operations!$G16*Operations!$H16/Operations!$I16)^0.5)^2)</f>
        <v>37114.297117326947</v>
      </c>
      <c r="R16" s="84">
        <f>IF(Operations!$N16=0,0,IF(Operations!$I16*Operations!$H16=0,0,(Operations!$P16-Operations!$Q16)/(Operations!$H16)))</f>
        <v>2.4521739837742547</v>
      </c>
      <c r="S16" s="86">
        <f>IF(Operations!$H16=0,0,Operations!$P16*'General Variables'!$B$9/Operations!$H16)</f>
        <v>0.54390077457317776</v>
      </c>
      <c r="T16" s="86">
        <f>IF(Operations!$H16=0,0,Operations!$P16*'General Variables'!$B$10/Operations!$H16)</f>
        <v>0.81585116185976658</v>
      </c>
      <c r="U16" s="86">
        <f>SUM(Table3[[#This Row],[Depreciation per Unit]:[Opportunity Cost per Unit]])</f>
        <v>3.8119259202071989</v>
      </c>
      <c r="W16" s="1" t="s">
        <v>465</v>
      </c>
      <c r="X16" s="1" t="s">
        <v>399</v>
      </c>
      <c r="Y16" s="2" t="s">
        <v>466</v>
      </c>
      <c r="Z16" s="2" t="s">
        <v>134</v>
      </c>
      <c r="AA16" s="3">
        <v>1500</v>
      </c>
      <c r="AK16" s="383" t="s">
        <v>467</v>
      </c>
      <c r="AL16" s="383"/>
      <c r="AM16" s="383"/>
    </row>
    <row r="17" spans="1:39" ht="12.75" customHeight="1" x14ac:dyDescent="0.25">
      <c r="A17" s="94" t="s">
        <v>941</v>
      </c>
      <c r="B17" s="77" t="s">
        <v>176</v>
      </c>
      <c r="C17" s="78" t="s">
        <v>446</v>
      </c>
      <c r="D17" s="78" t="s">
        <v>122</v>
      </c>
      <c r="E17" s="79">
        <v>45300</v>
      </c>
      <c r="F17" s="80"/>
      <c r="G17" s="79">
        <v>7</v>
      </c>
      <c r="H17" s="88">
        <v>1000</v>
      </c>
      <c r="I17" s="87">
        <v>12</v>
      </c>
      <c r="J17" s="82">
        <v>1.1000000000000001</v>
      </c>
      <c r="K17" s="78" t="s">
        <v>120</v>
      </c>
      <c r="L17" s="80">
        <v>10.5</v>
      </c>
      <c r="M17" s="82"/>
      <c r="N17" s="83">
        <f>IF(Operations!$E17&gt;1,Operations!$E17,IF(Operations!$D17=0,0,Operations!$F17/(VLOOKUP(Operations!$D17,ImpDepLookup,2,FALSE)-VLOOKUP(Operations!$D17,ImpDepLookup,3,FALSE)*Operations!$G17^0.5-VLOOKUP(Operations!$D17,ImpDepLookup,4,FALSE)*(Operations!$G17*(Operations!$G17*Operations!$H17/Operations!$I17)^0.5))^2))</f>
        <v>45300</v>
      </c>
      <c r="O17" s="84">
        <f>IF(Operations!$C17="",0,(((Operations!$G17+1)*Operations!$H17/Operations!$I17/1000)^VLOOKUP(Operations!$C17,ImpRepairFac[],4,FALSE)-(Operations!$G17*Operations!$H17/Operations!$I17/1000)^VLOOKUP(Operations!$C17,ImpRepairFac[],4,FALSE))*Operations!$N17*VLOOKUP(Operations!$C17,ImpRepairFac[],3,FALSE)/Operations!$H17)</f>
        <v>0.56571219191220845</v>
      </c>
      <c r="P17" s="85">
        <f>IF(Operations!$N17=0,0,Operations!$N17*(VLOOKUP(Operations!$D17,ImpDepLookup,2,FALSE)-VLOOKUP(Operations!$D17,ImpDepLookup,3,FALSE)*Operations!$G17^0.5-VLOOKUP(Operations!$D17,ImpDepLookup,4,FALSE)*(Operations!$G17*Operations!$H17/Operations!$I17)^0.5)^2)</f>
        <v>21909.441952813628</v>
      </c>
      <c r="Q17" s="85">
        <f>IF(Operations!$N17=0,0,Operations!$N17*(VLOOKUP(Operations!$D17,ImpDepLookup,2,FALSE)-VLOOKUP(Operations!$D17,ImpDepLookup,3,FALSE)*(Operations!$G17+1)^0.5-VLOOKUP(Operations!$D17,ImpDepLookup,4,FALSE)*(Operations!$G17*Operations!$H17/Operations!$I17)^0.5)^2)</f>
        <v>20051.445376575532</v>
      </c>
      <c r="R17" s="84">
        <f>IF(Operations!$N17=0,0,IF(Operations!$I17*Operations!$H17=0,0,(Operations!$P17-Operations!$Q17)/(Operations!$H17)))</f>
        <v>1.8579965762380961</v>
      </c>
      <c r="S17" s="86">
        <f>IF(Operations!$H17=0,0,Operations!$P17*'General Variables'!$B$9/Operations!$H17)</f>
        <v>0.43818883905627259</v>
      </c>
      <c r="T17" s="86">
        <f>IF(Operations!$H17=0,0,Operations!$P17*'General Variables'!$B$10/Operations!$H17)</f>
        <v>0.65728325858440884</v>
      </c>
      <c r="U17" s="86">
        <f>SUM(Table3[[#This Row],[Depreciation per Unit]:[Opportunity Cost per Unit]])</f>
        <v>2.9534686738787777</v>
      </c>
      <c r="W17" s="1" t="s">
        <v>468</v>
      </c>
      <c r="X17" s="1" t="s">
        <v>124</v>
      </c>
      <c r="Y17" s="2" t="s">
        <v>469</v>
      </c>
      <c r="Z17" s="2" t="s">
        <v>401</v>
      </c>
      <c r="AA17" s="4">
        <v>2500</v>
      </c>
      <c r="AK17" s="383"/>
      <c r="AL17" s="383"/>
      <c r="AM17" s="383"/>
    </row>
    <row r="18" spans="1:39" ht="12.75" customHeight="1" x14ac:dyDescent="0.25">
      <c r="A18" s="94"/>
      <c r="B18" s="77" t="s">
        <v>176</v>
      </c>
      <c r="C18" s="78" t="s">
        <v>446</v>
      </c>
      <c r="D18" s="78" t="s">
        <v>122</v>
      </c>
      <c r="E18" s="79"/>
      <c r="F18" s="80"/>
      <c r="G18" s="79">
        <v>5</v>
      </c>
      <c r="H18" s="79">
        <v>1200</v>
      </c>
      <c r="I18" s="81">
        <v>13</v>
      </c>
      <c r="J18" s="82">
        <v>1.1000000000000001</v>
      </c>
      <c r="K18" s="78" t="s">
        <v>120</v>
      </c>
      <c r="L18" s="80">
        <v>10.5</v>
      </c>
      <c r="M18" s="82"/>
      <c r="N18" s="83">
        <f>IF(Operations!$E18&gt;1,Operations!$E18,IF(Operations!$D18=0,0,Operations!$F18/(VLOOKUP(Operations!$D18,ImpDepLookup,2,FALSE)-VLOOKUP(Operations!$D18,ImpDepLookup,3,FALSE)*Operations!$G18^0.5-VLOOKUP(Operations!$D18,ImpDepLookup,4,FALSE)*(Operations!$G18*(Operations!$G18*Operations!$H18/Operations!$I18)^0.5))^2))</f>
        <v>0</v>
      </c>
      <c r="O18" s="84">
        <f>IF(Operations!$C18="",0,(((Operations!$G18+1)*Operations!$H18/Operations!$I18/1000)^VLOOKUP(Operations!$C18,ImpRepairFac[],4,FALSE)-(Operations!$G18*Operations!$H18/Operations!$I18/1000)^VLOOKUP(Operations!$C18,ImpRepairFac[],4,FALSE))*Operations!$N18*VLOOKUP(Operations!$C18,ImpRepairFac[],3,FALSE)/Operations!$H18)</f>
        <v>0</v>
      </c>
      <c r="P18" s="85">
        <f>IF(Operations!$N18=0,0,Operations!$N18*(VLOOKUP(Operations!$D18,ImpDepLookup,2,FALSE)-VLOOKUP(Operations!$D18,ImpDepLookup,3,FALSE)*Operations!$G18^0.5-VLOOKUP(Operations!$D18,ImpDepLookup,4,FALSE)*(Operations!$G18*Operations!$H18/Operations!$I18)^0.5)^2)</f>
        <v>0</v>
      </c>
      <c r="Q18" s="85">
        <f>IF(Operations!$N18=0,0,Operations!$N18*(VLOOKUP(Operations!$D18,ImpDepLookup,2,FALSE)-VLOOKUP(Operations!$D18,ImpDepLookup,3,FALSE)*(Operations!$G18+1)^0.5-VLOOKUP(Operations!$D18,ImpDepLookup,4,FALSE)*(Operations!$G18*Operations!$H18/Operations!$I18)^0.5)^2)</f>
        <v>0</v>
      </c>
      <c r="R18" s="84">
        <f>IF(Operations!$N18=0,0,IF(Operations!$I18*Operations!$H18=0,0,(Operations!$P18-Operations!$Q18)/(Operations!$H18)))</f>
        <v>0</v>
      </c>
      <c r="S18" s="86">
        <f>IF(Operations!$H18=0,0,Operations!$P18*'General Variables'!$B$9/Operations!$H18)</f>
        <v>0</v>
      </c>
      <c r="T18" s="86">
        <f>IF(Operations!$H18=0,0,Operations!$P18*'General Variables'!$B$10/Operations!$H18)</f>
        <v>0</v>
      </c>
      <c r="U18" s="86">
        <f>SUM(Table3[[#This Row],[Depreciation per Unit]:[Opportunity Cost per Unit]])</f>
        <v>0</v>
      </c>
      <c r="W18" s="1" t="s">
        <v>470</v>
      </c>
      <c r="X18" s="1" t="s">
        <v>417</v>
      </c>
      <c r="Y18" s="2" t="s">
        <v>440</v>
      </c>
      <c r="Z18" s="2" t="s">
        <v>408</v>
      </c>
      <c r="AA18" s="4">
        <v>2000</v>
      </c>
      <c r="AK18" s="383"/>
      <c r="AL18" s="383"/>
      <c r="AM18" s="383"/>
    </row>
    <row r="19" spans="1:39" ht="12.75" customHeight="1" x14ac:dyDescent="0.25">
      <c r="A19" s="94" t="s">
        <v>942</v>
      </c>
      <c r="B19" s="77" t="s">
        <v>176</v>
      </c>
      <c r="C19" s="78" t="s">
        <v>446</v>
      </c>
      <c r="D19" s="78" t="s">
        <v>122</v>
      </c>
      <c r="E19" s="79">
        <v>45300</v>
      </c>
      <c r="F19" s="80"/>
      <c r="G19" s="79">
        <v>5</v>
      </c>
      <c r="H19" s="88">
        <v>1200</v>
      </c>
      <c r="I19" s="90">
        <v>13</v>
      </c>
      <c r="J19" s="82">
        <v>1.1000000000000001</v>
      </c>
      <c r="K19" s="78" t="s">
        <v>120</v>
      </c>
      <c r="L19" s="80">
        <v>10.468032786885246</v>
      </c>
      <c r="M19" s="82"/>
      <c r="N19" s="83">
        <f>IF(Operations!$E19&gt;1,Operations!$E19,IF(Operations!$D19=0,0,Operations!$F19/(VLOOKUP(Operations!$D19,ImpDepLookup,2,FALSE)-VLOOKUP(Operations!$D19,ImpDepLookup,3,FALSE)*Operations!$G19^0.5-VLOOKUP(Operations!$D19,ImpDepLookup,4,FALSE)*(Operations!$G19*(Operations!$G19*Operations!$H19/Operations!$I19)^0.5))^2))</f>
        <v>45300</v>
      </c>
      <c r="O19" s="84">
        <f>IF(Operations!$C19="",0,(((Operations!$G19+1)*Operations!$H19/Operations!$I19/1000)^VLOOKUP(Operations!$C19,ImpRepairFac[],4,FALSE)-(Operations!$G19*Operations!$H19/Operations!$I19/1000)^VLOOKUP(Operations!$C19,ImpRepairFac[],4,FALSE))*Operations!$N19*VLOOKUP(Operations!$C19,ImpRepairFac[],3,FALSE)/Operations!$H19)</f>
        <v>0.39863739935903109</v>
      </c>
      <c r="P19" s="85">
        <f>IF(Operations!$N19=0,0,Operations!$N19*(VLOOKUP(Operations!$D19,ImpDepLookup,2,FALSE)-VLOOKUP(Operations!$D19,ImpDepLookup,3,FALSE)*Operations!$G19^0.5-VLOOKUP(Operations!$D19,ImpDepLookup,4,FALSE)*(Operations!$G19*Operations!$H19/Operations!$I19)^0.5)^2)</f>
        <v>26375.628118530582</v>
      </c>
      <c r="Q19" s="85">
        <f>IF(Operations!$N19=0,0,Operations!$N19*(VLOOKUP(Operations!$D19,ImpDepLookup,2,FALSE)-VLOOKUP(Operations!$D19,ImpDepLookup,3,FALSE)*(Operations!$G19+1)^0.5-VLOOKUP(Operations!$D19,ImpDepLookup,4,FALSE)*(Operations!$G19*Operations!$H19/Operations!$I19)^0.5)^2)</f>
        <v>23997.34030937199</v>
      </c>
      <c r="R19" s="84">
        <f>IF(Operations!$N19=0,0,IF(Operations!$I19*Operations!$H19=0,0,(Operations!$P19-Operations!$Q19)/(Operations!$H19)))</f>
        <v>1.9819065076321598</v>
      </c>
      <c r="S19" s="86">
        <f>IF(Operations!$H19=0,0,Operations!$P19*'General Variables'!$B$9/Operations!$H19)</f>
        <v>0.43959380197550968</v>
      </c>
      <c r="T19" s="86">
        <f>IF(Operations!$H19=0,0,Operations!$P19*'General Variables'!$B$10/Operations!$H19)</f>
        <v>0.65939070296326452</v>
      </c>
      <c r="U19" s="86">
        <f>SUM(Table3[[#This Row],[Depreciation per Unit]:[Opportunity Cost per Unit]])</f>
        <v>3.0808910125709339</v>
      </c>
      <c r="W19" s="1" t="s">
        <v>471</v>
      </c>
      <c r="X19" s="1" t="s">
        <v>124</v>
      </c>
      <c r="Y19" s="2" t="s">
        <v>472</v>
      </c>
      <c r="Z19" s="2" t="s">
        <v>454</v>
      </c>
      <c r="AA19" s="4">
        <v>2000</v>
      </c>
      <c r="AK19" s="383"/>
      <c r="AL19" s="383"/>
      <c r="AM19" s="383"/>
    </row>
    <row r="20" spans="1:39" ht="12.75" customHeight="1" x14ac:dyDescent="0.25">
      <c r="A20" s="94" t="s">
        <v>945</v>
      </c>
      <c r="B20" s="77" t="s">
        <v>176</v>
      </c>
      <c r="C20" s="78" t="s">
        <v>446</v>
      </c>
      <c r="D20" s="78" t="s">
        <v>122</v>
      </c>
      <c r="E20" s="79">
        <v>60300</v>
      </c>
      <c r="F20" s="80"/>
      <c r="G20" s="79">
        <v>5</v>
      </c>
      <c r="H20" s="79">
        <v>1000</v>
      </c>
      <c r="I20" s="87">
        <v>13</v>
      </c>
      <c r="J20" s="82">
        <v>1.1000000000000001</v>
      </c>
      <c r="K20" s="78" t="s">
        <v>120</v>
      </c>
      <c r="L20" s="80">
        <v>10.5</v>
      </c>
      <c r="M20" s="82"/>
      <c r="N20" s="83">
        <f>IF(Operations!$E20&gt;1,Operations!$E20,IF(Operations!$D20=0,0,Operations!$F20/(VLOOKUP(Operations!$D20,ImpDepLookup,2,FALSE)-VLOOKUP(Operations!$D20,ImpDepLookup,3,FALSE)*Operations!$G20^0.5-VLOOKUP(Operations!$D20,ImpDepLookup,4,FALSE)*(Operations!$G20*(Operations!$G20*Operations!$H20/Operations!$I20)^0.5))^2))</f>
        <v>60300</v>
      </c>
      <c r="O20" s="84">
        <f>IF(Operations!$C20="",0,(((Operations!$G20+1)*Operations!$H20/Operations!$I20/1000)^VLOOKUP(Operations!$C20,ImpRepairFac[],4,FALSE)-(Operations!$G20*Operations!$H20/Operations!$I20/1000)^VLOOKUP(Operations!$C20,ImpRepairFac[],4,FALSE))*Operations!$N20*VLOOKUP(Operations!$C20,ImpRepairFac[],3,FALSE)/Operations!$H20)</f>
        <v>0.41866005983247262</v>
      </c>
      <c r="P20" s="85">
        <f>IF(Operations!$N20=0,0,Operations!$N20*(VLOOKUP(Operations!$D20,ImpDepLookup,2,FALSE)-VLOOKUP(Operations!$D20,ImpDepLookup,3,FALSE)*Operations!$G20^0.5-VLOOKUP(Operations!$D20,ImpDepLookup,4,FALSE)*(Operations!$G20*Operations!$H20/Operations!$I20)^0.5)^2)</f>
        <v>35109.279813408262</v>
      </c>
      <c r="Q20" s="85">
        <f>IF(Operations!$N20=0,0,Operations!$N20*(VLOOKUP(Operations!$D20,ImpDepLookup,2,FALSE)-VLOOKUP(Operations!$D20,ImpDepLookup,3,FALSE)*(Operations!$G20+1)^0.5-VLOOKUP(Operations!$D20,ImpDepLookup,4,FALSE)*(Operations!$G20*Operations!$H20/Operations!$I20)^0.5)^2)</f>
        <v>31943.479484660726</v>
      </c>
      <c r="R20" s="84">
        <f>IF(Operations!$N20=0,0,IF(Operations!$I20*Operations!$H20=0,0,(Operations!$P20-Operations!$Q20)/(Operations!$H20)))</f>
        <v>3.1658003287475367</v>
      </c>
      <c r="S20" s="86">
        <f>IF(Operations!$H20=0,0,Operations!$P20*'General Variables'!$B$9/Operations!$H20)</f>
        <v>0.70218559626816524</v>
      </c>
      <c r="T20" s="86">
        <f>IF(Operations!$H20=0,0,Operations!$P20*'General Variables'!$B$10/Operations!$H20)</f>
        <v>1.0532783944022479</v>
      </c>
      <c r="U20" s="86">
        <f>SUM(Table3[[#This Row],[Depreciation per Unit]:[Opportunity Cost per Unit]])</f>
        <v>4.9212643194179497</v>
      </c>
      <c r="W20" s="1" t="s">
        <v>473</v>
      </c>
      <c r="X20" s="1" t="s">
        <v>124</v>
      </c>
      <c r="Y20" s="2" t="s">
        <v>474</v>
      </c>
      <c r="Z20" s="2" t="s">
        <v>106</v>
      </c>
      <c r="AA20" s="4">
        <v>2000</v>
      </c>
      <c r="AK20" s="60"/>
      <c r="AL20" s="60"/>
      <c r="AM20" s="60"/>
    </row>
    <row r="21" spans="1:39" ht="12.75" customHeight="1" x14ac:dyDescent="0.25">
      <c r="A21" s="94" t="s">
        <v>475</v>
      </c>
      <c r="B21" s="77" t="s">
        <v>176</v>
      </c>
      <c r="C21" s="78" t="s">
        <v>476</v>
      </c>
      <c r="D21" s="78" t="s">
        <v>423</v>
      </c>
      <c r="E21" s="79">
        <v>72916</v>
      </c>
      <c r="F21" s="80"/>
      <c r="G21" s="79">
        <v>5</v>
      </c>
      <c r="H21" s="79">
        <v>300</v>
      </c>
      <c r="I21" s="87">
        <v>7.0212765957446823</v>
      </c>
      <c r="J21" s="82">
        <v>1.1000000000000001</v>
      </c>
      <c r="K21" s="78" t="s">
        <v>100</v>
      </c>
      <c r="L21" s="80">
        <v>4.3882978723404262</v>
      </c>
      <c r="M21" s="82"/>
      <c r="N21" s="83">
        <f>IF(Operations!$E21&gt;1,Operations!$E21,IF(Operations!$D21=0,0,Operations!$F21/(VLOOKUP(Operations!$D21,ImpDepLookup,2,FALSE)-VLOOKUP(Operations!$D21,ImpDepLookup,3,FALSE)*Operations!$G21^0.5-VLOOKUP(Operations!$D21,ImpDepLookup,4,FALSE)*(Operations!$G21*(Operations!$G21*Operations!$H21/Operations!$I21)^0.5))^2))</f>
        <v>72916</v>
      </c>
      <c r="O21" s="84">
        <f>IF(Operations!$C21="",0,(((Operations!$G21+1)*Operations!$H21/Operations!$I21/1000)^VLOOKUP(Operations!$C21,ImpRepairFac[],4,FALSE)-(Operations!$G21*Operations!$H21/Operations!$I21/1000)^VLOOKUP(Operations!$C21,ImpRepairFac[],4,FALSE))*Operations!$N21*VLOOKUP(Operations!$C21,ImpRepairFac[],3,FALSE)/Operations!$H21)</f>
        <v>2.1987804112794263</v>
      </c>
      <c r="P21" s="85">
        <f>IF(Operations!$N21=0,0,Operations!$N21*(VLOOKUP(Operations!$D21,ImpDepLookup,2,FALSE)-VLOOKUP(Operations!$D21,ImpDepLookup,3,FALSE)*Operations!$G21^0.5-VLOOKUP(Operations!$D21,ImpDepLookup,4,FALSE)*(Operations!$G21*Operations!$H21/Operations!$I21)^0.5)^2)</f>
        <v>30337.93809446161</v>
      </c>
      <c r="Q21" s="85">
        <f>IF(Operations!$N21=0,0,Operations!$N21*(VLOOKUP(Operations!$D21,ImpDepLookup,2,FALSE)-VLOOKUP(Operations!$D21,ImpDepLookup,3,FALSE)*(Operations!$G21+1)^0.5-VLOOKUP(Operations!$D21,ImpDepLookup,4,FALSE)*(Operations!$G21*Operations!$H21/Operations!$I21)^0.5)^2)</f>
        <v>28169.785615501776</v>
      </c>
      <c r="R21" s="84">
        <f>IF(Operations!$N21=0,0,IF(Operations!$I21*Operations!$H21=0,0,(Operations!$P21-Operations!$Q21)/(Operations!$H21)))</f>
        <v>7.227174929866111</v>
      </c>
      <c r="S21" s="86">
        <f>IF(Operations!$H21=0,0,Operations!$P21*'General Variables'!$B$9/Operations!$H21)</f>
        <v>2.0225292062974409</v>
      </c>
      <c r="T21" s="86">
        <f>IF(Operations!$H21=0,0,Operations!$P21*'General Variables'!$B$10/Operations!$H21)</f>
        <v>3.0337938094461609</v>
      </c>
      <c r="U21" s="86">
        <f>SUM(Table3[[#This Row],[Depreciation per Unit]:[Opportunity Cost per Unit]])</f>
        <v>12.283497945609712</v>
      </c>
      <c r="W21" s="1" t="s">
        <v>477</v>
      </c>
      <c r="X21" s="1" t="s">
        <v>124</v>
      </c>
      <c r="Y21" s="2" t="s">
        <v>453</v>
      </c>
      <c r="Z21" s="2" t="s">
        <v>401</v>
      </c>
      <c r="AA21" s="3">
        <v>2500</v>
      </c>
    </row>
    <row r="22" spans="1:39" ht="12.75" customHeight="1" x14ac:dyDescent="0.25">
      <c r="A22" s="94" t="s">
        <v>478</v>
      </c>
      <c r="B22" s="77" t="s">
        <v>176</v>
      </c>
      <c r="C22" s="78" t="s">
        <v>479</v>
      </c>
      <c r="D22" s="78" t="s">
        <v>423</v>
      </c>
      <c r="E22" s="79">
        <v>72916</v>
      </c>
      <c r="F22" s="80"/>
      <c r="G22" s="79">
        <v>5</v>
      </c>
      <c r="H22" s="79">
        <v>1500</v>
      </c>
      <c r="I22" s="89">
        <v>10.90909090909091</v>
      </c>
      <c r="J22" s="82">
        <v>1.1000000000000001</v>
      </c>
      <c r="K22" s="78" t="s">
        <v>100</v>
      </c>
      <c r="L22" s="80">
        <v>8.290909090909091</v>
      </c>
      <c r="M22" s="82"/>
      <c r="N22" s="83">
        <f>IF(Operations!$E22&gt;1,Operations!$E22,IF(Operations!$D22=0,0,Operations!$F22/(VLOOKUP(Operations!$D22,ImpDepLookup,2,FALSE)-VLOOKUP(Operations!$D22,ImpDepLookup,3,FALSE)*Operations!$G22^0.5-VLOOKUP(Operations!$D22,ImpDepLookup,4,FALSE)*(Operations!$G22*(Operations!$G22*Operations!$H22/Operations!$I22)^0.5))^2))</f>
        <v>72916</v>
      </c>
      <c r="O22" s="84">
        <f>IF(Operations!$C22="",0,(((Operations!$G22+1)*Operations!$H22/Operations!$I22/1000)^VLOOKUP(Operations!$C22,ImpRepairFac[],4,FALSE)-(Operations!$G22*Operations!$H22/Operations!$I22/1000)^VLOOKUP(Operations!$C22,ImpRepairFac[],4,FALSE))*Operations!$N22*VLOOKUP(Operations!$C22,ImpRepairFac[],3,FALSE)/Operations!$H22)</f>
        <v>1.6814953745022196</v>
      </c>
      <c r="P22" s="85">
        <f>IF(Operations!$N22=0,0,Operations!$N22*(VLOOKUP(Operations!$D22,ImpDepLookup,2,FALSE)-VLOOKUP(Operations!$D22,ImpDepLookup,3,FALSE)*Operations!$G22^0.5-VLOOKUP(Operations!$D22,ImpDepLookup,4,FALSE)*(Operations!$G22*Operations!$H22/Operations!$I22)^0.5)^2)</f>
        <v>30337.93809446161</v>
      </c>
      <c r="Q22" s="85">
        <f>IF(Operations!$N22=0,0,Operations!$N22*(VLOOKUP(Operations!$D22,ImpDepLookup,2,FALSE)-VLOOKUP(Operations!$D22,ImpDepLookup,3,FALSE)*(Operations!$G22+1)^0.5-VLOOKUP(Operations!$D22,ImpDepLookup,4,FALSE)*(Operations!$G22*Operations!$H22/Operations!$I22)^0.5)^2)</f>
        <v>28169.785615501776</v>
      </c>
      <c r="R22" s="84">
        <f>IF(Operations!$N22=0,0,IF(Operations!$I22*Operations!$H22=0,0,(Operations!$P22-Operations!$Q22)/(Operations!$H22)))</f>
        <v>1.4454349859732223</v>
      </c>
      <c r="S22" s="86">
        <f>IF(Operations!$H22=0,0,Operations!$P22*'General Variables'!$B$9/Operations!$H22)</f>
        <v>0.40450584125948813</v>
      </c>
      <c r="T22" s="86">
        <f>IF(Operations!$H22=0,0,Operations!$P22*'General Variables'!$B$10/Operations!$H22)</f>
        <v>0.60675876188923217</v>
      </c>
      <c r="U22" s="86">
        <f>SUM(Table3[[#This Row],[Depreciation per Unit]:[Opportunity Cost per Unit]])</f>
        <v>2.4566995891219428</v>
      </c>
      <c r="W22" s="1" t="s">
        <v>480</v>
      </c>
      <c r="X22" s="1" t="s">
        <v>124</v>
      </c>
      <c r="Y22" s="2" t="s">
        <v>481</v>
      </c>
      <c r="Z22" s="2" t="s">
        <v>106</v>
      </c>
      <c r="AA22" s="4">
        <v>2500</v>
      </c>
    </row>
    <row r="23" spans="1:39" ht="12.75" customHeight="1" x14ac:dyDescent="0.25">
      <c r="A23" s="94" t="s">
        <v>482</v>
      </c>
      <c r="B23" s="77" t="s">
        <v>483</v>
      </c>
      <c r="C23" s="77"/>
      <c r="D23" s="77"/>
      <c r="E23" s="79"/>
      <c r="F23" s="80"/>
      <c r="G23" s="79">
        <v>5</v>
      </c>
      <c r="H23" s="79">
        <v>1000</v>
      </c>
      <c r="I23" s="87">
        <v>1.8</v>
      </c>
      <c r="J23" s="91">
        <v>0.1</v>
      </c>
      <c r="K23" s="78" t="s">
        <v>148</v>
      </c>
      <c r="L23" s="80">
        <v>0</v>
      </c>
      <c r="M23" s="82"/>
      <c r="N23" s="83">
        <f>IF(Operations!$E23&gt;1,Operations!$E23,IF(Operations!$D23=0,0,Operations!$F23/(VLOOKUP(Operations!$D23,ImpDepLookup,2,FALSE)-VLOOKUP(Operations!$D23,ImpDepLookup,3,FALSE)*Operations!$G23^0.5-VLOOKUP(Operations!$D23,ImpDepLookup,4,FALSE)*(Operations!$G23*(Operations!$G23*Operations!$H23/Operations!$I23)^0.5))^2))</f>
        <v>0</v>
      </c>
      <c r="O23" s="84">
        <f>IF(Operations!$C23="",0,(((Operations!$G23+1)*Operations!$H23/Operations!$I23/1000)^VLOOKUP(Operations!$C23,ImpRepairFac[],4,FALSE)-(Operations!$G23*Operations!$H23/Operations!$I23/1000)^VLOOKUP(Operations!$C23,ImpRepairFac[],4,FALSE))*Operations!$N23*VLOOKUP(Operations!$C23,ImpRepairFac[],3,FALSE)/Operations!$H23)</f>
        <v>0</v>
      </c>
      <c r="P23" s="85">
        <f>IF(Operations!$N23=0,0,Operations!$N23*(VLOOKUP(Operations!$D23,ImpDepLookup,2,FALSE)-VLOOKUP(Operations!$D23,ImpDepLookup,3,FALSE)*Operations!$G23^0.5-VLOOKUP(Operations!$D23,ImpDepLookup,4,FALSE)*(Operations!$G23*Operations!$H23/Operations!$I23)^0.5)^2)</f>
        <v>0</v>
      </c>
      <c r="Q23" s="85">
        <f>IF(Operations!$N23=0,0,Operations!$N23*(VLOOKUP(Operations!$D23,ImpDepLookup,2,FALSE)-VLOOKUP(Operations!$D23,ImpDepLookup,3,FALSE)*(Operations!$G23+1)^0.5-VLOOKUP(Operations!$D23,ImpDepLookup,4,FALSE)*(Operations!$G23*Operations!$H23/Operations!$I23)^0.5)^2)</f>
        <v>0</v>
      </c>
      <c r="R23" s="84">
        <f>IF(Operations!$N23=0,0,IF(Operations!$I23*Operations!$H23=0,0,(Operations!$P23-Operations!$Q23)/(Operations!$H23)))</f>
        <v>0</v>
      </c>
      <c r="S23" s="86">
        <f>IF(Operations!$H23=0,0,Operations!$P23*'General Variables'!$B$9/Operations!$H23)</f>
        <v>0</v>
      </c>
      <c r="T23" s="86">
        <f>IF(Operations!$H23=0,0,Operations!$P23*'General Variables'!$B$10/Operations!$H23)</f>
        <v>0</v>
      </c>
      <c r="U23" s="86">
        <f>SUM(Table3[[#This Row],[Depreciation per Unit]:[Opportunity Cost per Unit]])</f>
        <v>0</v>
      </c>
      <c r="W23" s="1" t="s">
        <v>484</v>
      </c>
      <c r="X23" s="1" t="s">
        <v>417</v>
      </c>
      <c r="Y23" s="2" t="s">
        <v>481</v>
      </c>
      <c r="Z23" s="2" t="s">
        <v>463</v>
      </c>
      <c r="AA23" s="4">
        <v>2000</v>
      </c>
    </row>
    <row r="24" spans="1:39" ht="12.75" customHeight="1" x14ac:dyDescent="0.25">
      <c r="A24" s="94" t="s">
        <v>485</v>
      </c>
      <c r="B24" s="77" t="s">
        <v>176</v>
      </c>
      <c r="C24" s="78" t="s">
        <v>486</v>
      </c>
      <c r="D24" s="78" t="s">
        <v>158</v>
      </c>
      <c r="E24" s="88">
        <v>54000</v>
      </c>
      <c r="F24" s="80"/>
      <c r="G24" s="79">
        <v>20</v>
      </c>
      <c r="H24" s="79">
        <v>300</v>
      </c>
      <c r="I24" s="87">
        <v>20</v>
      </c>
      <c r="J24" s="82">
        <v>1.1000000000000001</v>
      </c>
      <c r="K24" s="78" t="s">
        <v>112</v>
      </c>
      <c r="L24" s="80">
        <v>2.1070422535211271</v>
      </c>
      <c r="M24" s="82"/>
      <c r="N24" s="83">
        <f>IF(Operations!$E24&gt;1,Operations!$E24,IF(Operations!$D24=0,0,Operations!$F24/(VLOOKUP(Operations!$D24,ImpDepLookup,2,FALSE)-VLOOKUP(Operations!$D24,ImpDepLookup,3,FALSE)*Operations!$G24^0.5-VLOOKUP(Operations!$D24,ImpDepLookup,4,FALSE)*(Operations!$G24*(Operations!$G24*Operations!$H24/Operations!$I24)^0.5))^2))</f>
        <v>54000</v>
      </c>
      <c r="O24" s="84">
        <f>IF(Operations!$C24="",0,(((Operations!$G24+1)*Operations!$H24/Operations!$I24/1000)^VLOOKUP(Operations!$C24,ImpRepairFac[],4,FALSE)-(Operations!$G24*Operations!$H24/Operations!$I24/1000)^VLOOKUP(Operations!$C24,ImpRepairFac[],4,FALSE))*Operations!$N24*VLOOKUP(Operations!$C24,ImpRepairFac[],3,FALSE)/Operations!$H24)</f>
        <v>0.40092988891107956</v>
      </c>
      <c r="P24" s="85">
        <f>IF(Operations!$N24=0,0,Operations!$N24*(VLOOKUP(Operations!$D24,ImpDepLookup,2,FALSE)-VLOOKUP(Operations!$D24,ImpDepLookup,3,FALSE)*Operations!$G24^0.5-VLOOKUP(Operations!$D24,ImpDepLookup,4,FALSE)*(Operations!$G24*Operations!$H24/Operations!$I24)^0.5)^2)</f>
        <v>7964.1016369029321</v>
      </c>
      <c r="Q24" s="85">
        <f>IF(Operations!$N24=0,0,Operations!$N24*(VLOOKUP(Operations!$D24,ImpDepLookup,2,FALSE)-VLOOKUP(Operations!$D24,ImpDepLookup,3,FALSE)*(Operations!$G24+1)^0.5-VLOOKUP(Operations!$D24,ImpDepLookup,4,FALSE)*(Operations!$G24*Operations!$H24/Operations!$I24)^0.5)^2)</f>
        <v>7552.7228413494404</v>
      </c>
      <c r="R24" s="84">
        <f>IF(Operations!$N24=0,0,IF(Operations!$I24*Operations!$H24=0,0,(Operations!$P24-Operations!$Q24)/(Operations!$H24)))</f>
        <v>1.3712626518449724</v>
      </c>
      <c r="S24" s="86">
        <f>IF(Operations!$H24=0,0,Operations!$P24*'General Variables'!$B$9/Operations!$H24)</f>
        <v>0.53094010912686207</v>
      </c>
      <c r="T24" s="86">
        <f>IF(Operations!$H24=0,0,Operations!$P24*'General Variables'!$B$10/Operations!$H24)</f>
        <v>0.79641016369029316</v>
      </c>
      <c r="U24" s="86">
        <f>SUM(Table3[[#This Row],[Depreciation per Unit]:[Opportunity Cost per Unit]])</f>
        <v>2.6986129246621275</v>
      </c>
      <c r="W24" s="1" t="s">
        <v>487</v>
      </c>
      <c r="X24" s="1" t="s">
        <v>417</v>
      </c>
      <c r="Y24" s="2" t="s">
        <v>459</v>
      </c>
      <c r="Z24" s="2" t="s">
        <v>126</v>
      </c>
      <c r="AA24" s="4">
        <v>1500</v>
      </c>
    </row>
    <row r="25" spans="1:39" ht="12.75" customHeight="1" x14ac:dyDescent="0.25">
      <c r="A25" s="94" t="s">
        <v>488</v>
      </c>
      <c r="B25" s="77" t="s">
        <v>176</v>
      </c>
      <c r="C25" s="78" t="s">
        <v>489</v>
      </c>
      <c r="D25" s="78" t="s">
        <v>490</v>
      </c>
      <c r="E25" s="79">
        <v>103565</v>
      </c>
      <c r="F25" s="80"/>
      <c r="G25" s="79">
        <v>10</v>
      </c>
      <c r="H25" s="79">
        <v>1500</v>
      </c>
      <c r="I25" s="89">
        <v>12.5</v>
      </c>
      <c r="J25" s="82">
        <v>1.1000000000000001</v>
      </c>
      <c r="K25" s="78" t="s">
        <v>112</v>
      </c>
      <c r="L25" s="80">
        <v>4.9866666666666672</v>
      </c>
      <c r="M25" s="82"/>
      <c r="N25" s="83">
        <f>IF(Operations!$E25&gt;1,Operations!$E25,IF(Operations!$D25=0,0,Operations!$F25/(VLOOKUP(Operations!$D25,ImpDepLookup,2,FALSE)-VLOOKUP(Operations!$D25,ImpDepLookup,3,FALSE)*Operations!$G25^0.5-VLOOKUP(Operations!$D25,ImpDepLookup,4,FALSE)*(Operations!$G25*(Operations!$G25*Operations!$H25/Operations!$I25)^0.5))^2))</f>
        <v>103565</v>
      </c>
      <c r="O25" s="84">
        <f>IF(Operations!$C25="",0,(((Operations!$G25+1)*Operations!$H25/Operations!$I25/1000)^VLOOKUP(Operations!$C25,ImpRepairFac[],4,FALSE)-(Operations!$G25*Operations!$H25/Operations!$I25/1000)^VLOOKUP(Operations!$C25,ImpRepairFac[],4,FALSE))*Operations!$N25*VLOOKUP(Operations!$C25,ImpRepairFac[],3,FALSE)/Operations!$H25)</f>
        <v>7.1795616135308773</v>
      </c>
      <c r="P25" s="85">
        <f>IF(Operations!$N25=0,0,Operations!$N25*(VLOOKUP(Operations!$D25,ImpDepLookup,2,FALSE)-VLOOKUP(Operations!$D25,ImpDepLookup,3,FALSE)*Operations!$G25^0.5-VLOOKUP(Operations!$D25,ImpDepLookup,4,FALSE)*(Operations!$G25*Operations!$H25/Operations!$I25)^0.5)^2)</f>
        <v>41936.738758243911</v>
      </c>
      <c r="Q25" s="85">
        <f>IF(Operations!$N25=0,0,Operations!$N25*(VLOOKUP(Operations!$D25,ImpDepLookup,2,FALSE)-VLOOKUP(Operations!$D25,ImpDepLookup,3,FALSE)*(Operations!$G25+1)^0.5-VLOOKUP(Operations!$D25,ImpDepLookup,4,FALSE)*(Operations!$G25*Operations!$H25/Operations!$I25)^0.5)^2)</f>
        <v>40364.931874080459</v>
      </c>
      <c r="R25" s="84">
        <f>IF(Operations!$N25=0,0,IF(Operations!$I25*Operations!$H25=0,0,(Operations!$P25-Operations!$Q25)/(Operations!$H25)))</f>
        <v>1.047871256108968</v>
      </c>
      <c r="S25" s="86">
        <f>IF(Operations!$H25=0,0,Operations!$P25*'General Variables'!$B$9/Operations!$H25)</f>
        <v>0.55915651677658551</v>
      </c>
      <c r="T25" s="86">
        <f>IF(Operations!$H25=0,0,Operations!$P25*'General Variables'!$B$10/Operations!$H25)</f>
        <v>0.83873477516487827</v>
      </c>
      <c r="U25" s="86">
        <f>SUM(Table3[[#This Row],[Depreciation per Unit]:[Opportunity Cost per Unit]])</f>
        <v>2.4457625480504319</v>
      </c>
      <c r="W25" s="1" t="s">
        <v>491</v>
      </c>
      <c r="X25" s="1" t="s">
        <v>417</v>
      </c>
      <c r="Y25" s="2" t="s">
        <v>492</v>
      </c>
      <c r="Z25" s="2" t="s">
        <v>134</v>
      </c>
      <c r="AA25" s="3">
        <v>2000</v>
      </c>
    </row>
    <row r="26" spans="1:39" ht="12.75" customHeight="1" x14ac:dyDescent="0.25">
      <c r="A26" s="94" t="s">
        <v>493</v>
      </c>
      <c r="B26" s="77" t="s">
        <v>176</v>
      </c>
      <c r="C26" s="78" t="s">
        <v>489</v>
      </c>
      <c r="D26" s="78" t="s">
        <v>490</v>
      </c>
      <c r="E26" s="79">
        <v>124778</v>
      </c>
      <c r="F26" s="80"/>
      <c r="G26" s="79">
        <v>7</v>
      </c>
      <c r="H26" s="79">
        <v>1000</v>
      </c>
      <c r="I26" s="81">
        <v>11</v>
      </c>
      <c r="J26" s="82">
        <v>1.2</v>
      </c>
      <c r="K26" s="78" t="s">
        <v>112</v>
      </c>
      <c r="L26" s="80">
        <v>5</v>
      </c>
      <c r="M26" s="82"/>
      <c r="N26" s="83" cm="1">
        <f t="array" ref="N26">IF(Operations!$E26&gt;1,Operations!$E26,IF(Operations!$D26=0,0,Operations!$F26/(VLOOKUP(Operations!$D26,ImpDepLookup,2,FALSE)-VLOOKUP(Operations!$D26,ImpDepLookup,3,FALSE)*Operations!$G26^0.5-VLOOKUP(Operations!$D26,ImpDepLookup,4,FALSE)*(Operations!$G26*(Operations!$G26*Operations!$H26/Operations!G25:H25)^0.5))^2))</f>
        <v>124778</v>
      </c>
      <c r="O26" s="84">
        <f>IF(Operations!$C26="",0,(((Operations!$G26+1)*Operations!$H26/Operations!$I26/1000)^VLOOKUP(Operations!$C26,ImpRepairFac[],4,FALSE)-(Operations!$G26*Operations!$H26/Operations!$I26/1000)^VLOOKUP(Operations!$C26,ImpRepairFac[],4,FALSE))*Operations!$N26*VLOOKUP(Operations!$C26,ImpRepairFac[],3,FALSE)/Operations!$H26)</f>
        <v>5.0024809469611009</v>
      </c>
      <c r="P26" s="85">
        <f>IF(Operations!$N26=0,0,Operations!$N26*(VLOOKUP(Operations!$D26,ImpDepLookup,2,FALSE)-VLOOKUP(Operations!$D26,ImpDepLookup,3,FALSE)*Operations!$G26^0.5-VLOOKUP(Operations!$D26,ImpDepLookup,4,FALSE)*(Operations!$G26*Operations!$H26/Operations!$I26)^0.5)^2)</f>
        <v>57127.117779688771</v>
      </c>
      <c r="Q26" s="85">
        <f>IF(Operations!$N26=0,0,Operations!$N26*(VLOOKUP(Operations!$D26,ImpDepLookup,2,FALSE)-VLOOKUP(Operations!$D26,ImpDepLookup,3,FALSE)*(Operations!$G26+1)^0.5-VLOOKUP(Operations!$D26,ImpDepLookup,4,FALSE)*(Operations!$G26*Operations!$H26/Operations!$I26)^0.5)^2)</f>
        <v>54746.449870424382</v>
      </c>
      <c r="R26" s="84">
        <f>IF(Operations!$N26=0,0,IF(Operations!$I26*Operations!$H26=0,0,(Operations!$P26-Operations!$Q26)/(Operations!$H26)))</f>
        <v>2.3806679092643899</v>
      </c>
      <c r="S26" s="86">
        <f>IF(Operations!$H26=0,0,Operations!$P26*'General Variables'!$B$9/Operations!$H26)</f>
        <v>1.1425423555937755</v>
      </c>
      <c r="T26" s="86">
        <f>IF(Operations!$H26=0,0,Operations!$P26*'General Variables'!$B$10/Operations!$H26)</f>
        <v>1.713813533390663</v>
      </c>
      <c r="U26" s="86">
        <f>SUM(Table3[[#This Row],[Depreciation per Unit]:[Opportunity Cost per Unit]])</f>
        <v>5.2370237982488286</v>
      </c>
      <c r="W26" s="1" t="s">
        <v>494</v>
      </c>
      <c r="X26" s="1" t="s">
        <v>124</v>
      </c>
      <c r="Y26" s="2" t="s">
        <v>495</v>
      </c>
      <c r="Z26" s="2" t="s">
        <v>408</v>
      </c>
      <c r="AA26" s="4">
        <v>2500</v>
      </c>
    </row>
    <row r="27" spans="1:39" ht="12.75" customHeight="1" x14ac:dyDescent="0.25">
      <c r="A27" s="94" t="s">
        <v>496</v>
      </c>
      <c r="B27" s="77" t="s">
        <v>191</v>
      </c>
      <c r="C27" s="77"/>
      <c r="D27" s="77"/>
      <c r="E27" s="79"/>
      <c r="F27" s="80"/>
      <c r="G27" s="79"/>
      <c r="H27" s="79"/>
      <c r="I27" s="87" t="s">
        <v>430</v>
      </c>
      <c r="J27" s="82"/>
      <c r="K27" s="78"/>
      <c r="L27" s="80" t="s">
        <v>430</v>
      </c>
      <c r="M27" s="82"/>
      <c r="N27" s="83">
        <f>IF(Operations!$E27&gt;1,Operations!$E27,IF(Operations!$D27=0,0,Operations!$F27/(VLOOKUP(Operations!$D27,ImpDepLookup,2,FALSE)-VLOOKUP(Operations!$D27,ImpDepLookup,3,FALSE)*Operations!$G27^0.5-VLOOKUP(Operations!$D27,ImpDepLookup,4,FALSE)*(Operations!$G27*(Operations!$G27*Operations!$H27/Operations!$I27)^0.5))^2))</f>
        <v>0</v>
      </c>
      <c r="O27" s="84">
        <f>IF(Operations!$C27="",0,(((Operations!$G27+1)*Operations!$H27/Operations!$I27/1000)^VLOOKUP(Operations!$C27,ImpRepairFac[],4,FALSE)-(Operations!$G27*Operations!$H27/Operations!$I27/1000)^VLOOKUP(Operations!$C27,ImpRepairFac[],4,FALSE))*Operations!$N27*VLOOKUP(Operations!$C27,ImpRepairFac[],3,FALSE)/Operations!$H27)</f>
        <v>0</v>
      </c>
      <c r="P27" s="85">
        <f>IF(Operations!$N27=0,0,Operations!$N27*(VLOOKUP(Operations!$D27,ImpDepLookup,2,FALSE)-VLOOKUP(Operations!$D27,ImpDepLookup,3,FALSE)*Operations!$G27^0.5-VLOOKUP(Operations!$D27,ImpDepLookup,4,FALSE)*(Operations!$G27*Operations!$H27/Operations!$I27)^0.5)^2)</f>
        <v>0</v>
      </c>
      <c r="Q27" s="85">
        <f>IF(Operations!$N27=0,0,Operations!$N27*(VLOOKUP(Operations!$D27,ImpDepLookup,2,FALSE)-VLOOKUP(Operations!$D27,ImpDepLookup,3,FALSE)*(Operations!$G27+1)^0.5-VLOOKUP(Operations!$D27,ImpDepLookup,4,FALSE)*(Operations!$G27*Operations!$H27/Operations!$I27)^0.5)^2)</f>
        <v>0</v>
      </c>
      <c r="R27" s="84">
        <f>IF(Operations!$N27=0,0,IF(Operations!$I27*Operations!$H27=0,0,(Operations!$P27-Operations!$Q27)/(Operations!$H27)))</f>
        <v>0</v>
      </c>
      <c r="S27" s="86">
        <f>IF(Operations!$H27=0,0,Operations!$P27*'General Variables'!$B$9/Operations!$H27)</f>
        <v>0</v>
      </c>
      <c r="T27" s="86">
        <f>IF(Operations!$H27=0,0,Operations!$P27*'General Variables'!$B$10/Operations!$H27)</f>
        <v>0</v>
      </c>
      <c r="U27" s="86">
        <f>SUM(Table3[[#This Row],[Depreciation per Unit]:[Opportunity Cost per Unit]])</f>
        <v>0</v>
      </c>
      <c r="W27" s="1" t="s">
        <v>497</v>
      </c>
      <c r="X27" s="1" t="s">
        <v>124</v>
      </c>
      <c r="Y27" s="2" t="s">
        <v>448</v>
      </c>
      <c r="Z27" s="2" t="s">
        <v>408</v>
      </c>
      <c r="AA27" s="4">
        <v>2500</v>
      </c>
    </row>
    <row r="28" spans="1:39" ht="12.75" customHeight="1" x14ac:dyDescent="0.25">
      <c r="A28" s="94" t="s">
        <v>498</v>
      </c>
      <c r="B28" s="77" t="s">
        <v>176</v>
      </c>
      <c r="C28" s="78" t="s">
        <v>476</v>
      </c>
      <c r="D28" s="78" t="s">
        <v>423</v>
      </c>
      <c r="E28" s="79">
        <v>96345</v>
      </c>
      <c r="F28" s="80"/>
      <c r="G28" s="79">
        <v>5</v>
      </c>
      <c r="H28" s="79">
        <v>2000</v>
      </c>
      <c r="I28" s="87">
        <v>15</v>
      </c>
      <c r="J28" s="82">
        <v>1.1000000000000001</v>
      </c>
      <c r="K28" s="78" t="s">
        <v>100</v>
      </c>
      <c r="L28" s="80">
        <v>8.1967741935483875</v>
      </c>
      <c r="M28" s="82"/>
      <c r="N28" s="83">
        <f>IF(Operations!$E28&gt;1,Operations!$E28,IF(Operations!$D28=0,0,Operations!$F28/(VLOOKUP(Operations!$D28,ImpDepLookup,2,FALSE)-VLOOKUP(Operations!$D28,ImpDepLookup,3,FALSE)*Operations!$G28^0.5-VLOOKUP(Operations!$D28,ImpDepLookup,4,FALSE)*(Operations!$G28*(Operations!$G28*Operations!$H28/Operations!$I28)^0.5))^2))</f>
        <v>96345</v>
      </c>
      <c r="O28" s="84">
        <f>IF(Operations!$C28="",0,(((Operations!$G28+1)*Operations!$H28/Operations!$I28/1000)^VLOOKUP(Operations!$C28,ImpRepairFac[],4,FALSE)-(Operations!$G28*Operations!$H28/Operations!$I28/1000)^VLOOKUP(Operations!$C28,ImpRepairFac[],4,FALSE))*Operations!$N28*VLOOKUP(Operations!$C28,ImpRepairFac[],3,FALSE)/Operations!$H28)</f>
        <v>2.1439095184671562</v>
      </c>
      <c r="P28" s="85">
        <f>IF(Operations!$N28=0,0,Operations!$N28*(VLOOKUP(Operations!$D28,ImpDepLookup,2,FALSE)-VLOOKUP(Operations!$D28,ImpDepLookup,3,FALSE)*Operations!$G28^0.5-VLOOKUP(Operations!$D28,ImpDepLookup,4,FALSE)*(Operations!$G28*Operations!$H28/Operations!$I28)^0.5)^2)</f>
        <v>40085.970784339566</v>
      </c>
      <c r="Q28" s="85">
        <f>IF(Operations!$N28=0,0,Operations!$N28*(VLOOKUP(Operations!$D28,ImpDepLookup,2,FALSE)-VLOOKUP(Operations!$D28,ImpDepLookup,3,FALSE)*(Operations!$G28+1)^0.5-VLOOKUP(Operations!$D28,ImpDepLookup,4,FALSE)*(Operations!$G28*Operations!$H28/Operations!$I28)^0.5)^2)</f>
        <v>37221.158526599356</v>
      </c>
      <c r="R28" s="84">
        <f>IF(Operations!$N28=0,0,IF(Operations!$I28*Operations!$H28=0,0,(Operations!$P28-Operations!$Q28)/(Operations!$H28)))</f>
        <v>1.4324061288701051</v>
      </c>
      <c r="S28" s="86">
        <f>IF(Operations!$H28=0,0,Operations!$P28*'General Variables'!$B$9/Operations!$H28)</f>
        <v>0.40085970784339564</v>
      </c>
      <c r="T28" s="86">
        <f>IF(Operations!$H28=0,0,Operations!$P28*'General Variables'!$B$10/Operations!$H28)</f>
        <v>0.60128956176509352</v>
      </c>
      <c r="U28" s="86">
        <f>SUM(Table3[[#This Row],[Depreciation per Unit]:[Opportunity Cost per Unit]])</f>
        <v>2.4345553984785941</v>
      </c>
      <c r="W28" s="1" t="s">
        <v>499</v>
      </c>
      <c r="X28" s="1" t="s">
        <v>417</v>
      </c>
      <c r="Y28" s="2" t="s">
        <v>481</v>
      </c>
      <c r="Z28" s="2" t="s">
        <v>463</v>
      </c>
      <c r="AA28" s="4">
        <v>2000</v>
      </c>
    </row>
    <row r="29" spans="1:39" ht="12.75" customHeight="1" x14ac:dyDescent="0.25">
      <c r="A29" s="94" t="s">
        <v>304</v>
      </c>
      <c r="B29" s="77" t="s">
        <v>176</v>
      </c>
      <c r="C29" s="77" t="s">
        <v>489</v>
      </c>
      <c r="D29" s="77" t="s">
        <v>490</v>
      </c>
      <c r="E29" s="79">
        <v>75005</v>
      </c>
      <c r="F29" s="80"/>
      <c r="G29" s="79">
        <v>5</v>
      </c>
      <c r="H29" s="79">
        <v>1000</v>
      </c>
      <c r="I29" s="87">
        <v>9</v>
      </c>
      <c r="J29" s="82">
        <v>1.1000000000000001</v>
      </c>
      <c r="K29" s="78" t="s">
        <v>112</v>
      </c>
      <c r="L29" s="80">
        <v>4.2936802973977706</v>
      </c>
      <c r="M29" s="82"/>
      <c r="N29" s="83">
        <f>IF(Operations!$E29&gt;1,Operations!$E29,IF(Operations!$D29=0,0,Operations!$F29/(VLOOKUP(Operations!$D29,ImpDepLookup,2,FALSE)-VLOOKUP(Operations!$D29,ImpDepLookup,3,FALSE)*Operations!$G29^0.5-VLOOKUP(Operations!$D29,ImpDepLookup,4,FALSE)*(Operations!$G29*(Operations!$G29*Operations!$H29/Operations!$I29)^0.5))^2))</f>
        <v>75005</v>
      </c>
      <c r="O29" s="84">
        <f>IF(Operations!$C29="",0,(((Operations!$G29+1)*Operations!$H29/Operations!$I29/1000)^VLOOKUP(Operations!$C29,ImpRepairFac[],4,FALSE)-(Operations!$G29*Operations!$H29/Operations!$I29/1000)^VLOOKUP(Operations!$C29,ImpRepairFac[],4,FALSE))*Operations!$N29*VLOOKUP(Operations!$C29,ImpRepairFac[],3,FALSE)/Operations!$H29)</f>
        <v>3.2584797085598916</v>
      </c>
      <c r="P29" s="85">
        <f>IF(Operations!$N29=0,0,Operations!$N29*(VLOOKUP(Operations!$D29,ImpDepLookup,2,FALSE)-VLOOKUP(Operations!$D29,ImpDepLookup,3,FALSE)*Operations!$G29^0.5-VLOOKUP(Operations!$D29,ImpDepLookup,4,FALSE)*(Operations!$G29*Operations!$H29/Operations!$I29)^0.5)^2)</f>
        <v>37659.643593193097</v>
      </c>
      <c r="Q29" s="85">
        <f>IF(Operations!$N29=0,0,Operations!$N29*(VLOOKUP(Operations!$D29,ImpDepLookup,2,FALSE)-VLOOKUP(Operations!$D29,ImpDepLookup,3,FALSE)*(Operations!$G29+1)^0.5-VLOOKUP(Operations!$D29,ImpDepLookup,4,FALSE)*(Operations!$G29*Operations!$H29/Operations!$I29)^0.5)^2)</f>
        <v>35910.945421767268</v>
      </c>
      <c r="R29" s="84">
        <f>IF(Operations!$N29=0,0,IF(Operations!$I29*Operations!$H29=0,0,(Operations!$P29-Operations!$Q29)/(Operations!$H29)))</f>
        <v>1.748698171425829</v>
      </c>
      <c r="S29" s="86">
        <f>IF(Operations!$H29=0,0,Operations!$P29*'General Variables'!$B$9/Operations!$H29)</f>
        <v>0.75319287186386186</v>
      </c>
      <c r="T29" s="86">
        <f>IF(Operations!$H29=0,0,Operations!$P29*'General Variables'!$B$10/Operations!$H29)</f>
        <v>1.1297893077957928</v>
      </c>
      <c r="U29" s="86">
        <f>SUM(Table3[[#This Row],[Depreciation per Unit]:[Opportunity Cost per Unit]])</f>
        <v>3.6316803510854836</v>
      </c>
      <c r="W29" s="1" t="s">
        <v>500</v>
      </c>
      <c r="X29" s="1" t="s">
        <v>417</v>
      </c>
      <c r="Y29" s="2" t="s">
        <v>391</v>
      </c>
      <c r="Z29" s="2" t="s">
        <v>408</v>
      </c>
      <c r="AA29" s="4">
        <v>2000</v>
      </c>
    </row>
    <row r="30" spans="1:39" ht="12.75" customHeight="1" x14ac:dyDescent="0.25">
      <c r="A30" s="94" t="s">
        <v>501</v>
      </c>
      <c r="B30" s="77" t="s">
        <v>176</v>
      </c>
      <c r="C30" s="78" t="s">
        <v>502</v>
      </c>
      <c r="D30" s="78" t="s">
        <v>423</v>
      </c>
      <c r="E30" s="79">
        <v>72916</v>
      </c>
      <c r="F30" s="80"/>
      <c r="G30" s="79">
        <v>5</v>
      </c>
      <c r="H30" s="79">
        <v>1000</v>
      </c>
      <c r="I30" s="87">
        <v>24</v>
      </c>
      <c r="J30" s="82">
        <v>1.1000000000000001</v>
      </c>
      <c r="K30" s="78" t="s">
        <v>112</v>
      </c>
      <c r="L30" s="80">
        <v>2.0450704225352112</v>
      </c>
      <c r="M30" s="82"/>
      <c r="N30" s="83">
        <f>IF(Operations!$E30&gt;1,Operations!$E30,IF(Operations!$D30=0,0,Operations!$F30/(VLOOKUP(Operations!$D30,ImpDepLookup,2,FALSE)-VLOOKUP(Operations!$D30,ImpDepLookup,3,FALSE)*Operations!$G30^0.5-VLOOKUP(Operations!$D30,ImpDepLookup,4,FALSE)*(Operations!$G30*(Operations!$G30*Operations!$H30/Operations!$I30)^0.5))^2))</f>
        <v>72916</v>
      </c>
      <c r="O30" s="84">
        <f>IF(Operations!$C30="",0,(((Operations!$G30+1)*Operations!$H30/Operations!$I30/1000)^VLOOKUP(Operations!$C30,ImpRepairFac[],4,FALSE)-(Operations!$G30*Operations!$H30/Operations!$I30/1000)^VLOOKUP(Operations!$C30,ImpRepairFac[],4,FALSE))*Operations!$N30*VLOOKUP(Operations!$C30,ImpRepairFac[],3,FALSE)/Operations!$H30)</f>
        <v>0.63682504309008758</v>
      </c>
      <c r="P30" s="85">
        <f>IF(Operations!$N30=0,0,Operations!$N30*(VLOOKUP(Operations!$D30,ImpDepLookup,2,FALSE)-VLOOKUP(Operations!$D30,ImpDepLookup,3,FALSE)*Operations!$G30^0.5-VLOOKUP(Operations!$D30,ImpDepLookup,4,FALSE)*(Operations!$G30*Operations!$H30/Operations!$I30)^0.5)^2)</f>
        <v>30337.93809446161</v>
      </c>
      <c r="Q30" s="85">
        <f>IF(Operations!$N30=0,0,Operations!$N30*(VLOOKUP(Operations!$D30,ImpDepLookup,2,FALSE)-VLOOKUP(Operations!$D30,ImpDepLookup,3,FALSE)*(Operations!$G30+1)^0.5-VLOOKUP(Operations!$D30,ImpDepLookup,4,FALSE)*(Operations!$G30*Operations!$H30/Operations!$I30)^0.5)^2)</f>
        <v>28169.785615501776</v>
      </c>
      <c r="R30" s="84">
        <f>IF(Operations!$N30=0,0,IF(Operations!$I30*Operations!$H30=0,0,(Operations!$P30-Operations!$Q30)/(Operations!$H30)))</f>
        <v>2.1681524789598332</v>
      </c>
      <c r="S30" s="86">
        <f>IF(Operations!$H30=0,0,Operations!$P30*'General Variables'!$B$9/Operations!$H30)</f>
        <v>0.60675876188923228</v>
      </c>
      <c r="T30" s="86">
        <f>IF(Operations!$H30=0,0,Operations!$P30*'General Variables'!$B$10/Operations!$H30)</f>
        <v>0.91013814283384831</v>
      </c>
      <c r="U30" s="86">
        <f>SUM(Table3[[#This Row],[Depreciation per Unit]:[Opportunity Cost per Unit]])</f>
        <v>3.6850493836829137</v>
      </c>
      <c r="W30" s="1" t="s">
        <v>503</v>
      </c>
      <c r="X30" s="1" t="s">
        <v>417</v>
      </c>
      <c r="Y30" s="2" t="s">
        <v>504</v>
      </c>
      <c r="Z30" s="2" t="s">
        <v>106</v>
      </c>
      <c r="AA30" s="4">
        <v>1500</v>
      </c>
    </row>
    <row r="31" spans="1:39" ht="12.75" customHeight="1" x14ac:dyDescent="0.25">
      <c r="A31" s="94" t="s">
        <v>505</v>
      </c>
      <c r="B31" s="77" t="s">
        <v>176</v>
      </c>
      <c r="C31" s="78" t="s">
        <v>506</v>
      </c>
      <c r="D31" s="78" t="s">
        <v>389</v>
      </c>
      <c r="E31" s="79">
        <v>273896</v>
      </c>
      <c r="F31" s="92"/>
      <c r="G31" s="79">
        <v>5</v>
      </c>
      <c r="H31" s="79">
        <v>1200</v>
      </c>
      <c r="I31" s="87">
        <v>6</v>
      </c>
      <c r="J31" s="82">
        <v>1.1000000000000001</v>
      </c>
      <c r="K31" s="78" t="s">
        <v>100</v>
      </c>
      <c r="L31" s="80">
        <v>6.1906976744186046</v>
      </c>
      <c r="M31" s="82"/>
      <c r="N31" s="83">
        <f>IF(Operations!$E31&gt;1,Operations!$E31,IF(Operations!$D31=0,0,Operations!$F31/(VLOOKUP(Operations!$D31,ImpDepLookup,2,FALSE)-VLOOKUP(Operations!$D31,ImpDepLookup,3,FALSE)*Operations!$G31^0.5-VLOOKUP(Operations!$D31,ImpDepLookup,4,FALSE)*(Operations!$G31*(Operations!$G31*Operations!$H31/Operations!$I31)^0.5))^2))</f>
        <v>273896</v>
      </c>
      <c r="O31" s="84">
        <f>IF(Operations!$C31="",0,(((Operations!$G31+1)*Operations!$H31/Operations!$I31/1000)^VLOOKUP(Operations!$C31,ImpRepairFac[],4,FALSE)-(Operations!$G31*Operations!$H31/Operations!$I31/1000)^VLOOKUP(Operations!$C31,ImpRepairFac[],4,FALSE))*Operations!$N31*VLOOKUP(Operations!$C31,ImpRepairFac[],3,FALSE)/Operations!$H31)</f>
        <v>36.018177107293702</v>
      </c>
      <c r="P31" s="85">
        <v>150000</v>
      </c>
      <c r="Q31" s="85">
        <v>143000</v>
      </c>
      <c r="R31" s="84">
        <f>IF(Operations!$N31=0,0,IF(Operations!$I31*Operations!$H31=0,0,(Operations!$P31-Operations!$Q31)/(Operations!$H31)))</f>
        <v>5.833333333333333</v>
      </c>
      <c r="S31" s="86">
        <f>IF(Operations!$H31=0,0,Operations!$P31*'General Variables'!$B$9/Operations!$H31)</f>
        <v>2.5</v>
      </c>
      <c r="T31" s="86">
        <f>IF(Operations!$H31=0,0,Operations!$P31*'General Variables'!$B$10/Operations!$H31)</f>
        <v>3.75</v>
      </c>
      <c r="U31" s="86">
        <f>SUM(Table3[[#This Row],[Depreciation per Unit]:[Opportunity Cost per Unit]])</f>
        <v>12.083333333333332</v>
      </c>
      <c r="W31" s="1" t="s">
        <v>507</v>
      </c>
      <c r="X31" s="1" t="s">
        <v>399</v>
      </c>
      <c r="Y31" s="2" t="s">
        <v>400</v>
      </c>
      <c r="Z31" s="2" t="s">
        <v>401</v>
      </c>
      <c r="AA31" s="3">
        <v>2000</v>
      </c>
    </row>
    <row r="32" spans="1:39" ht="12.75" customHeight="1" x14ac:dyDescent="0.25">
      <c r="A32" s="94" t="s">
        <v>508</v>
      </c>
      <c r="B32" s="77" t="s">
        <v>187</v>
      </c>
      <c r="C32" s="78" t="s">
        <v>415</v>
      </c>
      <c r="D32" s="78" t="s">
        <v>158</v>
      </c>
      <c r="E32" s="324">
        <v>14000</v>
      </c>
      <c r="F32" s="80"/>
      <c r="G32" s="79">
        <v>5</v>
      </c>
      <c r="H32" s="79">
        <v>3000</v>
      </c>
      <c r="I32" s="87">
        <v>20</v>
      </c>
      <c r="J32" s="82">
        <v>1.1000000000000001</v>
      </c>
      <c r="K32" s="78" t="s">
        <v>112</v>
      </c>
      <c r="L32" s="80">
        <v>4</v>
      </c>
      <c r="M32" s="82"/>
      <c r="N32" s="83">
        <f>IF(Operations!$E32&gt;1,Operations!$E32,IF(Operations!$D32=0,0,Operations!$F32/(VLOOKUP(Operations!$D32,ImpDepLookup,2,FALSE)-VLOOKUP(Operations!$D32,ImpDepLookup,3,FALSE)*Operations!$G32^0.5-VLOOKUP(Operations!$D32,ImpDepLookup,4,FALSE)*(Operations!$G32*(Operations!$G32*Operations!$H32/Operations!$I32)^0.5))^2))</f>
        <v>14000</v>
      </c>
      <c r="O32" s="84">
        <f>IF(Operations!$C32="",0,(((Operations!$G32+1)*Operations!$H32/Operations!$I32/1000)^VLOOKUP(Operations!$C32,ImpRepairFac[],4,FALSE)-(Operations!$G32*Operations!$H32/Operations!$I32/1000)^VLOOKUP(Operations!$C32,ImpRepairFac[],4,FALSE))*Operations!$N32*VLOOKUP(Operations!$C32,ImpRepairFac[],3,FALSE)/Operations!$H32)</f>
        <v>0.15961238325022692</v>
      </c>
      <c r="P32" s="85">
        <f>IF(Operations!$N32=0,0,Operations!$N32*(VLOOKUP(Operations!$D32,ImpDepLookup,2,FALSE)-VLOOKUP(Operations!$D32,ImpDepLookup,3,FALSE)*Operations!$G32^0.5-VLOOKUP(Operations!$D32,ImpDepLookup,4,FALSE)*(Operations!$G32*Operations!$H32/Operations!$I32)^0.5)^2)</f>
        <v>4832.4805455244559</v>
      </c>
      <c r="Q32" s="85">
        <f>IF(Operations!$N32=0,0,Operations!$N32*(VLOOKUP(Operations!$D32,ImpDepLookup,2,FALSE)-VLOOKUP(Operations!$D32,ImpDepLookup,3,FALSE)*(Operations!$G32+1)^0.5-VLOOKUP(Operations!$D32,ImpDepLookup,4,FALSE)*(Operations!$G32*Operations!$H32/Operations!$I32)^0.5)^2)</f>
        <v>4518.2698070922752</v>
      </c>
      <c r="R32" s="84">
        <f>IF(Operations!$N32=0,0,IF(Operations!$I32*Operations!$H32=0,0,(Operations!$P32-Operations!$Q32)/(Operations!$H32)))</f>
        <v>0.10473691281072692</v>
      </c>
      <c r="S32" s="86">
        <f>IF(Operations!$H32=0,0,Operations!$P32*'General Variables'!$B$9/Operations!$H32)</f>
        <v>3.2216536970163037E-2</v>
      </c>
      <c r="T32" s="86">
        <f>IF(Operations!$H32=0,0,Operations!$P32*'General Variables'!$B$10/Operations!$H32)</f>
        <v>4.8324805455244556E-2</v>
      </c>
      <c r="U32" s="86">
        <f>SUM(Table3[[#This Row],[Depreciation per Unit]:[Opportunity Cost per Unit]])</f>
        <v>0.18527825523613453</v>
      </c>
      <c r="W32" s="1" t="s">
        <v>509</v>
      </c>
      <c r="X32" s="1" t="s">
        <v>399</v>
      </c>
      <c r="Y32" s="2" t="s">
        <v>510</v>
      </c>
      <c r="Z32" s="2" t="s">
        <v>463</v>
      </c>
      <c r="AA32" s="4">
        <v>2500</v>
      </c>
    </row>
    <row r="33" spans="1:27" ht="12.75" customHeight="1" x14ac:dyDescent="0.25">
      <c r="A33" s="94" t="s">
        <v>511</v>
      </c>
      <c r="B33" s="77" t="s">
        <v>187</v>
      </c>
      <c r="C33" s="78" t="s">
        <v>512</v>
      </c>
      <c r="D33" s="78" t="s">
        <v>158</v>
      </c>
      <c r="E33" s="324">
        <v>14000</v>
      </c>
      <c r="F33" s="80"/>
      <c r="G33" s="79">
        <v>5</v>
      </c>
      <c r="H33" s="79">
        <v>1250</v>
      </c>
      <c r="I33" s="89">
        <v>10</v>
      </c>
      <c r="J33" s="82">
        <v>1</v>
      </c>
      <c r="K33" s="78" t="s">
        <v>112</v>
      </c>
      <c r="L33" s="80">
        <v>2</v>
      </c>
      <c r="M33" s="82"/>
      <c r="N33" s="83">
        <f>IF(Operations!$E33&gt;1,Operations!$E33,IF(Operations!$D33=0,0,Operations!$F33/(VLOOKUP(Operations!$D33,ImpDepLookup,2,FALSE)-VLOOKUP(Operations!$D33,ImpDepLookup,3,FALSE)*Operations!$G33^0.5-VLOOKUP(Operations!$D33,ImpDepLookup,4,FALSE)*(Operations!$G33*(Operations!$G33*Operations!$H33/Operations!$I33)^0.5))^2))</f>
        <v>14000</v>
      </c>
      <c r="O33" s="84">
        <f>IF(Operations!$C33="",0,(((Operations!$G33+1)*Operations!$H33/Operations!$I33/1000)^VLOOKUP(Operations!$C33,ImpRepairFac[],4,FALSE)-(Operations!$G33*Operations!$H33/Operations!$I33/1000)^VLOOKUP(Operations!$C33,ImpRepairFac[],4,FALSE))*Operations!$N33*VLOOKUP(Operations!$C33,ImpRepairFac[],3,FALSE)/Operations!$H33)</f>
        <v>0.30894482148318153</v>
      </c>
      <c r="P33" s="85">
        <f>IF(Operations!$N33=0,0,Operations!$N33*(VLOOKUP(Operations!$D33,ImpDepLookup,2,FALSE)-VLOOKUP(Operations!$D33,ImpDepLookup,3,FALSE)*Operations!$G33^0.5-VLOOKUP(Operations!$D33,ImpDepLookup,4,FALSE)*(Operations!$G33*Operations!$H33/Operations!$I33)^0.5)^2)</f>
        <v>4832.4805455244559</v>
      </c>
      <c r="Q33" s="85">
        <f>IF(Operations!$N33=0,0,Operations!$N33*(VLOOKUP(Operations!$D33,ImpDepLookup,2,FALSE)-VLOOKUP(Operations!$D33,ImpDepLookup,3,FALSE)*(Operations!$G33+1)^0.5-VLOOKUP(Operations!$D33,ImpDepLookup,4,FALSE)*(Operations!$G33*Operations!$H33/Operations!$I33)^0.5)^2)</f>
        <v>4518.2698070922752</v>
      </c>
      <c r="R33" s="84">
        <f>IF(Operations!$N33=0,0,IF(Operations!$I33*Operations!$H33=0,0,(Operations!$P33-Operations!$Q33)/(Operations!$H33)))</f>
        <v>0.25136859074574458</v>
      </c>
      <c r="S33" s="86">
        <f>IF(Operations!$H33=0,0,Operations!$P33*'General Variables'!$B$9/Operations!$H33)</f>
        <v>7.7319688728391289E-2</v>
      </c>
      <c r="T33" s="86">
        <f>IF(Operations!$H33=0,0,Operations!$P33*'General Variables'!$B$10/Operations!$H33)</f>
        <v>0.11597953309258693</v>
      </c>
      <c r="U33" s="86">
        <f>SUM(Table3[[#This Row],[Depreciation per Unit]:[Opportunity Cost per Unit]])</f>
        <v>0.44466781256672283</v>
      </c>
      <c r="W33" s="1" t="s">
        <v>513</v>
      </c>
      <c r="X33" s="1" t="s">
        <v>399</v>
      </c>
      <c r="Y33" s="2" t="s">
        <v>407</v>
      </c>
      <c r="Z33" s="2" t="s">
        <v>408</v>
      </c>
      <c r="AA33" s="4">
        <v>1200</v>
      </c>
    </row>
    <row r="34" spans="1:27" ht="12.75" customHeight="1" x14ac:dyDescent="0.25">
      <c r="A34" s="94" t="s">
        <v>514</v>
      </c>
      <c r="B34" s="77" t="s">
        <v>187</v>
      </c>
      <c r="C34" s="78"/>
      <c r="D34" s="78" t="s">
        <v>158</v>
      </c>
      <c r="E34" s="324">
        <v>14000</v>
      </c>
      <c r="F34" s="80"/>
      <c r="G34" s="79">
        <v>5</v>
      </c>
      <c r="H34" s="79">
        <v>3000</v>
      </c>
      <c r="I34" s="87">
        <v>21</v>
      </c>
      <c r="J34" s="82">
        <v>1.1000000000000001</v>
      </c>
      <c r="K34" s="78" t="s">
        <v>112</v>
      </c>
      <c r="L34" s="80">
        <v>4</v>
      </c>
      <c r="M34" s="82"/>
      <c r="N34" s="83">
        <f>IF(Operations!$E34&gt;1,Operations!$E34,IF(Operations!$D34=0,0,Operations!$F34/(VLOOKUP(Operations!$D34,ImpDepLookup,2,FALSE)-VLOOKUP(Operations!$D34,ImpDepLookup,3,FALSE)*Operations!$G34^0.5-VLOOKUP(Operations!$D34,ImpDepLookup,4,FALSE)*(Operations!$G34*(Operations!$G34*Operations!$H34/Operations!$I34)^0.5))^2))</f>
        <v>14000</v>
      </c>
      <c r="O34" s="84">
        <f>IF(Operations!$C34="",0,(((Operations!$G34+1)*Operations!$H34/Operations!$I34/1000)^VLOOKUP(Operations!$C34,ImpRepairFac[],4,FALSE)-(Operations!$G34*Operations!$H34/Operations!$I34/1000)^VLOOKUP(Operations!$C34,ImpRepairFac[],4,FALSE))*Operations!$N34*VLOOKUP(Operations!$C34,ImpRepairFac[],3,FALSE)/Operations!$H34)</f>
        <v>0</v>
      </c>
      <c r="P34" s="85">
        <f>IF(Operations!$N34=0,0,Operations!$N34*(VLOOKUP(Operations!$D34,ImpDepLookup,2,FALSE)-VLOOKUP(Operations!$D34,ImpDepLookup,3,FALSE)*Operations!$G34^0.5-VLOOKUP(Operations!$D34,ImpDepLookup,4,FALSE)*(Operations!$G34*Operations!$H34/Operations!$I34)^0.5)^2)</f>
        <v>4832.4805455244559</v>
      </c>
      <c r="Q34" s="85">
        <f>IF(Operations!$N34=0,0,Operations!$N34*(VLOOKUP(Operations!$D34,ImpDepLookup,2,FALSE)-VLOOKUP(Operations!$D34,ImpDepLookup,3,FALSE)*(Operations!$G34+1)^0.5-VLOOKUP(Operations!$D34,ImpDepLookup,4,FALSE)*(Operations!$G34*Operations!$H34/Operations!$I34)^0.5)^2)</f>
        <v>4518.2698070922752</v>
      </c>
      <c r="R34" s="84">
        <f>IF(Operations!$N34=0,0,IF(Operations!$I34*Operations!$H34=0,0,(Operations!$P34-Operations!$Q34)/(Operations!$H34)))</f>
        <v>0.10473691281072692</v>
      </c>
      <c r="S34" s="86">
        <f>IF(Operations!$H34=0,0,Operations!$P34*'General Variables'!$B$9/Operations!$H34)</f>
        <v>3.2216536970163037E-2</v>
      </c>
      <c r="T34" s="86">
        <f>IF(Operations!$H34=0,0,Operations!$P34*'General Variables'!$B$10/Operations!$H34)</f>
        <v>4.8324805455244556E-2</v>
      </c>
      <c r="U34" s="86">
        <f>SUM(Table3[[#This Row],[Depreciation per Unit]:[Opportunity Cost per Unit]])</f>
        <v>0.18527825523613453</v>
      </c>
      <c r="W34" s="1" t="s">
        <v>515</v>
      </c>
      <c r="X34" s="1" t="s">
        <v>124</v>
      </c>
      <c r="Y34" s="2" t="s">
        <v>516</v>
      </c>
      <c r="Z34" s="2" t="s">
        <v>463</v>
      </c>
      <c r="AA34" s="4">
        <v>1500</v>
      </c>
    </row>
    <row r="35" spans="1:27" ht="12.75" customHeight="1" x14ac:dyDescent="0.25">
      <c r="A35" s="94" t="s">
        <v>304</v>
      </c>
      <c r="B35" s="77" t="s">
        <v>176</v>
      </c>
      <c r="C35" s="78" t="s">
        <v>489</v>
      </c>
      <c r="D35" s="78" t="s">
        <v>490</v>
      </c>
      <c r="E35" s="79">
        <v>75005</v>
      </c>
      <c r="F35" s="80"/>
      <c r="G35" s="79">
        <v>5</v>
      </c>
      <c r="H35" s="79">
        <v>1000</v>
      </c>
      <c r="I35" s="87">
        <v>12</v>
      </c>
      <c r="J35" s="82">
        <v>1.1000000000000001</v>
      </c>
      <c r="K35" s="78" t="s">
        <v>112</v>
      </c>
      <c r="L35" s="80">
        <v>6.0699481865284985</v>
      </c>
      <c r="M35" s="82"/>
      <c r="N35" s="83">
        <f>IF(Operations!$E35&gt;1,Operations!$E35,IF(Operations!$D35=0,0,Operations!$F35/(VLOOKUP(Operations!$D35,ImpDepLookup,2,FALSE)-VLOOKUP(Operations!$D35,ImpDepLookup,3,FALSE)*Operations!$G35^0.5-VLOOKUP(Operations!$D35,ImpDepLookup,4,FALSE)*(Operations!$G35*(Operations!$G35*Operations!$H35/Operations!$I35)^0.5))^2))</f>
        <v>75005</v>
      </c>
      <c r="O35" s="84">
        <f>IF(Operations!$C35="",0,(((Operations!$G35+1)*Operations!$H35/Operations!$I35/1000)^VLOOKUP(Operations!$C35,ImpRepairFac[],4,FALSE)-(Operations!$G35*Operations!$H35/Operations!$I35/1000)^VLOOKUP(Operations!$C35,ImpRepairFac[],4,FALSE))*Operations!$N35*VLOOKUP(Operations!$C35,ImpRepairFac[],3,FALSE)/Operations!$H35)</f>
        <v>1.7809169772028046</v>
      </c>
      <c r="P35" s="85">
        <f>IF(Operations!$N35=0,0,Operations!$N35*(VLOOKUP(Operations!$D35,ImpDepLookup,2,FALSE)-VLOOKUP(Operations!$D35,ImpDepLookup,3,FALSE)*Operations!$G35^0.5-VLOOKUP(Operations!$D35,ImpDepLookup,4,FALSE)*(Operations!$G35*Operations!$H35/Operations!$I35)^0.5)^2)</f>
        <v>37659.643593193097</v>
      </c>
      <c r="Q35" s="85">
        <f>IF(Operations!$N35=0,0,Operations!$N35*(VLOOKUP(Operations!$D35,ImpDepLookup,2,FALSE)-VLOOKUP(Operations!$D35,ImpDepLookup,3,FALSE)*(Operations!$G35+1)^0.5-VLOOKUP(Operations!$D35,ImpDepLookup,4,FALSE)*(Operations!$G35*Operations!$H35/Operations!$I35)^0.5)^2)</f>
        <v>35910.945421767268</v>
      </c>
      <c r="R35" s="84">
        <f>IF(Operations!$N35=0,0,IF(Operations!$I35*Operations!$H35=0,0,(Operations!$P35-Operations!$Q35)/(Operations!$H35)))</f>
        <v>1.748698171425829</v>
      </c>
      <c r="S35" s="86">
        <f>IF(Operations!$H35=0,0,Operations!$P35*'General Variables'!$B$9/Operations!$H35)</f>
        <v>0.75319287186386186</v>
      </c>
      <c r="T35" s="86">
        <f>IF(Operations!$H35=0,0,Operations!$P35*'General Variables'!$B$10/Operations!$H35)</f>
        <v>1.1297893077957928</v>
      </c>
      <c r="U35" s="86">
        <f>SUM(Table3[[#This Row],[Depreciation per Unit]:[Opportunity Cost per Unit]])</f>
        <v>3.6316803510854836</v>
      </c>
      <c r="W35" s="1" t="s">
        <v>517</v>
      </c>
      <c r="X35" s="1" t="s">
        <v>399</v>
      </c>
      <c r="Y35" s="2" t="s">
        <v>495</v>
      </c>
      <c r="Z35" s="2" t="s">
        <v>463</v>
      </c>
      <c r="AA35" s="4">
        <v>3000</v>
      </c>
    </row>
    <row r="36" spans="1:27" ht="12.75" customHeight="1" x14ac:dyDescent="0.25">
      <c r="A36" s="94" t="s">
        <v>518</v>
      </c>
      <c r="B36" s="77" t="s">
        <v>176</v>
      </c>
      <c r="C36" s="78" t="s">
        <v>519</v>
      </c>
      <c r="D36" s="78" t="s">
        <v>158</v>
      </c>
      <c r="E36" s="79">
        <v>54000</v>
      </c>
      <c r="F36" s="80"/>
      <c r="G36" s="79">
        <v>5</v>
      </c>
      <c r="H36" s="79">
        <v>1000</v>
      </c>
      <c r="I36" s="87">
        <v>10</v>
      </c>
      <c r="J36" s="82">
        <v>1.1000000000000001</v>
      </c>
      <c r="K36" s="78" t="s">
        <v>112</v>
      </c>
      <c r="L36" s="80">
        <v>6.0734042553191498</v>
      </c>
      <c r="M36" s="82"/>
      <c r="N36" s="83">
        <f>IF(Operations!$E36&gt;1,Operations!$E36,IF(Operations!$D36=0,0,Operations!$F36/(VLOOKUP(Operations!$D36,ImpDepLookup,2,FALSE)-VLOOKUP(Operations!$D36,ImpDepLookup,3,FALSE)*Operations!$G36^0.5-VLOOKUP(Operations!$D36,ImpDepLookup,4,FALSE)*(Operations!$G36*(Operations!$G36*Operations!$H36/Operations!$I36)^0.5))^2))</f>
        <v>54000</v>
      </c>
      <c r="O36" s="84">
        <f>IF(Operations!$C36="",0,(((Operations!$G36+1)*Operations!$H36/Operations!$I36/1000)^VLOOKUP(Operations!$C36,ImpRepairFac[],4,FALSE)-(Operations!$G36*Operations!$H36/Operations!$I36/1000)^VLOOKUP(Operations!$C36,ImpRepairFac[],4,FALSE))*Operations!$N36*VLOOKUP(Operations!$C36,ImpRepairFac[],3,FALSE)/Operations!$H36)</f>
        <v>1.2067507007727443</v>
      </c>
      <c r="P36" s="85">
        <f>IF(Operations!$N36=0,0,Operations!$N36*(VLOOKUP(Operations!$D36,ImpDepLookup,2,FALSE)-VLOOKUP(Operations!$D36,ImpDepLookup,3,FALSE)*Operations!$G36^0.5-VLOOKUP(Operations!$D36,ImpDepLookup,4,FALSE)*(Operations!$G36*Operations!$H36/Operations!$I36)^0.5)^2)</f>
        <v>18639.567818451473</v>
      </c>
      <c r="Q36" s="85">
        <f>IF(Operations!$N36=0,0,Operations!$N36*(VLOOKUP(Operations!$D36,ImpDepLookup,2,FALSE)-VLOOKUP(Operations!$D36,ImpDepLookup,3,FALSE)*(Operations!$G36+1)^0.5-VLOOKUP(Operations!$D36,ImpDepLookup,4,FALSE)*(Operations!$G36*Operations!$H36/Operations!$I36)^0.5)^2)</f>
        <v>17427.612113070205</v>
      </c>
      <c r="R36" s="84">
        <f>IF(Operations!$N36=0,0,IF(Operations!$I36*Operations!$H36=0,0,(Operations!$P36-Operations!$Q36)/(Operations!$H36)))</f>
        <v>1.2119557053812677</v>
      </c>
      <c r="S36" s="86">
        <f>IF(Operations!$H36=0,0,Operations!$P36*'General Variables'!$B$9/Operations!$H36)</f>
        <v>0.37279135636902949</v>
      </c>
      <c r="T36" s="86">
        <f>IF(Operations!$H36=0,0,Operations!$P36*'General Variables'!$B$10/Operations!$H36)</f>
        <v>0.55918703455354424</v>
      </c>
      <c r="U36" s="86">
        <f>SUM(Table3[[#This Row],[Depreciation per Unit]:[Opportunity Cost per Unit]])</f>
        <v>2.1439340963038416</v>
      </c>
      <c r="W36" s="1" t="s">
        <v>520</v>
      </c>
      <c r="X36" s="1" t="s">
        <v>399</v>
      </c>
      <c r="Y36" s="2" t="s">
        <v>481</v>
      </c>
      <c r="Z36" s="2" t="s">
        <v>401</v>
      </c>
      <c r="AA36" s="3">
        <v>2000</v>
      </c>
    </row>
    <row r="37" spans="1:27" ht="12.75" customHeight="1" x14ac:dyDescent="0.25">
      <c r="A37" s="94" t="s">
        <v>521</v>
      </c>
      <c r="B37" s="77" t="s">
        <v>483</v>
      </c>
      <c r="C37" s="78" t="s">
        <v>395</v>
      </c>
      <c r="D37" s="78" t="s">
        <v>378</v>
      </c>
      <c r="E37" s="79">
        <v>16500</v>
      </c>
      <c r="F37" s="80">
        <v>16500</v>
      </c>
      <c r="G37" s="79">
        <v>10</v>
      </c>
      <c r="H37" s="88">
        <v>2600</v>
      </c>
      <c r="I37" s="87">
        <v>2.25</v>
      </c>
      <c r="J37" s="91">
        <f>5/24</f>
        <v>0.20833333333333334</v>
      </c>
      <c r="K37" s="78" t="s">
        <v>148</v>
      </c>
      <c r="L37" s="93">
        <v>3.03</v>
      </c>
      <c r="M37" s="82"/>
      <c r="N37" s="83">
        <f>IF(Operations!$E37&gt;1,Operations!$E37,IF(Operations!$D37=0,0,Operations!$F37/(VLOOKUP(Operations!$D37,ImpDepLookup,2,FALSE)-VLOOKUP(Operations!$D37,ImpDepLookup,3,FALSE)*Operations!$G37^0.5-VLOOKUP(Operations!$D37,ImpDepLookup,4,FALSE)*(Operations!$G37*(Operations!$G37*Operations!$H37/Operations!$I37)^0.5))^2))</f>
        <v>16500</v>
      </c>
      <c r="O37" s="84">
        <f>IF(Operations!$C37="",0,(((Operations!$G37+1)*Operations!$H37/Operations!$I37/1000)^VLOOKUP(Operations!$C37,ImpRepairFac[],4,FALSE)-(Operations!$G37*Operations!$H37/Operations!$I37/1000)^VLOOKUP(Operations!$C37,ImpRepairFac[],4,FALSE))*Operations!$N37*VLOOKUP(Operations!$C37,ImpRepairFac[],3,FALSE)/Operations!$H37)</f>
        <v>0.14666666666666681</v>
      </c>
      <c r="P37" s="85">
        <f>IF(Operations!$N37=0,0,Operations!$N37*(VLOOKUP(Operations!$D37,ImpDepLookup,2,FALSE)-VLOOKUP(Operations!$D37,ImpDepLookup,3,FALSE)*Operations!$G37^0.5-VLOOKUP(Operations!$D37,ImpDepLookup,4,FALSE)*(Operations!$G37*Operations!$H37/Operations!$I37)^0.5)^2)</f>
        <v>5782.4055457474424</v>
      </c>
      <c r="Q37" s="85">
        <f>IF(Operations!$N37=0,0,Operations!$N37*(VLOOKUP(Operations!$D37,ImpDepLookup,2,FALSE)-VLOOKUP(Operations!$D37,ImpDepLookup,3,FALSE)*(Operations!$G37+1)^0.5-VLOOKUP(Operations!$D37,ImpDepLookup,4,FALSE)*(Operations!$G37*Operations!$H37/Operations!$I37)^0.5)^2)</f>
        <v>5452.5547995312636</v>
      </c>
      <c r="R37" s="84">
        <f>IF(Operations!$N37=0,0,IF(Operations!$I37*Operations!$H37=0,0,(Operations!$P37-Operations!$Q37)/(Operations!$H37)))</f>
        <v>0.12686567162160722</v>
      </c>
      <c r="S37" s="86">
        <f>IF(Operations!$H37=0,0,Operations!$P37*'General Variables'!$B$9/Operations!$H37)</f>
        <v>4.4480042659595709E-2</v>
      </c>
      <c r="T37" s="86">
        <f>IF(Operations!$H37=0,0,Operations!$P37*'General Variables'!$B$10/Operations!$H37)</f>
        <v>6.6720063989393563E-2</v>
      </c>
      <c r="U37" s="86">
        <f>SUM(Table3[[#This Row],[Depreciation per Unit]:[Opportunity Cost per Unit]])</f>
        <v>0.2380657782705965</v>
      </c>
      <c r="W37" s="62" t="s">
        <v>395</v>
      </c>
      <c r="X37" s="5" t="s">
        <v>159</v>
      </c>
      <c r="Y37" s="53">
        <v>0.02</v>
      </c>
      <c r="Z37" s="53">
        <v>1</v>
      </c>
      <c r="AA37" s="63"/>
    </row>
    <row r="38" spans="1:27" ht="12.75" customHeight="1" x14ac:dyDescent="0.25">
      <c r="A38" s="94" t="s">
        <v>522</v>
      </c>
      <c r="B38" s="77" t="s">
        <v>483</v>
      </c>
      <c r="C38" s="78" t="s">
        <v>436</v>
      </c>
      <c r="D38" s="78" t="s">
        <v>450</v>
      </c>
      <c r="E38" s="79">
        <v>115000</v>
      </c>
      <c r="F38" s="80"/>
      <c r="G38" s="79">
        <v>10</v>
      </c>
      <c r="H38" s="79">
        <f>130*20</f>
        <v>2600</v>
      </c>
      <c r="I38" s="87">
        <v>1.8</v>
      </c>
      <c r="J38" s="82">
        <f>1.5/24</f>
        <v>6.25E-2</v>
      </c>
      <c r="K38" s="78" t="s">
        <v>131</v>
      </c>
      <c r="L38" s="80">
        <v>3.34</v>
      </c>
      <c r="M38" s="82"/>
      <c r="N38" s="83">
        <f>IF(Operations!$E38&gt;1,Operations!$E38,IF(Operations!$D38=0,0,Operations!$F38/(VLOOKUP(Operations!$D38,ImpDepLookup,2,FALSE)-VLOOKUP(Operations!$D38,ImpDepLookup,3,FALSE)*Operations!$G38^0.5-VLOOKUP(Operations!$D38,ImpDepLookup,4,FALSE)*(Operations!$G38*(Operations!$G38*Operations!$H38/Operations!$I38)^0.5))^2))</f>
        <v>115000</v>
      </c>
      <c r="O38" s="84">
        <f>IF(Operations!$C38="",0,(((Operations!$G38+1)*Operations!$H38/Operations!$I38/1000)^VLOOKUP(Operations!$C38,ImpRepairFac[],4,FALSE)-(Operations!$G38*Operations!$H38/Operations!$I38/1000)^VLOOKUP(Operations!$C38,ImpRepairFac[],4,FALSE))*Operations!$N38*VLOOKUP(Operations!$C38,ImpRepairFac[],3,FALSE)/Operations!$H38)</f>
        <v>2.6513888888888926</v>
      </c>
      <c r="P38" s="85">
        <f>IF(Operations!$N38=0,0,Operations!$N38*(VLOOKUP(Operations!$D38,ImpDepLookup,2,FALSE)-VLOOKUP(Operations!$D38,ImpDepLookup,3,FALSE)*Operations!$G38^0.5-VLOOKUP(Operations!$D38,ImpDepLookup,4,FALSE)*(Operations!$G38*Operations!$H38/Operations!$I38)^0.5)^2)</f>
        <v>33926.303301186337</v>
      </c>
      <c r="Q38" s="85">
        <f>IF(Operations!$N38=0,0,Operations!$N38*(VLOOKUP(Operations!$D38,ImpDepLookup,2,FALSE)-VLOOKUP(Operations!$D38,ImpDepLookup,3,FALSE)*(Operations!$G38+1)^0.5-VLOOKUP(Operations!$D38,ImpDepLookup,4,FALSE)*(Operations!$G38*Operations!$H38/Operations!$I38)^0.5)^2)</f>
        <v>31838.463988371477</v>
      </c>
      <c r="R38" s="84">
        <f>IF(Operations!$N38=0,0,IF(Operations!$I38*Operations!$H38=0,0,(Operations!$P38-Operations!$Q38)/(Operations!$H38)))</f>
        <v>0.80301512031340772</v>
      </c>
      <c r="S38" s="86">
        <f>IF(Operations!$H38=0,0,Operations!$P38*'General Variables'!$B$9/Operations!$H38)</f>
        <v>0.26097156385527953</v>
      </c>
      <c r="T38" s="86">
        <f>IF(Operations!$H38=0,0,Operations!$P38*'General Variables'!$B$10/Operations!$H38)</f>
        <v>0.39145734578291924</v>
      </c>
      <c r="U38" s="86">
        <f>SUM(Table3[[#This Row],[Depreciation per Unit]:[Opportunity Cost per Unit]])</f>
        <v>1.4554440299516065</v>
      </c>
      <c r="W38" s="64" t="s">
        <v>402</v>
      </c>
      <c r="X38" s="6" t="s">
        <v>159</v>
      </c>
      <c r="Y38" s="65">
        <v>0.03</v>
      </c>
      <c r="Z38" s="65">
        <v>1</v>
      </c>
      <c r="AA38" s="66"/>
    </row>
    <row r="39" spans="1:27" ht="12.75" customHeight="1" x14ac:dyDescent="0.25">
      <c r="A39" s="94" t="s">
        <v>523</v>
      </c>
      <c r="B39" s="77" t="s">
        <v>483</v>
      </c>
      <c r="C39" s="78" t="s">
        <v>436</v>
      </c>
      <c r="D39" s="78" t="s">
        <v>450</v>
      </c>
      <c r="E39" s="79">
        <v>125000</v>
      </c>
      <c r="F39" s="80"/>
      <c r="G39" s="79">
        <v>10</v>
      </c>
      <c r="H39" s="79">
        <f>130*20</f>
        <v>2600</v>
      </c>
      <c r="I39" s="87">
        <v>1.8</v>
      </c>
      <c r="J39" s="82">
        <f>2/24</f>
        <v>8.3333333333333329E-2</v>
      </c>
      <c r="K39" s="78" t="s">
        <v>131</v>
      </c>
      <c r="L39" s="80">
        <v>3.34</v>
      </c>
      <c r="M39" s="82"/>
      <c r="N39" s="83">
        <f>IF(Operations!$E39&gt;1,Operations!$E39,IF(Operations!$D39=0,0,Operations!$F39/(VLOOKUP(Operations!$D39,ImpDepLookup,2,FALSE)-VLOOKUP(Operations!$D39,ImpDepLookup,3,FALSE)*Operations!$G39^0.5-VLOOKUP(Operations!$D39,ImpDepLookup,4,FALSE)*(Operations!$G39*(Operations!$G39*Operations!$H39/Operations!$I39)^0.5))^2))</f>
        <v>125000</v>
      </c>
      <c r="O39" s="84">
        <f>IF(Operations!$C39="",0,(((Operations!$G39+1)*Operations!$H39/Operations!$I39/1000)^VLOOKUP(Operations!$C39,ImpRepairFac[],4,FALSE)-(Operations!$G39*Operations!$H39/Operations!$I39/1000)^VLOOKUP(Operations!$C39,ImpRepairFac[],4,FALSE))*Operations!$N39*VLOOKUP(Operations!$C39,ImpRepairFac[],3,FALSE)/Operations!$H39)</f>
        <v>2.8819444444444482</v>
      </c>
      <c r="P39" s="85">
        <f>IF(Operations!$N39=0,0,Operations!$N39*(VLOOKUP(Operations!$D39,ImpDepLookup,2,FALSE)-VLOOKUP(Operations!$D39,ImpDepLookup,3,FALSE)*Operations!$G39^0.5-VLOOKUP(Operations!$D39,ImpDepLookup,4,FALSE)*(Operations!$G39*Operations!$H39/Operations!$I39)^0.5)^2)</f>
        <v>36876.416631724278</v>
      </c>
      <c r="Q39" s="85">
        <f>IF(Operations!$N39=0,0,Operations!$N39*(VLOOKUP(Operations!$D39,ImpDepLookup,2,FALSE)-VLOOKUP(Operations!$D39,ImpDepLookup,3,FALSE)*(Operations!$G39+1)^0.5-VLOOKUP(Operations!$D39,ImpDepLookup,4,FALSE)*(Operations!$G39*Operations!$H39/Operations!$I39)^0.5)^2)</f>
        <v>34607.026074316826</v>
      </c>
      <c r="R39" s="84">
        <f>IF(Operations!$N39=0,0,IF(Operations!$I39*Operations!$H39=0,0,(Operations!$P39-Operations!$Q39)/(Operations!$H39)))</f>
        <v>0.87284252207978941</v>
      </c>
      <c r="S39" s="86">
        <f>IF(Operations!$H39=0,0,Operations!$P39*'General Variables'!$B$9/Operations!$H39)</f>
        <v>0.28366474332095598</v>
      </c>
      <c r="T39" s="86">
        <f>IF(Operations!$H39=0,0,Operations!$P39*'General Variables'!$B$10/Operations!$H39)</f>
        <v>0.42549711498143394</v>
      </c>
      <c r="U39" s="86">
        <f>SUM(Table3[[#This Row],[Depreciation per Unit]:[Opportunity Cost per Unit]])</f>
        <v>1.5820043803821793</v>
      </c>
      <c r="W39" s="62" t="s">
        <v>413</v>
      </c>
      <c r="X39" s="5" t="s">
        <v>159</v>
      </c>
      <c r="Y39" s="53">
        <v>0.02</v>
      </c>
      <c r="Z39" s="53">
        <v>1</v>
      </c>
      <c r="AA39" s="63"/>
    </row>
    <row r="40" spans="1:27" ht="12.75" customHeight="1" x14ac:dyDescent="0.25">
      <c r="A40" s="94" t="s">
        <v>524</v>
      </c>
      <c r="B40" s="77" t="s">
        <v>483</v>
      </c>
      <c r="C40" s="78" t="s">
        <v>436</v>
      </c>
      <c r="D40" s="78" t="s">
        <v>450</v>
      </c>
      <c r="E40" s="79">
        <v>115000</v>
      </c>
      <c r="F40" s="80"/>
      <c r="G40" s="79">
        <v>10</v>
      </c>
      <c r="H40" s="79">
        <f>130*20</f>
        <v>2600</v>
      </c>
      <c r="I40" s="87">
        <v>1.8</v>
      </c>
      <c r="J40" s="82">
        <f>1.5/24</f>
        <v>6.25E-2</v>
      </c>
      <c r="K40" s="78" t="s">
        <v>140</v>
      </c>
      <c r="L40" s="80"/>
      <c r="M40" s="82">
        <v>47.78</v>
      </c>
      <c r="N40" s="83">
        <f>IF(Operations!$E40&gt;1,Operations!$E40,IF(Operations!$D40=0,0,Operations!$F40/(VLOOKUP(Operations!$D40,ImpDepLookup,2,FALSE)-VLOOKUP(Operations!$D40,ImpDepLookup,3,FALSE)*Operations!$G40^0.5-VLOOKUP(Operations!$D40,ImpDepLookup,4,FALSE)*(Operations!$G40*(Operations!$G40*Operations!$H40/Operations!$I40)^0.5))^2))</f>
        <v>115000</v>
      </c>
      <c r="O40" s="84">
        <f>IF(Operations!$C40="",0,(((Operations!$G40+1)*Operations!$H40/Operations!$I40/1000)^VLOOKUP(Operations!$C40,ImpRepairFac[],4,FALSE)-(Operations!$G40*Operations!$H40/Operations!$I40/1000)^VLOOKUP(Operations!$C40,ImpRepairFac[],4,FALSE))*Operations!$N40*VLOOKUP(Operations!$C40,ImpRepairFac[],3,FALSE)/Operations!$H40)</f>
        <v>2.6513888888888926</v>
      </c>
      <c r="P40" s="85">
        <f>IF(Operations!$N40=0,0,Operations!$N40*(VLOOKUP(Operations!$D40,ImpDepLookup,2,FALSE)-VLOOKUP(Operations!$D40,ImpDepLookup,3,FALSE)*Operations!$G40^0.5-VLOOKUP(Operations!$D40,ImpDepLookup,4,FALSE)*(Operations!$G40*Operations!$H40/Operations!$I40)^0.5)^2)</f>
        <v>33926.303301186337</v>
      </c>
      <c r="Q40" s="85">
        <f>IF(Operations!$N40=0,0,Operations!$N40*(VLOOKUP(Operations!$D40,ImpDepLookup,2,FALSE)-VLOOKUP(Operations!$D40,ImpDepLookup,3,FALSE)*(Operations!$G40+1)^0.5-VLOOKUP(Operations!$D40,ImpDepLookup,4,FALSE)*(Operations!$G40*Operations!$H40/Operations!$I40)^0.5)^2)</f>
        <v>31838.463988371477</v>
      </c>
      <c r="R40" s="84">
        <f>IF(Operations!$N40=0,0,IF(Operations!$I40*Operations!$H40=0,0,(Operations!$P40-Operations!$Q40)/(Operations!$H40)))</f>
        <v>0.80301512031340772</v>
      </c>
      <c r="S40" s="86">
        <f>IF(Operations!$H40=0,0,Operations!$P40*'General Variables'!$B$9/Operations!$H40)</f>
        <v>0.26097156385527953</v>
      </c>
      <c r="T40" s="86">
        <f>IF(Operations!$H40=0,0,Operations!$P40*'General Variables'!$B$10/Operations!$H40)</f>
        <v>0.39145734578291924</v>
      </c>
      <c r="U40" s="86">
        <f>SUM(Table3[[#This Row],[Depreciation per Unit]:[Opportunity Cost per Unit]])</f>
        <v>1.4554440299516065</v>
      </c>
      <c r="W40" s="64" t="s">
        <v>421</v>
      </c>
      <c r="X40" s="6" t="s">
        <v>159</v>
      </c>
      <c r="Y40" s="65">
        <v>0.06</v>
      </c>
      <c r="Z40" s="65">
        <v>1</v>
      </c>
      <c r="AA40" s="66"/>
    </row>
    <row r="41" spans="1:27" ht="12.75" customHeight="1" x14ac:dyDescent="0.25">
      <c r="A41" s="94" t="s">
        <v>525</v>
      </c>
      <c r="B41" s="77" t="s">
        <v>483</v>
      </c>
      <c r="C41" s="78" t="s">
        <v>436</v>
      </c>
      <c r="D41" s="78" t="s">
        <v>450</v>
      </c>
      <c r="E41" s="79">
        <v>125000</v>
      </c>
      <c r="F41" s="80"/>
      <c r="G41" s="79">
        <v>10</v>
      </c>
      <c r="H41" s="79">
        <f>130*20</f>
        <v>2600</v>
      </c>
      <c r="I41" s="87">
        <v>1.8</v>
      </c>
      <c r="J41" s="82">
        <f>2/24</f>
        <v>8.3333333333333329E-2</v>
      </c>
      <c r="K41" s="78" t="s">
        <v>140</v>
      </c>
      <c r="L41" s="80"/>
      <c r="M41" s="82">
        <v>47.78</v>
      </c>
      <c r="N41" s="83">
        <f>IF(Operations!$E41&gt;1,Operations!$E41,IF(Operations!$D41=0,0,Operations!$F41/(VLOOKUP(Operations!$D41,ImpDepLookup,2,FALSE)-VLOOKUP(Operations!$D41,ImpDepLookup,3,FALSE)*Operations!$G41^0.5-VLOOKUP(Operations!$D41,ImpDepLookup,4,FALSE)*(Operations!$G41*(Operations!$G41*Operations!$H41/Operations!$I41)^0.5))^2))</f>
        <v>125000</v>
      </c>
      <c r="O41" s="84">
        <f>IF(Operations!$C41="",0,(((Operations!$G41+1)*Operations!$H41/Operations!$I41/1000)^VLOOKUP(Operations!$C41,ImpRepairFac[],4,FALSE)-(Operations!$G41*Operations!$H41/Operations!$I41/1000)^VLOOKUP(Operations!$C41,ImpRepairFac[],4,FALSE))*Operations!$N41*VLOOKUP(Operations!$C41,ImpRepairFac[],3,FALSE)/Operations!$H41)</f>
        <v>2.8819444444444482</v>
      </c>
      <c r="P41" s="85">
        <f>IF(Operations!$N41=0,0,Operations!$N41*(VLOOKUP(Operations!$D41,ImpDepLookup,2,FALSE)-VLOOKUP(Operations!$D41,ImpDepLookup,3,FALSE)*Operations!$G41^0.5-VLOOKUP(Operations!$D41,ImpDepLookup,4,FALSE)*(Operations!$G41*Operations!$H41/Operations!$I41)^0.5)^2)</f>
        <v>36876.416631724278</v>
      </c>
      <c r="Q41" s="85">
        <f>IF(Operations!$N41=0,0,Operations!$N41*(VLOOKUP(Operations!$D41,ImpDepLookup,2,FALSE)-VLOOKUP(Operations!$D41,ImpDepLookup,3,FALSE)*(Operations!$G41+1)^0.5-VLOOKUP(Operations!$D41,ImpDepLookup,4,FALSE)*(Operations!$G41*Operations!$H41/Operations!$I41)^0.5)^2)</f>
        <v>34607.026074316826</v>
      </c>
      <c r="R41" s="84">
        <f>IF(Operations!$N41=0,0,IF(Operations!$I41*Operations!$H41=0,0,(Operations!$P41-Operations!$Q41)/(Operations!$H41)))</f>
        <v>0.87284252207978941</v>
      </c>
      <c r="S41" s="86">
        <f>IF(Operations!$H41=0,0,Operations!$P41*'General Variables'!$B$9/Operations!$H41)</f>
        <v>0.28366474332095598</v>
      </c>
      <c r="T41" s="86">
        <f>IF(Operations!$H41=0,0,Operations!$P41*'General Variables'!$B$10/Operations!$H41)</f>
        <v>0.42549711498143394</v>
      </c>
      <c r="U41" s="86">
        <f>SUM(Table3[[#This Row],[Depreciation per Unit]:[Opportunity Cost per Unit]])</f>
        <v>1.5820043803821793</v>
      </c>
      <c r="W41" s="62" t="s">
        <v>428</v>
      </c>
      <c r="X41" s="5" t="s">
        <v>159</v>
      </c>
      <c r="Y41" s="53">
        <v>0.06</v>
      </c>
      <c r="Z41" s="53">
        <v>1</v>
      </c>
      <c r="AA41" s="63"/>
    </row>
    <row r="42" spans="1:27" ht="12.75" customHeight="1" x14ac:dyDescent="0.25">
      <c r="A42" s="94" t="s">
        <v>526</v>
      </c>
      <c r="B42" s="77" t="s">
        <v>176</v>
      </c>
      <c r="C42" s="78" t="s">
        <v>527</v>
      </c>
      <c r="D42" s="78" t="s">
        <v>490</v>
      </c>
      <c r="E42" s="79">
        <v>163781</v>
      </c>
      <c r="F42" s="80"/>
      <c r="G42" s="79">
        <v>5</v>
      </c>
      <c r="H42" s="79">
        <v>1200</v>
      </c>
      <c r="I42" s="87">
        <v>10</v>
      </c>
      <c r="J42" s="82">
        <v>1.2</v>
      </c>
      <c r="K42" s="78" t="s">
        <v>112</v>
      </c>
      <c r="L42" s="80">
        <v>2.73</v>
      </c>
      <c r="M42" s="82"/>
      <c r="N42" s="83">
        <f>IF(Operations!$E42&gt;1,Operations!$E42,IF(Operations!$D42=0,0,Operations!$F42/(VLOOKUP(Operations!$D42,ImpDepLookup,2,FALSE)-VLOOKUP(Operations!$D42,ImpDepLookup,3,FALSE)*Operations!$G42^0.5-VLOOKUP(Operations!$D42,ImpDepLookup,4,FALSE)*(Operations!$G42*(Operations!$G42*Operations!$H42/Operations!$I42)^0.5))^2))</f>
        <v>163781</v>
      </c>
      <c r="O42" s="84">
        <f>IF(Operations!$C42="",0,(((Operations!$G42+1)*Operations!$H42/Operations!$I42/1000)^VLOOKUP(Operations!$C42,ImpRepairFac[],4,FALSE)-(Operations!$G42*Operations!$H42/Operations!$I42/1000)^VLOOKUP(Operations!$C42,ImpRepairFac[],4,FALSE))*Operations!$N42*VLOOKUP(Operations!$C42,ImpRepairFac[],3,FALSE)/Operations!$H42)</f>
        <v>6.9694252492778723</v>
      </c>
      <c r="P42" s="85">
        <f>IF(Operations!$N42=0,0,Operations!$N42*(VLOOKUP(Operations!$D42,ImpDepLookup,2,FALSE)-VLOOKUP(Operations!$D42,ImpDepLookup,3,FALSE)*Operations!$G42^0.5-VLOOKUP(Operations!$D42,ImpDepLookup,4,FALSE)*(Operations!$G42*Operations!$H42/Operations!$I42)^0.5)^2)</f>
        <v>82233.638921895326</v>
      </c>
      <c r="Q42" s="85">
        <f>IF(Operations!$N42=0,0,Operations!$N42*(VLOOKUP(Operations!$D42,ImpDepLookup,2,FALSE)-VLOOKUP(Operations!$D42,ImpDepLookup,3,FALSE)*(Operations!$G42+1)^0.5-VLOOKUP(Operations!$D42,ImpDepLookup,4,FALSE)*(Operations!$G42*Operations!$H42/Operations!$I42)^0.5)^2)</f>
        <v>78415.179682987335</v>
      </c>
      <c r="R42" s="84">
        <f>IF(Operations!$N42=0,0,IF(Operations!$I42*Operations!$H42=0,0,(Operations!$P42-Operations!$Q42)/(Operations!$H42)))</f>
        <v>3.1820493657566598</v>
      </c>
      <c r="S42" s="86">
        <f>IF(Operations!$H42=0,0,Operations!$P42*'General Variables'!$B$9/Operations!$H42)</f>
        <v>1.3705606486982556</v>
      </c>
      <c r="T42" s="86">
        <f>IF(Operations!$H42=0,0,Operations!$P42*'General Variables'!$B$10/Operations!$H42)</f>
        <v>2.055840973047383</v>
      </c>
      <c r="U42" s="86">
        <f>SUM(Table3[[#This Row],[Depreciation per Unit]:[Opportunity Cost per Unit]])</f>
        <v>6.6084509875022981</v>
      </c>
      <c r="W42" s="64" t="s">
        <v>436</v>
      </c>
      <c r="X42" s="6" t="s">
        <v>159</v>
      </c>
      <c r="Y42" s="65">
        <v>4.1500000000000002E-2</v>
      </c>
      <c r="Z42" s="65">
        <v>1</v>
      </c>
      <c r="AA42" s="66"/>
    </row>
    <row r="43" spans="1:27" ht="12.75" customHeight="1" x14ac:dyDescent="0.25">
      <c r="A43" s="94" t="s">
        <v>528</v>
      </c>
      <c r="B43" s="77" t="s">
        <v>176</v>
      </c>
      <c r="C43" s="78" t="s">
        <v>527</v>
      </c>
      <c r="D43" s="78" t="s">
        <v>490</v>
      </c>
      <c r="E43" s="79">
        <v>163781</v>
      </c>
      <c r="F43" s="80"/>
      <c r="G43" s="79">
        <v>5</v>
      </c>
      <c r="H43" s="79">
        <v>1200</v>
      </c>
      <c r="I43" s="87">
        <v>10</v>
      </c>
      <c r="J43" s="82">
        <v>1.2</v>
      </c>
      <c r="K43" s="78" t="s">
        <v>112</v>
      </c>
      <c r="L43" s="80">
        <v>2.580373831775701</v>
      </c>
      <c r="M43" s="82"/>
      <c r="N43" s="83">
        <f>IF(Operations!$E43&gt;1,Operations!$E43,IF(Operations!$D43=0,0,Operations!$F43/(VLOOKUP(Operations!$D43,ImpDepLookup,2,FALSE)-VLOOKUP(Operations!$D43,ImpDepLookup,3,FALSE)*Operations!$G43^0.5-VLOOKUP(Operations!$D43,ImpDepLookup,4,FALSE)*(Operations!$G43*(Operations!$G43*Operations!$H43/Operations!$I43)^0.5))^2))</f>
        <v>163781</v>
      </c>
      <c r="O43" s="84">
        <f>IF(Operations!$C43="",0,(((Operations!$G43+1)*Operations!$H43/Operations!$I43/1000)^VLOOKUP(Operations!$C43,ImpRepairFac[],4,FALSE)-(Operations!$G43*Operations!$H43/Operations!$I43/1000)^VLOOKUP(Operations!$C43,ImpRepairFac[],4,FALSE))*Operations!$N43*VLOOKUP(Operations!$C43,ImpRepairFac[],3,FALSE)/Operations!$H43)</f>
        <v>6.9694252492778723</v>
      </c>
      <c r="P43" s="85">
        <f>IF(Operations!$N43=0,0,Operations!$N43*(VLOOKUP(Operations!$D43,ImpDepLookup,2,FALSE)-VLOOKUP(Operations!$D43,ImpDepLookup,3,FALSE)*Operations!$G43^0.5-VLOOKUP(Operations!$D43,ImpDepLookup,4,FALSE)*(Operations!$G43*Operations!$H43/Operations!$I43)^0.5)^2)</f>
        <v>82233.638921895326</v>
      </c>
      <c r="Q43" s="85">
        <f>IF(Operations!$N43=0,0,Operations!$N43*(VLOOKUP(Operations!$D43,ImpDepLookup,2,FALSE)-VLOOKUP(Operations!$D43,ImpDepLookup,3,FALSE)*(Operations!$G43+1)^0.5-VLOOKUP(Operations!$D43,ImpDepLookup,4,FALSE)*(Operations!$G43*Operations!$H43/Operations!$I43)^0.5)^2)</f>
        <v>78415.179682987335</v>
      </c>
      <c r="R43" s="84">
        <f>IF(Operations!$N43=0,0,IF(Operations!$I43*Operations!$H43=0,0,(Operations!$P43-Operations!$Q43)/(Operations!$H43)))</f>
        <v>3.1820493657566598</v>
      </c>
      <c r="S43" s="86">
        <f>IF(Operations!$H43=0,0,Operations!$P43*'General Variables'!$B$9/Operations!$H43)</f>
        <v>1.3705606486982556</v>
      </c>
      <c r="T43" s="86">
        <f>IF(Operations!$H43=0,0,Operations!$P43*'General Variables'!$B$10/Operations!$H43)</f>
        <v>2.055840973047383</v>
      </c>
      <c r="U43" s="86">
        <f>SUM(Table3[[#This Row],[Depreciation per Unit]:[Opportunity Cost per Unit]])</f>
        <v>6.6084509875022981</v>
      </c>
      <c r="W43" s="62" t="s">
        <v>445</v>
      </c>
      <c r="X43" s="5" t="s">
        <v>159</v>
      </c>
      <c r="Y43" s="53">
        <v>0.06</v>
      </c>
      <c r="Z43" s="53">
        <v>1</v>
      </c>
      <c r="AA43" s="63"/>
    </row>
    <row r="44" spans="1:27" ht="12.75" customHeight="1" x14ac:dyDescent="0.25">
      <c r="A44" s="94" t="s">
        <v>529</v>
      </c>
      <c r="B44" s="77" t="s">
        <v>176</v>
      </c>
      <c r="C44" s="78" t="s">
        <v>527</v>
      </c>
      <c r="D44" s="78" t="s">
        <v>490</v>
      </c>
      <c r="E44" s="79">
        <v>163781</v>
      </c>
      <c r="F44" s="80"/>
      <c r="G44" s="79">
        <v>5</v>
      </c>
      <c r="H44" s="88">
        <v>1200</v>
      </c>
      <c r="I44" s="87">
        <v>10</v>
      </c>
      <c r="J44" s="82">
        <v>1.2</v>
      </c>
      <c r="K44" s="78" t="s">
        <v>112</v>
      </c>
      <c r="L44" s="80">
        <v>3.38</v>
      </c>
      <c r="M44" s="82"/>
      <c r="N44" s="83">
        <f>IF(Operations!$E44&gt;1,Operations!$E44,IF(Operations!$D44=0,0,Operations!$F44/(VLOOKUP(Operations!$D44,ImpDepLookup,2,FALSE)-VLOOKUP(Operations!$D44,ImpDepLookup,3,FALSE)*Operations!$G44^0.5-VLOOKUP(Operations!$D44,ImpDepLookup,4,FALSE)*(Operations!$G44*(Operations!$G44*Operations!$H44/Operations!$I44)^0.5))^2))</f>
        <v>163781</v>
      </c>
      <c r="O44" s="84">
        <f>IF(Operations!$C44="",0,(((Operations!$G44+1)*Operations!$H44/Operations!$I44/1000)^VLOOKUP(Operations!$C44,ImpRepairFac[],4,FALSE)-(Operations!$G44*Operations!$H44/Operations!$I44/1000)^VLOOKUP(Operations!$C44,ImpRepairFac[],4,FALSE))*Operations!$N44*VLOOKUP(Operations!$C44,ImpRepairFac[],3,FALSE)/Operations!$H44)</f>
        <v>6.9694252492778723</v>
      </c>
      <c r="P44" s="85">
        <f>IF(Operations!$N44=0,0,Operations!$N44*(VLOOKUP(Operations!$D44,ImpDepLookup,2,FALSE)-VLOOKUP(Operations!$D44,ImpDepLookup,3,FALSE)*Operations!$G44^0.5-VLOOKUP(Operations!$D44,ImpDepLookup,4,FALSE)*(Operations!$G44*Operations!$H44/Operations!$I44)^0.5)^2)</f>
        <v>82233.638921895326</v>
      </c>
      <c r="Q44" s="85">
        <f>IF(Operations!$N44=0,0,Operations!$N44*(VLOOKUP(Operations!$D44,ImpDepLookup,2,FALSE)-VLOOKUP(Operations!$D44,ImpDepLookup,3,FALSE)*(Operations!$G44+1)^0.5-VLOOKUP(Operations!$D44,ImpDepLookup,4,FALSE)*(Operations!$G44*Operations!$H44/Operations!$I44)^0.5)^2)</f>
        <v>78415.179682987335</v>
      </c>
      <c r="R44" s="84">
        <f>IF(Operations!$N44=0,0,IF(Operations!$I44*Operations!$H44=0,0,(Operations!$P44-Operations!$Q44)/(Operations!$H44)))</f>
        <v>3.1820493657566598</v>
      </c>
      <c r="S44" s="86">
        <f>IF(Operations!$H44=0,0,Operations!$P44*'General Variables'!$B$9/Operations!$H44)</f>
        <v>1.3705606486982556</v>
      </c>
      <c r="T44" s="86">
        <f>IF(Operations!$H44=0,0,Operations!$P44*'General Variables'!$B$10/Operations!$H44)</f>
        <v>2.055840973047383</v>
      </c>
      <c r="U44" s="86">
        <f>SUM(Table3[[#This Row],[Depreciation per Unit]:[Opportunity Cost per Unit]])</f>
        <v>6.6084509875022981</v>
      </c>
      <c r="W44" s="64" t="s">
        <v>451</v>
      </c>
      <c r="X44" s="6" t="s">
        <v>159</v>
      </c>
      <c r="Y44" s="65">
        <v>0.06</v>
      </c>
      <c r="Z44" s="65">
        <v>1</v>
      </c>
      <c r="AA44" s="66"/>
    </row>
    <row r="45" spans="1:27" ht="12.75" customHeight="1" x14ac:dyDescent="0.25">
      <c r="A45" s="94" t="s">
        <v>530</v>
      </c>
      <c r="B45" s="77" t="s">
        <v>176</v>
      </c>
      <c r="C45" s="78" t="s">
        <v>531</v>
      </c>
      <c r="D45" s="78" t="s">
        <v>532</v>
      </c>
      <c r="E45" s="79">
        <v>33335</v>
      </c>
      <c r="F45" s="80"/>
      <c r="G45" s="79">
        <v>5</v>
      </c>
      <c r="H45" s="88">
        <v>600</v>
      </c>
      <c r="I45" s="87">
        <v>6.4</v>
      </c>
      <c r="J45" s="82">
        <v>1.1000000000000001</v>
      </c>
      <c r="K45" s="78" t="s">
        <v>100</v>
      </c>
      <c r="L45" s="80">
        <v>6</v>
      </c>
      <c r="M45" s="82"/>
      <c r="N45" s="83">
        <f>IF(Operations!$E45&gt;1,Operations!$E45,IF(Operations!$D45=0,0,Operations!$F45/(VLOOKUP(Operations!$D45,ImpDepLookup,2,FALSE)-VLOOKUP(Operations!$D45,ImpDepLookup,3,FALSE)*Operations!$G45^0.5-VLOOKUP(Operations!$D45,ImpDepLookup,4,FALSE)*(Operations!$G45*(Operations!$G45*Operations!$H45/Operations!$I45)^0.5))^2))</f>
        <v>33335</v>
      </c>
      <c r="O45" s="84">
        <f>IF(Operations!$C45="",0,(((Operations!$G45+1)*Operations!$H45/Operations!$I45/1000)^VLOOKUP(Operations!$C45,ImpRepairFac[],4,FALSE)-(Operations!$G45*Operations!$H45/Operations!$I45/1000)^VLOOKUP(Operations!$C45,ImpRepairFac[],4,FALSE))*Operations!$N45*VLOOKUP(Operations!$C45,ImpRepairFac[],3,FALSE)/Operations!$H45)</f>
        <v>1.6001560344384202</v>
      </c>
      <c r="P45" s="85">
        <f>IF(Operations!$N45=0,0,Operations!$N45*(VLOOKUP(Operations!$D45,ImpDepLookup,2,FALSE)-VLOOKUP(Operations!$D45,ImpDepLookup,3,FALSE)*Operations!$G45^0.5-VLOOKUP(Operations!$D45,ImpDepLookup,4,FALSE)*(Operations!$G45*Operations!$H45/Operations!$I45)^0.5)^2)</f>
        <v>12978.207108769067</v>
      </c>
      <c r="Q45" s="85">
        <f>IF(Operations!$N45=0,0,Operations!$N45*(VLOOKUP(Operations!$D45,ImpDepLookup,2,FALSE)-VLOOKUP(Operations!$D45,ImpDepLookup,3,FALSE)*(Operations!$G45+1)^0.5-VLOOKUP(Operations!$D45,ImpDepLookup,4,FALSE)*(Operations!$G45*Operations!$H45/Operations!$I45)^0.5)^2)</f>
        <v>12529.366774425318</v>
      </c>
      <c r="R45" s="84">
        <f>IF(Operations!$N45=0,0,IF(Operations!$I45*Operations!$H45=0,0,(Operations!$P45-Operations!$Q45)/(Operations!$H45)))</f>
        <v>0.74806722390624902</v>
      </c>
      <c r="S45" s="86">
        <f>IF(Operations!$H45=0,0,Operations!$P45*'General Variables'!$B$9/Operations!$H45)</f>
        <v>0.43260690362563553</v>
      </c>
      <c r="T45" s="86">
        <f>IF(Operations!$H45=0,0,Operations!$P45*'General Variables'!$B$10/Operations!$H45)</f>
        <v>0.64891035543845332</v>
      </c>
      <c r="U45" s="86">
        <f>SUM(Table3[[#This Row],[Depreciation per Unit]:[Opportunity Cost per Unit]])</f>
        <v>1.829584482970338</v>
      </c>
      <c r="W45" s="62" t="s">
        <v>455</v>
      </c>
      <c r="X45" s="5" t="s">
        <v>159</v>
      </c>
      <c r="Y45" s="53">
        <v>0.06</v>
      </c>
      <c r="Z45" s="53">
        <v>1</v>
      </c>
      <c r="AA45" s="63"/>
    </row>
    <row r="46" spans="1:27" ht="12.75" customHeight="1" x14ac:dyDescent="0.25">
      <c r="A46" s="94" t="s">
        <v>533</v>
      </c>
      <c r="B46" s="77" t="s">
        <v>176</v>
      </c>
      <c r="C46" s="78" t="s">
        <v>534</v>
      </c>
      <c r="D46" s="78" t="s">
        <v>423</v>
      </c>
      <c r="E46" s="79">
        <v>102441</v>
      </c>
      <c r="F46" s="80"/>
      <c r="G46" s="79">
        <v>5</v>
      </c>
      <c r="H46" s="79">
        <v>1000</v>
      </c>
      <c r="I46" s="87">
        <v>10</v>
      </c>
      <c r="J46" s="82">
        <v>1.1000000000000001</v>
      </c>
      <c r="K46" s="78" t="s">
        <v>100</v>
      </c>
      <c r="L46" s="80">
        <v>5.332019704433498</v>
      </c>
      <c r="M46" s="82"/>
      <c r="N46" s="83">
        <f>IF(Operations!$E46&gt;1,Operations!$E46,IF(Operations!$D46=0,0,Operations!$F46/(VLOOKUP(Operations!$D46,ImpDepLookup,2,FALSE)-VLOOKUP(Operations!$D46,ImpDepLookup,3,FALSE)*Operations!$G46^0.5-VLOOKUP(Operations!$D46,ImpDepLookup,4,FALSE)*(Operations!$G46*(Operations!$G46*Operations!$H46/Operations!$I46)^0.5))^2))</f>
        <v>102441</v>
      </c>
      <c r="O46" s="84">
        <f>IF(Operations!$C46="",0,(((Operations!$G46+1)*Operations!$H46/Operations!$I46/1000)^VLOOKUP(Operations!$C46,ImpRepairFac[],4,FALSE)-(Operations!$G46*Operations!$H46/Operations!$I46/1000)^VLOOKUP(Operations!$C46,ImpRepairFac[],4,FALSE))*Operations!$N46*VLOOKUP(Operations!$C46,ImpRepairFac[],3,FALSE)/Operations!$H46)</f>
        <v>1.8703559653743922</v>
      </c>
      <c r="P46" s="85">
        <f>IF(Operations!$N46=0,0,Operations!$N46*(VLOOKUP(Operations!$D46,ImpDepLookup,2,FALSE)-VLOOKUP(Operations!$D46,ImpDepLookup,3,FALSE)*Operations!$G46^0.5-VLOOKUP(Operations!$D46,ImpDepLookup,4,FALSE)*(Operations!$G46*Operations!$H46/Operations!$I46)^0.5)^2)</f>
        <v>42622.314942327364</v>
      </c>
      <c r="Q46" s="85">
        <f>IF(Operations!$N46=0,0,Operations!$N46*(VLOOKUP(Operations!$D46,ImpDepLookup,2,FALSE)-VLOOKUP(Operations!$D46,ImpDepLookup,3,FALSE)*(Operations!$G46+1)^0.5-VLOOKUP(Operations!$D46,ImpDepLookup,4,FALSE)*(Operations!$G46*Operations!$H46/Operations!$I46)^0.5)^2)</f>
        <v>39576.238524296692</v>
      </c>
      <c r="R46" s="84">
        <f>IF(Operations!$N46=0,0,IF(Operations!$I46*Operations!$H46=0,0,(Operations!$P46-Operations!$Q46)/(Operations!$H46)))</f>
        <v>3.0460764180306725</v>
      </c>
      <c r="S46" s="86">
        <f>IF(Operations!$H46=0,0,Operations!$P46*'General Variables'!$B$9/Operations!$H46)</f>
        <v>0.85244629884654732</v>
      </c>
      <c r="T46" s="86">
        <f>IF(Operations!$H46=0,0,Operations!$P46*'General Variables'!$B$10/Operations!$H46)</f>
        <v>1.2786694482698209</v>
      </c>
      <c r="U46" s="86">
        <f>SUM(Table3[[#This Row],[Depreciation per Unit]:[Opportunity Cost per Unit]])</f>
        <v>5.1771921651470407</v>
      </c>
      <c r="W46" s="64" t="s">
        <v>457</v>
      </c>
      <c r="X46" s="6" t="s">
        <v>159</v>
      </c>
      <c r="Y46" s="65">
        <v>0.02</v>
      </c>
      <c r="Z46" s="65">
        <v>1</v>
      </c>
      <c r="AA46" s="66"/>
    </row>
    <row r="47" spans="1:27" ht="12.75" customHeight="1" x14ac:dyDescent="0.25">
      <c r="A47" s="94" t="s">
        <v>535</v>
      </c>
      <c r="B47" s="77" t="s">
        <v>176</v>
      </c>
      <c r="C47" s="78" t="s">
        <v>534</v>
      </c>
      <c r="D47" s="78" t="s">
        <v>423</v>
      </c>
      <c r="E47" s="79">
        <v>102441</v>
      </c>
      <c r="F47" s="80"/>
      <c r="G47" s="79">
        <v>5</v>
      </c>
      <c r="H47" s="79">
        <v>1000</v>
      </c>
      <c r="I47" s="89">
        <v>10</v>
      </c>
      <c r="J47" s="82">
        <v>1</v>
      </c>
      <c r="K47" s="78" t="s">
        <v>100</v>
      </c>
      <c r="L47" s="80">
        <v>5.332019704433498</v>
      </c>
      <c r="M47" s="82"/>
      <c r="N47" s="83">
        <f>IF(Operations!$E47&gt;1,Operations!$E47,IF(Operations!$D47=0,0,Operations!$F47/(VLOOKUP(Operations!$D47,ImpDepLookup,2,FALSE)-VLOOKUP(Operations!$D47,ImpDepLookup,3,FALSE)*Operations!$G47^0.5-VLOOKUP(Operations!$D47,ImpDepLookup,4,FALSE)*(Operations!$G47*(Operations!$G47*Operations!$H47/Operations!$I47)^0.5))^2))</f>
        <v>102441</v>
      </c>
      <c r="O47" s="84">
        <f>IF(Operations!$C47="",0,(((Operations!$G47+1)*Operations!$H47/Operations!$I47/1000)^VLOOKUP(Operations!$C47,ImpRepairFac[],4,FALSE)-(Operations!$G47*Operations!$H47/Operations!$I47/1000)^VLOOKUP(Operations!$C47,ImpRepairFac[],4,FALSE))*Operations!$N47*VLOOKUP(Operations!$C47,ImpRepairFac[],3,FALSE)/Operations!$H47)</f>
        <v>1.8703559653743922</v>
      </c>
      <c r="P47" s="85">
        <f>IF(Operations!$N47=0,0,Operations!$N47*(VLOOKUP(Operations!$D47,ImpDepLookup,2,FALSE)-VLOOKUP(Operations!$D47,ImpDepLookup,3,FALSE)*Operations!$G47^0.5-VLOOKUP(Operations!$D47,ImpDepLookup,4,FALSE)*(Operations!$G47*Operations!$H47/Operations!$I47)^0.5)^2)</f>
        <v>42622.314942327364</v>
      </c>
      <c r="Q47" s="85">
        <f>IF(Operations!$N47=0,0,Operations!$N47*(VLOOKUP(Operations!$D47,ImpDepLookup,2,FALSE)-VLOOKUP(Operations!$D47,ImpDepLookup,3,FALSE)*(Operations!$G47+1)^0.5-VLOOKUP(Operations!$D47,ImpDepLookup,4,FALSE)*(Operations!$G47*Operations!$H47/Operations!$I47)^0.5)^2)</f>
        <v>39576.238524296692</v>
      </c>
      <c r="R47" s="84">
        <f>IF(Operations!$N47=0,0,IF(Operations!$I47*Operations!$H47=0,0,(Operations!$P47-Operations!$Q47)/(Operations!$H47)))</f>
        <v>3.0460764180306725</v>
      </c>
      <c r="S47" s="86">
        <f>IF(Operations!$H47=0,0,Operations!$P47*'General Variables'!$B$9/Operations!$H47)</f>
        <v>0.85244629884654732</v>
      </c>
      <c r="T47" s="86">
        <f>IF(Operations!$H47=0,0,Operations!$P47*'General Variables'!$B$10/Operations!$H47)</f>
        <v>1.2786694482698209</v>
      </c>
      <c r="U47" s="86">
        <f>SUM(Table3[[#This Row],[Depreciation per Unit]:[Opportunity Cost per Unit]])</f>
        <v>5.1771921651470407</v>
      </c>
      <c r="W47" s="62" t="s">
        <v>460</v>
      </c>
      <c r="X47" s="5" t="s">
        <v>159</v>
      </c>
      <c r="Y47" s="53">
        <v>0.01</v>
      </c>
      <c r="Z47" s="53">
        <v>1</v>
      </c>
      <c r="AA47" s="63"/>
    </row>
    <row r="48" spans="1:27" ht="12.75" customHeight="1" x14ac:dyDescent="0.25">
      <c r="A48" s="94" t="s">
        <v>536</v>
      </c>
      <c r="B48" s="77" t="s">
        <v>176</v>
      </c>
      <c r="C48" s="78" t="s">
        <v>527</v>
      </c>
      <c r="D48" s="78" t="s">
        <v>423</v>
      </c>
      <c r="E48" s="79">
        <v>133850</v>
      </c>
      <c r="F48" s="80"/>
      <c r="G48" s="79">
        <v>5</v>
      </c>
      <c r="H48" s="79">
        <v>1200</v>
      </c>
      <c r="I48" s="87">
        <v>10</v>
      </c>
      <c r="J48" s="82">
        <v>1.2</v>
      </c>
      <c r="K48" s="78" t="s">
        <v>100</v>
      </c>
      <c r="L48" s="80">
        <v>3.41</v>
      </c>
      <c r="M48" s="82"/>
      <c r="N48" s="83">
        <f>IF(Operations!$E48&gt;1,Operations!$E48,IF(Operations!$D48=0,0,Operations!$F48/(VLOOKUP(Operations!$D48,ImpDepLookup,2,FALSE)-VLOOKUP(Operations!$D48,ImpDepLookup,3,FALSE)*Operations!$G48^0.5-VLOOKUP(Operations!$D48,ImpDepLookup,4,FALSE)*(Operations!$G48*(Operations!$G48*Operations!$H48/Operations!$I48)^0.5))^2))</f>
        <v>133850</v>
      </c>
      <c r="O48" s="84">
        <f>IF(Operations!$C48="",0,(((Operations!$G48+1)*Operations!$H48/Operations!$I48/1000)^VLOOKUP(Operations!$C48,ImpRepairFac[],4,FALSE)-(Operations!$G48*Operations!$H48/Operations!$I48/1000)^VLOOKUP(Operations!$C48,ImpRepairFac[],4,FALSE))*Operations!$N48*VLOOKUP(Operations!$C48,ImpRepairFac[],3,FALSE)/Operations!$H48)</f>
        <v>5.6957618381609789</v>
      </c>
      <c r="P48" s="85">
        <f>IF(Operations!$N48=0,0,Operations!$N48*(VLOOKUP(Operations!$D48,ImpDepLookup,2,FALSE)-VLOOKUP(Operations!$D48,ImpDepLookup,3,FALSE)*Operations!$G48^0.5-VLOOKUP(Operations!$D48,ImpDepLookup,4,FALSE)*(Operations!$G48*Operations!$H48/Operations!$I48)^0.5)^2)</f>
        <v>55690.561933508237</v>
      </c>
      <c r="Q48" s="85">
        <f>IF(Operations!$N48=0,0,Operations!$N48*(VLOOKUP(Operations!$D48,ImpDepLookup,2,FALSE)-VLOOKUP(Operations!$D48,ImpDepLookup,3,FALSE)*(Operations!$G48+1)^0.5-VLOOKUP(Operations!$D48,ImpDepLookup,4,FALSE)*(Operations!$G48*Operations!$H48/Operations!$I48)^0.5)^2)</f>
        <v>51710.540959939011</v>
      </c>
      <c r="R48" s="84">
        <f>IF(Operations!$N48=0,0,IF(Operations!$I48*Operations!$H48=0,0,(Operations!$P48-Operations!$Q48)/(Operations!$H48)))</f>
        <v>3.3166841446410218</v>
      </c>
      <c r="S48" s="86">
        <f>IF(Operations!$H48=0,0,Operations!$P48*'General Variables'!$B$9/Operations!$H48)</f>
        <v>0.92817603222513734</v>
      </c>
      <c r="T48" s="86">
        <f>IF(Operations!$H48=0,0,Operations!$P48*'General Variables'!$B$10/Operations!$H48)</f>
        <v>1.392264048337706</v>
      </c>
      <c r="U48" s="86">
        <f>SUM(Table3[[#This Row],[Depreciation per Unit]:[Opportunity Cost per Unit]])</f>
        <v>5.6371242252038654</v>
      </c>
      <c r="W48" s="62" t="s">
        <v>464</v>
      </c>
      <c r="X48" s="5" t="s">
        <v>159</v>
      </c>
      <c r="Y48" s="53">
        <v>0.03</v>
      </c>
      <c r="Z48" s="53">
        <v>1</v>
      </c>
      <c r="AA48" s="63"/>
    </row>
    <row r="49" spans="1:21" ht="12.75" customHeight="1" x14ac:dyDescent="0.2">
      <c r="A49" s="94" t="s">
        <v>537</v>
      </c>
      <c r="B49" s="77" t="s">
        <v>176</v>
      </c>
      <c r="C49" s="78" t="s">
        <v>538</v>
      </c>
      <c r="D49" s="78" t="s">
        <v>423</v>
      </c>
      <c r="E49" s="79">
        <v>72916</v>
      </c>
      <c r="F49" s="80"/>
      <c r="G49" s="79">
        <v>5</v>
      </c>
      <c r="H49" s="79">
        <v>1000</v>
      </c>
      <c r="I49" s="87">
        <v>13.200000000000001</v>
      </c>
      <c r="J49" s="82">
        <v>1</v>
      </c>
      <c r="K49" s="78" t="s">
        <v>100</v>
      </c>
      <c r="L49" s="80">
        <v>5.346000000000001</v>
      </c>
      <c r="M49" s="82"/>
      <c r="N49" s="83">
        <f>IF(Operations!$E49&gt;1,Operations!$E49,IF(Operations!$D49=0,0,Operations!$F49/(VLOOKUP(Operations!$D49,ImpDepLookup,2,FALSE)-VLOOKUP(Operations!$D49,ImpDepLookup,3,FALSE)*Operations!$G49^0.5-VLOOKUP(Operations!$D49,ImpDepLookup,4,FALSE)*(Operations!$G49*(Operations!$G49*Operations!$H49/Operations!$I49)^0.5))^2))</f>
        <v>72916</v>
      </c>
      <c r="O49" s="84">
        <f>IF(Operations!$C49="",0,(((Operations!$G49+1)*Operations!$H49/Operations!$I49/1000)^VLOOKUP(Operations!$C49,ImpRepairFac[],4,FALSE)-(Operations!$G49*Operations!$H49/Operations!$I49/1000)^VLOOKUP(Operations!$C49,ImpRepairFac[],4,FALSE))*Operations!$N49*VLOOKUP(Operations!$C49,ImpRepairFac[],3,FALSE)/Operations!$H49)</f>
        <v>0.91558077742819688</v>
      </c>
      <c r="P49" s="85">
        <f>IF(Operations!$N49=0,0,Operations!$N49*(VLOOKUP(Operations!$D49,ImpDepLookup,2,FALSE)-VLOOKUP(Operations!$D49,ImpDepLookup,3,FALSE)*Operations!$G49^0.5-VLOOKUP(Operations!$D49,ImpDepLookup,4,FALSE)*(Operations!$G49*Operations!$H49/Operations!$I49)^0.5)^2)</f>
        <v>30337.93809446161</v>
      </c>
      <c r="Q49" s="85">
        <f>IF(Operations!$N49=0,0,Operations!$N49*(VLOOKUP(Operations!$D49,ImpDepLookup,2,FALSE)-VLOOKUP(Operations!$D49,ImpDepLookup,3,FALSE)*(Operations!$G49+1)^0.5-VLOOKUP(Operations!$D49,ImpDepLookup,4,FALSE)*(Operations!$G49*Operations!$H49/Operations!$I49)^0.5)^2)</f>
        <v>28169.785615501776</v>
      </c>
      <c r="R49" s="84">
        <f>IF(Operations!$N49=0,0,IF(Operations!$I49*Operations!$H49=0,0,(Operations!$P49-Operations!$Q49)/(Operations!$H49)))</f>
        <v>2.1681524789598332</v>
      </c>
      <c r="S49" s="86">
        <f>IF(Operations!$H49=0,0,Operations!$P49*'General Variables'!$B$9/Operations!$H49)</f>
        <v>0.60675876188923228</v>
      </c>
      <c r="T49" s="86">
        <f>IF(Operations!$H49=0,0,Operations!$P49*'General Variables'!$B$10/Operations!$H49)</f>
        <v>0.91013814283384831</v>
      </c>
      <c r="U49" s="86">
        <f>SUM(Table3[[#This Row],[Depreciation per Unit]:[Opportunity Cost per Unit]])</f>
        <v>3.6850493836829137</v>
      </c>
    </row>
    <row r="50" spans="1:21" ht="12.75" customHeight="1" x14ac:dyDescent="0.2">
      <c r="A50" s="94" t="s">
        <v>539</v>
      </c>
      <c r="B50" s="77" t="s">
        <v>176</v>
      </c>
      <c r="C50" s="78" t="s">
        <v>538</v>
      </c>
      <c r="D50" s="78" t="s">
        <v>423</v>
      </c>
      <c r="E50" s="79">
        <v>75000</v>
      </c>
      <c r="F50" s="80"/>
      <c r="G50" s="79">
        <v>5</v>
      </c>
      <c r="H50" s="79">
        <v>1000</v>
      </c>
      <c r="I50" s="87">
        <v>13.200000000000001</v>
      </c>
      <c r="J50" s="82">
        <v>1.2</v>
      </c>
      <c r="K50" s="78" t="s">
        <v>100</v>
      </c>
      <c r="L50" s="80">
        <v>5.346000000000001</v>
      </c>
      <c r="M50" s="82"/>
      <c r="N50" s="83">
        <f>IF(Operations!$E50&gt;1,Operations!$E50,IF(Operations!$D50=0,0,Operations!$F50/(VLOOKUP(Operations!$D50,ImpDepLookup,2,FALSE)-VLOOKUP(Operations!$D50,ImpDepLookup,3,FALSE)*Operations!$G50^0.5-VLOOKUP(Operations!$D50,ImpDepLookup,4,FALSE)*(Operations!$G50*(Operations!$G50*Operations!$H50/Operations!$I50)^0.5))^2))</f>
        <v>75000</v>
      </c>
      <c r="O50" s="84">
        <f>IF(Operations!$C50="",0,(((Operations!$G50+1)*Operations!$H50/Operations!$I50/1000)^VLOOKUP(Operations!$C50,ImpRepairFac[],4,FALSE)-(Operations!$G50*Operations!$H50/Operations!$I50/1000)^VLOOKUP(Operations!$C50,ImpRepairFac[],4,FALSE))*Operations!$N50*VLOOKUP(Operations!$C50,ImpRepairFac[],3,FALSE)/Operations!$H50)</f>
        <v>0.94174883848695434</v>
      </c>
      <c r="P50" s="85">
        <f>IF(Operations!$N50=0,0,Operations!$N50*(VLOOKUP(Operations!$D50,ImpDepLookup,2,FALSE)-VLOOKUP(Operations!$D50,ImpDepLookup,3,FALSE)*Operations!$G50^0.5-VLOOKUP(Operations!$D50,ImpDepLookup,4,FALSE)*(Operations!$G50*Operations!$H50/Operations!$I50)^0.5)^2)</f>
        <v>31205.021628786835</v>
      </c>
      <c r="Q50" s="85">
        <f>IF(Operations!$N50=0,0,Operations!$N50*(VLOOKUP(Operations!$D50,ImpDepLookup,2,FALSE)-VLOOKUP(Operations!$D50,ImpDepLookup,3,FALSE)*(Operations!$G50+1)^0.5-VLOOKUP(Operations!$D50,ImpDepLookup,4,FALSE)*(Operations!$G50*Operations!$H50/Operations!$I50)^0.5)^2)</f>
        <v>28974.901546473109</v>
      </c>
      <c r="R50" s="84">
        <f>IF(Operations!$N50=0,0,IF(Operations!$I50*Operations!$H50=0,0,(Operations!$P50-Operations!$Q50)/(Operations!$H50)))</f>
        <v>2.2301200823137259</v>
      </c>
      <c r="S50" s="86">
        <f>IF(Operations!$H50=0,0,Operations!$P50*'General Variables'!$B$9/Operations!$H50)</f>
        <v>0.62410043257573666</v>
      </c>
      <c r="T50" s="86">
        <f>IF(Operations!$H50=0,0,Operations!$P50*'General Variables'!$B$10/Operations!$H50)</f>
        <v>0.93615064886360511</v>
      </c>
      <c r="U50" s="86">
        <f>SUM(Table3[[#This Row],[Depreciation per Unit]:[Opportunity Cost per Unit]])</f>
        <v>3.7903711637530675</v>
      </c>
    </row>
    <row r="51" spans="1:21" ht="12.75" customHeight="1" x14ac:dyDescent="0.2">
      <c r="A51" s="94" t="s">
        <v>540</v>
      </c>
      <c r="B51" s="77" t="s">
        <v>176</v>
      </c>
      <c r="C51" s="78" t="s">
        <v>541</v>
      </c>
      <c r="D51" s="78" t="s">
        <v>423</v>
      </c>
      <c r="E51" s="79">
        <v>33000</v>
      </c>
      <c r="F51" s="80"/>
      <c r="G51" s="79">
        <v>5</v>
      </c>
      <c r="H51" s="79">
        <v>600</v>
      </c>
      <c r="I51" s="87">
        <v>12</v>
      </c>
      <c r="J51" s="82">
        <v>1</v>
      </c>
      <c r="K51" s="78" t="s">
        <v>112</v>
      </c>
      <c r="L51" s="80">
        <v>5.4586466165413539</v>
      </c>
      <c r="M51" s="82"/>
      <c r="N51" s="83">
        <f>IF(Operations!$E51&gt;1,Operations!$E51,IF(Operations!$D51=0,0,Operations!$F51/(VLOOKUP(Operations!$D51,ImpDepLookup,2,FALSE)-VLOOKUP(Operations!$D51,ImpDepLookup,3,FALSE)*Operations!$G51^0.5-VLOOKUP(Operations!$D51,ImpDepLookup,4,FALSE)*(Operations!$G51*(Operations!$G51*Operations!$H51/Operations!$I51)^0.5))^2))</f>
        <v>33000</v>
      </c>
      <c r="O51" s="84">
        <f>IF(Operations!$C51="",0,(((Operations!$G51+1)*Operations!$H51/Operations!$I51/1000)^VLOOKUP(Operations!$C51,ImpRepairFac[],4,FALSE)-(Operations!$G51*Operations!$H51/Operations!$I51/1000)^VLOOKUP(Operations!$C51,ImpRepairFac[],4,FALSE))*Operations!$N51*VLOOKUP(Operations!$C51,ImpRepairFac[],3,FALSE)/Operations!$H51)</f>
        <v>0.38821289526072134</v>
      </c>
      <c r="P51" s="85">
        <f>IF(Operations!$N51=0,0,Operations!$N51*(VLOOKUP(Operations!$D51,ImpDepLookup,2,FALSE)-VLOOKUP(Operations!$D51,ImpDepLookup,3,FALSE)*Operations!$G51^0.5-VLOOKUP(Operations!$D51,ImpDepLookup,4,FALSE)*(Operations!$G51*Operations!$H51/Operations!$I51)^0.5)^2)</f>
        <v>13730.209516666207</v>
      </c>
      <c r="Q51" s="85">
        <f>IF(Operations!$N51=0,0,Operations!$N51*(VLOOKUP(Operations!$D51,ImpDepLookup,2,FALSE)-VLOOKUP(Operations!$D51,ImpDepLookup,3,FALSE)*(Operations!$G51+1)^0.5-VLOOKUP(Operations!$D51,ImpDepLookup,4,FALSE)*(Operations!$G51*Operations!$H51/Operations!$I51)^0.5)^2)</f>
        <v>12748.956680448167</v>
      </c>
      <c r="R51" s="84">
        <f>IF(Operations!$N51=0,0,IF(Operations!$I51*Operations!$H51=0,0,(Operations!$P51-Operations!$Q51)/(Operations!$H51)))</f>
        <v>1.6354213936967334</v>
      </c>
      <c r="S51" s="86">
        <f>IF(Operations!$H51=0,0,Operations!$P51*'General Variables'!$B$9/Operations!$H51)</f>
        <v>0.45767365055554021</v>
      </c>
      <c r="T51" s="86">
        <f>IF(Operations!$H51=0,0,Operations!$P51*'General Variables'!$B$10/Operations!$H51)</f>
        <v>0.68651047583331037</v>
      </c>
      <c r="U51" s="86">
        <f>SUM(Table3[[#This Row],[Depreciation per Unit]:[Opportunity Cost per Unit]])</f>
        <v>2.779605520085584</v>
      </c>
    </row>
    <row r="52" spans="1:21" ht="12.75" customHeight="1" x14ac:dyDescent="0.2">
      <c r="A52" s="94" t="s">
        <v>542</v>
      </c>
      <c r="B52" s="77" t="s">
        <v>176</v>
      </c>
      <c r="C52" s="78" t="s">
        <v>541</v>
      </c>
      <c r="D52" s="78" t="s">
        <v>423</v>
      </c>
      <c r="E52" s="79">
        <v>71852</v>
      </c>
      <c r="F52" s="80"/>
      <c r="G52" s="79">
        <v>5</v>
      </c>
      <c r="H52" s="79">
        <v>1200</v>
      </c>
      <c r="I52" s="87">
        <v>10</v>
      </c>
      <c r="J52" s="82">
        <v>1</v>
      </c>
      <c r="K52" s="78" t="s">
        <v>112</v>
      </c>
      <c r="L52" s="80">
        <v>5</v>
      </c>
      <c r="M52" s="82"/>
      <c r="N52" s="83">
        <f>IF(Operations!$E52&gt;1,Operations!$E52,IF(Operations!$D52=0,0,Operations!$F52/(VLOOKUP(Operations!$D52,ImpDepLookup,2,FALSE)-VLOOKUP(Operations!$D52,ImpDepLookup,3,FALSE)*Operations!$G52^0.5-VLOOKUP(Operations!$D52,ImpDepLookup,4,FALSE)*(Operations!$G52*(Operations!$G52*Operations!$H52/Operations!$I52)^0.5))^2))</f>
        <v>71852</v>
      </c>
      <c r="O52" s="84">
        <f>IF(Operations!$C52="",0,(((Operations!$G52+1)*Operations!$H52/Operations!$I52/1000)^VLOOKUP(Operations!$C52,ImpRepairFac[],4,FALSE)-(Operations!$G52*Operations!$H52/Operations!$I52/1000)^VLOOKUP(Operations!$C52,ImpRepairFac[],4,FALSE))*Operations!$N52*VLOOKUP(Operations!$C52,ImpRepairFac[],3,FALSE)/Operations!$H52)</f>
        <v>1.3189839082868702</v>
      </c>
      <c r="P52" s="85">
        <f>IF(Operations!$N52=0,0,Operations!$N52*(VLOOKUP(Operations!$D52,ImpDepLookup,2,FALSE)-VLOOKUP(Operations!$D52,ImpDepLookup,3,FALSE)*Operations!$G52^0.5-VLOOKUP(Operations!$D52,ImpDepLookup,4,FALSE)*(Operations!$G52*Operations!$H52/Operations!$I52)^0.5)^2)</f>
        <v>29895.242854287888</v>
      </c>
      <c r="Q52" s="85">
        <f>IF(Operations!$N52=0,0,Operations!$N52*(VLOOKUP(Operations!$D52,ImpDepLookup,2,FALSE)-VLOOKUP(Operations!$D52,ImpDepLookup,3,FALSE)*(Operations!$G52+1)^0.5-VLOOKUP(Operations!$D52,ImpDepLookup,4,FALSE)*(Operations!$G52*Operations!$H52/Operations!$I52)^0.5)^2)</f>
        <v>27758.728345562478</v>
      </c>
      <c r="R52" s="84">
        <f>IF(Operations!$N52=0,0,IF(Operations!$I52*Operations!$H52=0,0,(Operations!$P52-Operations!$Q52)/(Operations!$H52)))</f>
        <v>1.7804287572711746</v>
      </c>
      <c r="S52" s="86">
        <f>IF(Operations!$H52=0,0,Operations!$P52*'General Variables'!$B$9/Operations!$H52)</f>
        <v>0.4982540475714648</v>
      </c>
      <c r="T52" s="86">
        <f>IF(Operations!$H52=0,0,Operations!$P52*'General Variables'!$B$10/Operations!$H52)</f>
        <v>0.74738107135719722</v>
      </c>
      <c r="U52" s="86">
        <f>SUM(Table3[[#This Row],[Depreciation per Unit]:[Opportunity Cost per Unit]])</f>
        <v>3.0260638761998369</v>
      </c>
    </row>
    <row r="53" spans="1:21" ht="12.75" customHeight="1" x14ac:dyDescent="0.2">
      <c r="A53" s="94" t="s">
        <v>543</v>
      </c>
      <c r="B53" s="77" t="s">
        <v>176</v>
      </c>
      <c r="C53" s="78" t="s">
        <v>544</v>
      </c>
      <c r="D53" s="78" t="s">
        <v>423</v>
      </c>
      <c r="E53" s="79">
        <v>21495</v>
      </c>
      <c r="F53" s="80"/>
      <c r="G53" s="79">
        <v>5</v>
      </c>
      <c r="H53" s="79">
        <v>1000</v>
      </c>
      <c r="I53" s="87">
        <v>14.666666666666668</v>
      </c>
      <c r="J53" s="82">
        <v>1.1000000000000001</v>
      </c>
      <c r="K53" s="78" t="s">
        <v>112</v>
      </c>
      <c r="L53" s="80">
        <v>3.666666666666667</v>
      </c>
      <c r="M53" s="82"/>
      <c r="N53" s="83">
        <f>IF(Operations!$E53&gt;1,Operations!$E53,IF(Operations!$D53=0,0,Operations!$F53/(VLOOKUP(Operations!$D53,ImpDepLookup,2,FALSE)-VLOOKUP(Operations!$D53,ImpDepLookup,3,FALSE)*Operations!$G53^0.5-VLOOKUP(Operations!$D53,ImpDepLookup,4,FALSE)*(Operations!$G53*(Operations!$G53*Operations!$H53/Operations!$I53)^0.5))^2))</f>
        <v>21495</v>
      </c>
      <c r="O53" s="84">
        <f>IF(Operations!$C53="",0,(((Operations!$G53+1)*Operations!$H53/Operations!$I53/1000)^VLOOKUP(Operations!$C53,ImpRepairFac[],4,FALSE)-(Operations!$G53*Operations!$H53/Operations!$I53/1000)^VLOOKUP(Operations!$C53,ImpRepairFac[],4,FALSE))*Operations!$N53*VLOOKUP(Operations!$C53,ImpRepairFac[],3,FALSE)/Operations!$H53)</f>
        <v>0.31866221211175161</v>
      </c>
      <c r="P53" s="85">
        <f>IF(Operations!$N53=0,0,Operations!$N53*(VLOOKUP(Operations!$D53,ImpDepLookup,2,FALSE)-VLOOKUP(Operations!$D53,ImpDepLookup,3,FALSE)*Operations!$G53^0.5-VLOOKUP(Operations!$D53,ImpDepLookup,4,FALSE)*(Operations!$G53*Operations!$H53/Operations!$I53)^0.5)^2)</f>
        <v>8943.3591988103071</v>
      </c>
      <c r="Q53" s="85">
        <f>IF(Operations!$N53=0,0,Operations!$N53*(VLOOKUP(Operations!$D53,ImpDepLookup,2,FALSE)-VLOOKUP(Operations!$D53,ImpDepLookup,3,FALSE)*(Operations!$G53+1)^0.5-VLOOKUP(Operations!$D53,ImpDepLookup,4,FALSE)*(Operations!$G53*Operations!$H53/Operations!$I53)^0.5)^2)</f>
        <v>8304.2067832191933</v>
      </c>
      <c r="R53" s="84">
        <f>IF(Operations!$N53=0,0,IF(Operations!$I53*Operations!$H53=0,0,(Operations!$P53-Operations!$Q53)/(Operations!$H53)))</f>
        <v>0.6391524155911138</v>
      </c>
      <c r="S53" s="86">
        <f>IF(Operations!$H53=0,0,Operations!$P53*'General Variables'!$B$9/Operations!$H53)</f>
        <v>0.17886718397620616</v>
      </c>
      <c r="T53" s="86">
        <f>IF(Operations!$H53=0,0,Operations!$P53*'General Variables'!$B$10/Operations!$H53)</f>
        <v>0.26830077596430918</v>
      </c>
      <c r="U53" s="86">
        <f>SUM(Table3[[#This Row],[Depreciation per Unit]:[Opportunity Cost per Unit]])</f>
        <v>1.0863203755316291</v>
      </c>
    </row>
    <row r="54" spans="1:21" ht="12.75" customHeight="1" x14ac:dyDescent="0.2">
      <c r="A54" s="94" t="s">
        <v>545</v>
      </c>
      <c r="B54" s="77" t="s">
        <v>176</v>
      </c>
      <c r="C54" s="78" t="s">
        <v>534</v>
      </c>
      <c r="D54" s="78" t="s">
        <v>423</v>
      </c>
      <c r="E54" s="79">
        <v>75925</v>
      </c>
      <c r="F54" s="80"/>
      <c r="G54" s="79">
        <v>5</v>
      </c>
      <c r="H54" s="79">
        <v>1200</v>
      </c>
      <c r="I54" s="89">
        <v>11</v>
      </c>
      <c r="J54" s="82">
        <v>1.1000000000000001</v>
      </c>
      <c r="K54" s="78" t="s">
        <v>112</v>
      </c>
      <c r="L54" s="80">
        <v>3.5</v>
      </c>
      <c r="M54" s="82"/>
      <c r="N54" s="83">
        <f>IF(Operations!$E54&gt;1,Operations!$E54,IF(Operations!$D54=0,0,Operations!$F54/(VLOOKUP(Operations!$D54,ImpDepLookup,2,FALSE)-VLOOKUP(Operations!$D54,ImpDepLookup,3,FALSE)*Operations!$G54^0.5-VLOOKUP(Operations!$D54,ImpDepLookup,4,FALSE)*(Operations!$G54*(Operations!$G54*Operations!$H54/Operations!$I54)^0.5))^2))</f>
        <v>75925</v>
      </c>
      <c r="O54" s="84">
        <f>IF(Operations!$C54="",0,(((Operations!$G54+1)*Operations!$H54/Operations!$I54/1000)^VLOOKUP(Operations!$C54,ImpRepairFac[],4,FALSE)-(Operations!$G54*Operations!$H54/Operations!$I54/1000)^VLOOKUP(Operations!$C54,ImpRepairFac[],4,FALSE))*Operations!$N54*VLOOKUP(Operations!$C54,ImpRepairFac[],3,FALSE)/Operations!$H54)</f>
        <v>1.398907016180448</v>
      </c>
      <c r="P54" s="85">
        <f>IF(Operations!$N54=0,0,Operations!$N54*(VLOOKUP(Operations!$D54,ImpDepLookup,2,FALSE)-VLOOKUP(Operations!$D54,ImpDepLookup,3,FALSE)*Operations!$G54^0.5-VLOOKUP(Operations!$D54,ImpDepLookup,4,FALSE)*(Operations!$G54*Operations!$H54/Operations!$I54)^0.5)^2)</f>
        <v>31589.883562208539</v>
      </c>
      <c r="Q54" s="85">
        <f>IF(Operations!$N54=0,0,Operations!$N54*(VLOOKUP(Operations!$D54,ImpDepLookup,2,FALSE)-VLOOKUP(Operations!$D54,ImpDepLookup,3,FALSE)*(Operations!$G54+1)^0.5-VLOOKUP(Operations!$D54,ImpDepLookup,4,FALSE)*(Operations!$G54*Operations!$H54/Operations!$I54)^0.5)^2)</f>
        <v>29332.258665546276</v>
      </c>
      <c r="R54" s="84">
        <f>IF(Operations!$N54=0,0,IF(Operations!$I54*Operations!$H54=0,0,(Operations!$P54-Operations!$Q54)/(Operations!$H54)))</f>
        <v>1.8813540805518854</v>
      </c>
      <c r="S54" s="86">
        <f>IF(Operations!$H54=0,0,Operations!$P54*'General Variables'!$B$9/Operations!$H54)</f>
        <v>0.52649805937014238</v>
      </c>
      <c r="T54" s="86">
        <f>IF(Operations!$H54=0,0,Operations!$P54*'General Variables'!$B$10/Operations!$H54)</f>
        <v>0.78974708905521351</v>
      </c>
      <c r="U54" s="86">
        <f>SUM(Table3[[#This Row],[Depreciation per Unit]:[Opportunity Cost per Unit]])</f>
        <v>3.1975992289772415</v>
      </c>
    </row>
    <row r="55" spans="1:21" ht="12.75" customHeight="1" x14ac:dyDescent="0.2">
      <c r="A55" s="94" t="s">
        <v>306</v>
      </c>
      <c r="B55" s="77" t="s">
        <v>176</v>
      </c>
      <c r="C55" s="78" t="s">
        <v>489</v>
      </c>
      <c r="D55" s="78" t="s">
        <v>490</v>
      </c>
      <c r="E55" s="79">
        <v>75005</v>
      </c>
      <c r="F55" s="80"/>
      <c r="G55" s="79">
        <v>5</v>
      </c>
      <c r="H55" s="79">
        <v>1000</v>
      </c>
      <c r="I55" s="87">
        <v>8</v>
      </c>
      <c r="J55" s="82">
        <v>1.2</v>
      </c>
      <c r="K55" s="78" t="s">
        <v>112</v>
      </c>
      <c r="L55" s="80">
        <v>4.2936802973977706</v>
      </c>
      <c r="M55" s="82"/>
      <c r="N55" s="83">
        <f>IF(Operations!$E55&gt;1,Operations!$E55,IF(Operations!$D55=0,0,Operations!$F55/(VLOOKUP(Operations!$D55,ImpDepLookup,2,FALSE)-VLOOKUP(Operations!$D55,ImpDepLookup,3,FALSE)*Operations!$G55^0.5-VLOOKUP(Operations!$D55,ImpDepLookup,4,FALSE)*(Operations!$G55*(Operations!$G55*Operations!$H55/Operations!$I55)^0.5))^2))</f>
        <v>75005</v>
      </c>
      <c r="O55" s="84">
        <f>IF(Operations!$C55="",0,(((Operations!$G55+1)*Operations!$H55/Operations!$I55/1000)^VLOOKUP(Operations!$C55,ImpRepairFac[],4,FALSE)-(Operations!$G55*Operations!$H55/Operations!$I55/1000)^VLOOKUP(Operations!$C55,ImpRepairFac[],4,FALSE))*Operations!$N55*VLOOKUP(Operations!$C55,ImpRepairFac[],3,FALSE)/Operations!$H55)</f>
        <v>4.1728744480301874</v>
      </c>
      <c r="P55" s="85">
        <f>IF(Operations!$N55=0,0,Operations!$N55*(VLOOKUP(Operations!$D55,ImpDepLookup,2,FALSE)-VLOOKUP(Operations!$D55,ImpDepLookup,3,FALSE)*Operations!$G55^0.5-VLOOKUP(Operations!$D55,ImpDepLookup,4,FALSE)*(Operations!$G55*Operations!$H55/Operations!$I55)^0.5)^2)</f>
        <v>37659.643593193097</v>
      </c>
      <c r="Q55" s="85">
        <f>IF(Operations!$N55=0,0,Operations!$N55*(VLOOKUP(Operations!$D55,ImpDepLookup,2,FALSE)-VLOOKUP(Operations!$D55,ImpDepLookup,3,FALSE)*(Operations!$G55+1)^0.5-VLOOKUP(Operations!$D55,ImpDepLookup,4,FALSE)*(Operations!$G55*Operations!$H55/Operations!$I55)^0.5)^2)</f>
        <v>35910.945421767268</v>
      </c>
      <c r="R55" s="84">
        <f>IF(Operations!$N55=0,0,IF(Operations!$I55*Operations!$H55=0,0,(Operations!$P55-Operations!$Q55)/(Operations!$H55)))</f>
        <v>1.748698171425829</v>
      </c>
      <c r="S55" s="86">
        <f>IF(Operations!$H55=0,0,Operations!$P55*'General Variables'!$B$9/Operations!$H55)</f>
        <v>0.75319287186386186</v>
      </c>
      <c r="T55" s="86">
        <f>IF(Operations!$H55=0,0,Operations!$P55*'General Variables'!$B$10/Operations!$H55)</f>
        <v>1.1297893077957928</v>
      </c>
      <c r="U55" s="86">
        <f>SUM(Table3[[#This Row],[Depreciation per Unit]:[Opportunity Cost per Unit]])</f>
        <v>3.6316803510854836</v>
      </c>
    </row>
    <row r="56" spans="1:21" ht="12.75" customHeight="1" x14ac:dyDescent="0.2">
      <c r="A56" s="94" t="s">
        <v>546</v>
      </c>
      <c r="B56" s="77" t="s">
        <v>176</v>
      </c>
      <c r="C56" s="78" t="s">
        <v>547</v>
      </c>
      <c r="D56" s="78" t="s">
        <v>378</v>
      </c>
      <c r="E56" s="79">
        <v>89220</v>
      </c>
      <c r="F56" s="80"/>
      <c r="G56" s="79">
        <v>5</v>
      </c>
      <c r="H56" s="79">
        <v>2500</v>
      </c>
      <c r="I56" s="89">
        <v>33</v>
      </c>
      <c r="J56" s="82">
        <v>1.25</v>
      </c>
      <c r="K56" s="78" t="s">
        <v>112</v>
      </c>
      <c r="L56" s="80">
        <v>2.64</v>
      </c>
      <c r="M56" s="82"/>
      <c r="N56" s="83">
        <f>IF(Operations!$E56&gt;1,Operations!$E56,IF(Operations!$D56=0,0,Operations!$F56/(VLOOKUP(Operations!$D56,ImpDepLookup,2,FALSE)-VLOOKUP(Operations!$D56,ImpDepLookup,3,FALSE)*Operations!$G56^0.5-VLOOKUP(Operations!$D56,ImpDepLookup,4,FALSE)*(Operations!$G56*(Operations!$G56*Operations!$H56/Operations!$I56)^0.5))^2))</f>
        <v>89220</v>
      </c>
      <c r="O56" s="84">
        <f>IF(Operations!$C56="",0,(((Operations!$G56+1)*Operations!$H56/Operations!$I56/1000)^VLOOKUP(Operations!$C56,ImpRepairFac[],4,FALSE)-(Operations!$G56*Operations!$H56/Operations!$I56/1000)^VLOOKUP(Operations!$C56,ImpRepairFac[],4,FALSE))*Operations!$N56*VLOOKUP(Operations!$C56,ImpRepairFac[],3,FALSE)/Operations!$H56)</f>
        <v>1.1078634531423031</v>
      </c>
      <c r="P56" s="85">
        <f>IF(Operations!$N56=0,0,Operations!$N56*(VLOOKUP(Operations!$D56,ImpDepLookup,2,FALSE)-VLOOKUP(Operations!$D56,ImpDepLookup,3,FALSE)*Operations!$G56^0.5-VLOOKUP(Operations!$D56,ImpDepLookup,4,FALSE)*(Operations!$G56*Operations!$H56/Operations!$I56)^0.5)^2)</f>
        <v>43070.251338127382</v>
      </c>
      <c r="Q56" s="85">
        <f>IF(Operations!$N56=0,0,Operations!$N56*(VLOOKUP(Operations!$D56,ImpDepLookup,2,FALSE)-VLOOKUP(Operations!$D56,ImpDepLookup,3,FALSE)*(Operations!$G56+1)^0.5-VLOOKUP(Operations!$D56,ImpDepLookup,4,FALSE)*(Operations!$G56*Operations!$H56/Operations!$I56)^0.5)^2)</f>
        <v>40183.271213818443</v>
      </c>
      <c r="R56" s="84">
        <f>IF(Operations!$N56=0,0,IF(Operations!$I56*Operations!$H56=0,0,(Operations!$P56-Operations!$Q56)/(Operations!$H56)))</f>
        <v>1.1547920497235755</v>
      </c>
      <c r="S56" s="86">
        <f>IF(Operations!$H56=0,0,Operations!$P56*'General Variables'!$B$9/Operations!$H56)</f>
        <v>0.34456201070501907</v>
      </c>
      <c r="T56" s="86">
        <f>IF(Operations!$H56=0,0,Operations!$P56*'General Variables'!$B$10/Operations!$H56)</f>
        <v>0.51684301605752858</v>
      </c>
      <c r="U56" s="86">
        <f>SUM(Table3[[#This Row],[Depreciation per Unit]:[Opportunity Cost per Unit]])</f>
        <v>2.0161970764861232</v>
      </c>
    </row>
    <row r="57" spans="1:21" ht="12.75" customHeight="1" x14ac:dyDescent="0.2">
      <c r="A57" s="94" t="s">
        <v>548</v>
      </c>
      <c r="B57" s="77" t="s">
        <v>176</v>
      </c>
      <c r="C57" s="78" t="s">
        <v>549</v>
      </c>
      <c r="D57" s="78" t="s">
        <v>378</v>
      </c>
      <c r="E57" s="79">
        <v>89220</v>
      </c>
      <c r="F57" s="80"/>
      <c r="G57" s="79">
        <v>5</v>
      </c>
      <c r="H57" s="79">
        <v>1200</v>
      </c>
      <c r="I57" s="87">
        <v>33</v>
      </c>
      <c r="J57" s="82">
        <v>1.25</v>
      </c>
      <c r="K57" s="78" t="s">
        <v>112</v>
      </c>
      <c r="L57" s="80">
        <v>2.64</v>
      </c>
      <c r="M57" s="82"/>
      <c r="N57" s="83">
        <f>IF(Operations!$E57&gt;1,Operations!$E57,IF(Operations!$D57=0,0,Operations!$F57/(VLOOKUP(Operations!$D57,ImpDepLookup,2,FALSE)-VLOOKUP(Operations!$D57,ImpDepLookup,3,FALSE)*Operations!$G57^0.5-VLOOKUP(Operations!$D57,ImpDepLookup,4,FALSE)*(Operations!$G57*(Operations!$G57*Operations!$H57/Operations!$I57)^0.5))^2))</f>
        <v>89220</v>
      </c>
      <c r="O57" s="84">
        <f>IF(Operations!$C57="",0,(((Operations!$G57+1)*Operations!$H57/Operations!$I57/1000)^VLOOKUP(Operations!$C57,ImpRepairFac[],4,FALSE)-(Operations!$G57*Operations!$H57/Operations!$I57/1000)^VLOOKUP(Operations!$C57,ImpRepairFac[],4,FALSE))*Operations!$N57*VLOOKUP(Operations!$C57,ImpRepairFac[],3,FALSE)/Operations!$H57)</f>
        <v>0.32928539044394661</v>
      </c>
      <c r="P57" s="85">
        <f>IF(Operations!$N57=0,0,Operations!$N57*(VLOOKUP(Operations!$D57,ImpDepLookup,2,FALSE)-VLOOKUP(Operations!$D57,ImpDepLookup,3,FALSE)*Operations!$G57^0.5-VLOOKUP(Operations!$D57,ImpDepLookup,4,FALSE)*(Operations!$G57*Operations!$H57/Operations!$I57)^0.5)^2)</f>
        <v>43070.251338127382</v>
      </c>
      <c r="Q57" s="85">
        <f>IF(Operations!$N57=0,0,Operations!$N57*(VLOOKUP(Operations!$D57,ImpDepLookup,2,FALSE)-VLOOKUP(Operations!$D57,ImpDepLookup,3,FALSE)*(Operations!$G57+1)^0.5-VLOOKUP(Operations!$D57,ImpDepLookup,4,FALSE)*(Operations!$G57*Operations!$H57/Operations!$I57)^0.5)^2)</f>
        <v>40183.271213818443</v>
      </c>
      <c r="R57" s="84">
        <f>IF(Operations!$N57=0,0,IF(Operations!$I57*Operations!$H57=0,0,(Operations!$P57-Operations!$Q57)/(Operations!$H57)))</f>
        <v>2.4058167702574491</v>
      </c>
      <c r="S57" s="86">
        <f>IF(Operations!$H57=0,0,Operations!$P57*'General Variables'!$B$9/Operations!$H57)</f>
        <v>0.71783752230212305</v>
      </c>
      <c r="T57" s="86">
        <f>IF(Operations!$H57=0,0,Operations!$P57*'General Variables'!$B$10/Operations!$H57)</f>
        <v>1.0767562834531845</v>
      </c>
      <c r="U57" s="86">
        <f>SUM(Table3[[#This Row],[Depreciation per Unit]:[Opportunity Cost per Unit]])</f>
        <v>4.2004105760127572</v>
      </c>
    </row>
    <row r="58" spans="1:21" ht="12.75" customHeight="1" x14ac:dyDescent="0.2">
      <c r="A58" s="94" t="s">
        <v>550</v>
      </c>
      <c r="B58" s="77" t="s">
        <v>176</v>
      </c>
      <c r="C58" s="78" t="s">
        <v>549</v>
      </c>
      <c r="D58" s="78" t="s">
        <v>378</v>
      </c>
      <c r="E58" s="79">
        <v>89220</v>
      </c>
      <c r="F58" s="80"/>
      <c r="G58" s="79">
        <v>5</v>
      </c>
      <c r="H58" s="79">
        <v>1200</v>
      </c>
      <c r="I58" s="87">
        <v>33</v>
      </c>
      <c r="J58" s="82">
        <v>1.25</v>
      </c>
      <c r="K58" s="78" t="s">
        <v>112</v>
      </c>
      <c r="L58" s="80">
        <v>2.64</v>
      </c>
      <c r="M58" s="82"/>
      <c r="N58" s="83">
        <f>IF(Operations!$E58&gt;1,Operations!$E58,IF(Operations!$D58=0,0,Operations!$F58/(VLOOKUP(Operations!$D58,ImpDepLookup,2,FALSE)-VLOOKUP(Operations!$D58,ImpDepLookup,3,FALSE)*Operations!$G58^0.5-VLOOKUP(Operations!$D58,ImpDepLookup,4,FALSE)*(Operations!$G58*(Operations!$G58*Operations!$H58/Operations!$I58)^0.5))^2))</f>
        <v>89220</v>
      </c>
      <c r="O58" s="84">
        <f>IF(Operations!$C58="",0,(((Operations!$G58+1)*Operations!$H58/Operations!$I58/1000)^VLOOKUP(Operations!$C58,ImpRepairFac[],4,FALSE)-(Operations!$G58*Operations!$H58/Operations!$I58/1000)^VLOOKUP(Operations!$C58,ImpRepairFac[],4,FALSE))*Operations!$N58*VLOOKUP(Operations!$C58,ImpRepairFac[],3,FALSE)/Operations!$H58)</f>
        <v>0.32928539044394661</v>
      </c>
      <c r="P58" s="85">
        <f>IF(Operations!$N58=0,0,Operations!$N58*(VLOOKUP(Operations!$D58,ImpDepLookup,2,FALSE)-VLOOKUP(Operations!$D58,ImpDepLookup,3,FALSE)*Operations!$G58^0.5-VLOOKUP(Operations!$D58,ImpDepLookup,4,FALSE)*(Operations!$G58*Operations!$H58/Operations!$I58)^0.5)^2)</f>
        <v>43070.251338127382</v>
      </c>
      <c r="Q58" s="85">
        <f>IF(Operations!$N58=0,0,Operations!$N58*(VLOOKUP(Operations!$D58,ImpDepLookup,2,FALSE)-VLOOKUP(Operations!$D58,ImpDepLookup,3,FALSE)*(Operations!$G58+1)^0.5-VLOOKUP(Operations!$D58,ImpDepLookup,4,FALSE)*(Operations!$G58*Operations!$H58/Operations!$I58)^0.5)^2)</f>
        <v>40183.271213818443</v>
      </c>
      <c r="R58" s="84">
        <f>IF(Operations!$N58=0,0,IF(Operations!$I58*Operations!$H58=0,0,(Operations!$P58-Operations!$Q58)/(Operations!$H58)))</f>
        <v>2.4058167702574491</v>
      </c>
      <c r="S58" s="86">
        <f>IF(Operations!$H58=0,0,Operations!$P58*'General Variables'!$B$9/Operations!$H58)</f>
        <v>0.71783752230212305</v>
      </c>
      <c r="T58" s="86">
        <f>IF(Operations!$H58=0,0,Operations!$P58*'General Variables'!$B$10/Operations!$H58)</f>
        <v>1.0767562834531845</v>
      </c>
      <c r="U58" s="86">
        <f>SUM(Table3[[#This Row],[Depreciation per Unit]:[Opportunity Cost per Unit]])</f>
        <v>4.2004105760127572</v>
      </c>
    </row>
    <row r="59" spans="1:21" ht="12.75" customHeight="1" x14ac:dyDescent="0.2">
      <c r="A59" s="94" t="s">
        <v>551</v>
      </c>
      <c r="B59" s="77" t="s">
        <v>176</v>
      </c>
      <c r="C59" s="78" t="s">
        <v>547</v>
      </c>
      <c r="D59" s="78" t="s">
        <v>378</v>
      </c>
      <c r="E59" s="79">
        <v>89220</v>
      </c>
      <c r="F59" s="80"/>
      <c r="G59" s="79">
        <v>5</v>
      </c>
      <c r="H59" s="79">
        <v>2500</v>
      </c>
      <c r="I59" s="89">
        <v>33</v>
      </c>
      <c r="J59" s="82">
        <v>1.25</v>
      </c>
      <c r="K59" s="78" t="s">
        <v>112</v>
      </c>
      <c r="L59" s="80">
        <v>2.64</v>
      </c>
      <c r="M59" s="82"/>
      <c r="N59" s="83">
        <f>IF(Operations!$E59&gt;1,Operations!$E59,IF(Operations!$D59=0,0,Operations!$F59/(VLOOKUP(Operations!$D59,ImpDepLookup,2,FALSE)-VLOOKUP(Operations!$D59,ImpDepLookup,3,FALSE)*Operations!$G59^0.5-VLOOKUP(Operations!$D59,ImpDepLookup,4,FALSE)*(Operations!$G59*(Operations!$G59*Operations!$H59/Operations!$I59)^0.5))^2))</f>
        <v>89220</v>
      </c>
      <c r="O59" s="84">
        <f>IF(Operations!$C59="",0,(((Operations!$G59+1)*Operations!$H59/Operations!$I59/1000)^VLOOKUP(Operations!$C59,ImpRepairFac[],4,FALSE)-(Operations!$G59*Operations!$H59/Operations!$I59/1000)^VLOOKUP(Operations!$C59,ImpRepairFac[],4,FALSE))*Operations!$N59*VLOOKUP(Operations!$C59,ImpRepairFac[],3,FALSE)/Operations!$H59)</f>
        <v>1.1078634531423031</v>
      </c>
      <c r="P59" s="85">
        <f>IF(Operations!$N59=0,0,Operations!$N59*(VLOOKUP(Operations!$D59,ImpDepLookup,2,FALSE)-VLOOKUP(Operations!$D59,ImpDepLookup,3,FALSE)*Operations!$G59^0.5-VLOOKUP(Operations!$D59,ImpDepLookup,4,FALSE)*(Operations!$G59*Operations!$H59/Operations!$I59)^0.5)^2)</f>
        <v>43070.251338127382</v>
      </c>
      <c r="Q59" s="85">
        <f>IF(Operations!$N59=0,0,Operations!$N59*(VLOOKUP(Operations!$D59,ImpDepLookup,2,FALSE)-VLOOKUP(Operations!$D59,ImpDepLookup,3,FALSE)*(Operations!$G59+1)^0.5-VLOOKUP(Operations!$D59,ImpDepLookup,4,FALSE)*(Operations!$G59*Operations!$H59/Operations!$I59)^0.5)^2)</f>
        <v>40183.271213818443</v>
      </c>
      <c r="R59" s="84">
        <f>IF(Operations!$N59=0,0,IF(Operations!$I59*Operations!$H59=0,0,(Operations!$P59-Operations!$Q59)/(Operations!$H59)))</f>
        <v>1.1547920497235755</v>
      </c>
      <c r="S59" s="86">
        <f>IF(Operations!$H59=0,0,Operations!$P59*'General Variables'!$B$9/Operations!$H59)</f>
        <v>0.34456201070501907</v>
      </c>
      <c r="T59" s="86">
        <f>IF(Operations!$H59=0,0,Operations!$P59*'General Variables'!$B$10/Operations!$H59)</f>
        <v>0.51684301605752858</v>
      </c>
      <c r="U59" s="86">
        <f>SUM(Table3[[#This Row],[Depreciation per Unit]:[Opportunity Cost per Unit]])</f>
        <v>2.0161970764861232</v>
      </c>
    </row>
    <row r="60" spans="1:21" ht="12.75" customHeight="1" x14ac:dyDescent="0.2">
      <c r="A60" s="94" t="s">
        <v>552</v>
      </c>
      <c r="B60" s="77" t="s">
        <v>176</v>
      </c>
      <c r="C60" s="78" t="s">
        <v>547</v>
      </c>
      <c r="D60" s="78" t="s">
        <v>378</v>
      </c>
      <c r="E60" s="79">
        <v>89220</v>
      </c>
      <c r="F60" s="80"/>
      <c r="G60" s="79">
        <v>5</v>
      </c>
      <c r="H60" s="79">
        <v>2500</v>
      </c>
      <c r="I60" s="89">
        <v>33</v>
      </c>
      <c r="J60" s="82">
        <v>1.25</v>
      </c>
      <c r="K60" s="78" t="s">
        <v>112</v>
      </c>
      <c r="L60" s="80">
        <v>2.64</v>
      </c>
      <c r="M60" s="82"/>
      <c r="N60" s="83">
        <f>IF(Operations!$E60&gt;1,Operations!$E60,IF(Operations!$D60=0,0,Operations!$F60/(VLOOKUP(Operations!$D60,ImpDepLookup,2,FALSE)-VLOOKUP(Operations!$D60,ImpDepLookup,3,FALSE)*Operations!$G60^0.5-VLOOKUP(Operations!$D60,ImpDepLookup,4,FALSE)*(Operations!$G60*(Operations!$G60*Operations!$H60/Operations!$I60)^0.5))^2))</f>
        <v>89220</v>
      </c>
      <c r="O60" s="84">
        <f>IF(Operations!$C60="",0,(((Operations!$G60+1)*Operations!$H60/Operations!$I60/1000)^VLOOKUP(Operations!$C60,ImpRepairFac[],4,FALSE)-(Operations!$G60*Operations!$H60/Operations!$I60/1000)^VLOOKUP(Operations!$C60,ImpRepairFac[],4,FALSE))*Operations!$N60*VLOOKUP(Operations!$C60,ImpRepairFac[],3,FALSE)/Operations!$H60)</f>
        <v>1.1078634531423031</v>
      </c>
      <c r="P60" s="85">
        <f>IF(Operations!$N60=0,0,Operations!$N60*(VLOOKUP(Operations!$D60,ImpDepLookup,2,FALSE)-VLOOKUP(Operations!$D60,ImpDepLookup,3,FALSE)*Operations!$G60^0.5-VLOOKUP(Operations!$D60,ImpDepLookup,4,FALSE)*(Operations!$G60*Operations!$H60/Operations!$I60)^0.5)^2)</f>
        <v>43070.251338127382</v>
      </c>
      <c r="Q60" s="85">
        <f>IF(Operations!$N60=0,0,Operations!$N60*(VLOOKUP(Operations!$D60,ImpDepLookup,2,FALSE)-VLOOKUP(Operations!$D60,ImpDepLookup,3,FALSE)*(Operations!$G60+1)^0.5-VLOOKUP(Operations!$D60,ImpDepLookup,4,FALSE)*(Operations!$G60*Operations!$H60/Operations!$I60)^0.5)^2)</f>
        <v>40183.271213818443</v>
      </c>
      <c r="R60" s="84">
        <f>IF(Operations!$N60=0,0,IF(Operations!$I60*Operations!$H60=0,0,(Operations!$P60-Operations!$Q60)/(Operations!$H60)))</f>
        <v>1.1547920497235755</v>
      </c>
      <c r="S60" s="86">
        <f>IF(Operations!$H60=0,0,Operations!$P60*'General Variables'!$B$9/Operations!$H60)</f>
        <v>0.34456201070501907</v>
      </c>
      <c r="T60" s="86">
        <f>IF(Operations!$H60=0,0,Operations!$P60*'General Variables'!$B$10/Operations!$H60)</f>
        <v>0.51684301605752858</v>
      </c>
      <c r="U60" s="86">
        <f>SUM(Table3[[#This Row],[Depreciation per Unit]:[Opportunity Cost per Unit]])</f>
        <v>2.0161970764861232</v>
      </c>
    </row>
    <row r="61" spans="1:21" ht="12.75" customHeight="1" x14ac:dyDescent="0.2">
      <c r="A61" s="94" t="s">
        <v>553</v>
      </c>
      <c r="B61" s="77" t="s">
        <v>176</v>
      </c>
      <c r="C61" s="78" t="s">
        <v>547</v>
      </c>
      <c r="D61" s="78" t="s">
        <v>378</v>
      </c>
      <c r="E61" s="79">
        <v>89220</v>
      </c>
      <c r="F61" s="80"/>
      <c r="G61" s="79">
        <v>5</v>
      </c>
      <c r="H61" s="79">
        <v>2500</v>
      </c>
      <c r="I61" s="89">
        <v>33</v>
      </c>
      <c r="J61" s="82">
        <v>1.25</v>
      </c>
      <c r="K61" s="78" t="s">
        <v>112</v>
      </c>
      <c r="L61" s="80">
        <v>2.64</v>
      </c>
      <c r="M61" s="82"/>
      <c r="N61" s="83">
        <f>IF(Operations!$E61&gt;1,Operations!$E61,IF(Operations!$D61=0,0,Operations!$F61/(VLOOKUP(Operations!$D61,ImpDepLookup,2,FALSE)-VLOOKUP(Operations!$D61,ImpDepLookup,3,FALSE)*Operations!$G61^0.5-VLOOKUP(Operations!$D61,ImpDepLookup,4,FALSE)*(Operations!$G61*(Operations!$G61*Operations!$H61/Operations!$I61)^0.5))^2))</f>
        <v>89220</v>
      </c>
      <c r="O61" s="84">
        <f>IF(Operations!$C61="",0,(((Operations!$G61+1)*Operations!$H61/Operations!$I61/1000)^VLOOKUP(Operations!$C61,ImpRepairFac[],4,FALSE)-(Operations!$G61*Operations!$H61/Operations!$I61/1000)^VLOOKUP(Operations!$C61,ImpRepairFac[],4,FALSE))*Operations!$N61*VLOOKUP(Operations!$C61,ImpRepairFac[],3,FALSE)/Operations!$H61)</f>
        <v>1.1078634531423031</v>
      </c>
      <c r="P61" s="85">
        <f>IF(Operations!$N61=0,0,Operations!$N61*(VLOOKUP(Operations!$D61,ImpDepLookup,2,FALSE)-VLOOKUP(Operations!$D61,ImpDepLookup,3,FALSE)*Operations!$G61^0.5-VLOOKUP(Operations!$D61,ImpDepLookup,4,FALSE)*(Operations!$G61*Operations!$H61/Operations!$I61)^0.5)^2)</f>
        <v>43070.251338127382</v>
      </c>
      <c r="Q61" s="85">
        <f>IF(Operations!$N61=0,0,Operations!$N61*(VLOOKUP(Operations!$D61,ImpDepLookup,2,FALSE)-VLOOKUP(Operations!$D61,ImpDepLookup,3,FALSE)*(Operations!$G61+1)^0.5-VLOOKUP(Operations!$D61,ImpDepLookup,4,FALSE)*(Operations!$G61*Operations!$H61/Operations!$I61)^0.5)^2)</f>
        <v>40183.271213818443</v>
      </c>
      <c r="R61" s="84">
        <f>IF(Operations!$N61=0,0,IF(Operations!$I61*Operations!$H61=0,0,(Operations!$P61-Operations!$Q61)/(Operations!$H61)))</f>
        <v>1.1547920497235755</v>
      </c>
      <c r="S61" s="86">
        <f>IF(Operations!$H61=0,0,Operations!$P61*'General Variables'!$B$9/Operations!$H61)</f>
        <v>0.34456201070501907</v>
      </c>
      <c r="T61" s="86">
        <f>IF(Operations!$H61=0,0,Operations!$P61*'General Variables'!$B$10/Operations!$H61)</f>
        <v>0.51684301605752858</v>
      </c>
      <c r="U61" s="86">
        <f>SUM(Table3[[#This Row],[Depreciation per Unit]:[Opportunity Cost per Unit]])</f>
        <v>2.0161970764861232</v>
      </c>
    </row>
    <row r="62" spans="1:21" ht="12.75" customHeight="1" x14ac:dyDescent="0.2">
      <c r="A62" s="94" t="s">
        <v>554</v>
      </c>
      <c r="B62" s="77" t="s">
        <v>176</v>
      </c>
      <c r="C62" s="78" t="s">
        <v>547</v>
      </c>
      <c r="D62" s="78" t="s">
        <v>378</v>
      </c>
      <c r="E62" s="79">
        <v>89220</v>
      </c>
      <c r="F62" s="80"/>
      <c r="G62" s="79">
        <v>5</v>
      </c>
      <c r="H62" s="79">
        <v>2500</v>
      </c>
      <c r="I62" s="89">
        <v>33</v>
      </c>
      <c r="J62" s="82">
        <v>1.25</v>
      </c>
      <c r="K62" s="78" t="s">
        <v>112</v>
      </c>
      <c r="L62" s="80">
        <v>2.64</v>
      </c>
      <c r="M62" s="82"/>
      <c r="N62" s="83">
        <f>IF(Operations!$E62&gt;1,Operations!$E62,IF(Operations!$D62=0,0,Operations!$F62/(VLOOKUP(Operations!$D62,ImpDepLookup,2,FALSE)-VLOOKUP(Operations!$D62,ImpDepLookup,3,FALSE)*Operations!$G62^0.5-VLOOKUP(Operations!$D62,ImpDepLookup,4,FALSE)*(Operations!$G62*(Operations!$G62*Operations!$H62/Operations!$I62)^0.5))^2))</f>
        <v>89220</v>
      </c>
      <c r="O62" s="84">
        <f>IF(Operations!$C62="",0,(((Operations!$G62+1)*Operations!$H62/Operations!$I62/1000)^VLOOKUP(Operations!$C62,ImpRepairFac[],4,FALSE)-(Operations!$G62*Operations!$H62/Operations!$I62/1000)^VLOOKUP(Operations!$C62,ImpRepairFac[],4,FALSE))*Operations!$N62*VLOOKUP(Operations!$C62,ImpRepairFac[],3,FALSE)/Operations!$H62)</f>
        <v>1.1078634531423031</v>
      </c>
      <c r="P62" s="85">
        <f>IF(Operations!$N62=0,0,Operations!$N62*(VLOOKUP(Operations!$D62,ImpDepLookup,2,FALSE)-VLOOKUP(Operations!$D62,ImpDepLookup,3,FALSE)*Operations!$G62^0.5-VLOOKUP(Operations!$D62,ImpDepLookup,4,FALSE)*(Operations!$G62*Operations!$H62/Operations!$I62)^0.5)^2)</f>
        <v>43070.251338127382</v>
      </c>
      <c r="Q62" s="85">
        <f>IF(Operations!$N62=0,0,Operations!$N62*(VLOOKUP(Operations!$D62,ImpDepLookup,2,FALSE)-VLOOKUP(Operations!$D62,ImpDepLookup,3,FALSE)*(Operations!$G62+1)^0.5-VLOOKUP(Operations!$D62,ImpDepLookup,4,FALSE)*(Operations!$G62*Operations!$H62/Operations!$I62)^0.5)^2)</f>
        <v>40183.271213818443</v>
      </c>
      <c r="R62" s="84">
        <f>IF(Operations!$N62=0,0,IF(Operations!$I62*Operations!$H62=0,0,(Operations!$P62-Operations!$Q62)/(Operations!$H62)))</f>
        <v>1.1547920497235755</v>
      </c>
      <c r="S62" s="86">
        <f>IF(Operations!$H62=0,0,Operations!$P62*'General Variables'!$B$9/Operations!$H62)</f>
        <v>0.34456201070501907</v>
      </c>
      <c r="T62" s="86">
        <f>IF(Operations!$H62=0,0,Operations!$P62*'General Variables'!$B$10/Operations!$H62)</f>
        <v>0.51684301605752858</v>
      </c>
      <c r="U62" s="86">
        <f>SUM(Table3[[#This Row],[Depreciation per Unit]:[Opportunity Cost per Unit]])</f>
        <v>2.0161970764861232</v>
      </c>
    </row>
    <row r="63" spans="1:21" ht="12.75" customHeight="1" x14ac:dyDescent="0.2">
      <c r="A63" s="94" t="s">
        <v>555</v>
      </c>
      <c r="B63" s="77" t="s">
        <v>176</v>
      </c>
      <c r="C63" s="78" t="s">
        <v>547</v>
      </c>
      <c r="D63" s="78" t="s">
        <v>378</v>
      </c>
      <c r="E63" s="79">
        <v>89220</v>
      </c>
      <c r="F63" s="80"/>
      <c r="G63" s="79">
        <v>5</v>
      </c>
      <c r="H63" s="79">
        <v>2000</v>
      </c>
      <c r="I63" s="89">
        <v>33</v>
      </c>
      <c r="J63" s="82">
        <v>1.25</v>
      </c>
      <c r="K63" s="78" t="s">
        <v>112</v>
      </c>
      <c r="L63" s="80">
        <v>2.64</v>
      </c>
      <c r="M63" s="82"/>
      <c r="N63" s="83">
        <f>IF(Operations!$E63&gt;1,Operations!$E63,IF(Operations!$D63=0,0,Operations!$F63/(VLOOKUP(Operations!$D63,ImpDepLookup,2,FALSE)-VLOOKUP(Operations!$D63,ImpDepLookup,3,FALSE)*Operations!$G63^0.5-VLOOKUP(Operations!$D63,ImpDepLookup,4,FALSE)*(Operations!$G63*(Operations!$G63*Operations!$H63/Operations!$I63)^0.5))^2))</f>
        <v>89220</v>
      </c>
      <c r="O63" s="84">
        <f>IF(Operations!$C63="",0,(((Operations!$G63+1)*Operations!$H63/Operations!$I63/1000)^VLOOKUP(Operations!$C63,ImpRepairFac[],4,FALSE)-(Operations!$G63*Operations!$H63/Operations!$I63/1000)^VLOOKUP(Operations!$C63,ImpRepairFac[],4,FALSE))*Operations!$N63*VLOOKUP(Operations!$C63,ImpRepairFac[],3,FALSE)/Operations!$H63)</f>
        <v>1.0361275749507479</v>
      </c>
      <c r="P63" s="85">
        <f>IF(Operations!$N63=0,0,Operations!$N63*(VLOOKUP(Operations!$D63,ImpDepLookup,2,FALSE)-VLOOKUP(Operations!$D63,ImpDepLookup,3,FALSE)*Operations!$G63^0.5-VLOOKUP(Operations!$D63,ImpDepLookup,4,FALSE)*(Operations!$G63*Operations!$H63/Operations!$I63)^0.5)^2)</f>
        <v>43070.251338127382</v>
      </c>
      <c r="Q63" s="85">
        <f>IF(Operations!$N63=0,0,Operations!$N63*(VLOOKUP(Operations!$D63,ImpDepLookup,2,FALSE)-VLOOKUP(Operations!$D63,ImpDepLookup,3,FALSE)*(Operations!$G63+1)^0.5-VLOOKUP(Operations!$D63,ImpDepLookup,4,FALSE)*(Operations!$G63*Operations!$H63/Operations!$I63)^0.5)^2)</f>
        <v>40183.271213818443</v>
      </c>
      <c r="R63" s="84">
        <f>IF(Operations!$N63=0,0,IF(Operations!$I63*Operations!$H63=0,0,(Operations!$P63-Operations!$Q63)/(Operations!$H63)))</f>
        <v>1.4434900621544693</v>
      </c>
      <c r="S63" s="86">
        <f>IF(Operations!$H63=0,0,Operations!$P63*'General Variables'!$B$9/Operations!$H63)</f>
        <v>0.43070251338127385</v>
      </c>
      <c r="T63" s="86">
        <f>IF(Operations!$H63=0,0,Operations!$P63*'General Variables'!$B$10/Operations!$H63)</f>
        <v>0.64605377007191067</v>
      </c>
      <c r="U63" s="86">
        <f>SUM(Table3[[#This Row],[Depreciation per Unit]:[Opportunity Cost per Unit]])</f>
        <v>2.5202463456076538</v>
      </c>
    </row>
    <row r="64" spans="1:21" ht="12.75" customHeight="1" x14ac:dyDescent="0.2">
      <c r="A64" s="94" t="s">
        <v>556</v>
      </c>
      <c r="B64" s="77" t="s">
        <v>176</v>
      </c>
      <c r="C64" s="77"/>
      <c r="D64" s="77" t="s">
        <v>378</v>
      </c>
      <c r="E64" s="79">
        <v>70000</v>
      </c>
      <c r="F64" s="92"/>
      <c r="G64" s="79">
        <v>5</v>
      </c>
      <c r="H64" s="79">
        <v>1500</v>
      </c>
      <c r="I64" s="89">
        <v>12.7</v>
      </c>
      <c r="J64" s="82">
        <v>1</v>
      </c>
      <c r="K64" s="78" t="s">
        <v>112</v>
      </c>
      <c r="L64" s="80">
        <v>3.8617021276595755</v>
      </c>
      <c r="M64" s="82"/>
      <c r="N64" s="83">
        <f>IF(Operations!$E64&gt;1,Operations!$E64,IF(Operations!$D64=0,0,Operations!$F64/(VLOOKUP(Operations!$D64,ImpDepLookup,2,FALSE)-VLOOKUP(Operations!$D64,ImpDepLookup,3,FALSE)*Operations!$G64^0.5-VLOOKUP(Operations!$D64,ImpDepLookup,4,FALSE)*(Operations!$G64*(Operations!$G64*Operations!$H64/Operations!$I64)^0.5))^2))</f>
        <v>70000</v>
      </c>
      <c r="O64" s="84">
        <f>IF(Operations!$C64="",0,(((Operations!$G64+1)*Operations!$H64/Operations!$I64/1000)^VLOOKUP(Operations!$C64,ImpRepairFac[],4,FALSE)-(Operations!$G64*Operations!$H64/Operations!$I64/1000)^VLOOKUP(Operations!$C64,ImpRepairFac[],4,FALSE))*Operations!$N64*VLOOKUP(Operations!$C64,ImpRepairFac[],3,FALSE)/Operations!$H64)</f>
        <v>0</v>
      </c>
      <c r="P64" s="85">
        <f>IF(Operations!$N64=0,0,Operations!$N64*(VLOOKUP(Operations!$D64,ImpDepLookup,2,FALSE)-VLOOKUP(Operations!$D64,ImpDepLookup,3,FALSE)*Operations!$G64^0.5-VLOOKUP(Operations!$D64,ImpDepLookup,4,FALSE)*(Operations!$G64*Operations!$H64/Operations!$I64)^0.5)^2)</f>
        <v>33791.947922763022</v>
      </c>
      <c r="Q64" s="85">
        <f>IF(Operations!$N64=0,0,Operations!$N64*(VLOOKUP(Operations!$D64,ImpDepLookup,2,FALSE)-VLOOKUP(Operations!$D64,ImpDepLookup,3,FALSE)*(Operations!$G64+1)^0.5-VLOOKUP(Operations!$D64,ImpDepLookup,4,FALSE)*(Operations!$G64*Operations!$H64/Operations!$I64)^0.5)^2)</f>
        <v>31526.888421511896</v>
      </c>
      <c r="R64" s="84">
        <f>IF(Operations!$N64=0,0,IF(Operations!$I64*Operations!$H64=0,0,(Operations!$P64-Operations!$Q64)/(Operations!$H64)))</f>
        <v>1.5100396675007506</v>
      </c>
      <c r="S64" s="86">
        <f>IF(Operations!$H64=0,0,Operations!$P64*'General Variables'!$B$9/Operations!$H64)</f>
        <v>0.45055930563684032</v>
      </c>
      <c r="T64" s="86">
        <f>IF(Operations!$H64=0,0,Operations!$P64*'General Variables'!$B$10/Operations!$H64)</f>
        <v>0.67583895845526043</v>
      </c>
      <c r="U64" s="86">
        <f>SUM(Table3[[#This Row],[Depreciation per Unit]:[Opportunity Cost per Unit]])</f>
        <v>2.6364379315928517</v>
      </c>
    </row>
    <row r="65" spans="1:21" ht="12.75" customHeight="1" x14ac:dyDescent="0.2">
      <c r="A65" s="94" t="s">
        <v>557</v>
      </c>
      <c r="B65" s="77" t="s">
        <v>184</v>
      </c>
      <c r="C65" s="77"/>
      <c r="D65" s="77"/>
      <c r="E65" s="79"/>
      <c r="F65" s="80"/>
      <c r="G65" s="79"/>
      <c r="H65" s="79"/>
      <c r="I65" s="87"/>
      <c r="J65" s="82"/>
      <c r="K65" s="78"/>
      <c r="L65" s="80" t="s">
        <v>430</v>
      </c>
      <c r="M65" s="82"/>
      <c r="N65" s="83">
        <f>IF(Operations!$E65&gt;1,Operations!$E65,IF(Operations!$D65=0,0,Operations!$F65/(VLOOKUP(Operations!$D65,ImpDepLookup,2,FALSE)-VLOOKUP(Operations!$D65,ImpDepLookup,3,FALSE)*Operations!$G65^0.5-VLOOKUP(Operations!$D65,ImpDepLookup,4,FALSE)*(Operations!$G65*(Operations!$G65*Operations!$H65/Operations!$I65)^0.5))^2))</f>
        <v>0</v>
      </c>
      <c r="O65" s="84">
        <f>IF(Operations!$C65="",0,(((Operations!$G65+1)*Operations!$H65/Operations!$I65/1000)^VLOOKUP(Operations!$C65,ImpRepairFac[],4,FALSE)-(Operations!$G65*Operations!$H65/Operations!$I65/1000)^VLOOKUP(Operations!$C65,ImpRepairFac[],4,FALSE))*Operations!$N65*VLOOKUP(Operations!$C65,ImpRepairFac[],3,FALSE)/Operations!$H65)</f>
        <v>0</v>
      </c>
      <c r="P65" s="85">
        <f>IF(Operations!$N65=0,0,Operations!$N65*(VLOOKUP(Operations!$D65,ImpDepLookup,2,FALSE)-VLOOKUP(Operations!$D65,ImpDepLookup,3,FALSE)*Operations!$G65^0.5-VLOOKUP(Operations!$D65,ImpDepLookup,4,FALSE)*(Operations!$G65*Operations!$H65/Operations!$I65)^0.5)^2)</f>
        <v>0</v>
      </c>
      <c r="Q65" s="85">
        <f>IF(Operations!$N65=0,0,Operations!$N65*(VLOOKUP(Operations!$D65,ImpDepLookup,2,FALSE)-VLOOKUP(Operations!$D65,ImpDepLookup,3,FALSE)*(Operations!$G65+1)^0.5-VLOOKUP(Operations!$D65,ImpDepLookup,4,FALSE)*(Operations!$G65*Operations!$H65/Operations!$I65)^0.5)^2)</f>
        <v>0</v>
      </c>
      <c r="R65" s="84">
        <f>IF(Operations!$N65=0,0,IF(Operations!$I65*Operations!$H65=0,0,(Operations!$P65-Operations!$Q65)/(Operations!$H65)))</f>
        <v>0</v>
      </c>
      <c r="S65" s="86">
        <f>IF(Operations!$H65=0,0,Operations!$P65*'General Variables'!$B$9/Operations!$H65)</f>
        <v>0</v>
      </c>
      <c r="T65" s="86">
        <f>IF(Operations!$H65=0,0,Operations!$P65*'General Variables'!$B$10/Operations!$H65)</f>
        <v>0</v>
      </c>
      <c r="U65" s="86">
        <f>SUM(Table3[[#This Row],[Depreciation per Unit]:[Opportunity Cost per Unit]])</f>
        <v>0</v>
      </c>
    </row>
    <row r="66" spans="1:21" ht="12.75" customHeight="1" x14ac:dyDescent="0.2">
      <c r="A66" s="94" t="s">
        <v>558</v>
      </c>
      <c r="B66" s="77" t="s">
        <v>176</v>
      </c>
      <c r="C66" s="78" t="s">
        <v>377</v>
      </c>
      <c r="D66" s="78" t="s">
        <v>423</v>
      </c>
      <c r="E66" s="79">
        <v>128650</v>
      </c>
      <c r="F66" s="80"/>
      <c r="G66" s="79">
        <v>5</v>
      </c>
      <c r="H66" s="79">
        <v>1200</v>
      </c>
      <c r="I66" s="87">
        <v>9</v>
      </c>
      <c r="J66" s="82">
        <v>1</v>
      </c>
      <c r="K66" s="78" t="s">
        <v>100</v>
      </c>
      <c r="L66" s="80">
        <v>8.25</v>
      </c>
      <c r="M66" s="82"/>
      <c r="N66" s="83">
        <f>IF(Operations!$E66&gt;1,Operations!$E66,IF(Operations!$D66=0,0,Operations!$F66/(VLOOKUP(Operations!$D66,ImpDepLookup,2,FALSE)-VLOOKUP(Operations!$D66,ImpDepLookup,3,FALSE)*Operations!$G66^0.5-VLOOKUP(Operations!$D66,ImpDepLookup,4,FALSE)*(Operations!$G66*(Operations!$G66*Operations!$H66/Operations!$I66)^0.5))^2))</f>
        <v>128650</v>
      </c>
      <c r="O66" s="84">
        <f>IF(Operations!$C66="",0,(((Operations!$G66+1)*Operations!$H66/Operations!$I66/1000)^VLOOKUP(Operations!$C66,ImpRepairFac[],4,FALSE)-(Operations!$G66*Operations!$H66/Operations!$I66/1000)^VLOOKUP(Operations!$C66,ImpRepairFac[],4,FALSE))*Operations!$N66*VLOOKUP(Operations!$C66,ImpRepairFac[],3,FALSE)/Operations!$H66)</f>
        <v>4.9480044179081153</v>
      </c>
      <c r="P66" s="85">
        <f>IF(Operations!$N66=0,0,Operations!$N66*(VLOOKUP(Operations!$D66,ImpDepLookup,2,FALSE)-VLOOKUP(Operations!$D66,ImpDepLookup,3,FALSE)*Operations!$G66^0.5-VLOOKUP(Operations!$D66,ImpDepLookup,4,FALSE)*(Operations!$G66*Operations!$H66/Operations!$I66)^0.5)^2)</f>
        <v>53527.013767245684</v>
      </c>
      <c r="Q66" s="85">
        <f>IF(Operations!$N66=0,0,Operations!$N66*(VLOOKUP(Operations!$D66,ImpDepLookup,2,FALSE)-VLOOKUP(Operations!$D66,ImpDepLookup,3,FALSE)*(Operations!$G66+1)^0.5-VLOOKUP(Operations!$D66,ImpDepLookup,4,FALSE)*(Operations!$G66*Operations!$H66/Operations!$I66)^0.5)^2)</f>
        <v>49701.614452716873</v>
      </c>
      <c r="R66" s="84">
        <f>IF(Operations!$N66=0,0,IF(Operations!$I66*Operations!$H66=0,0,(Operations!$P66-Operations!$Q66)/(Operations!$H66)))</f>
        <v>3.1878327621073428</v>
      </c>
      <c r="S66" s="86">
        <f>IF(Operations!$H66=0,0,Operations!$P66*'General Variables'!$B$9/Operations!$H66)</f>
        <v>0.89211689612076139</v>
      </c>
      <c r="T66" s="86">
        <f>IF(Operations!$H66=0,0,Operations!$P66*'General Variables'!$B$10/Operations!$H66)</f>
        <v>1.3381753441811419</v>
      </c>
      <c r="U66" s="86">
        <f>SUM(Table3[[#This Row],[Depreciation per Unit]:[Opportunity Cost per Unit]])</f>
        <v>5.418125002409246</v>
      </c>
    </row>
    <row r="67" spans="1:21" ht="12.75" customHeight="1" x14ac:dyDescent="0.2">
      <c r="A67" s="94" t="s">
        <v>559</v>
      </c>
      <c r="B67" s="77" t="s">
        <v>176</v>
      </c>
      <c r="C67" s="78" t="s">
        <v>560</v>
      </c>
      <c r="D67" s="78" t="s">
        <v>158</v>
      </c>
      <c r="E67" s="79">
        <v>45315</v>
      </c>
      <c r="F67" s="80"/>
      <c r="G67" s="79">
        <v>5</v>
      </c>
      <c r="H67" s="79">
        <v>1200</v>
      </c>
      <c r="I67" s="89">
        <v>10</v>
      </c>
      <c r="J67" s="82">
        <v>1</v>
      </c>
      <c r="K67" s="78" t="s">
        <v>156</v>
      </c>
      <c r="L67" s="80">
        <v>5</v>
      </c>
      <c r="M67" s="82"/>
      <c r="N67" s="83">
        <f>IF(Operations!$E67&gt;1,Operations!$E67,IF(Operations!$D67=0,0,Operations!$F67/(VLOOKUP(Operations!$D67,ImpDepLookup,2,FALSE)-VLOOKUP(Operations!$D67,ImpDepLookup,3,FALSE)*Operations!$G67^0.5-VLOOKUP(Operations!$D67,ImpDepLookup,4,FALSE)*(Operations!$G67*(Operations!$G67*Operations!$H67/Operations!$I67)^0.5))^2))</f>
        <v>45315</v>
      </c>
      <c r="O67" s="84">
        <f>IF(Operations!$C67="",0,(((Operations!$G67+1)*Operations!$H67/Operations!$I67/1000)^VLOOKUP(Operations!$C67,ImpRepairFac[],4,FALSE)-(Operations!$G67*Operations!$H67/Operations!$I67/1000)^VLOOKUP(Operations!$C67,ImpRepairFac[],4,FALSE))*Operations!$N67*VLOOKUP(Operations!$C67,ImpRepairFac[],3,FALSE)/Operations!$H67)</f>
        <v>1.0167566961595234</v>
      </c>
      <c r="P67" s="85">
        <v>20000</v>
      </c>
      <c r="Q67" s="85">
        <v>14911</v>
      </c>
      <c r="R67" s="84">
        <f>IF(Operations!$N67=0,0,IF(Operations!$I67*Operations!$H67=0,0,(Operations!$P67-Operations!$Q67)/(Operations!$H67)))</f>
        <v>4.2408333333333337</v>
      </c>
      <c r="S67" s="86">
        <f>IF(Operations!$H67=0,0,Operations!$P67*'General Variables'!$B$9/Operations!$H67)</f>
        <v>0.33333333333333331</v>
      </c>
      <c r="T67" s="86">
        <f>IF(Operations!$H67=0,0,Operations!$P67*'General Variables'!$B$10/Operations!$H67)</f>
        <v>0.5</v>
      </c>
      <c r="U67" s="86">
        <f>SUM(Table3[[#This Row],[Depreciation per Unit]:[Opportunity Cost per Unit]])</f>
        <v>5.0741666666666667</v>
      </c>
    </row>
    <row r="68" spans="1:21" ht="12.75" customHeight="1" x14ac:dyDescent="0.2">
      <c r="A68" s="94" t="s">
        <v>561</v>
      </c>
      <c r="B68" s="77" t="s">
        <v>176</v>
      </c>
      <c r="C68" s="78" t="s">
        <v>541</v>
      </c>
      <c r="D68" s="78" t="s">
        <v>423</v>
      </c>
      <c r="E68" s="79">
        <v>57500</v>
      </c>
      <c r="F68" s="80"/>
      <c r="G68" s="79">
        <v>5</v>
      </c>
      <c r="H68" s="79">
        <v>1200</v>
      </c>
      <c r="I68" s="87">
        <v>12.5</v>
      </c>
      <c r="J68" s="82">
        <v>1.1000000000000001</v>
      </c>
      <c r="K68" s="78" t="s">
        <v>100</v>
      </c>
      <c r="L68" s="80">
        <v>8.6225806451612925</v>
      </c>
      <c r="M68" s="82"/>
      <c r="N68" s="83">
        <f>IF(Operations!$E68&gt;1,Operations!$E68,IF(Operations!$D68=0,0,Operations!$F68/(VLOOKUP(Operations!$D68,ImpDepLookup,2,FALSE)-VLOOKUP(Operations!$D68,ImpDepLookup,3,FALSE)*Operations!$G68^0.5-VLOOKUP(Operations!$D68,ImpDepLookup,4,FALSE)*(Operations!$G68*(Operations!$G68*Operations!$H68/Operations!$I68)^0.5))^2))</f>
        <v>57500</v>
      </c>
      <c r="O68" s="84">
        <f>IF(Operations!$C68="",0,(((Operations!$G68+1)*Operations!$H68/Operations!$I68/1000)^VLOOKUP(Operations!$C68,ImpRepairFac[],4,FALSE)-(Operations!$G68*Operations!$H68/Operations!$I68/1000)^VLOOKUP(Operations!$C68,ImpRepairFac[],4,FALSE))*Operations!$N68*VLOOKUP(Operations!$C68,ImpRepairFac[],3,FALSE)/Operations!$H68)</f>
        <v>0.78974241544706147</v>
      </c>
      <c r="P68" s="85">
        <f>IF(Operations!$N68=0,0,Operations!$N68*(VLOOKUP(Operations!$D68,ImpDepLookup,2,FALSE)-VLOOKUP(Operations!$D68,ImpDepLookup,3,FALSE)*Operations!$G68^0.5-VLOOKUP(Operations!$D68,ImpDepLookup,4,FALSE)*(Operations!$G68*Operations!$H68/Operations!$I68)^0.5)^2)</f>
        <v>23923.84991540324</v>
      </c>
      <c r="Q68" s="85">
        <f>IF(Operations!$N68=0,0,Operations!$N68*(VLOOKUP(Operations!$D68,ImpDepLookup,2,FALSE)-VLOOKUP(Operations!$D68,ImpDepLookup,3,FALSE)*(Operations!$G68+1)^0.5-VLOOKUP(Operations!$D68,ImpDepLookup,4,FALSE)*(Operations!$G68*Operations!$H68/Operations!$I68)^0.5)^2)</f>
        <v>22214.091185629382</v>
      </c>
      <c r="R68" s="84">
        <f>IF(Operations!$N68=0,0,IF(Operations!$I68*Operations!$H68=0,0,(Operations!$P68-Operations!$Q68)/(Operations!$H68)))</f>
        <v>1.4247989414782145</v>
      </c>
      <c r="S68" s="86">
        <f>IF(Operations!$H68=0,0,Operations!$P68*'General Variables'!$B$9/Operations!$H68)</f>
        <v>0.39873083192338737</v>
      </c>
      <c r="T68" s="86">
        <f>IF(Operations!$H68=0,0,Operations!$P68*'General Variables'!$B$10/Operations!$H68)</f>
        <v>0.59809624788508098</v>
      </c>
      <c r="U68" s="86">
        <f>SUM(Table3[[#This Row],[Depreciation per Unit]:[Opportunity Cost per Unit]])</f>
        <v>2.4216260212866829</v>
      </c>
    </row>
    <row r="69" spans="1:21" ht="12.75" customHeight="1" x14ac:dyDescent="0.2">
      <c r="A69" s="94" t="s">
        <v>562</v>
      </c>
      <c r="B69" s="77" t="s">
        <v>176</v>
      </c>
      <c r="C69" s="78" t="s">
        <v>527</v>
      </c>
      <c r="D69" s="78" t="s">
        <v>490</v>
      </c>
      <c r="E69" s="79">
        <v>133850</v>
      </c>
      <c r="F69" s="80"/>
      <c r="G69" s="79">
        <v>5</v>
      </c>
      <c r="H69" s="79">
        <v>1000</v>
      </c>
      <c r="I69" s="87">
        <v>6</v>
      </c>
      <c r="J69" s="82">
        <v>1.1000000000000001</v>
      </c>
      <c r="K69" s="78" t="s">
        <v>100</v>
      </c>
      <c r="L69" s="80">
        <v>8.25</v>
      </c>
      <c r="M69" s="82"/>
      <c r="N69" s="83">
        <f>IF(Operations!$E69&gt;1,Operations!$E69,IF(Operations!$D69=0,0,Operations!$F69/(VLOOKUP(Operations!$D69,ImpDepLookup,2,FALSE)-VLOOKUP(Operations!$D69,ImpDepLookup,3,FALSE)*Operations!$G69^0.5-VLOOKUP(Operations!$D69,ImpDepLookup,4,FALSE)*(Operations!$G69*(Operations!$G69*Operations!$H69/Operations!$I69)^0.5))^2))</f>
        <v>133850</v>
      </c>
      <c r="O69" s="84">
        <f>IF(Operations!$C69="",0,(((Operations!$G69+1)*Operations!$H69/Operations!$I69/1000)^VLOOKUP(Operations!$C69,ImpRepairFac[],4,FALSE)-(Operations!$G69*Operations!$H69/Operations!$I69/1000)^VLOOKUP(Operations!$C69,ImpRepairFac[],4,FALSE))*Operations!$N69*VLOOKUP(Operations!$C69,ImpRepairFac[],3,FALSE)/Operations!$H69)</f>
        <v>13.624947107863996</v>
      </c>
      <c r="P69" s="85">
        <f>IF(Operations!$N69=0,0,Operations!$N69*(VLOOKUP(Operations!$D69,ImpDepLookup,2,FALSE)-VLOOKUP(Operations!$D69,ImpDepLookup,3,FALSE)*Operations!$G69^0.5-VLOOKUP(Operations!$D69,ImpDepLookup,4,FALSE)*(Operations!$G69*Operations!$H69/Operations!$I69)^0.5)^2)</f>
        <v>67205.430237302804</v>
      </c>
      <c r="Q69" s="85">
        <f>IF(Operations!$N69=0,0,Operations!$N69*(VLOOKUP(Operations!$D69,ImpDepLookup,2,FALSE)-VLOOKUP(Operations!$D69,ImpDepLookup,3,FALSE)*(Operations!$G69+1)^0.5-VLOOKUP(Operations!$D69,ImpDepLookup,4,FALSE)*(Operations!$G69*Operations!$H69/Operations!$I69)^0.5)^2)</f>
        <v>64084.794943051114</v>
      </c>
      <c r="R69" s="84">
        <f>IF(Operations!$N69=0,0,IF(Operations!$I69*Operations!$H69=0,0,(Operations!$P69-Operations!$Q69)/(Operations!$H69)))</f>
        <v>3.1206352942516897</v>
      </c>
      <c r="S69" s="86">
        <f>IF(Operations!$H69=0,0,Operations!$P69*'General Variables'!$B$9/Operations!$H69)</f>
        <v>1.344108604746056</v>
      </c>
      <c r="T69" s="86">
        <f>IF(Operations!$H69=0,0,Operations!$P69*'General Variables'!$B$10/Operations!$H69)</f>
        <v>2.0161629071190843</v>
      </c>
      <c r="U69" s="86">
        <f>SUM(Table3[[#This Row],[Depreciation per Unit]:[Opportunity Cost per Unit]])</f>
        <v>6.4809068061168302</v>
      </c>
    </row>
    <row r="70" spans="1:21" ht="12.75" customHeight="1" x14ac:dyDescent="0.2">
      <c r="A70" s="94" t="s">
        <v>563</v>
      </c>
      <c r="B70" s="77" t="s">
        <v>176</v>
      </c>
      <c r="C70" s="78" t="s">
        <v>564</v>
      </c>
      <c r="D70" s="78" t="s">
        <v>158</v>
      </c>
      <c r="E70" s="79">
        <v>152387</v>
      </c>
      <c r="F70" s="92"/>
      <c r="G70" s="79">
        <v>5</v>
      </c>
      <c r="H70" s="79">
        <v>1000</v>
      </c>
      <c r="I70" s="87">
        <v>5.7894736842105274</v>
      </c>
      <c r="J70" s="82">
        <v>1</v>
      </c>
      <c r="K70" s="78" t="s">
        <v>112</v>
      </c>
      <c r="L70" s="80">
        <v>3.5</v>
      </c>
      <c r="M70" s="82"/>
      <c r="N70" s="83">
        <f>IF(Operations!$E70&gt;1,Operations!$E70,IF(Operations!$D70=0,0,Operations!$F70/(VLOOKUP(Operations!$D70,ImpDepLookup,2,FALSE)-VLOOKUP(Operations!$D70,ImpDepLookup,3,FALSE)*Operations!$G70^0.5-VLOOKUP(Operations!$D70,ImpDepLookup,4,FALSE)*(Operations!$G70*(Operations!$G70*Operations!$H70/Operations!$I70)^0.5))^2))</f>
        <v>152387</v>
      </c>
      <c r="O70" s="84">
        <f>IF(Operations!$C70="",0,(((Operations!$G70+1)*Operations!$H70/Operations!$I70/1000)^VLOOKUP(Operations!$C70,ImpRepairFac[],4,FALSE)-(Operations!$G70*Operations!$H70/Operations!$I70/1000)^VLOOKUP(Operations!$C70,ImpRepairFac[],4,FALSE))*Operations!$N70*VLOOKUP(Operations!$C70,ImpRepairFac[],3,FALSE)/Operations!$H70)</f>
        <v>10.105097411331359</v>
      </c>
      <c r="P70" s="85">
        <f>IF(Operations!$N70=0,0,Operations!$N70*(VLOOKUP(Operations!$D70,ImpDepLookup,2,FALSE)-VLOOKUP(Operations!$D70,ImpDepLookup,3,FALSE)*Operations!$G70^0.5-VLOOKUP(Operations!$D70,ImpDepLookup,4,FALSE)*(Operations!$G70*Operations!$H70/Operations!$I70)^0.5)^2)</f>
        <v>52600.515206488235</v>
      </c>
      <c r="Q70" s="85">
        <f>IF(Operations!$N70=0,0,Operations!$N70*(VLOOKUP(Operations!$D70,ImpDepLookup,2,FALSE)-VLOOKUP(Operations!$D70,ImpDepLookup,3,FALSE)*(Operations!$G70+1)^0.5-VLOOKUP(Operations!$D70,ImpDepLookup,4,FALSE)*(Operations!$G70*Operations!$H70/Operations!$I70)^0.5)^2)</f>
        <v>49180.398649526469</v>
      </c>
      <c r="R70" s="84">
        <f>IF(Operations!$N70=0,0,IF(Operations!$I70*Operations!$H70=0,0,(Operations!$P70-Operations!$Q70)/(Operations!$H70)))</f>
        <v>3.4201165569617662</v>
      </c>
      <c r="S70" s="86">
        <f>IF(Operations!$H70=0,0,Operations!$P70*'General Variables'!$B$9/Operations!$H70)</f>
        <v>1.0520103041297648</v>
      </c>
      <c r="T70" s="86">
        <f>IF(Operations!$H70=0,0,Operations!$P70*'General Variables'!$B$10/Operations!$H70)</f>
        <v>1.5780154561946469</v>
      </c>
      <c r="U70" s="86">
        <f>SUM(Table3[[#This Row],[Depreciation per Unit]:[Opportunity Cost per Unit]])</f>
        <v>6.0501423172861779</v>
      </c>
    </row>
    <row r="71" spans="1:21" ht="12.75" customHeight="1" x14ac:dyDescent="0.2">
      <c r="A71" s="94" t="s">
        <v>565</v>
      </c>
      <c r="B71" s="77" t="s">
        <v>184</v>
      </c>
      <c r="C71" s="77"/>
      <c r="D71" s="77"/>
      <c r="E71" s="79"/>
      <c r="F71" s="80"/>
      <c r="G71" s="79">
        <v>5</v>
      </c>
      <c r="H71" s="79"/>
      <c r="I71" s="87" t="s">
        <v>430</v>
      </c>
      <c r="J71" s="82"/>
      <c r="K71" s="78" t="s">
        <v>100</v>
      </c>
      <c r="L71" s="80" t="s">
        <v>430</v>
      </c>
      <c r="M71" s="82"/>
      <c r="N71" s="83">
        <f>IF(Operations!$E71&gt;1,Operations!$E71,IF(Operations!$D71=0,0,Operations!$F71/(VLOOKUP(Operations!$D71,ImpDepLookup,2,FALSE)-VLOOKUP(Operations!$D71,ImpDepLookup,3,FALSE)*Operations!$G71^0.5-VLOOKUP(Operations!$D71,ImpDepLookup,4,FALSE)*(Operations!$G71*(Operations!$G71*Operations!$H71/Operations!$I71)^0.5))^2))</f>
        <v>0</v>
      </c>
      <c r="O71" s="84">
        <f>IF(Operations!$C71="",0,(((Operations!$G71+1)*Operations!$H71/Operations!$I71/1000)^VLOOKUP(Operations!$C71,ImpRepairFac[],4,FALSE)-(Operations!$G71*Operations!$H71/Operations!$I71/1000)^VLOOKUP(Operations!$C71,ImpRepairFac[],4,FALSE))*Operations!$N71*VLOOKUP(Operations!$C71,ImpRepairFac[],3,FALSE)/Operations!$H71)</f>
        <v>0</v>
      </c>
      <c r="P71" s="85">
        <f>IF(Operations!$N71=0,0,Operations!$N71*(VLOOKUP(Operations!$D71,ImpDepLookup,2,FALSE)-VLOOKUP(Operations!$D71,ImpDepLookup,3,FALSE)*Operations!$G71^0.5-VLOOKUP(Operations!$D71,ImpDepLookup,4,FALSE)*(Operations!$G71*Operations!$H71/Operations!$I71)^0.5)^2)</f>
        <v>0</v>
      </c>
      <c r="Q71" s="85">
        <f>IF(Operations!$N71=0,0,Operations!$N71*(VLOOKUP(Operations!$D71,ImpDepLookup,2,FALSE)-VLOOKUP(Operations!$D71,ImpDepLookup,3,FALSE)*(Operations!$G71+1)^0.5-VLOOKUP(Operations!$D71,ImpDepLookup,4,FALSE)*(Operations!$G71*Operations!$H71/Operations!$I71)^0.5)^2)</f>
        <v>0</v>
      </c>
      <c r="R71" s="84">
        <f>IF(Operations!$N71=0,0,IF(Operations!$I71*Operations!$H71=0,0,(Operations!$P71-Operations!$Q71)/(Operations!$H71)))</f>
        <v>0</v>
      </c>
      <c r="S71" s="86">
        <f>IF(Operations!$H71=0,0,Operations!$P71*'General Variables'!$B$9/Operations!$H71)</f>
        <v>0</v>
      </c>
      <c r="T71" s="86">
        <f>IF(Operations!$H71=0,0,Operations!$P71*'General Variables'!$B$10/Operations!$H71)</f>
        <v>0</v>
      </c>
      <c r="U71" s="86">
        <f>SUM(Table3[[#This Row],[Depreciation per Unit]:[Opportunity Cost per Unit]])</f>
        <v>0</v>
      </c>
    </row>
    <row r="72" spans="1:21" ht="12.75" customHeight="1" x14ac:dyDescent="0.2">
      <c r="A72" s="94" t="s">
        <v>566</v>
      </c>
      <c r="B72" s="77" t="s">
        <v>176</v>
      </c>
      <c r="C72" s="78" t="s">
        <v>486</v>
      </c>
      <c r="D72" s="78" t="s">
        <v>158</v>
      </c>
      <c r="E72" s="79">
        <v>15883</v>
      </c>
      <c r="F72" s="80"/>
      <c r="G72" s="79">
        <v>5</v>
      </c>
      <c r="H72" s="79">
        <v>1200</v>
      </c>
      <c r="I72" s="89">
        <v>12</v>
      </c>
      <c r="J72" s="82">
        <v>1</v>
      </c>
      <c r="K72" s="78" t="s">
        <v>156</v>
      </c>
      <c r="L72" s="80">
        <v>2.0971962616822433</v>
      </c>
      <c r="M72" s="82"/>
      <c r="N72" s="83">
        <f>IF(Operations!$E72&gt;1,Operations!$E72,IF(Operations!$D72=0,0,Operations!$F72/(VLOOKUP(Operations!$D72,ImpDepLookup,2,FALSE)-VLOOKUP(Operations!$D72,ImpDepLookup,3,FALSE)*Operations!$G72^0.5-VLOOKUP(Operations!$D72,ImpDepLookup,4,FALSE)*(Operations!$G72*(Operations!$G72*Operations!$H72/Operations!$I72)^0.5))^2))</f>
        <v>15883</v>
      </c>
      <c r="O72" s="84">
        <f>IF(Operations!$C72="",0,(((Operations!$G72+1)*Operations!$H72/Operations!$I72/1000)^VLOOKUP(Operations!$C72,ImpRepairFac[],4,FALSE)-(Operations!$G72*Operations!$H72/Operations!$I72/1000)^VLOOKUP(Operations!$C72,ImpRepairFac[],4,FALSE))*Operations!$N72*VLOOKUP(Operations!$C72,ImpRepairFac[],3,FALSE)/Operations!$H72)</f>
        <v>0.24793022975560922</v>
      </c>
      <c r="P72" s="85">
        <f>IF(Operations!$N72=0,0,Operations!$N72*(VLOOKUP(Operations!$D72,ImpDepLookup,2,FALSE)-VLOOKUP(Operations!$D72,ImpDepLookup,3,FALSE)*Operations!$G72^0.5-VLOOKUP(Operations!$D72,ImpDepLookup,4,FALSE)*(Operations!$G72*Operations!$H72/Operations!$I72)^0.5)^2)</f>
        <v>5482.4491788974956</v>
      </c>
      <c r="Q72" s="85">
        <f>IF(Operations!$N72=0,0,Operations!$N72*(VLOOKUP(Operations!$D72,ImpDepLookup,2,FALSE)-VLOOKUP(Operations!$D72,ImpDepLookup,3,FALSE)*(Operations!$G72+1)^0.5-VLOOKUP(Operations!$D72,ImpDepLookup,4,FALSE)*(Operations!$G72*Operations!$H72/Operations!$I72)^0.5)^2)</f>
        <v>5125.9770961461863</v>
      </c>
      <c r="R72" s="84">
        <f>IF(Operations!$N72=0,0,IF(Operations!$I72*Operations!$H72=0,0,(Operations!$P72-Operations!$Q72)/(Operations!$H72)))</f>
        <v>0.29706006895942438</v>
      </c>
      <c r="S72" s="86">
        <f>IF(Operations!$H72=0,0,Operations!$P72*'General Variables'!$B$9/Operations!$H72)</f>
        <v>9.1374152981624934E-2</v>
      </c>
      <c r="T72" s="86">
        <f>IF(Operations!$H72=0,0,Operations!$P72*'General Variables'!$B$10/Operations!$H72)</f>
        <v>0.1370612294724374</v>
      </c>
      <c r="U72" s="86">
        <f>SUM(Table3[[#This Row],[Depreciation per Unit]:[Opportunity Cost per Unit]])</f>
        <v>0.52549545141348675</v>
      </c>
    </row>
    <row r="73" spans="1:21" ht="12.75" customHeight="1" x14ac:dyDescent="0.2">
      <c r="A73" s="94" t="s">
        <v>567</v>
      </c>
      <c r="B73" s="77" t="s">
        <v>176</v>
      </c>
      <c r="C73" s="78" t="s">
        <v>560</v>
      </c>
      <c r="D73" s="78" t="s">
        <v>158</v>
      </c>
      <c r="E73" s="79">
        <v>45315</v>
      </c>
      <c r="F73" s="80"/>
      <c r="G73" s="79">
        <v>5</v>
      </c>
      <c r="H73" s="79">
        <v>1500</v>
      </c>
      <c r="I73" s="87">
        <v>10</v>
      </c>
      <c r="J73" s="82">
        <v>1</v>
      </c>
      <c r="K73" s="78" t="s">
        <v>156</v>
      </c>
      <c r="L73" s="80">
        <v>5</v>
      </c>
      <c r="M73" s="82"/>
      <c r="N73" s="83">
        <f>IF(Operations!$E73&gt;1,Operations!$E73,IF(Operations!$D73=0,0,Operations!$F73/(VLOOKUP(Operations!$D73,ImpDepLookup,2,FALSE)-VLOOKUP(Operations!$D73,ImpDepLookup,3,FALSE)*Operations!$G73^0.5-VLOOKUP(Operations!$D73,ImpDepLookup,4,FALSE)*(Operations!$G73*(Operations!$G73*Operations!$H73/Operations!$I73)^0.5))^2))</f>
        <v>45315</v>
      </c>
      <c r="O73" s="84">
        <f>IF(Operations!$C73="",0,(((Operations!$G73+1)*Operations!$H73/Operations!$I73/1000)^VLOOKUP(Operations!$C73,ImpRepairFac[],4,FALSE)-(Operations!$G73*Operations!$H73/Operations!$I73/1000)^VLOOKUP(Operations!$C73,ImpRepairFac[],4,FALSE))*Operations!$N73*VLOOKUP(Operations!$C73,ImpRepairFac[],3,FALSE)/Operations!$H73)</f>
        <v>1.1624199343367194</v>
      </c>
      <c r="P73" s="85">
        <f>IF(Operations!$N73=0,0,Operations!$N73*(VLOOKUP(Operations!$D73,ImpDepLookup,2,FALSE)-VLOOKUP(Operations!$D73,ImpDepLookup,3,FALSE)*Operations!$G73^0.5-VLOOKUP(Operations!$D73,ImpDepLookup,4,FALSE)*(Operations!$G73*Operations!$H73/Operations!$I73)^0.5)^2)</f>
        <v>15641.703994317195</v>
      </c>
      <c r="Q73" s="85">
        <f>IF(Operations!$N73=0,0,Operations!$N73*(VLOOKUP(Operations!$D73,ImpDepLookup,2,FALSE)-VLOOKUP(Operations!$D73,ImpDepLookup,3,FALSE)*(Operations!$G73+1)^0.5-VLOOKUP(Operations!$D73,ImpDepLookup,4,FALSE)*(Operations!$G73*Operations!$H73/Operations!$I73)^0.5)^2)</f>
        <v>14624.671164884747</v>
      </c>
      <c r="R73" s="84">
        <f>IF(Operations!$N73=0,0,IF(Operations!$I73*Operations!$H73=0,0,(Operations!$P73-Operations!$Q73)/(Operations!$H73)))</f>
        <v>0.67802188628829874</v>
      </c>
      <c r="S73" s="86">
        <f>IF(Operations!$H73=0,0,Operations!$P73*'General Variables'!$B$9/Operations!$H73)</f>
        <v>0.2085560532575626</v>
      </c>
      <c r="T73" s="86">
        <f>IF(Operations!$H73=0,0,Operations!$P73*'General Variables'!$B$10/Operations!$H73)</f>
        <v>0.31283407988634387</v>
      </c>
      <c r="U73" s="86">
        <f>SUM(Table3[[#This Row],[Depreciation per Unit]:[Opportunity Cost per Unit]])</f>
        <v>1.1994120194322051</v>
      </c>
    </row>
    <row r="74" spans="1:21" ht="12.75" customHeight="1" x14ac:dyDescent="0.2">
      <c r="A74" s="94"/>
      <c r="B74" s="77"/>
      <c r="C74" s="78"/>
      <c r="D74" s="78"/>
      <c r="E74" s="79"/>
      <c r="F74" s="80"/>
      <c r="G74" s="79"/>
      <c r="H74" s="88"/>
      <c r="I74" s="87"/>
      <c r="J74" s="82"/>
      <c r="K74" s="78"/>
      <c r="L74" s="80"/>
      <c r="M74" s="82"/>
      <c r="N74" s="83">
        <f>IF(Operations!$E74&gt;1,Operations!$E74,IF(Operations!$D74=0,0,Operations!$F74/(VLOOKUP(Operations!$D74,ImpDepLookup,2,FALSE)-VLOOKUP(Operations!$D74,ImpDepLookup,3,FALSE)*Operations!$G74^0.5-VLOOKUP(Operations!$D74,ImpDepLookup,4,FALSE)*(Operations!$G74*(Operations!$G74*Operations!$H74/Operations!$I74)^0.5))^2))</f>
        <v>0</v>
      </c>
      <c r="O74" s="84">
        <f>IF(Operations!$C74="",0,(((Operations!$G74+1)*Operations!$H74/Operations!$I74/1000)^VLOOKUP(Operations!$C74,ImpRepairFac[],4,FALSE)-(Operations!$G74*Operations!$H74/Operations!$I74/1000)^VLOOKUP(Operations!$C74,ImpRepairFac[],4,FALSE))*Operations!$N74*VLOOKUP(Operations!$C74,ImpRepairFac[],3,FALSE)/Operations!$H74)</f>
        <v>0</v>
      </c>
      <c r="P74" s="85">
        <f>IF(Operations!$N74=0,0,Operations!$N74*(VLOOKUP(Operations!$D74,ImpDepLookup,2,FALSE)-VLOOKUP(Operations!$D74,ImpDepLookup,3,FALSE)*Operations!$G74^0.5-VLOOKUP(Operations!$D74,ImpDepLookup,4,FALSE)*(Operations!$G74*Operations!$H74/Operations!$I74)^0.5)^2)</f>
        <v>0</v>
      </c>
      <c r="Q74" s="85">
        <f>IF(Operations!$N74=0,0,Operations!$N74*(VLOOKUP(Operations!$D74,ImpDepLookup,2,FALSE)-VLOOKUP(Operations!$D74,ImpDepLookup,3,FALSE)*(Operations!$G74+1)^0.5-VLOOKUP(Operations!$D74,ImpDepLookup,4,FALSE)*(Operations!$G74*Operations!$H74/Operations!$I74)^0.5)^2)</f>
        <v>0</v>
      </c>
      <c r="R74" s="84">
        <f>IF(Operations!$N74=0,0,IF(Operations!$I74*Operations!$H74=0,0,(Operations!$P74-Operations!$Q74)/(Operations!$H74)))</f>
        <v>0</v>
      </c>
      <c r="S74" s="86">
        <f>IF(Operations!$H74=0,0,Operations!$P74*'General Variables'!$B$9/Operations!$H74)</f>
        <v>0</v>
      </c>
      <c r="T74" s="86">
        <f>IF(Operations!$H74=0,0,Operations!$P74*'General Variables'!$B$10/Operations!$H74)</f>
        <v>0</v>
      </c>
      <c r="U74" s="86">
        <f>SUM(Table3[[#This Row],[Depreciation per Unit]:[Opportunity Cost per Unit]])</f>
        <v>0</v>
      </c>
    </row>
    <row r="75" spans="1:21" ht="12.75" customHeight="1" x14ac:dyDescent="0.2">
      <c r="A75" s="94"/>
      <c r="B75" s="77"/>
      <c r="C75" s="78"/>
      <c r="D75" s="78"/>
      <c r="E75" s="79"/>
      <c r="F75" s="80"/>
      <c r="G75" s="79"/>
      <c r="H75" s="79"/>
      <c r="I75" s="81"/>
      <c r="J75" s="82"/>
      <c r="K75" s="78"/>
      <c r="L75" s="80"/>
      <c r="M75" s="82"/>
      <c r="N75" s="83">
        <f>IF(Operations!$E75&gt;1,Operations!$E75,IF(Operations!$D75=0,0,Operations!$F75/(VLOOKUP(Operations!$D75,ImpDepLookup,2,FALSE)-VLOOKUP(Operations!$D75,ImpDepLookup,3,FALSE)*Operations!$G75^0.5-VLOOKUP(Operations!$D75,ImpDepLookup,4,FALSE)*(Operations!$G75*(Operations!$G75*Operations!$H75/Operations!$I75)^0.5))^2))</f>
        <v>0</v>
      </c>
      <c r="O75" s="84">
        <f>IF(Operations!$C75="",0,(((Operations!$G75+1)*Operations!$H75/Operations!$I75/1000)^VLOOKUP(Operations!$C75,ImpRepairFac[],4,FALSE)-(Operations!$G75*Operations!$H75/Operations!$I75/1000)^VLOOKUP(Operations!$C75,ImpRepairFac[],4,FALSE))*Operations!$N75*VLOOKUP(Operations!$C75,ImpRepairFac[],3,FALSE)/Operations!$H75)</f>
        <v>0</v>
      </c>
      <c r="P75" s="85">
        <f>IF(Operations!$N75=0,0,Operations!$N75*(VLOOKUP(Operations!$D75,ImpDepLookup,2,FALSE)-VLOOKUP(Operations!$D75,ImpDepLookup,3,FALSE)*Operations!$G75^0.5-VLOOKUP(Operations!$D75,ImpDepLookup,4,FALSE)*(Operations!$G75*Operations!$H75/Operations!$I75)^0.5)^2)</f>
        <v>0</v>
      </c>
      <c r="Q75" s="85">
        <f>IF(Operations!$N75=0,0,Operations!$N75*(VLOOKUP(Operations!$D75,ImpDepLookup,2,FALSE)-VLOOKUP(Operations!$D75,ImpDepLookup,3,FALSE)*(Operations!$G75+1)^0.5-VLOOKUP(Operations!$D75,ImpDepLookup,4,FALSE)*(Operations!$G75*Operations!$H75/Operations!$I75)^0.5)^2)</f>
        <v>0</v>
      </c>
      <c r="R75" s="84">
        <f>IF(Operations!$N75=0,0,IF(Operations!$I75*Operations!$H75=0,0,(Operations!$P75-Operations!$Q75)/(Operations!$H75)))</f>
        <v>0</v>
      </c>
      <c r="S75" s="86">
        <f>IF(Operations!$H75=0,0,Operations!$P75*'General Variables'!$B$9/Operations!$H75)</f>
        <v>0</v>
      </c>
      <c r="T75" s="86">
        <f>IF(Operations!$H75=0,0,Operations!$P75*'General Variables'!$B$10/Operations!$H75)</f>
        <v>0</v>
      </c>
      <c r="U75" s="86">
        <f>SUM(Table3[[#This Row],[Depreciation per Unit]:[Opportunity Cost per Unit]])</f>
        <v>0</v>
      </c>
    </row>
    <row r="76" spans="1:21" ht="12.75" customHeight="1" x14ac:dyDescent="0.2">
      <c r="A76" s="94"/>
      <c r="B76" s="77"/>
      <c r="C76" s="78"/>
      <c r="D76" s="78"/>
      <c r="E76" s="79"/>
      <c r="F76" s="80"/>
      <c r="G76" s="79"/>
      <c r="H76" s="79"/>
      <c r="I76" s="81"/>
      <c r="J76" s="82"/>
      <c r="K76" s="78"/>
      <c r="L76" s="80"/>
      <c r="M76" s="82"/>
      <c r="N76" s="83">
        <f>IF(Operations!$E76&gt;1,Operations!$E76,IF(Operations!$D76=0,0,Operations!$F76/(VLOOKUP(Operations!$D76,ImpDepLookup,2,FALSE)-VLOOKUP(Operations!$D76,ImpDepLookup,3,FALSE)*Operations!$G76^0.5-VLOOKUP(Operations!$D76,ImpDepLookup,4,FALSE)*(Operations!$G76*(Operations!$G76*Operations!$H76/Operations!$I76)^0.5))^2))</f>
        <v>0</v>
      </c>
      <c r="O76" s="84">
        <f>IF(Operations!$C76="",0,(((Operations!$G76+1)*Operations!$H76/Operations!$I76/1000)^VLOOKUP(Operations!$C76,ImpRepairFac[],4,FALSE)-(Operations!$G76*Operations!$H76/Operations!$I76/1000)^VLOOKUP(Operations!$C76,ImpRepairFac[],4,FALSE))*Operations!$N76*VLOOKUP(Operations!$C76,ImpRepairFac[],3,FALSE)/Operations!$H76)</f>
        <v>0</v>
      </c>
      <c r="P76" s="85">
        <f>IF(Operations!$N76=0,0,Operations!$N76*(VLOOKUP(Operations!$D76,ImpDepLookup,2,FALSE)-VLOOKUP(Operations!$D76,ImpDepLookup,3,FALSE)*Operations!$G76^0.5-VLOOKUP(Operations!$D76,ImpDepLookup,4,FALSE)*(Operations!$G76*Operations!$H76/Operations!$I76)^0.5)^2)</f>
        <v>0</v>
      </c>
      <c r="Q76" s="85">
        <f>IF(Operations!$N76=0,0,Operations!$N76*(VLOOKUP(Operations!$D76,ImpDepLookup,2,FALSE)-VLOOKUP(Operations!$D76,ImpDepLookup,3,FALSE)*(Operations!$G76+1)^0.5-VLOOKUP(Operations!$D76,ImpDepLookup,4,FALSE)*(Operations!$G76*Operations!$H76/Operations!$I76)^0.5)^2)</f>
        <v>0</v>
      </c>
      <c r="R76" s="84">
        <f>IF(Operations!$N76=0,0,IF(Operations!$I76*Operations!$H76=0,0,(Operations!$P76-Operations!$Q76)/(Operations!$H76)))</f>
        <v>0</v>
      </c>
      <c r="S76" s="86">
        <f>IF(Operations!$H76=0,0,Operations!$P76*'General Variables'!$B$9/Operations!$H76)</f>
        <v>0</v>
      </c>
      <c r="T76" s="86">
        <f>IF(Operations!$H76=0,0,Operations!$P76*'General Variables'!$B$10/Operations!$H76)</f>
        <v>0</v>
      </c>
      <c r="U76" s="86">
        <f>SUM(Table3[[#This Row],[Depreciation per Unit]:[Opportunity Cost per Unit]])</f>
        <v>0</v>
      </c>
    </row>
    <row r="77" spans="1:21" ht="12.75" customHeight="1" x14ac:dyDescent="0.2">
      <c r="A77" s="94"/>
      <c r="B77" s="77"/>
      <c r="C77" s="78"/>
      <c r="D77" s="78"/>
      <c r="E77" s="79"/>
      <c r="F77" s="80"/>
      <c r="G77" s="79"/>
      <c r="H77" s="79"/>
      <c r="I77" s="81"/>
      <c r="J77" s="82"/>
      <c r="K77" s="78"/>
      <c r="L77" s="80"/>
      <c r="M77" s="82"/>
      <c r="N77" s="83">
        <f>IF(Operations!$E77&gt;1,Operations!$E77,IF(Operations!$D77=0,0,Operations!$F77/(VLOOKUP(Operations!$D77,ImpDepLookup,2,FALSE)-VLOOKUP(Operations!$D77,ImpDepLookup,3,FALSE)*Operations!$G77^0.5-VLOOKUP(Operations!$D77,ImpDepLookup,4,FALSE)*(Operations!$G77*(Operations!$G77*Operations!$H77/Operations!$I77)^0.5))^2))</f>
        <v>0</v>
      </c>
      <c r="O77" s="84">
        <f>IF(Operations!$C77="",0,(((Operations!$G77+1)*Operations!$H77/Operations!$I77/1000)^VLOOKUP(Operations!$C77,ImpRepairFac[],4,FALSE)-(Operations!$G77*Operations!$H77/Operations!$I77/1000)^VLOOKUP(Operations!$C77,ImpRepairFac[],4,FALSE))*Operations!$N77*VLOOKUP(Operations!$C77,ImpRepairFac[],3,FALSE)/Operations!$H77)</f>
        <v>0</v>
      </c>
      <c r="P77" s="85">
        <f>IF(Operations!$N77=0,0,Operations!$N77*(VLOOKUP(Operations!$D77,ImpDepLookup,2,FALSE)-VLOOKUP(Operations!$D77,ImpDepLookup,3,FALSE)*Operations!$G77^0.5-VLOOKUP(Operations!$D77,ImpDepLookup,4,FALSE)*(Operations!$G77*Operations!$H77/Operations!$I77)^0.5)^2)</f>
        <v>0</v>
      </c>
      <c r="Q77" s="85">
        <f>IF(Operations!$N77=0,0,Operations!$N77*(VLOOKUP(Operations!$D77,ImpDepLookup,2,FALSE)-VLOOKUP(Operations!$D77,ImpDepLookup,3,FALSE)*(Operations!$G77+1)^0.5-VLOOKUP(Operations!$D77,ImpDepLookup,4,FALSE)*(Operations!$G77*Operations!$H77/Operations!$I77)^0.5)^2)</f>
        <v>0</v>
      </c>
      <c r="R77" s="84">
        <f>IF(Operations!$N77=0,0,IF(Operations!$I77*Operations!$H77=0,0,(Operations!$P77-Operations!$Q77)/(Operations!$H77)))</f>
        <v>0</v>
      </c>
      <c r="S77" s="86">
        <f>IF(Operations!$H77=0,0,Operations!$P77*'General Variables'!$B$9/Operations!$H77)</f>
        <v>0</v>
      </c>
      <c r="T77" s="86">
        <f>IF(Operations!$H77=0,0,Operations!$P77*'General Variables'!$B$10/Operations!$H77)</f>
        <v>0</v>
      </c>
      <c r="U77" s="86">
        <f>SUM(Table3[[#This Row],[Depreciation per Unit]:[Opportunity Cost per Unit]])</f>
        <v>0</v>
      </c>
    </row>
    <row r="78" spans="1:21" ht="12.75" customHeight="1" x14ac:dyDescent="0.2">
      <c r="A78" s="94"/>
      <c r="B78" s="77"/>
      <c r="C78" s="78"/>
      <c r="D78" s="78"/>
      <c r="E78" s="79"/>
      <c r="F78" s="80"/>
      <c r="G78" s="79"/>
      <c r="H78" s="79"/>
      <c r="I78" s="81"/>
      <c r="J78" s="82"/>
      <c r="K78" s="78"/>
      <c r="L78" s="80"/>
      <c r="M78" s="82"/>
      <c r="N78" s="83">
        <f>IF(Operations!$E78&gt;1,Operations!$E78,IF(Operations!$D78=0,0,Operations!$F78/(VLOOKUP(Operations!$D78,ImpDepLookup,2,FALSE)-VLOOKUP(Operations!$D78,ImpDepLookup,3,FALSE)*Operations!$G78^0.5-VLOOKUP(Operations!$D78,ImpDepLookup,4,FALSE)*(Operations!$G78*(Operations!$G78*Operations!$H78/Operations!$I78)^0.5))^2))</f>
        <v>0</v>
      </c>
      <c r="O78" s="84">
        <f>IF(Operations!$C78="",0,(((Operations!$G78+1)*Operations!$H78/Operations!$I78/1000)^VLOOKUP(Operations!$C78,ImpRepairFac[],4,FALSE)-(Operations!$G78*Operations!$H78/Operations!$I78/1000)^VLOOKUP(Operations!$C78,ImpRepairFac[],4,FALSE))*Operations!$N78*VLOOKUP(Operations!$C78,ImpRepairFac[],3,FALSE)/Operations!$H78)</f>
        <v>0</v>
      </c>
      <c r="P78" s="85">
        <f>IF(Operations!$N78=0,0,Operations!$N78*(VLOOKUP(Operations!$D78,ImpDepLookup,2,FALSE)-VLOOKUP(Operations!$D78,ImpDepLookup,3,FALSE)*Operations!$G78^0.5-VLOOKUP(Operations!$D78,ImpDepLookup,4,FALSE)*(Operations!$G78*Operations!$H78/Operations!$I78)^0.5)^2)</f>
        <v>0</v>
      </c>
      <c r="Q78" s="85">
        <f>IF(Operations!$N78=0,0,Operations!$N78*(VLOOKUP(Operations!$D78,ImpDepLookup,2,FALSE)-VLOOKUP(Operations!$D78,ImpDepLookup,3,FALSE)*(Operations!$G78+1)^0.5-VLOOKUP(Operations!$D78,ImpDepLookup,4,FALSE)*(Operations!$G78*Operations!$H78/Operations!$I78)^0.5)^2)</f>
        <v>0</v>
      </c>
      <c r="R78" s="84">
        <f>IF(Operations!$N78=0,0,IF(Operations!$I78*Operations!$H78=0,0,(Operations!$P78-Operations!$Q78)/(Operations!$H78)))</f>
        <v>0</v>
      </c>
      <c r="S78" s="86">
        <f>IF(Operations!$H78=0,0,Operations!$P78*'General Variables'!$B$9/Operations!$H78)</f>
        <v>0</v>
      </c>
      <c r="T78" s="86">
        <f>IF(Operations!$H78=0,0,Operations!$P78*'General Variables'!$B$10/Operations!$H78)</f>
        <v>0</v>
      </c>
      <c r="U78" s="86">
        <f>SUM(Table3[[#This Row],[Depreciation per Unit]:[Opportunity Cost per Unit]])</f>
        <v>0</v>
      </c>
    </row>
    <row r="79" spans="1:21" ht="12.75" customHeight="1" x14ac:dyDescent="0.2">
      <c r="A79" s="94"/>
      <c r="B79" s="77"/>
      <c r="C79" s="78"/>
      <c r="D79" s="78"/>
      <c r="E79" s="79"/>
      <c r="F79" s="80"/>
      <c r="G79" s="79"/>
      <c r="H79" s="79"/>
      <c r="I79" s="81"/>
      <c r="J79" s="82"/>
      <c r="K79" s="78"/>
      <c r="L79" s="80"/>
      <c r="M79" s="82"/>
      <c r="N79" s="83">
        <f>IF(Operations!$E79&gt;1,Operations!$E79,IF(Operations!$D79=0,0,Operations!$F79/(VLOOKUP(Operations!$D79,ImpDepLookup,2,FALSE)-VLOOKUP(Operations!$D79,ImpDepLookup,3,FALSE)*Operations!$G79^0.5-VLOOKUP(Operations!$D79,ImpDepLookup,4,FALSE)*(Operations!$G79*(Operations!$G79*Operations!$H79/Operations!$I79)^0.5))^2))</f>
        <v>0</v>
      </c>
      <c r="O79" s="84">
        <f>IF(Operations!$C79="",0,(((Operations!$G79+1)*Operations!$H79/Operations!$I79/1000)^VLOOKUP(Operations!$C79,ImpRepairFac[],4,FALSE)-(Operations!$G79*Operations!$H79/Operations!$I79/1000)^VLOOKUP(Operations!$C79,ImpRepairFac[],4,FALSE))*Operations!$N79*VLOOKUP(Operations!$C79,ImpRepairFac[],3,FALSE)/Operations!$H79)</f>
        <v>0</v>
      </c>
      <c r="P79" s="85">
        <f>IF(Operations!$N79=0,0,Operations!$N79*(VLOOKUP(Operations!$D79,ImpDepLookup,2,FALSE)-VLOOKUP(Operations!$D79,ImpDepLookup,3,FALSE)*Operations!$G79^0.5-VLOOKUP(Operations!$D79,ImpDepLookup,4,FALSE)*(Operations!$G79*Operations!$H79/Operations!$I79)^0.5)^2)</f>
        <v>0</v>
      </c>
      <c r="Q79" s="85">
        <f>IF(Operations!$N79=0,0,Operations!$N79*(VLOOKUP(Operations!$D79,ImpDepLookup,2,FALSE)-VLOOKUP(Operations!$D79,ImpDepLookup,3,FALSE)*(Operations!$G79+1)^0.5-VLOOKUP(Operations!$D79,ImpDepLookup,4,FALSE)*(Operations!$G79*Operations!$H79/Operations!$I79)^0.5)^2)</f>
        <v>0</v>
      </c>
      <c r="R79" s="84">
        <f>IF(Operations!$N79=0,0,IF(Operations!$I79*Operations!$H79=0,0,(Operations!$P79-Operations!$Q79)/(Operations!$H79)))</f>
        <v>0</v>
      </c>
      <c r="S79" s="86">
        <f>IF(Operations!$H79=0,0,Operations!$P79*'General Variables'!$B$9/Operations!$H79)</f>
        <v>0</v>
      </c>
      <c r="T79" s="86">
        <f>IF(Operations!$H79=0,0,Operations!$P79*'General Variables'!$B$10/Operations!$H79)</f>
        <v>0</v>
      </c>
      <c r="U79" s="86">
        <f>SUM(Table3[[#This Row],[Depreciation per Unit]:[Opportunity Cost per Unit]])</f>
        <v>0</v>
      </c>
    </row>
  </sheetData>
  <mergeCells count="2">
    <mergeCell ref="AK1:AM2"/>
    <mergeCell ref="AK16:AM19"/>
  </mergeCells>
  <dataValidations count="3">
    <dataValidation type="list" allowBlank="1" showInputMessage="1" showErrorMessage="1" sqref="K2:K79" xr:uid="{00000000-0002-0000-0400-000000000000}">
      <formula1>$AO$2:$AO$11</formula1>
    </dataValidation>
    <dataValidation type="list" allowBlank="1" showInputMessage="1" showErrorMessage="1" sqref="C2:C79" xr:uid="{00000000-0002-0000-0400-000001000000}">
      <formula1>$W$2:$W$48</formula1>
    </dataValidation>
    <dataValidation type="list" allowBlank="1" showInputMessage="1" showErrorMessage="1" sqref="D2:D79" xr:uid="{00000000-0002-0000-0400-000002000000}">
      <formula1>$AE$2:$AE$11</formula1>
    </dataValidation>
  </dataValidations>
  <pageMargins left="0.45" right="0.45" top="0.25" bottom="0.5" header="0.3" footer="0.3"/>
  <pageSetup paperSize="5" scale="27" orientation="landscape" r:id="rId1"/>
  <tableParts count="4">
    <tablePart r:id="rId2"/>
    <tablePart r:id="rId3"/>
    <tablePart r:id="rId4"/>
    <tablePart r:id="rId5"/>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31">
    <pageSetUpPr fitToPage="1"/>
  </sheetPr>
  <dimension ref="A2:M256"/>
  <sheetViews>
    <sheetView zoomScaleNormal="100" workbookViewId="0">
      <selection activeCell="B13" sqref="B13"/>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73</v>
      </c>
      <c r="L2" s="401"/>
    </row>
    <row r="3" spans="1:13" hidden="1" x14ac:dyDescent="0.2">
      <c r="B3" s="103" t="s">
        <v>38</v>
      </c>
      <c r="C3" s="391" t="s">
        <v>43</v>
      </c>
      <c r="D3" s="391"/>
      <c r="E3" s="391"/>
      <c r="G3" s="128" t="s">
        <v>650</v>
      </c>
      <c r="H3" s="187" t="s">
        <v>741</v>
      </c>
      <c r="J3" s="128" t="s">
        <v>651</v>
      </c>
      <c r="K3" s="187">
        <v>10</v>
      </c>
    </row>
    <row r="4" spans="1:13" hidden="1" x14ac:dyDescent="0.2">
      <c r="B4" s="103" t="s">
        <v>652</v>
      </c>
      <c r="C4" s="392"/>
      <c r="D4" s="392"/>
      <c r="E4" s="392"/>
      <c r="G4" s="103">
        <f>IFERROR(VALUE(LEFT($H$3,FIND(" ",$H$3))),"")</f>
        <v>27</v>
      </c>
      <c r="H4" s="103" t="str">
        <f>IFERROR(RIGHT(H3,LEN(H3)-LEN(G4)-1),"")</f>
        <v>cwt</v>
      </c>
      <c r="J4" s="128" t="s">
        <v>653</v>
      </c>
      <c r="K4" s="188" t="s">
        <v>654</v>
      </c>
    </row>
    <row r="5" spans="1:13" ht="15.75" hidden="1" customHeight="1" x14ac:dyDescent="0.2">
      <c r="B5" s="103" t="s">
        <v>655</v>
      </c>
      <c r="C5" s="103" t="str">
        <f ca="1">MID(CELL("filename",C5),FIND("]",CELL("filename",C5))+1,255)</f>
        <v>44-Dry Beans</v>
      </c>
      <c r="E5" s="103">
        <f ca="1">VLOOKUP($C$5,CropInsurance,5,FALSE)</f>
        <v>18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44-Dry Beans, Panhandle, Conventional Tillage, 27 cwt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44-Dry Beans, Panhandle, Conventional Tillage, 27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fed by canal, 10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437</v>
      </c>
      <c r="C12" s="112">
        <v>1</v>
      </c>
      <c r="D12" s="174"/>
      <c r="E12" s="109">
        <f>IF(B12=0,"",IF(C12&gt;9999,"",ROUND('General Variables'!$B$4*VLOOKUP(B12,Operations!$A$2:$U$79,10,FALSE)/VLOOKUP(B12,Operations!$A$2:$U$79,9,FALSE)*C12,2)))</f>
        <v>2.41</v>
      </c>
      <c r="F12" s="109">
        <f>IF(B12=0,0,IF(C12&gt;9999,"",ROUND(IF(VLOOKUP(B12,Operations!$A$2:$U$79,12,FALSE)=0,VLOOKUP(B12,Operations!$A$2:$U$79,13,FALSE)*'General Variables'!$B$8,VLOOKUP(B12,Operations!$A$2:$U$79,12,FALSE)*'General Variables'!$B$7)/VLOOKUP(B12,Operations!$A$2:$U$79,9,FALSE)*C12,2)))</f>
        <v>1.49</v>
      </c>
      <c r="G12" s="109">
        <f>IF(B12=0,0,IF(C12&gt;9999,"",ROUND(VLOOKUP(VLOOKUP(B12,Operations!$A$2:$U$79,11,FALSE),PowerUnits[],10,FALSE)/VLOOKUP(B12,Operations!$A$2:$U$79,9,FALSE)*C12,2)))</f>
        <v>7.0000000000000007E-2</v>
      </c>
      <c r="H12" s="109">
        <f>IF(B12=0,"",IF(C12&gt;9999,"",ROUND(VLOOKUP($B12,Operations!$A$2:$U$79,15,FALSE)*C12,2)))</f>
        <v>0.67</v>
      </c>
      <c r="I12" s="109">
        <f>IF(B12=0,0,IF(C12&gt;9999,"",ROUND(VLOOKUP(VLOOKUP(B12,Operations!$A$2:$U$79,11,FALSE),PowerUnits[],16,FALSE)/VLOOKUP(B12,Operations!$A$2:$U$79,9,FALSE)*C12,2)))</f>
        <v>3.51</v>
      </c>
      <c r="J12" s="109">
        <f>IF(B12=0,"",IF(C12&gt;9999,"",ROUND(VLOOKUP($B12,Operations!$A$2:$U$79,21,FALSE)*$C12,2)))</f>
        <v>3.04</v>
      </c>
      <c r="K12" s="109">
        <f>IF(C12&gt;9999,"",ROUND(SUM(E12:J12),2))</f>
        <v>11.19</v>
      </c>
      <c r="L12" s="110"/>
    </row>
    <row r="13" spans="1:13" x14ac:dyDescent="0.2">
      <c r="A13" s="170">
        <v>2</v>
      </c>
      <c r="B13" s="217" t="s">
        <v>530</v>
      </c>
      <c r="C13" s="218">
        <v>1</v>
      </c>
      <c r="D13" s="214"/>
      <c r="E13" s="215">
        <f>IF(B13=0,"",IF(C13&gt;9999,"",ROUND('General Variables'!$B$4*VLOOKUP(B13,Operations!$A$2:$U$79,10,FALSE)/VLOOKUP(B13,Operations!$A$2:$U$79,9,FALSE)*C13,2)))</f>
        <v>4.6399999999999997</v>
      </c>
      <c r="F13" s="215">
        <f>IF(B13=0,0,IF(C13&gt;9999,"",ROUND(IF(VLOOKUP(B13,Operations!$A$2:$U$79,12,FALSE)=0,VLOOKUP(B13,Operations!$A$2:$U$79,13,FALSE)*'General Variables'!$B$8,VLOOKUP(B13,Operations!$A$2:$U$79,12,FALSE)*'General Variables'!$B$7)/VLOOKUP(B13,Operations!$A$2:$U$79,9,FALSE)*C13,2)))</f>
        <v>3</v>
      </c>
      <c r="G13" s="215">
        <f>IF(B13=0,0,IF(C13&gt;9999,"",ROUND(VLOOKUP(VLOOKUP(B13,Operations!$A$2:$U$79,11,FALSE),PowerUnits[],10,FALSE)/VLOOKUP(B13,Operations!$A$2:$U$79,9,FALSE)*C13,2)))</f>
        <v>0.53</v>
      </c>
      <c r="H13" s="215">
        <f>IF(B13=0,"",IF(C13&gt;9999,"",ROUND(VLOOKUP($B13,Operations!$A$2:$U$79,15,FALSE)*C13,2)))</f>
        <v>1.6</v>
      </c>
      <c r="I13" s="215">
        <f>IF(B13=0,0,IF(C13&gt;9999,"",ROUND(VLOOKUP(VLOOKUP(B13,Operations!$A$2:$U$79,11,FALSE),PowerUnits[],16,FALSE)/VLOOKUP(B13,Operations!$A$2:$U$79,9,FALSE)*C13,2)))</f>
        <v>14.42</v>
      </c>
      <c r="J13" s="215">
        <f>IF(B13=0,"",IF(C13&gt;9999,"",ROUND(VLOOKUP($B13,Operations!$A$2:$U$79,21,FALSE)*$C13,2)))</f>
        <v>1.83</v>
      </c>
      <c r="K13" s="215">
        <f t="shared" ref="K13:K30" si="0">IF(C13&gt;9999,"",ROUND(SUM(E13:J13),2))</f>
        <v>26.02</v>
      </c>
      <c r="L13" s="216"/>
    </row>
    <row r="14" spans="1:13" x14ac:dyDescent="0.2">
      <c r="A14" s="170">
        <v>3</v>
      </c>
      <c r="B14" s="111" t="s">
        <v>542</v>
      </c>
      <c r="C14" s="112">
        <v>1</v>
      </c>
      <c r="D14" s="174"/>
      <c r="E14" s="109">
        <f>IF(B14=0,"",IF(C14&gt;9999,"",ROUND('General Variables'!$B$4*VLOOKUP(B14,Operations!$A$2:$U$79,10,FALSE)/VLOOKUP(B14,Operations!$A$2:$U$79,9,FALSE)*C14,2)))</f>
        <v>2.7</v>
      </c>
      <c r="F14" s="109">
        <f>IF(B14=0,0,IF(C14&gt;9999,"",ROUND(IF(VLOOKUP(B14,Operations!$A$2:$U$79,12,FALSE)=0,VLOOKUP(B14,Operations!$A$2:$U$79,13,FALSE)*'General Variables'!$B$8,VLOOKUP(B14,Operations!$A$2:$U$79,12,FALSE)*'General Variables'!$B$7)/VLOOKUP(B14,Operations!$A$2:$U$79,9,FALSE)*C14,2)))</f>
        <v>1.6</v>
      </c>
      <c r="G14" s="109">
        <f>IF(B14=0,0,IF(C14&gt;9999,"",ROUND(VLOOKUP(VLOOKUP(B14,Operations!$A$2:$U$79,11,FALSE),PowerUnits[],10,FALSE)/VLOOKUP(B14,Operations!$A$2:$U$79,9,FALSE)*C14,2)))</f>
        <v>0.08</v>
      </c>
      <c r="H14" s="109">
        <f>IF(B14=0,"",IF(C14&gt;9999,"",ROUND(VLOOKUP($B14,Operations!$A$2:$U$79,15,FALSE)*C14,2)))</f>
        <v>1.32</v>
      </c>
      <c r="I14" s="109">
        <f>IF(B14=0,0,IF(C14&gt;9999,"",ROUND(VLOOKUP(VLOOKUP(B14,Operations!$A$2:$U$79,11,FALSE),PowerUnits[],16,FALSE)/VLOOKUP(B14,Operations!$A$2:$U$79,9,FALSE)*C14,2)))</f>
        <v>4.33</v>
      </c>
      <c r="J14" s="109">
        <f>IF(B14=0,"",IF(C14&gt;9999,"",ROUND(VLOOKUP($B14,Operations!$A$2:$U$79,21,FALSE)*$C14,2)))</f>
        <v>3.03</v>
      </c>
      <c r="K14" s="109">
        <f t="shared" si="0"/>
        <v>13.06</v>
      </c>
      <c r="L14" s="110"/>
    </row>
    <row r="15" spans="1:13" x14ac:dyDescent="0.2">
      <c r="A15" s="170">
        <v>4</v>
      </c>
      <c r="B15" s="111" t="s">
        <v>498</v>
      </c>
      <c r="C15" s="112">
        <v>1</v>
      </c>
      <c r="D15" s="174"/>
      <c r="E15" s="109">
        <f>IF(B15=0,"",IF(C15&gt;9999,"",ROUND('General Variables'!$B$4*VLOOKUP(B15,Operations!$A$2:$U$79,10,FALSE)/VLOOKUP(B15,Operations!$A$2:$U$79,9,FALSE)*C15,2)))</f>
        <v>1.98</v>
      </c>
      <c r="F15" s="109">
        <f>IF(B15=0,0,IF(C15&gt;9999,"",ROUND(IF(VLOOKUP(B15,Operations!$A$2:$U$79,12,FALSE)=0,VLOOKUP(B15,Operations!$A$2:$U$79,13,FALSE)*'General Variables'!$B$8,VLOOKUP(B15,Operations!$A$2:$U$79,12,FALSE)*'General Variables'!$B$7)/VLOOKUP(B15,Operations!$A$2:$U$79,9,FALSE)*C15,2)))</f>
        <v>1.75</v>
      </c>
      <c r="G15" s="109">
        <f>IF(B15=0,0,IF(C15&gt;9999,"",ROUND(VLOOKUP(VLOOKUP(B15,Operations!$A$2:$U$79,11,FALSE),PowerUnits[],10,FALSE)/VLOOKUP(B15,Operations!$A$2:$U$79,9,FALSE)*C15,2)))</f>
        <v>0.23</v>
      </c>
      <c r="H15" s="109">
        <f>IF(B15=0,"",IF(C15&gt;9999,"",ROUND(VLOOKUP($B15,Operations!$A$2:$U$79,15,FALSE)*C15,2)))</f>
        <v>2.14</v>
      </c>
      <c r="I15" s="109">
        <f>IF(B15=0,0,IF(C15&gt;9999,"",ROUND(VLOOKUP(VLOOKUP(B15,Operations!$A$2:$U$79,11,FALSE),PowerUnits[],16,FALSE)/VLOOKUP(B15,Operations!$A$2:$U$79,9,FALSE)*C15,2)))</f>
        <v>6.15</v>
      </c>
      <c r="J15" s="109">
        <f>IF(B15=0,"",IF(C15&gt;9999,"",ROUND(VLOOKUP($B15,Operations!$A$2:$U$79,21,FALSE)*$C15,2)))</f>
        <v>2.4300000000000002</v>
      </c>
      <c r="K15" s="109">
        <f t="shared" si="0"/>
        <v>14.68</v>
      </c>
      <c r="L15" s="110"/>
    </row>
    <row r="16" spans="1:13" x14ac:dyDescent="0.2">
      <c r="A16" s="170">
        <v>5</v>
      </c>
      <c r="B16" s="111" t="s">
        <v>551</v>
      </c>
      <c r="C16" s="112">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IF(C16&gt;9999,"",ROUND(SUM(E16:J16),2))</f>
        <v>5.75</v>
      </c>
      <c r="L16" s="110"/>
    </row>
    <row r="17" spans="1:12" x14ac:dyDescent="0.2">
      <c r="A17" s="170">
        <v>6</v>
      </c>
      <c r="B17" s="217" t="s">
        <v>526</v>
      </c>
      <c r="C17" s="218">
        <v>1</v>
      </c>
      <c r="D17" s="214"/>
      <c r="E17" s="215">
        <f>IF(B17=0,"",IF(C17&gt;9999,"",ROUND('General Variables'!$B$4*VLOOKUP(B17,Operations!$A$2:$U$79,10,FALSE)/VLOOKUP(B17,Operations!$A$2:$U$79,9,FALSE)*C17,2)))</f>
        <v>3.24</v>
      </c>
      <c r="F17" s="215">
        <f>IF(B17=0,0,IF(C17&gt;9999,"",ROUND(IF(VLOOKUP(B17,Operations!$A$2:$U$79,12,FALSE)=0,VLOOKUP(B17,Operations!$A$2:$U$79,13,FALSE)*'General Variables'!$B$8,VLOOKUP(B17,Operations!$A$2:$U$79,12,FALSE)*'General Variables'!$B$7)/VLOOKUP(B17,Operations!$A$2:$U$79,9,FALSE)*C17,2)))</f>
        <v>0.87</v>
      </c>
      <c r="G17" s="215">
        <f>IF(B17=0,0,IF(C17&gt;9999,"",ROUND(VLOOKUP(VLOOKUP(B17,Operations!$A$2:$U$79,11,FALSE),PowerUnits[],10,FALSE)/VLOOKUP(B17,Operations!$A$2:$U$79,9,FALSE)*C17,2)))</f>
        <v>0.08</v>
      </c>
      <c r="H17" s="215">
        <f>IF(B17=0,"",IF(C17&gt;9999,"",ROUND(VLOOKUP($B17,Operations!$A$2:$U$79,15,FALSE)*C17,2)))</f>
        <v>6.97</v>
      </c>
      <c r="I17" s="215">
        <f>IF(B17=0,0,IF(C17&gt;9999,"",ROUND(VLOOKUP(VLOOKUP(B17,Operations!$A$2:$U$79,11,FALSE),PowerUnits[],16,FALSE)/VLOOKUP(B17,Operations!$A$2:$U$79,9,FALSE)*C17,2)))</f>
        <v>4.33</v>
      </c>
      <c r="J17" s="215">
        <f>IF(B17=0,"",IF(C17&gt;9999,"",ROUND(VLOOKUP($B17,Operations!$A$2:$U$79,21,FALSE)*$C17,2)))</f>
        <v>6.61</v>
      </c>
      <c r="K17" s="215">
        <f t="shared" si="0"/>
        <v>22.1</v>
      </c>
      <c r="L17" s="216"/>
    </row>
    <row r="18" spans="1:12" x14ac:dyDescent="0.2">
      <c r="A18" s="170">
        <v>7</v>
      </c>
      <c r="B18" s="258" t="s">
        <v>551</v>
      </c>
      <c r="C18" s="259">
        <v>1</v>
      </c>
      <c r="D18" s="255"/>
      <c r="E18" s="256">
        <f>IF(B18=0,"",IF(C18&gt;9999,"",ROUND('General Variables'!$B$4*VLOOKUP(B18,Operations!$A$2:$U$79,10,FALSE)/VLOOKUP(B18,Operations!$A$2:$U$79,9,FALSE)*C18,2)))</f>
        <v>1.02</v>
      </c>
      <c r="F18" s="256">
        <f>IF(B18=0,0,IF(C18&gt;9999,"",ROUND(IF(VLOOKUP(B18,Operations!$A$2:$U$79,12,FALSE)=0,VLOOKUP(B18,Operations!$A$2:$U$79,13,FALSE)*'General Variables'!$B$8,VLOOKUP(B18,Operations!$A$2:$U$79,12,FALSE)*'General Variables'!$B$7)/VLOOKUP(B18,Operations!$A$2:$U$79,9,FALSE)*C18,2)))</f>
        <v>0.26</v>
      </c>
      <c r="G18" s="256">
        <f>IF(B18=0,0,IF(C18&gt;9999,"",ROUND(VLOOKUP(VLOOKUP(B18,Operations!$A$2:$U$79,11,FALSE),PowerUnits[],10,FALSE)/VLOOKUP(B18,Operations!$A$2:$U$79,9,FALSE)*C18,2)))</f>
        <v>0.03</v>
      </c>
      <c r="H18" s="256">
        <f>IF(B18=0,"",IF(C18&gt;9999,"",ROUND(VLOOKUP($B18,Operations!$A$2:$U$79,15,FALSE)*C18,2)))</f>
        <v>1.1100000000000001</v>
      </c>
      <c r="I18" s="256">
        <f>IF(B18=0,0,IF(C18&gt;9999,"",ROUND(VLOOKUP(VLOOKUP(B18,Operations!$A$2:$U$79,11,FALSE),PowerUnits[],16,FALSE)/VLOOKUP(B18,Operations!$A$2:$U$79,9,FALSE)*C18,2)))</f>
        <v>1.31</v>
      </c>
      <c r="J18" s="256">
        <f>IF(B18=0,"",IF(C18&gt;9999,"",ROUND(VLOOKUP($B18,Operations!$A$2:$U$79,21,FALSE)*$C18,2)))</f>
        <v>2.02</v>
      </c>
      <c r="K18" s="256">
        <f t="shared" si="0"/>
        <v>5.75</v>
      </c>
      <c r="L18" s="257"/>
    </row>
    <row r="19" spans="1:12" x14ac:dyDescent="0.2">
      <c r="A19" s="170">
        <v>8</v>
      </c>
      <c r="B19" s="111" t="s">
        <v>545</v>
      </c>
      <c r="C19" s="112">
        <v>1</v>
      </c>
      <c r="D19" s="174"/>
      <c r="E19" s="109">
        <f>IF(B19=0,"",IF(C19&gt;9999,"",ROUND('General Variables'!$B$4*VLOOKUP(B19,Operations!$A$2:$U$79,10,FALSE)/VLOOKUP(B19,Operations!$A$2:$U$79,9,FALSE)*C19,2)))</f>
        <v>2.7</v>
      </c>
      <c r="F19" s="109">
        <f>IF(B19=0,0,IF(C19&gt;9999,"",ROUND(IF(VLOOKUP(B19,Operations!$A$2:$U$79,12,FALSE)=0,VLOOKUP(B19,Operations!$A$2:$U$79,13,FALSE)*'General Variables'!$B$8,VLOOKUP(B19,Operations!$A$2:$U$79,12,FALSE)*'General Variables'!$B$7)/VLOOKUP(B19,Operations!$A$2:$U$79,9,FALSE)*C19,2)))</f>
        <v>1.02</v>
      </c>
      <c r="G19" s="109">
        <f>IF(B19=0,0,IF(C19&gt;9999,"",ROUND(VLOOKUP(VLOOKUP(B19,Operations!$A$2:$U$79,11,FALSE),PowerUnits[],10,FALSE)/VLOOKUP(B19,Operations!$A$2:$U$79,9,FALSE)*C19,2)))</f>
        <v>0.08</v>
      </c>
      <c r="H19" s="109">
        <f>IF(B19=0,"",IF(C19&gt;9999,"",ROUND(VLOOKUP($B19,Operations!$A$2:$U$79,15,FALSE)*C19,2)))</f>
        <v>1.4</v>
      </c>
      <c r="I19" s="109">
        <f>IF(B19=0,0,IF(C19&gt;9999,"",ROUND(VLOOKUP(VLOOKUP(B19,Operations!$A$2:$U$79,11,FALSE),PowerUnits[],16,FALSE)/VLOOKUP(B19,Operations!$A$2:$U$79,9,FALSE)*C19,2)))</f>
        <v>3.93</v>
      </c>
      <c r="J19" s="109">
        <f>IF(B19=0,"",IF(C19&gt;9999,"",ROUND(VLOOKUP($B19,Operations!$A$2:$U$79,21,FALSE)*$C19,2)))</f>
        <v>3.2</v>
      </c>
      <c r="K19" s="109">
        <f>IF(C19&gt;9999,"",ROUND(SUM(E19:J19),2))</f>
        <v>12.33</v>
      </c>
      <c r="L19" s="110"/>
    </row>
    <row r="20" spans="1:12" x14ac:dyDescent="0.2">
      <c r="A20" s="170">
        <v>9</v>
      </c>
      <c r="B20" s="111" t="s">
        <v>533</v>
      </c>
      <c r="C20" s="112">
        <v>1</v>
      </c>
      <c r="D20" s="174"/>
      <c r="E20" s="109">
        <f>IF(B20=0,"",IF(C20&gt;9999,"",ROUND('General Variables'!$B$4*VLOOKUP(B20,Operations!$A$2:$U$79,10,FALSE)/VLOOKUP(B20,Operations!$A$2:$U$79,9,FALSE)*C20,2)))</f>
        <v>2.97</v>
      </c>
      <c r="F20" s="109">
        <f>IF(B20=0,0,IF(C20&gt;9999,"",ROUND(IF(VLOOKUP(B20,Operations!$A$2:$U$79,12,FALSE)=0,VLOOKUP(B20,Operations!$A$2:$U$79,13,FALSE)*'General Variables'!$B$8,VLOOKUP(B20,Operations!$A$2:$U$79,12,FALSE)*'General Variables'!$B$7)/VLOOKUP(B20,Operations!$A$2:$U$79,9,FALSE)*C20,2)))</f>
        <v>1.7</v>
      </c>
      <c r="G20" s="109">
        <f>IF(B20=0,0,IF(C20&gt;9999,"",ROUND(VLOOKUP(VLOOKUP(B20,Operations!$A$2:$U$79,11,FALSE),PowerUnits[],10,FALSE)/VLOOKUP(B20,Operations!$A$2:$U$79,9,FALSE)*C20,2)))</f>
        <v>0.34</v>
      </c>
      <c r="H20" s="109">
        <f>IF(B20=0,"",IF(C20&gt;9999,"",ROUND(VLOOKUP($B20,Operations!$A$2:$U$79,15,FALSE)*C20,2)))</f>
        <v>1.87</v>
      </c>
      <c r="I20" s="109">
        <f>IF(B20=0,0,IF(C20&gt;9999,"",ROUND(VLOOKUP(VLOOKUP(B20,Operations!$A$2:$U$79,11,FALSE),PowerUnits[],16,FALSE)/VLOOKUP(B20,Operations!$A$2:$U$79,9,FALSE)*C20,2)))</f>
        <v>9.23</v>
      </c>
      <c r="J20" s="109">
        <f>IF(B20=0,"",IF(C20&gt;9999,"",ROUND(VLOOKUP($B20,Operations!$A$2:$U$79,21,FALSE)*$C20,2)))</f>
        <v>5.18</v>
      </c>
      <c r="K20" s="109">
        <f t="shared" si="0"/>
        <v>21.29</v>
      </c>
      <c r="L20" s="110"/>
    </row>
    <row r="21" spans="1:12" x14ac:dyDescent="0.2">
      <c r="A21" s="170">
        <v>10</v>
      </c>
      <c r="B21" s="111" t="s">
        <v>482</v>
      </c>
      <c r="C21" s="112">
        <f>$K$3</f>
        <v>10</v>
      </c>
      <c r="D21" s="112" t="s">
        <v>693</v>
      </c>
      <c r="E21" s="109">
        <f>IF(B21=0,"",IF(C21&gt;9999,"",ROUND('General Variables'!$B$4*VLOOKUP(B21,Operations!$A$2:$U$79,10,FALSE)/VLOOKUP(B21,Operations!$A$2:$U$79,9,FALSE)*C21,2)))</f>
        <v>15</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4.79</v>
      </c>
      <c r="H21" s="109">
        <f>IF(B21=0,"",IF(C21&gt;9999,"",ROUND(VLOOKUP($B21,Operations!$A$2:$U$79,15,FALSE)*C21,2)))</f>
        <v>0</v>
      </c>
      <c r="I21" s="109">
        <f>IF(B21=0,0,IF(C21&gt;9999,"",ROUND(VLOOKUP(VLOOKUP(B21,Operations!$A$2:$U$79,11,FALSE),PowerUnits[],16,FALSE)/VLOOKUP(B21,Operations!$A$2:$U$79,9,FALSE)*C21,2)))</f>
        <v>10.74</v>
      </c>
      <c r="J21" s="109">
        <f>IF(B21=0,"",IF(C21&gt;9999,"",ROUND(VLOOKUP($B21,Operations!$A$2:$U$79,21,FALSE)*$C21,2)))</f>
        <v>0</v>
      </c>
      <c r="K21" s="109">
        <f t="shared" si="0"/>
        <v>30.53</v>
      </c>
      <c r="L21" s="110"/>
    </row>
    <row r="22" spans="1:12" x14ac:dyDescent="0.2">
      <c r="A22" s="170">
        <v>11</v>
      </c>
      <c r="B22" s="217" t="s">
        <v>183</v>
      </c>
      <c r="C22" s="218" t="s">
        <v>184</v>
      </c>
      <c r="D22" s="218"/>
      <c r="E22" s="215" t="str">
        <f>IF(B22=0,"",IF(C22&gt;9999,"",ROUND('General Variables'!$B$4*VLOOKUP(B22,Operations!$A$2:$U$79,10,FALSE)/VLOOKUP(B22,Operations!$A$2:$U$79,9,FALSE)*C22,2)))</f>
        <v/>
      </c>
      <c r="F22" s="215" t="str">
        <f>IF(B22=0,0,IF(C22&gt;9999,"",ROUND(IF(VLOOKUP(B22,Operations!$A$2:$U$79,12,FALSE)=0,VLOOKUP(B22,Operations!$A$2:$U$79,13,FALSE)*'General Variables'!$B$8,VLOOKUP(B22,Operations!$A$2:$U$79,12,FALSE)*'General Variables'!$B$7)/VLOOKUP(B22,Operations!$A$2:$U$79,9,FALSE)*C22,2)))</f>
        <v/>
      </c>
      <c r="G22" s="215" t="str">
        <f>IF(B22=0,0,IF(C22&gt;9999,"",ROUND(VLOOKUP(VLOOKUP(B22,Operations!$A$2:$U$79,11,FALSE),PowerUnits[],10,FALSE)/VLOOKUP(B22,Operations!$A$2:$U$79,9,FALSE)*C22,2)))</f>
        <v/>
      </c>
      <c r="H22" s="215" t="str">
        <f>IF(B22=0,"",IF(C22&gt;9999,"",ROUND(VLOOKUP($B22,Operations!$A$2:$U$79,15,FALSE)*C22,2)))</f>
        <v/>
      </c>
      <c r="I22" s="215" t="str">
        <f>IF(B22=0,0,IF(C22&gt;9999,"",ROUND(VLOOKUP(VLOOKUP(B22,Operations!$A$2:$U$79,11,FALSE),PowerUnits[],16,FALSE)/VLOOKUP(B22,Operations!$A$2:$U$79,9,FALSE)*C22,2)))</f>
        <v/>
      </c>
      <c r="J22" s="215" t="str">
        <f>IF(B22=0,"",IF(C22&gt;9999,"",ROUND(VLOOKUP($B22,Operations!$A$2:$U$79,21,FALSE)*$C22,2)))</f>
        <v/>
      </c>
      <c r="K22" s="215" t="str">
        <f t="shared" si="0"/>
        <v/>
      </c>
      <c r="L22" s="216"/>
    </row>
    <row r="23" spans="1:12" x14ac:dyDescent="0.2">
      <c r="A23" s="170">
        <v>12</v>
      </c>
      <c r="B23" s="111" t="s">
        <v>183</v>
      </c>
      <c r="C23" s="112" t="s">
        <v>184</v>
      </c>
      <c r="D23" s="112"/>
      <c r="E23" s="109" t="str">
        <f>IF(B23=0,"",IF(C23&gt;9999,"",ROUND('General Variables'!$B$4*VLOOKUP(B23,Operations!$A$2:$U$79,10,FALSE)/VLOOKUP(B23,Operations!$A$2:$U$79,9,FALSE)*C23,2)))</f>
        <v/>
      </c>
      <c r="F23" s="109" t="str">
        <f>IF(B23=0,0,IF(C23&gt;9999,"",ROUND(IF(VLOOKUP(B23,Operations!$A$2:$U$79,12,FALSE)=0,VLOOKUP(B23,Operations!$A$2:$U$79,13,FALSE)*'General Variables'!$B$8,VLOOKUP(B23,Operations!$A$2:$U$79,12,FALSE)*'General Variables'!$B$7)/VLOOKUP(B23,Operations!$A$2:$U$79,9,FALSE)*C23,2)))</f>
        <v/>
      </c>
      <c r="G23" s="109" t="str">
        <f>IF(B23=0,0,IF(C23&gt;9999,"",ROUND(VLOOKUP(VLOOKUP(B23,Operations!$A$2:$U$79,11,FALSE),PowerUnits[],10,FALSE)/VLOOKUP(B23,Operations!$A$2:$U$79,9,FALSE)*C23,2)))</f>
        <v/>
      </c>
      <c r="H23" s="109" t="str">
        <f>IF(B23=0,"",IF(C23&gt;9999,"",ROUND(VLOOKUP($B23,Operations!$A$2:$U$79,15,FALSE)*C23,2)))</f>
        <v/>
      </c>
      <c r="I23" s="109" t="str">
        <f>IF(B23=0,0,IF(C23&gt;9999,"",ROUND(VLOOKUP(VLOOKUP(B23,Operations!$A$2:$U$79,11,FALSE),PowerUnits[],16,FALSE)/VLOOKUP(B23,Operations!$A$2:$U$79,9,FALSE)*C23,2)))</f>
        <v/>
      </c>
      <c r="J23" s="109" t="str">
        <f>IF(B23=0,"",IF(C23&gt;9999,"",ROUND(VLOOKUP($B23,Operations!$A$2:$U$79,21,FALSE)*$C23,2)))</f>
        <v/>
      </c>
      <c r="K23" s="109" t="str">
        <f t="shared" si="0"/>
        <v/>
      </c>
      <c r="L23" s="110"/>
    </row>
    <row r="24" spans="1:12" x14ac:dyDescent="0.2">
      <c r="A24" s="170">
        <v>13</v>
      </c>
      <c r="B24" s="111" t="s">
        <v>518</v>
      </c>
      <c r="C24" s="112">
        <v>1</v>
      </c>
      <c r="D24" s="112"/>
      <c r="E24" s="109">
        <f>IF(B24=0,"",IF(C24&gt;9999,"",ROUND('General Variables'!$B$4*VLOOKUP(B24,Operations!$A$2:$U$79,10,FALSE)/VLOOKUP(B24,Operations!$A$2:$U$79,9,FALSE)*C24,2)))</f>
        <v>2.97</v>
      </c>
      <c r="F24" s="109">
        <f>IF(B24=0,0,IF(C24&gt;9999,"",ROUND(IF(VLOOKUP(B24,Operations!$A$2:$U$79,12,FALSE)=0,VLOOKUP(B24,Operations!$A$2:$U$79,13,FALSE)*'General Variables'!$B$8,VLOOKUP(B24,Operations!$A$2:$U$79,12,FALSE)*'General Variables'!$B$7)/VLOOKUP(B24,Operations!$A$2:$U$79,9,FALSE)*C24,2)))</f>
        <v>1.94</v>
      </c>
      <c r="G24" s="109">
        <f>IF(B24=0,0,IF(C24&gt;9999,"",ROUND(VLOOKUP(VLOOKUP(B24,Operations!$A$2:$U$79,11,FALSE),PowerUnits[],10,FALSE)/VLOOKUP(B24,Operations!$A$2:$U$79,9,FALSE)*C24,2)))</f>
        <v>0.08</v>
      </c>
      <c r="H24" s="109">
        <f>IF(B24=0,"",IF(C24&gt;9999,"",ROUND(VLOOKUP($B24,Operations!$A$2:$U$79,15,FALSE)*C24,2)))</f>
        <v>1.21</v>
      </c>
      <c r="I24" s="109">
        <f>IF(B24=0,0,IF(C24&gt;9999,"",ROUND(VLOOKUP(VLOOKUP(B24,Operations!$A$2:$U$79,11,FALSE),PowerUnits[],16,FALSE)/VLOOKUP(B24,Operations!$A$2:$U$79,9,FALSE)*C24,2)))</f>
        <v>4.33</v>
      </c>
      <c r="J24" s="109">
        <f>IF(B24=0,"",IF(C24&gt;9999,"",ROUND(VLOOKUP($B24,Operations!$A$2:$U$79,21,FALSE)*$C24,2)))</f>
        <v>2.14</v>
      </c>
      <c r="K24" s="109">
        <f t="shared" si="0"/>
        <v>12.67</v>
      </c>
      <c r="L24" s="110"/>
    </row>
    <row r="25" spans="1:12" x14ac:dyDescent="0.2">
      <c r="A25" s="170">
        <v>14</v>
      </c>
      <c r="B25" s="183" t="s">
        <v>939</v>
      </c>
      <c r="C25" s="306">
        <v>1</v>
      </c>
      <c r="D25" s="112"/>
      <c r="E25" s="109">
        <f>IF(B25=0,"",IF(C25&gt;9999,"",ROUND('General Variables'!$B$4*VLOOKUP(B25,Operations!$A$2:$U$79,10,FALSE)/VLOOKUP(B25,Operations!$A$2:$U$79,9,FALSE)*C25,2)))</f>
        <v>2.2799999999999998</v>
      </c>
      <c r="F25" s="109">
        <f>IF(B25=0,0,IF(C25&gt;9999,"",ROUND(IF(VLOOKUP(B25,Operations!$A$2:$U$79,12,FALSE)=0,VLOOKUP(B25,Operations!$A$2:$U$79,13,FALSE)*'General Variables'!$B$8,VLOOKUP(B25,Operations!$A$2:$U$79,12,FALSE)*'General Variables'!$B$7)/VLOOKUP(B25,Operations!$A$2:$U$79,9,FALSE)*C25,2)))</f>
        <v>2.58</v>
      </c>
      <c r="G25" s="109">
        <f>IF(B25=0,0,IF(C25&gt;9999,"",ROUND(VLOOKUP(VLOOKUP(B25,Operations!$A$2:$U$79,11,FALSE),PowerUnits[],10,FALSE)/VLOOKUP(B25,Operations!$A$2:$U$79,9,FALSE)*C25,2)))</f>
        <v>3.97</v>
      </c>
      <c r="H25" s="109">
        <f>IF(B25=0,"",IF(C25&gt;9999,"",ROUND(VLOOKUP($B25,Operations!$A$2:$U$79,15,FALSE)*C25,2)))</f>
        <v>0.49</v>
      </c>
      <c r="I25" s="109">
        <f>IF(B25=0,0,IF(C25&gt;9999,"",ROUND(VLOOKUP(VLOOKUP(B25,Operations!$A$2:$U$79,11,FALSE),PowerUnits[],16,FALSE)/VLOOKUP(B25,Operations!$A$2:$U$79,9,FALSE)*C25,2)))</f>
        <v>9.56</v>
      </c>
      <c r="J25" s="109">
        <f>IF(B25=0,"",IF(C25&gt;9999,"",ROUND(VLOOKUP($B25,Operations!$A$2:$U$79,21,FALSE)*$C25,2)))</f>
        <v>5.72</v>
      </c>
      <c r="K25" s="109">
        <f t="shared" si="0"/>
        <v>24.6</v>
      </c>
      <c r="L25" s="110"/>
    </row>
    <row r="26" spans="1:12" x14ac:dyDescent="0.2">
      <c r="A26" s="170">
        <v>15</v>
      </c>
      <c r="B26" s="217" t="s">
        <v>565</v>
      </c>
      <c r="C26" s="218" t="s">
        <v>184</v>
      </c>
      <c r="D26" s="218"/>
      <c r="E26" s="215" t="str">
        <f>IF(B26=0,"",IF(C26&gt;9999,"",ROUND('General Variables'!$B$4*VLOOKUP(B26,Operations!$A$2:$U$79,10,FALSE)/VLOOKUP(B26,Operations!$A$2:$U$79,9,FALSE)*C26,2)))</f>
        <v/>
      </c>
      <c r="F26" s="215" t="str">
        <f>IF(B26=0,0,IF(C26&gt;9999,"",ROUND(IF(VLOOKUP(B26,Operations!$A$2:$U$79,12,FALSE)=0,VLOOKUP(B26,Operations!$A$2:$U$79,13,FALSE)*'General Variables'!$B$8,VLOOKUP(B26,Operations!$A$2:$U$79,12,FALSE)*'General Variables'!$B$7)/VLOOKUP(B26,Operations!$A$2:$U$79,9,FALSE)*C26,2)))</f>
        <v/>
      </c>
      <c r="G26" s="215" t="str">
        <f>IF(B26=0,0,IF(C26&gt;9999,"",ROUND(VLOOKUP(VLOOKUP(B26,Operations!$A$2:$U$79,11,FALSE),PowerUnits[],10,FALSE)/VLOOKUP(B26,Operations!$A$2:$U$79,9,FALSE)*C26,2)))</f>
        <v/>
      </c>
      <c r="H26" s="215" t="str">
        <f>IF(B26=0,"",IF(C26&gt;9999,"",ROUND(VLOOKUP($B26,Operations!$A$2:$U$79,15,FALSE)*C26,2)))</f>
        <v/>
      </c>
      <c r="I26" s="215" t="str">
        <f>IF(B26=0,0,IF(C26&gt;9999,"",ROUND(VLOOKUP(VLOOKUP(B26,Operations!$A$2:$U$79,11,FALSE),PowerUnits[],16,FALSE)/VLOOKUP(B26,Operations!$A$2:$U$79,9,FALSE)*C26,2)))</f>
        <v/>
      </c>
      <c r="J26" s="215" t="str">
        <f>IF(B26=0,"",IF(C26&gt;9999,"",ROUND(VLOOKUP($B26,Operations!$A$2:$U$79,21,FALSE)*$C26,2)))</f>
        <v/>
      </c>
      <c r="K26" s="215" t="str">
        <f t="shared" si="0"/>
        <v/>
      </c>
      <c r="L26" s="216"/>
    </row>
    <row r="27" spans="1:12" hidden="1" x14ac:dyDescent="0.2">
      <c r="A27" s="170">
        <v>17</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18</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19</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3"/>
    </row>
    <row r="30" spans="1:12" hidden="1" x14ac:dyDescent="0.2">
      <c r="A30" s="170">
        <v>20</v>
      </c>
      <c r="B30" s="217"/>
      <c r="C30" s="218"/>
      <c r="D30" s="218"/>
      <c r="E30" s="215" t="str">
        <f>IF(B30=0,"",IF(C30&gt;9999,"",ROUND('General Variables'!$B$4*VLOOKUP(B30,Operations!$A$2:$U$79,10,FALSE)/VLOOKUP(B30,Operations!$A$2:$U$79,9,FALSE)*C30,2)))</f>
        <v/>
      </c>
      <c r="F30" s="215">
        <f>IF(B30=0,0,IF(C30&gt;9999,"",ROUND(IF(VLOOKUP(B30,Operations!$A$2:$U$79,12,FALSE)=0,VLOOKUP(B30,Operations!$A$2:$U$79,13,FALSE)*'General Variables'!$B$8,VLOOKUP(B30,Operations!$A$2:$U$79,12,FALSE)*'General Variables'!$B$7)/VLOOKUP(B30,Operations!$A$2:$U$79,9,FALSE)*C30,2)))</f>
        <v>0</v>
      </c>
      <c r="G30" s="215">
        <f>IF(B30=0,0,IF(C30&gt;9999,"",ROUND(VLOOKUP(VLOOKUP(B30,Operations!$A$2:$U$79,11,FALSE),PowerUnits[],10,FALSE)/VLOOKUP(B30,Operations!$A$2:$U$79,9,FALSE)*C30,2)))</f>
        <v>0</v>
      </c>
      <c r="H30" s="215" t="str">
        <f>IF(B30=0,"",IF(C30&gt;9999,"",ROUND(VLOOKUP($B30,Operations!$A$2:$U$79,15,FALSE)*C30,2)))</f>
        <v/>
      </c>
      <c r="I30" s="215">
        <f>IF(B30=0,0,IF(C30&gt;9999,"",ROUND(VLOOKUP(VLOOKUP(B30,Operations!$A$2:$U$79,11,FALSE),PowerUnits[],16,FALSE)/VLOOKUP(B30,Operations!$A$2:$U$79,9,FALSE)*C30,2)))</f>
        <v>0</v>
      </c>
      <c r="J30" s="215" t="str">
        <f>IF(B30=0,"",IF(C30&gt;9999,"",ROUND(VLOOKUP($B30,Operations!$A$2:$U$79,21,FALSE)*$C30,2)))</f>
        <v/>
      </c>
      <c r="K30" s="215">
        <f t="shared" si="0"/>
        <v>0</v>
      </c>
      <c r="L30" s="220"/>
    </row>
    <row r="31" spans="1:12" ht="3" customHeight="1" thickBot="1" x14ac:dyDescent="0.25">
      <c r="A31" s="170"/>
      <c r="B31" s="114"/>
      <c r="C31" s="115"/>
      <c r="D31" s="115"/>
      <c r="E31" s="116"/>
      <c r="F31" s="116"/>
      <c r="G31" s="116"/>
      <c r="H31" s="116"/>
      <c r="I31" s="116"/>
      <c r="J31" s="116"/>
      <c r="K31" s="116"/>
      <c r="L31" s="117"/>
    </row>
    <row r="32" spans="1:12" ht="13.5" thickTop="1" x14ac:dyDescent="0.2">
      <c r="C32" s="108" t="s">
        <v>664</v>
      </c>
      <c r="D32" s="108"/>
      <c r="E32" s="109">
        <f t="shared" ref="E32:K32" si="1">SUM(E12:E30)</f>
        <v>42.93</v>
      </c>
      <c r="F32" s="109">
        <f t="shared" si="1"/>
        <v>16.47</v>
      </c>
      <c r="G32" s="109">
        <f t="shared" si="1"/>
        <v>10.31</v>
      </c>
      <c r="H32" s="109">
        <f t="shared" si="1"/>
        <v>19.89</v>
      </c>
      <c r="I32" s="109">
        <f t="shared" si="1"/>
        <v>73.149999999999991</v>
      </c>
      <c r="J32" s="109">
        <f t="shared" si="1"/>
        <v>37.22</v>
      </c>
      <c r="K32" s="109">
        <f t="shared" si="1"/>
        <v>199.97</v>
      </c>
      <c r="L32" s="110"/>
    </row>
    <row r="34" spans="1:12" ht="24" customHeight="1" thickBot="1" x14ac:dyDescent="0.25">
      <c r="F34" s="386" t="s">
        <v>665</v>
      </c>
      <c r="G34" s="386" t="s">
        <v>666</v>
      </c>
      <c r="H34" s="385" t="s">
        <v>667</v>
      </c>
      <c r="I34" s="385"/>
      <c r="J34" s="386" t="s">
        <v>169</v>
      </c>
      <c r="L34" s="385" t="s">
        <v>661</v>
      </c>
    </row>
    <row r="35" spans="1:12" s="118" customFormat="1" ht="18.75" customHeight="1" thickTop="1" thickBot="1" x14ac:dyDescent="0.25">
      <c r="B35" s="119" t="s">
        <v>668</v>
      </c>
      <c r="C35" s="171"/>
      <c r="D35" s="171"/>
      <c r="E35" s="171"/>
      <c r="F35" s="386"/>
      <c r="G35" s="386"/>
      <c r="H35" s="152" t="s">
        <v>669</v>
      </c>
      <c r="I35" s="153" t="s">
        <v>352</v>
      </c>
      <c r="J35" s="386"/>
      <c r="K35" s="171" t="s">
        <v>670</v>
      </c>
      <c r="L35" s="386"/>
    </row>
    <row r="36" spans="1:12" ht="13.5" thickTop="1" x14ac:dyDescent="0.2">
      <c r="A36" s="105"/>
      <c r="B36" s="111" t="s">
        <v>885</v>
      </c>
      <c r="C36" s="388" t="str">
        <f>IF(B36=0,"",VLOOKUP($B36,Table2[],2,FALSE))</f>
        <v>Herbicide</v>
      </c>
      <c r="D36" s="388"/>
      <c r="E36" s="388"/>
      <c r="F36" s="112">
        <v>5</v>
      </c>
      <c r="G36" s="177">
        <v>1</v>
      </c>
      <c r="H36" s="178">
        <v>3</v>
      </c>
      <c r="I36" s="120" t="s">
        <v>179</v>
      </c>
      <c r="J36" s="109">
        <f>IF($B36=0,"",VLOOKUP($B36,Table2[],7,FALSE))</f>
        <v>8.75</v>
      </c>
      <c r="K36" s="109">
        <f>IF(B36=0,0,ROUND(G36*H36*J36,2))</f>
        <v>26.25</v>
      </c>
      <c r="L36" s="110"/>
    </row>
    <row r="37" spans="1:12" x14ac:dyDescent="0.2">
      <c r="A37" s="105"/>
      <c r="B37" s="111" t="s">
        <v>886</v>
      </c>
      <c r="C37" s="388" t="str">
        <f>IF(B37=0,"",VLOOKUP($B37,Table2[],2,FALSE))</f>
        <v>Herbicide</v>
      </c>
      <c r="D37" s="388"/>
      <c r="E37" s="388"/>
      <c r="F37" s="112">
        <v>5</v>
      </c>
      <c r="G37" s="177">
        <v>1</v>
      </c>
      <c r="H37" s="178">
        <v>1.5</v>
      </c>
      <c r="I37" s="120" t="s">
        <v>179</v>
      </c>
      <c r="J37" s="109">
        <f>IF($B37=0,"",VLOOKUP($B37,Table2[],7,FALSE))</f>
        <v>7.5</v>
      </c>
      <c r="K37" s="109">
        <f t="shared" ref="K37:K54" si="2">IF(B37=0,0,ROUND(G37*H37*J37,2))</f>
        <v>11.25</v>
      </c>
      <c r="L37" s="110"/>
    </row>
    <row r="38" spans="1:12" x14ac:dyDescent="0.2">
      <c r="A38" s="105"/>
      <c r="B38" s="111" t="s">
        <v>332</v>
      </c>
      <c r="C38" s="388" t="str">
        <f>IF(B38=0,"",VLOOKUP($B38,Table2[],2,FALSE))</f>
        <v>Seed</v>
      </c>
      <c r="D38" s="388"/>
      <c r="E38" s="388"/>
      <c r="F38" s="112">
        <v>6</v>
      </c>
      <c r="G38" s="177">
        <v>1</v>
      </c>
      <c r="H38" s="178">
        <v>0.75</v>
      </c>
      <c r="I38" s="120" t="str">
        <f>IF($B38=0,"",VLOOKUP($B38,Table2[],5,FALSE))</f>
        <v>cwt</v>
      </c>
      <c r="J38" s="109">
        <f>IF($B38=0,"",VLOOKUP($B38,Table2[],7,FALSE))</f>
        <v>100</v>
      </c>
      <c r="K38" s="109">
        <f t="shared" si="2"/>
        <v>75</v>
      </c>
      <c r="L38" s="110"/>
    </row>
    <row r="39" spans="1:12" x14ac:dyDescent="0.2">
      <c r="A39" s="105"/>
      <c r="B39" s="217" t="s">
        <v>203</v>
      </c>
      <c r="C39" s="387" t="str">
        <f>IF(B39=0,"",VLOOKUP($B39,Table2[],2,FALSE))</f>
        <v>Fertilizer</v>
      </c>
      <c r="D39" s="387"/>
      <c r="E39" s="387"/>
      <c r="F39" s="218">
        <v>6</v>
      </c>
      <c r="G39" s="224">
        <v>1</v>
      </c>
      <c r="H39" s="225">
        <v>7</v>
      </c>
      <c r="I39" s="223" t="str">
        <f>IF($B39=0,"",VLOOKUP($B39,Table2[],5,FALSE))</f>
        <v>gallon</v>
      </c>
      <c r="J39" s="215">
        <f>IF($B39=0,"",VLOOKUP($B39,Table2[],7,FALSE))</f>
        <v>3.2</v>
      </c>
      <c r="K39" s="215">
        <f t="shared" si="2"/>
        <v>22.4</v>
      </c>
      <c r="L39" s="216"/>
    </row>
    <row r="40" spans="1:12" x14ac:dyDescent="0.2">
      <c r="A40" s="105"/>
      <c r="B40" s="111" t="s">
        <v>210</v>
      </c>
      <c r="C40" s="388" t="str">
        <f>IF(B40=0,"",VLOOKUP($B40,Table2[],2,FALSE))</f>
        <v>Fertilizer</v>
      </c>
      <c r="D40" s="388"/>
      <c r="E40" s="388"/>
      <c r="F40" s="112">
        <v>6</v>
      </c>
      <c r="G40" s="177">
        <v>1</v>
      </c>
      <c r="H40" s="178">
        <v>50</v>
      </c>
      <c r="I40" s="120" t="str">
        <f>IF($B40=0,"",VLOOKUP($B40,Table2[],5,FALSE))</f>
        <v>lbs N</v>
      </c>
      <c r="J40" s="109">
        <f>IF($B40=0,"",VLOOKUP($B40,Table2[],7,FALSE))</f>
        <v>0.55000000000000004</v>
      </c>
      <c r="K40" s="109">
        <f t="shared" si="2"/>
        <v>27.5</v>
      </c>
      <c r="L40" s="110"/>
    </row>
    <row r="41" spans="1:12" x14ac:dyDescent="0.2">
      <c r="A41" s="143"/>
      <c r="B41" s="111" t="s">
        <v>242</v>
      </c>
      <c r="C41" s="388" t="str">
        <f>IF(B41=0,"",VLOOKUP($B41,Table2[],2,FALSE))</f>
        <v>Herbicide</v>
      </c>
      <c r="D41" s="388"/>
      <c r="E41" s="388"/>
      <c r="F41" s="112">
        <v>7</v>
      </c>
      <c r="G41" s="177">
        <v>1</v>
      </c>
      <c r="H41" s="178">
        <v>1.2</v>
      </c>
      <c r="I41" s="120" t="str">
        <f>IF($B41=0,"",VLOOKUP($B41,Table2[],5,FALSE))</f>
        <v>pint</v>
      </c>
      <c r="J41" s="109">
        <f>IF($B41=0,"",VLOOKUP($B41,Table2[],7,FALSE))</f>
        <v>11.875</v>
      </c>
      <c r="K41" s="109">
        <f t="shared" si="2"/>
        <v>14.25</v>
      </c>
      <c r="L41" s="110"/>
    </row>
    <row r="42" spans="1:12" x14ac:dyDescent="0.2">
      <c r="A42" s="143"/>
      <c r="B42" s="111" t="s">
        <v>268</v>
      </c>
      <c r="C42" s="388" t="str">
        <f>IF(B42=0,"",VLOOKUP($B42,Table2[],2,FALSE))</f>
        <v>Herbicide</v>
      </c>
      <c r="D42" s="388"/>
      <c r="E42" s="388"/>
      <c r="F42" s="112">
        <v>7</v>
      </c>
      <c r="G42" s="177">
        <v>1</v>
      </c>
      <c r="H42" s="178">
        <v>4</v>
      </c>
      <c r="I42" s="120" t="str">
        <f>IF($B42=0,"",VLOOKUP($B42,Table2[],5,FALSE))</f>
        <v>ounce</v>
      </c>
      <c r="J42" s="109">
        <f>IF($B42=0,"",VLOOKUP($B42,Table2[],7,FALSE))</f>
        <v>3.671875</v>
      </c>
      <c r="K42" s="109">
        <f t="shared" si="2"/>
        <v>14.69</v>
      </c>
      <c r="L42" s="110"/>
    </row>
    <row r="43" spans="1:12" x14ac:dyDescent="0.2">
      <c r="A43" s="143"/>
      <c r="B43" s="111" t="s">
        <v>264</v>
      </c>
      <c r="C43" s="170"/>
      <c r="D43" s="170" t="s">
        <v>228</v>
      </c>
      <c r="E43" s="170"/>
      <c r="F43" s="112">
        <v>7</v>
      </c>
      <c r="G43" s="177">
        <v>1</v>
      </c>
      <c r="H43" s="178">
        <v>10</v>
      </c>
      <c r="I43" s="120" t="s">
        <v>174</v>
      </c>
      <c r="J43" s="109">
        <f>IF($B43=0,"",VLOOKUP($B43,Table2[],7,FALSE))</f>
        <v>1.5234375</v>
      </c>
      <c r="K43" s="109">
        <f t="shared" ref="K43" si="3">IF(B43=0,0,ROUND(G43*H43*J43,2))</f>
        <v>15.23</v>
      </c>
      <c r="L43" s="110"/>
    </row>
    <row r="44" spans="1:12" x14ac:dyDescent="0.2">
      <c r="A44" s="143"/>
      <c r="B44" s="213" t="s">
        <v>181</v>
      </c>
      <c r="C44" s="387" t="str">
        <f>IF(B44=0,"",VLOOKUP($B44,Table2[],2,FALSE))</f>
        <v>Additive</v>
      </c>
      <c r="D44" s="387"/>
      <c r="E44" s="387"/>
      <c r="F44" s="214">
        <v>7</v>
      </c>
      <c r="G44" s="224">
        <v>1</v>
      </c>
      <c r="H44" s="222">
        <v>5</v>
      </c>
      <c r="I44" s="223" t="str">
        <f>IF($B44=0,"",VLOOKUP($B44,Table2[],5,FALSE))</f>
        <v>ounce</v>
      </c>
      <c r="J44" s="215">
        <f>IF($B44=0,"",VLOOKUP($B44,Table2[],7,FALSE))</f>
        <v>0.203125</v>
      </c>
      <c r="K44" s="215">
        <f t="shared" si="2"/>
        <v>1.02</v>
      </c>
      <c r="L44" s="216"/>
    </row>
    <row r="45" spans="1:12" x14ac:dyDescent="0.2">
      <c r="A45" s="143"/>
      <c r="B45" s="180" t="s">
        <v>182</v>
      </c>
      <c r="C45" s="388" t="str">
        <f>IF(B45=0,"",VLOOKUP($B45,Table2[],2,FALSE))</f>
        <v>Additive</v>
      </c>
      <c r="D45" s="388"/>
      <c r="E45" s="388"/>
      <c r="F45" s="174">
        <v>7</v>
      </c>
      <c r="G45" s="177">
        <v>1</v>
      </c>
      <c r="H45" s="176">
        <v>4</v>
      </c>
      <c r="I45" s="120" t="str">
        <f>IF($B45=0,"",VLOOKUP($B45,Table2[],5,FALSE))</f>
        <v>pint</v>
      </c>
      <c r="J45" s="109">
        <f>IF($B45=0,"",VLOOKUP($B45,Table2[],7,FALSE))</f>
        <v>0.22500000000000001</v>
      </c>
      <c r="K45" s="109">
        <f t="shared" si="2"/>
        <v>0.9</v>
      </c>
      <c r="L45" s="110"/>
    </row>
    <row r="46" spans="1:12" x14ac:dyDescent="0.2">
      <c r="A46" s="143" t="s">
        <v>638</v>
      </c>
      <c r="B46" s="111" t="s">
        <v>183</v>
      </c>
      <c r="C46" s="388" t="str">
        <f>IF(B46=0,"",VLOOKUP($B46,Table2[],2,FALSE))</f>
        <v>Custom</v>
      </c>
      <c r="D46" s="388"/>
      <c r="E46" s="388"/>
      <c r="F46" s="112">
        <v>11</v>
      </c>
      <c r="G46" s="177">
        <v>0.6</v>
      </c>
      <c r="H46" s="178">
        <v>1</v>
      </c>
      <c r="I46" s="120" t="str">
        <f>IF($B46=0,"",VLOOKUP($B46,Table2[],5,FALSE))</f>
        <v>acre</v>
      </c>
      <c r="J46" s="109">
        <f>IF($B46=0,"",VLOOKUP($B46,Table2[],7,FALSE))</f>
        <v>11</v>
      </c>
      <c r="K46" s="109">
        <f t="shared" si="2"/>
        <v>6.6</v>
      </c>
      <c r="L46" s="110"/>
    </row>
    <row r="47" spans="1:12" x14ac:dyDescent="0.2">
      <c r="A47" s="143" t="s">
        <v>638</v>
      </c>
      <c r="B47" s="111" t="s">
        <v>284</v>
      </c>
      <c r="C47" s="388" t="str">
        <f>IF(B47=0,"",VLOOKUP($B47,Table2[],2,FALSE))</f>
        <v>Insecticide</v>
      </c>
      <c r="D47" s="388"/>
      <c r="E47" s="388"/>
      <c r="F47" s="112">
        <v>11</v>
      </c>
      <c r="G47" s="177">
        <v>0.6</v>
      </c>
      <c r="H47" s="178">
        <v>5.8</v>
      </c>
      <c r="I47" s="120" t="str">
        <f>IF($B47=0,"",VLOOKUP($B47,Table2[],5,FALSE))</f>
        <v>ounce</v>
      </c>
      <c r="J47" s="109">
        <f>IF($B47=0,"",VLOOKUP($B47,Table2[],7,FALSE))</f>
        <v>0.6640625</v>
      </c>
      <c r="K47" s="109">
        <f t="shared" si="2"/>
        <v>2.31</v>
      </c>
      <c r="L47" s="110"/>
    </row>
    <row r="48" spans="1:12" x14ac:dyDescent="0.2">
      <c r="A48" s="105"/>
      <c r="B48" s="217" t="s">
        <v>183</v>
      </c>
      <c r="C48" s="387" t="str">
        <f>IF(B48=0,"",VLOOKUP($B48,Table2[],2,FALSE))</f>
        <v>Custom</v>
      </c>
      <c r="D48" s="387"/>
      <c r="E48" s="387"/>
      <c r="F48" s="218">
        <v>12</v>
      </c>
      <c r="G48" s="224">
        <v>1</v>
      </c>
      <c r="H48" s="225">
        <v>1</v>
      </c>
      <c r="I48" s="223" t="str">
        <f>IF($B48=0,"",VLOOKUP($B48,Table2[],5,FALSE))</f>
        <v>acre</v>
      </c>
      <c r="J48" s="215">
        <f>IF($B48=0,"",VLOOKUP($B48,Table2[],7,FALSE))</f>
        <v>11</v>
      </c>
      <c r="K48" s="215">
        <f t="shared" si="2"/>
        <v>11</v>
      </c>
      <c r="L48" s="216"/>
    </row>
    <row r="49" spans="2:12" x14ac:dyDescent="0.2">
      <c r="B49" s="111" t="s">
        <v>213</v>
      </c>
      <c r="C49" s="388" t="str">
        <f>IF(B49=0,"",VLOOKUP($B49,Table2[],2,FALSE))</f>
        <v>Fungicide</v>
      </c>
      <c r="D49" s="388"/>
      <c r="E49" s="388"/>
      <c r="F49" s="112">
        <v>12</v>
      </c>
      <c r="G49" s="177">
        <v>1</v>
      </c>
      <c r="H49" s="178">
        <v>2</v>
      </c>
      <c r="I49" s="120" t="str">
        <f>IF($B49=0,"",VLOOKUP($B49,Table2[],5,FALSE))</f>
        <v>pint</v>
      </c>
      <c r="J49" s="109">
        <f>IF($B49=0,"",VLOOKUP($B49,Table2[],7,FALSE))</f>
        <v>8</v>
      </c>
      <c r="K49" s="109">
        <f t="shared" si="2"/>
        <v>16</v>
      </c>
      <c r="L49" s="110"/>
    </row>
    <row r="50" spans="2:12" x14ac:dyDescent="0.2">
      <c r="B50" s="111" t="s">
        <v>219</v>
      </c>
      <c r="C50" s="388" t="str">
        <f>IF(B50=0,"",VLOOKUP($B50,Table2[],2,FALSE))</f>
        <v>Fungicide</v>
      </c>
      <c r="D50" s="388"/>
      <c r="E50" s="388"/>
      <c r="F50" s="112">
        <v>12</v>
      </c>
      <c r="G50" s="177">
        <v>1</v>
      </c>
      <c r="H50" s="178">
        <v>4</v>
      </c>
      <c r="I50" s="120" t="str">
        <f>IF($B50=0,"",VLOOKUP($B50,Table2[],5,FALSE))</f>
        <v>ounce</v>
      </c>
      <c r="J50" s="109">
        <f>IF($B50=0,"",VLOOKUP($B50,Table2[],7,FALSE))</f>
        <v>5</v>
      </c>
      <c r="K50" s="109">
        <f t="shared" si="2"/>
        <v>20</v>
      </c>
      <c r="L50" s="110"/>
    </row>
    <row r="51" spans="2:12" x14ac:dyDescent="0.2">
      <c r="B51" s="111" t="s">
        <v>194</v>
      </c>
      <c r="C51" s="388" t="str">
        <f>IF(B51=0,"",VLOOKUP($B51,Table2[],2,FALSE))</f>
        <v>Custom</v>
      </c>
      <c r="D51" s="388"/>
      <c r="E51" s="388"/>
      <c r="F51" s="112">
        <v>15</v>
      </c>
      <c r="G51" s="177">
        <v>1</v>
      </c>
      <c r="H51" s="178">
        <f>$G$4</f>
        <v>27</v>
      </c>
      <c r="I51" s="120" t="str">
        <f>IF($B51=0,"",VLOOKUP($B51,Table2[],5,FALSE))</f>
        <v>cwt</v>
      </c>
      <c r="J51" s="109">
        <f>IF($B51=0,"",VLOOKUP($B51,Table2[],7,FALSE))</f>
        <v>0.32</v>
      </c>
      <c r="K51" s="109">
        <f t="shared" si="2"/>
        <v>8.64</v>
      </c>
      <c r="L51" s="110"/>
    </row>
    <row r="52" spans="2:12" x14ac:dyDescent="0.2">
      <c r="B52" s="217" t="s">
        <v>297</v>
      </c>
      <c r="C52" s="387" t="str">
        <f>IF(B52=0,"",VLOOKUP($B52,Table2[],2,FALSE))</f>
        <v>Other</v>
      </c>
      <c r="D52" s="387"/>
      <c r="E52" s="387"/>
      <c r="F52" s="218">
        <v>10</v>
      </c>
      <c r="G52" s="224">
        <v>1</v>
      </c>
      <c r="H52" s="225">
        <v>1</v>
      </c>
      <c r="I52" s="223" t="str">
        <f>IF($B52=0,"",VLOOKUP($B52,Table2[],5,FALSE))</f>
        <v>acre</v>
      </c>
      <c r="J52" s="215">
        <f>IF($B52=0,"",VLOOKUP($B52,Table2[],7,FALSE))</f>
        <v>40</v>
      </c>
      <c r="K52" s="215">
        <f t="shared" si="2"/>
        <v>40</v>
      </c>
      <c r="L52" s="216"/>
    </row>
    <row r="53" spans="2:12" x14ac:dyDescent="0.2">
      <c r="B53" s="111" t="s">
        <v>307</v>
      </c>
      <c r="C53" s="388" t="str">
        <f>IF(B53=0,"",VLOOKUP($B53,Table2[],2,FALSE))</f>
        <v>Scouting</v>
      </c>
      <c r="D53" s="388"/>
      <c r="E53" s="388"/>
      <c r="F53" s="112"/>
      <c r="G53" s="177">
        <v>1</v>
      </c>
      <c r="H53" s="178">
        <v>1</v>
      </c>
      <c r="I53" s="120" t="str">
        <f>IF($B53=0,"",VLOOKUP($B53,Table2[],5,FALSE))</f>
        <v>acre</v>
      </c>
      <c r="J53" s="109">
        <f>IF($B53=0,"",VLOOKUP($B53,Table2[],7,FALSE))</f>
        <v>13</v>
      </c>
      <c r="K53" s="109">
        <f t="shared" si="2"/>
        <v>13</v>
      </c>
      <c r="L53" s="110"/>
    </row>
    <row r="54" spans="2: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3"/>
    </row>
    <row r="55" spans="2: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ref="K55:K60" si="4">IF(B55=0,0,ROUND(G55*H55*J55,2))</f>
        <v>0</v>
      </c>
      <c r="L55" s="113"/>
    </row>
    <row r="56" spans="2: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 t="shared" si="4"/>
        <v>0</v>
      </c>
      <c r="L56" s="227"/>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 t="shared" si="4"/>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4"/>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4"/>
        <v>0</v>
      </c>
      <c r="L59" s="113"/>
    </row>
    <row r="60" spans="2: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 t="shared" si="4"/>
        <v>0</v>
      </c>
      <c r="L60" s="227"/>
    </row>
    <row r="61" spans="2:12" x14ac:dyDescent="0.2">
      <c r="B61" s="185" t="s">
        <v>430</v>
      </c>
      <c r="C61" s="388" t="s">
        <v>655</v>
      </c>
      <c r="D61" s="388"/>
      <c r="E61" s="388"/>
      <c r="F61" s="112"/>
      <c r="G61" s="177"/>
      <c r="H61" s="178"/>
      <c r="I61" s="170"/>
      <c r="J61" s="109">
        <f ca="1">IF(F5=0,E5,F5)</f>
        <v>18</v>
      </c>
      <c r="K61" s="109">
        <f ca="1">IF(B61=0,0,J61)</f>
        <v>18</v>
      </c>
      <c r="L61" s="113"/>
    </row>
    <row r="62" spans="2:12" ht="3.75" customHeight="1" thickBot="1" x14ac:dyDescent="0.25">
      <c r="B62" s="114"/>
      <c r="C62" s="121"/>
      <c r="D62" s="121"/>
      <c r="E62" s="121"/>
      <c r="F62" s="115"/>
      <c r="G62" s="122"/>
      <c r="H62" s="114"/>
      <c r="I62" s="123"/>
      <c r="J62" s="124"/>
      <c r="K62" s="125"/>
      <c r="L62" s="117"/>
    </row>
    <row r="63" spans="2:12" ht="13.5" thickTop="1" x14ac:dyDescent="0.2">
      <c r="C63" s="108" t="s">
        <v>671</v>
      </c>
      <c r="D63" s="108"/>
      <c r="J63" s="126"/>
      <c r="K63" s="127">
        <f ca="1">SUM(K36:K61)</f>
        <v>344.03999999999996</v>
      </c>
      <c r="L63" s="110"/>
    </row>
    <row r="64" spans="2:12" x14ac:dyDescent="0.2">
      <c r="B64" s="144" t="s">
        <v>745</v>
      </c>
      <c r="K64" s="127"/>
    </row>
    <row r="65" spans="2:12" x14ac:dyDescent="0.2">
      <c r="B65" s="107" t="s">
        <v>672</v>
      </c>
      <c r="K65" s="127">
        <f ca="1">K32+K63</f>
        <v>544.01</v>
      </c>
      <c r="L65" s="110"/>
    </row>
    <row r="66" spans="2:12" ht="13.5" thickBot="1" x14ac:dyDescent="0.25">
      <c r="D66" s="128" t="s">
        <v>673</v>
      </c>
      <c r="E66" s="129">
        <f ca="1">ROUND(SUM($E$32:$H$32)+$K$63,2)</f>
        <v>433.64</v>
      </c>
      <c r="F66" s="388" t="s">
        <v>674</v>
      </c>
      <c r="G66" s="388"/>
      <c r="H66" s="130">
        <f>'General Variables'!$B$11</f>
        <v>7.4999999999999997E-2</v>
      </c>
      <c r="I66" s="131" t="str">
        <f>CONCATENATE("for ",TEXT('General Variables'!$B$12,"0.0")," mo.")</f>
        <v>for 6.0 mo.</v>
      </c>
      <c r="K66" s="132">
        <f ca="1">E66*H66*'General Variables'!$B$12/12</f>
        <v>16.261499999999998</v>
      </c>
      <c r="L66" s="133"/>
    </row>
    <row r="67" spans="2:12" ht="13.5" thickTop="1" x14ac:dyDescent="0.2">
      <c r="B67" s="107" t="s">
        <v>675</v>
      </c>
      <c r="K67" s="127">
        <f ca="1">SUM(K65:K66)</f>
        <v>560.27149999999995</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37</v>
      </c>
      <c r="D70" s="399"/>
      <c r="E70" s="400"/>
      <c r="F70" s="136">
        <f>IF(C70=0,0,VLOOKUP(C70,RETable,2,FALSE))</f>
        <v>3565</v>
      </c>
      <c r="G70" s="388" t="s">
        <v>678</v>
      </c>
      <c r="H70" s="388"/>
      <c r="I70" s="130">
        <f>'General Variables'!$B$10</f>
        <v>0.03</v>
      </c>
      <c r="K70" s="137">
        <f>ROUND(F70*I70,2)</f>
        <v>106.95</v>
      </c>
      <c r="L70" s="110"/>
    </row>
    <row r="71" spans="2:12" ht="13.5" thickBot="1" x14ac:dyDescent="0.25">
      <c r="B71" s="103" t="s">
        <v>679</v>
      </c>
      <c r="F71" s="138">
        <f>IF(C70=0,0,VLOOKUP(C70,RETable,2,FALSE))</f>
        <v>3565</v>
      </c>
      <c r="G71" s="397" t="s">
        <v>678</v>
      </c>
      <c r="H71" s="397"/>
      <c r="I71" s="139">
        <f>'General Variables'!$B$13</f>
        <v>1.2999999999999999E-2</v>
      </c>
      <c r="J71" s="105"/>
      <c r="K71" s="140">
        <f>ROUND(F71*I71,2)</f>
        <v>46.35</v>
      </c>
      <c r="L71" s="133"/>
    </row>
    <row r="72" spans="2:12" ht="13.5" thickTop="1" x14ac:dyDescent="0.2">
      <c r="B72" s="107" t="s">
        <v>680</v>
      </c>
      <c r="K72" s="127">
        <f ca="1">SUM(K67:K71)</f>
        <v>748.57150000000001</v>
      </c>
      <c r="L72" s="110"/>
    </row>
    <row r="73" spans="2:12" x14ac:dyDescent="0.2">
      <c r="K73" s="128"/>
    </row>
    <row r="74" spans="2:12" x14ac:dyDescent="0.2">
      <c r="B74" s="104" t="str">
        <f>IF(G4="","","Cash Cost per "&amp;H4)</f>
        <v>Cash Cost per cwt</v>
      </c>
      <c r="C74" s="261" t="s">
        <v>688</v>
      </c>
      <c r="D74" s="105"/>
      <c r="E74" s="105"/>
      <c r="F74" s="105"/>
      <c r="G74" s="105"/>
      <c r="H74" s="105"/>
      <c r="I74" s="105"/>
      <c r="J74" s="105"/>
      <c r="K74" s="142">
        <f ca="1">IF(G4=0,0,(E66+K66+K69+K71)/G4)</f>
        <v>19.675981481481479</v>
      </c>
      <c r="L74" s="148"/>
    </row>
    <row r="75" spans="2:12" x14ac:dyDescent="0.2">
      <c r="B75" s="107" t="str">
        <f>IF(G4="","","Cost of production per "&amp;H4)</f>
        <v>Cost of production per cwt</v>
      </c>
      <c r="K75" s="141">
        <f ca="1">IF(G4="","",K72/G4)</f>
        <v>27.724870370370372</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8:E48"/>
    <mergeCell ref="C49:E49"/>
    <mergeCell ref="C50:E50"/>
    <mergeCell ref="C51:E51"/>
    <mergeCell ref="C52:E52"/>
    <mergeCell ref="C53:E53"/>
    <mergeCell ref="C54:E54"/>
    <mergeCell ref="C61:E61"/>
    <mergeCell ref="F66:G66"/>
    <mergeCell ref="C56:E56"/>
    <mergeCell ref="C57:E57"/>
    <mergeCell ref="C58:E58"/>
    <mergeCell ref="C60:E60"/>
    <mergeCell ref="G10:H10"/>
    <mergeCell ref="K10:K11"/>
    <mergeCell ref="L10:L11"/>
    <mergeCell ref="F34:F35"/>
    <mergeCell ref="G34:G35"/>
    <mergeCell ref="H34:I34"/>
    <mergeCell ref="J34:J35"/>
    <mergeCell ref="L34:L35"/>
    <mergeCell ref="I10:J10"/>
    <mergeCell ref="B10:B11"/>
    <mergeCell ref="C10:C11"/>
    <mergeCell ref="E10:E11"/>
    <mergeCell ref="F10:F11"/>
    <mergeCell ref="C47:E47"/>
    <mergeCell ref="C41:E41"/>
    <mergeCell ref="C42:E42"/>
    <mergeCell ref="C44:E44"/>
    <mergeCell ref="C45:E45"/>
    <mergeCell ref="C46:E46"/>
    <mergeCell ref="C39:E39"/>
    <mergeCell ref="C40:E40"/>
    <mergeCell ref="C59:E59"/>
    <mergeCell ref="C55:E55"/>
    <mergeCell ref="C36:E36"/>
    <mergeCell ref="C37:E37"/>
    <mergeCell ref="C38:E38"/>
    <mergeCell ref="K2:L2"/>
    <mergeCell ref="G2:H2"/>
    <mergeCell ref="C4:E4"/>
    <mergeCell ref="B7:L7"/>
    <mergeCell ref="C3:E3"/>
    <mergeCell ref="A6:M6"/>
  </mergeCells>
  <dataValidations count="9">
    <dataValidation type="list" allowBlank="1" showInputMessage="1" showErrorMessage="1" sqref="B31" xr:uid="{00000000-0002-0000-3000-000000000000}">
      <formula1>$B$111:$B$208</formula1>
    </dataValidation>
    <dataValidation type="list" allowBlank="1" showInputMessage="1" showErrorMessage="1" sqref="B62" xr:uid="{00000000-0002-0000-3000-000001000000}">
      <formula1>$C$111:$C$234</formula1>
    </dataValidation>
    <dataValidation type="list" allowBlank="1" showInputMessage="1" showErrorMessage="1" sqref="K4" xr:uid="{00000000-0002-0000-3000-000002000000}">
      <formula1>$K$111:$K$113</formula1>
    </dataValidation>
    <dataValidation type="list" allowBlank="1" showInputMessage="1" showErrorMessage="1" sqref="B36:B60" xr:uid="{00000000-0002-0000-3000-000003000000}">
      <formula1>MaterialList</formula1>
    </dataValidation>
    <dataValidation type="list" allowBlank="1" showInputMessage="1" showErrorMessage="1" sqref="C70:E70" xr:uid="{00000000-0002-0000-3000-000004000000}">
      <formula1>RealEstateList</formula1>
    </dataValidation>
    <dataValidation type="list" allowBlank="1" showInputMessage="1" showErrorMessage="1" sqref="K2" xr:uid="{00000000-0002-0000-3000-000007000000}">
      <formula1>watersource</formula1>
    </dataValidation>
    <dataValidation type="list" allowBlank="1" showInputMessage="1" showErrorMessage="1" sqref="C3" xr:uid="{00000000-0002-0000-3000-000008000000}">
      <formula1>TillageSystem</formula1>
    </dataValidation>
    <dataValidation type="list" allowBlank="1" showInputMessage="1" showErrorMessage="1" sqref="B12:B30" xr:uid="{00000000-0002-0000-3000-000005000000}">
      <formula1>OperationList</formula1>
    </dataValidation>
    <dataValidation type="list" allowBlank="1" showInputMessage="1" showErrorMessage="1" sqref="D12:D31" xr:uid="{00000000-0002-0000-3000-000006000000}">
      <formula1>#REF!</formula1>
    </dataValidation>
  </dataValidations>
  <pageMargins left="0.7" right="0.7" top="0.75" bottom="0.75" header="0.3" footer="0.3"/>
  <pageSetup scale="7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2">
    <pageSetUpPr fitToPage="1"/>
  </sheetPr>
  <dimension ref="A2:M257"/>
  <sheetViews>
    <sheetView topLeftCell="A11" zoomScaleNormal="100" workbookViewId="0">
      <selection activeCell="I23" sqref="I23"/>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70</v>
      </c>
      <c r="L2" s="401"/>
    </row>
    <row r="3" spans="1:13" hidden="1" x14ac:dyDescent="0.2">
      <c r="B3" s="103" t="s">
        <v>38</v>
      </c>
      <c r="C3" s="391" t="s">
        <v>43</v>
      </c>
      <c r="D3" s="391"/>
      <c r="E3" s="391"/>
      <c r="G3" s="128" t="s">
        <v>650</v>
      </c>
      <c r="H3" s="187" t="s">
        <v>741</v>
      </c>
      <c r="J3" s="128" t="s">
        <v>651</v>
      </c>
      <c r="K3" s="187">
        <v>9</v>
      </c>
    </row>
    <row r="4" spans="1:13" hidden="1" x14ac:dyDescent="0.2">
      <c r="B4" s="103" t="s">
        <v>652</v>
      </c>
      <c r="C4" s="392"/>
      <c r="D4" s="392"/>
      <c r="E4" s="392"/>
      <c r="G4" s="103">
        <f>IFERROR(VALUE(LEFT($H$3,FIND(" ",$H$3))),"")</f>
        <v>27</v>
      </c>
      <c r="H4" s="103" t="str">
        <f>IFERROR(RIGHT(H3,LEN(H3)-LEN(G4)-1),"")</f>
        <v>cwt</v>
      </c>
      <c r="J4" s="128" t="s">
        <v>653</v>
      </c>
      <c r="K4" s="188"/>
    </row>
    <row r="5" spans="1:13" ht="15.75" hidden="1" customHeight="1" x14ac:dyDescent="0.2">
      <c r="B5" s="103" t="s">
        <v>655</v>
      </c>
      <c r="C5" s="103" t="str">
        <f ca="1">MID(CELL("filename",C5),FIND("]",CELL("filename",C5))+1,255)</f>
        <v>45-Dry Beans</v>
      </c>
      <c r="E5" s="103">
        <f ca="1">VLOOKUP($C$5,CropInsurance,5,FALSE)</f>
        <v>18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45-Dry Beans, Panhandle, Conventional Tillage, 27 cwt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45-Dry Beans, Panhandle, Conventional Tillage, 27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478</v>
      </c>
      <c r="C12" s="112">
        <v>2</v>
      </c>
      <c r="D12" s="174"/>
      <c r="E12" s="109">
        <f>IF(B12=0,"",IF(C12&gt;9999,"",ROUND('General Variables'!$B$4*VLOOKUP(B12,Operations!$A$2:$U$79,10,FALSE)/VLOOKUP(B12,Operations!$A$2:$U$79,9,FALSE)*C12,2)))</f>
        <v>5.45</v>
      </c>
      <c r="F12" s="109">
        <f>IF(B12=0,0,IF(C12&gt;9999,"",ROUND(IF(VLOOKUP(B12,Operations!$A$2:$U$79,12,FALSE)=0,VLOOKUP(B12,Operations!$A$2:$U$79,13,FALSE)*'General Variables'!$B$8,VLOOKUP(B12,Operations!$A$2:$U$79,12,FALSE)*'General Variables'!$B$7)/VLOOKUP(B12,Operations!$A$2:$U$79,9,FALSE)*C12,2)))</f>
        <v>4.8600000000000003</v>
      </c>
      <c r="G12" s="109">
        <f>IF(B12=0,0,IF(C12&gt;9999,"",ROUND(VLOOKUP(VLOOKUP(B12,Operations!$A$2:$U$79,11,FALSE),PowerUnits[],10,FALSE)/VLOOKUP(B12,Operations!$A$2:$U$79,9,FALSE)*C12,2)))</f>
        <v>0.62</v>
      </c>
      <c r="H12" s="109">
        <f>IF(B12=0,"",IF(C12&gt;9999,"",ROUND(VLOOKUP($B12,Operations!$A$2:$U$79,15,FALSE)*C12,2)))</f>
        <v>3.36</v>
      </c>
      <c r="I12" s="109">
        <f>IF(B12=0,0,IF(C12&gt;9999,"",ROUND(VLOOKUP(VLOOKUP(B12,Operations!$A$2:$U$79,11,FALSE),PowerUnits[],16,FALSE)/VLOOKUP(B12,Operations!$A$2:$U$79,9,FALSE)*C12,2)))</f>
        <v>16.920000000000002</v>
      </c>
      <c r="J12" s="109">
        <f>IF(B12=0,"",IF(C12&gt;9999,"",ROUND(VLOOKUP($B12,Operations!$A$2:$U$79,21,FALSE)*$C12,2)))</f>
        <v>4.91</v>
      </c>
      <c r="K12" s="109">
        <f>IF(C12&gt;9999,"",ROUND(SUM(E12:J12),2))</f>
        <v>36.119999999999997</v>
      </c>
      <c r="L12" s="110"/>
    </row>
    <row r="13" spans="1:13" x14ac:dyDescent="0.2">
      <c r="A13" s="170">
        <v>2</v>
      </c>
      <c r="B13" s="111" t="s">
        <v>422</v>
      </c>
      <c r="C13" s="112">
        <v>1</v>
      </c>
      <c r="D13" s="174"/>
      <c r="E13" s="109">
        <f>IF(B13=0,"",IF(C13&gt;9999,"",ROUND('General Variables'!$B$4*VLOOKUP(B13,Operations!$A$2:$U$79,10,FALSE)/VLOOKUP(B13,Operations!$A$2:$U$79,9,FALSE)*C13,2)))</f>
        <v>2.68</v>
      </c>
      <c r="F13" s="109">
        <f>IF(B13=0,0,IF(C13&gt;9999,"",ROUND(IF(VLOOKUP(B13,Operations!$A$2:$U$79,12,FALSE)=0,VLOOKUP(B13,Operations!$A$2:$U$79,13,FALSE)*'General Variables'!$B$8,VLOOKUP(B13,Operations!$A$2:$U$79,12,FALSE)*'General Variables'!$B$7)/VLOOKUP(B13,Operations!$A$2:$U$79,9,FALSE)*C13,2)))</f>
        <v>2.38</v>
      </c>
      <c r="G13" s="109">
        <f>IF(B13=0,0,IF(C13&gt;9999,"",ROUND(VLOOKUP(VLOOKUP(B13,Operations!$A$2:$U$79,11,FALSE),PowerUnits[],10,FALSE)/VLOOKUP(B13,Operations!$A$2:$U$79,9,FALSE)*C13,2)))</f>
        <v>0.31</v>
      </c>
      <c r="H13" s="109">
        <f>IF(B13=0,"",IF(C13&gt;9999,"",ROUND(VLOOKUP($B13,Operations!$A$2:$U$79,15,FALSE)*C13,2)))</f>
        <v>2.82</v>
      </c>
      <c r="I13" s="109">
        <f>IF(B13=0,0,IF(C13&gt;9999,"",ROUND(VLOOKUP(VLOOKUP(B13,Operations!$A$2:$U$79,11,FALSE),PowerUnits[],16,FALSE)/VLOOKUP(B13,Operations!$A$2:$U$79,9,FALSE)*C13,2)))</f>
        <v>8.32</v>
      </c>
      <c r="J13" s="109">
        <f>IF(B13=0,"",IF(C13&gt;9999,"",ROUND(VLOOKUP($B13,Operations!$A$2:$U$79,21,FALSE)*$C13,2)))</f>
        <v>2.02</v>
      </c>
      <c r="K13" s="109">
        <f t="shared" ref="K13:K31" si="0">IF(C13&gt;9999,"",ROUND(SUM(E13:J13),2))</f>
        <v>18.53</v>
      </c>
      <c r="L13" s="110"/>
    </row>
    <row r="14" spans="1:13" x14ac:dyDescent="0.2">
      <c r="A14" s="170">
        <v>3</v>
      </c>
      <c r="B14" s="111" t="s">
        <v>551</v>
      </c>
      <c r="C14" s="112">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7" t="s">
        <v>498</v>
      </c>
      <c r="C15" s="218">
        <v>1</v>
      </c>
      <c r="D15" s="214"/>
      <c r="E15" s="215">
        <f>IF(B15=0,"",IF(C15&gt;9999,"",ROUND('General Variables'!$B$4*VLOOKUP(B15,Operations!$A$2:$U$79,10,FALSE)/VLOOKUP(B15,Operations!$A$2:$U$79,9,FALSE)*C15,2)))</f>
        <v>1.98</v>
      </c>
      <c r="F15" s="215">
        <f>IF(B15=0,0,IF(C15&gt;9999,"",ROUND(IF(VLOOKUP(B15,Operations!$A$2:$U$79,12,FALSE)=0,VLOOKUP(B15,Operations!$A$2:$U$79,13,FALSE)*'General Variables'!$B$8,VLOOKUP(B15,Operations!$A$2:$U$79,12,FALSE)*'General Variables'!$B$7)/VLOOKUP(B15,Operations!$A$2:$U$79,9,FALSE)*C15,2)))</f>
        <v>1.75</v>
      </c>
      <c r="G15" s="215">
        <f>IF(B15=0,0,IF(C15&gt;9999,"",ROUND(VLOOKUP(VLOOKUP(B15,Operations!$A$2:$U$79,11,FALSE),PowerUnits[],10,FALSE)/VLOOKUP(B15,Operations!$A$2:$U$79,9,FALSE)*C15,2)))</f>
        <v>0.23</v>
      </c>
      <c r="H15" s="215">
        <f>IF(B15=0,"",IF(C15&gt;9999,"",ROUND(VLOOKUP($B15,Operations!$A$2:$U$79,15,FALSE)*C15,2)))</f>
        <v>2.14</v>
      </c>
      <c r="I15" s="215">
        <f>IF(B15=0,0,IF(C15&gt;9999,"",ROUND(VLOOKUP(VLOOKUP(B15,Operations!$A$2:$U$79,11,FALSE),PowerUnits[],16,FALSE)/VLOOKUP(B15,Operations!$A$2:$U$79,9,FALSE)*C15,2)))</f>
        <v>6.15</v>
      </c>
      <c r="J15" s="215">
        <f>IF(B15=0,"",IF(C15&gt;9999,"",ROUND(VLOOKUP($B15,Operations!$A$2:$U$79,21,FALSE)*$C15,2)))</f>
        <v>2.4300000000000002</v>
      </c>
      <c r="K15" s="215">
        <f t="shared" si="0"/>
        <v>14.68</v>
      </c>
      <c r="L15" s="216"/>
    </row>
    <row r="16" spans="1:13" x14ac:dyDescent="0.2">
      <c r="A16" s="170">
        <v>5</v>
      </c>
      <c r="B16" s="111" t="s">
        <v>526</v>
      </c>
      <c r="C16" s="112">
        <v>1</v>
      </c>
      <c r="D16" s="174"/>
      <c r="E16" s="109">
        <f>IF(B16=0,"",IF(C16&gt;9999,"",ROUND('General Variables'!$B$4*VLOOKUP(B16,Operations!$A$2:$U$79,10,FALSE)/VLOOKUP(B16,Operations!$A$2:$U$79,9,FALSE)*C16,2)))</f>
        <v>3.24</v>
      </c>
      <c r="F16" s="109">
        <f>IF(B16=0,0,IF(C16&gt;9999,"",ROUND(IF(VLOOKUP(B16,Operations!$A$2:$U$79,12,FALSE)=0,VLOOKUP(B16,Operations!$A$2:$U$79,13,FALSE)*'General Variables'!$B$8,VLOOKUP(B16,Operations!$A$2:$U$79,12,FALSE)*'General Variables'!$B$7)/VLOOKUP(B16,Operations!$A$2:$U$79,9,FALSE)*C16,2)))</f>
        <v>0.87</v>
      </c>
      <c r="G16" s="109">
        <f>IF(B16=0,0,IF(C16&gt;9999,"",ROUND(VLOOKUP(VLOOKUP(B16,Operations!$A$2:$U$79,11,FALSE),PowerUnits[],10,FALSE)/VLOOKUP(B16,Operations!$A$2:$U$79,9,FALSE)*C16,2)))</f>
        <v>0.08</v>
      </c>
      <c r="H16" s="109">
        <f>IF(B16=0,"",IF(C16&gt;9999,"",ROUND(VLOOKUP($B16,Operations!$A$2:$U$79,15,FALSE)*C16,2)))</f>
        <v>6.97</v>
      </c>
      <c r="I16" s="109">
        <f>IF(B16=0,0,IF(C16&gt;9999,"",ROUND(VLOOKUP(VLOOKUP(B16,Operations!$A$2:$U$79,11,FALSE),PowerUnits[],16,FALSE)/VLOOKUP(B16,Operations!$A$2:$U$79,9,FALSE)*C16,2)))</f>
        <v>4.33</v>
      </c>
      <c r="J16" s="109">
        <f>IF(B16=0,"",IF(C16&gt;9999,"",ROUND(VLOOKUP($B16,Operations!$A$2:$U$79,21,FALSE)*$C16,2)))</f>
        <v>6.61</v>
      </c>
      <c r="K16" s="109">
        <f t="shared" si="0"/>
        <v>22.1</v>
      </c>
      <c r="L16" s="110"/>
    </row>
    <row r="17" spans="1:12" x14ac:dyDescent="0.2">
      <c r="A17" s="170">
        <v>6</v>
      </c>
      <c r="B17" s="111" t="s">
        <v>551</v>
      </c>
      <c r="C17" s="112">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11" t="s">
        <v>545</v>
      </c>
      <c r="C18" s="112">
        <v>1</v>
      </c>
      <c r="D18" s="174"/>
      <c r="E18" s="109">
        <f>IF(B18=0,"",IF(C18&gt;9999,"",ROUND('General Variables'!$B$4*VLOOKUP(B18,Operations!$A$2:$U$79,10,FALSE)/VLOOKUP(B18,Operations!$A$2:$U$79,9,FALSE)*C18,2)))</f>
        <v>2.7</v>
      </c>
      <c r="F18" s="109">
        <f>IF(B18=0,0,IF(C18&gt;9999,"",ROUND(IF(VLOOKUP(B18,Operations!$A$2:$U$79,12,FALSE)=0,VLOOKUP(B18,Operations!$A$2:$U$79,13,FALSE)*'General Variables'!$B$8,VLOOKUP(B18,Operations!$A$2:$U$79,12,FALSE)*'General Variables'!$B$7)/VLOOKUP(B18,Operations!$A$2:$U$79,9,FALSE)*C18,2)))</f>
        <v>1.02</v>
      </c>
      <c r="G18" s="109">
        <f>IF(B18=0,0,IF(C18&gt;9999,"",ROUND(VLOOKUP(VLOOKUP(B18,Operations!$A$2:$U$79,11,FALSE),PowerUnits[],10,FALSE)/VLOOKUP(B18,Operations!$A$2:$U$79,9,FALSE)*C18,2)))</f>
        <v>0.08</v>
      </c>
      <c r="H18" s="109">
        <f>IF(B18=0,"",IF(C18&gt;9999,"",ROUND(VLOOKUP($B18,Operations!$A$2:$U$79,15,FALSE)*C18,2)))</f>
        <v>1.4</v>
      </c>
      <c r="I18" s="109">
        <f>IF(B18=0,0,IF(C18&gt;9999,"",ROUND(VLOOKUP(VLOOKUP(B18,Operations!$A$2:$U$79,11,FALSE),PowerUnits[],16,FALSE)/VLOOKUP(B18,Operations!$A$2:$U$79,9,FALSE)*C18,2)))</f>
        <v>3.93</v>
      </c>
      <c r="J18" s="109">
        <f>IF(B18=0,"",IF(C18&gt;9999,"",ROUND(VLOOKUP($B18,Operations!$A$2:$U$79,21,FALSE)*$C18,2)))</f>
        <v>3.2</v>
      </c>
      <c r="K18" s="109">
        <f t="shared" si="0"/>
        <v>12.33</v>
      </c>
      <c r="L18" s="110"/>
    </row>
    <row r="19" spans="1:12" x14ac:dyDescent="0.2">
      <c r="A19" s="170">
        <v>8</v>
      </c>
      <c r="B19" s="217" t="s">
        <v>524</v>
      </c>
      <c r="C19" s="218">
        <f>$K$3</f>
        <v>9</v>
      </c>
      <c r="D19" s="214" t="s">
        <v>693</v>
      </c>
      <c r="E19" s="215">
        <f>IF(B19=0,"",IF(C19&gt;9999,"",ROUND('General Variables'!$B$4*VLOOKUP(B19,Operations!$A$2:$U$79,10,FALSE)/VLOOKUP(B19,Operations!$A$2:$U$79,9,FALSE)*C19,2)))</f>
        <v>8.44</v>
      </c>
      <c r="F19" s="215">
        <f>IF(B19=0,0,IF(C19&gt;9999,"",ROUND(IF(VLOOKUP(B19,Operations!$A$2:$U$79,12,FALSE)=0,VLOOKUP(B19,Operations!$A$2:$U$79,13,FALSE)*'General Variables'!$B$8,VLOOKUP(B19,Operations!$A$2:$U$79,12,FALSE)*'General Variables'!$B$7)/VLOOKUP(B19,Operations!$A$2:$U$79,9,FALSE)*C19,2)))</f>
        <v>19.11</v>
      </c>
      <c r="G19" s="215">
        <f>IF(B19=0,0,IF(C19&gt;9999,"",ROUND(VLOOKUP(VLOOKUP(B19,Operations!$A$2:$U$79,11,FALSE),PowerUnits[],10,FALSE)/VLOOKUP(B19,Operations!$A$2:$U$79,9,FALSE)*C19,2)))</f>
        <v>5.0199999999999996</v>
      </c>
      <c r="H19" s="215">
        <v>8</v>
      </c>
      <c r="I19" s="215">
        <f>IF(B19=0,0,IF(C19&gt;9999,"",ROUND(VLOOKUP(VLOOKUP(B19,Operations!$A$2:$U$79,11,FALSE),PowerUnits[],16,FALSE)/VLOOKUP(B19,Operations!$A$2:$U$79,9,FALSE)*C19,2)))</f>
        <v>8.7799999999999994</v>
      </c>
      <c r="J19" s="215">
        <f>IF(B19=0,"",IF(C19&gt;9999,"",ROUND(VLOOKUP($B19,Operations!$A$2:$U$79,21,FALSE)*$C19,2)))</f>
        <v>13.1</v>
      </c>
      <c r="K19" s="215">
        <f>IF(C19&gt;9999,"",ROUND(SUM(E19:J19),2))</f>
        <v>62.45</v>
      </c>
      <c r="L19" s="216"/>
    </row>
    <row r="20" spans="1:12" x14ac:dyDescent="0.2">
      <c r="A20" s="170">
        <v>9</v>
      </c>
      <c r="B20" s="111" t="s">
        <v>183</v>
      </c>
      <c r="C20" s="112"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11" t="s">
        <v>183</v>
      </c>
      <c r="C21" s="112"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11" t="s">
        <v>518</v>
      </c>
      <c r="C22" s="112">
        <v>1</v>
      </c>
      <c r="D22" s="112"/>
      <c r="E22" s="109">
        <f>IF(B22=0,"",IF(C22&gt;9999,"",ROUND('General Variables'!$B$4*VLOOKUP(B22,Operations!$A$2:$U$79,10,FALSE)/VLOOKUP(B22,Operations!$A$2:$U$79,9,FALSE)*C22,2)))</f>
        <v>2.97</v>
      </c>
      <c r="F22" s="109">
        <f>IF(B22=0,0,IF(C22&gt;9999,"",ROUND(IF(VLOOKUP(B22,Operations!$A$2:$U$79,12,FALSE)=0,VLOOKUP(B22,Operations!$A$2:$U$79,13,FALSE)*'General Variables'!$B$8,VLOOKUP(B22,Operations!$A$2:$U$79,12,FALSE)*'General Variables'!$B$7)/VLOOKUP(B22,Operations!$A$2:$U$79,9,FALSE)*C22,2)))</f>
        <v>1.94</v>
      </c>
      <c r="G22" s="109">
        <f>IF(B22=0,0,IF(C22&gt;9999,"",ROUND(VLOOKUP(VLOOKUP(B22,Operations!$A$2:$U$79,11,FALSE),PowerUnits[],10,FALSE)/VLOOKUP(B22,Operations!$A$2:$U$79,9,FALSE)*C22,2)))</f>
        <v>0.08</v>
      </c>
      <c r="H22" s="109">
        <f>IF(B22=0,"",IF(C22&gt;9999,"",ROUND(VLOOKUP($B22,Operations!$A$2:$U$79,15,FALSE)*C22,2)))</f>
        <v>1.21</v>
      </c>
      <c r="I22" s="109">
        <f>IF(B22=0,0,IF(C22&gt;9999,"",ROUND(VLOOKUP(VLOOKUP(B22,Operations!$A$2:$U$79,11,FALSE),PowerUnits[],16,FALSE)/VLOOKUP(B22,Operations!$A$2:$U$79,9,FALSE)*C22,2)))</f>
        <v>4.33</v>
      </c>
      <c r="J22" s="109">
        <f>IF(B22=0,"",IF(C22&gt;9999,"",ROUND(VLOOKUP($B22,Operations!$A$2:$U$79,21,FALSE)*$C22,2)))</f>
        <v>2.14</v>
      </c>
      <c r="K22" s="109">
        <f t="shared" si="0"/>
        <v>12.67</v>
      </c>
      <c r="L22" s="110"/>
    </row>
    <row r="23" spans="1:12" x14ac:dyDescent="0.2">
      <c r="A23" s="170">
        <v>12</v>
      </c>
      <c r="B23" s="183" t="s">
        <v>939</v>
      </c>
      <c r="C23" s="306">
        <v>1</v>
      </c>
      <c r="D23" s="112"/>
      <c r="E23" s="109">
        <f>IF(B23=0,"",IF(C23&gt;9999,"",ROUND('General Variables'!$B$4*VLOOKUP(B23,Operations!$A$2:$U$79,10,FALSE)/VLOOKUP(B23,Operations!$A$2:$U$79,9,FALSE)*C23,2)))</f>
        <v>2.2799999999999998</v>
      </c>
      <c r="F23" s="109">
        <f>IF(B23=0,0,IF(C23&gt;9999,"",ROUND(IF(VLOOKUP(B23,Operations!$A$2:$U$79,12,FALSE)=0,VLOOKUP(B23,Operations!$A$2:$U$79,13,FALSE)*'General Variables'!$B$8,VLOOKUP(B23,Operations!$A$2:$U$79,12,FALSE)*'General Variables'!$B$7)/VLOOKUP(B23,Operations!$A$2:$U$79,9,FALSE)*C23,2)))</f>
        <v>2.58</v>
      </c>
      <c r="G23" s="109">
        <f>IF(B23=0,0,IF(C23&gt;9999,"",ROUND(VLOOKUP(VLOOKUP(B23,Operations!$A$2:$U$79,11,FALSE),PowerUnits[],10,FALSE)/VLOOKUP(B23,Operations!$A$2:$U$79,9,FALSE)*C23,2)))</f>
        <v>3.97</v>
      </c>
      <c r="H23" s="109">
        <f>IF(B23=0,"",IF(C23&gt;9999,"",ROUND(VLOOKUP($B23,Operations!$A$2:$U$79,15,FALSE)*C23,2)))</f>
        <v>0.49</v>
      </c>
      <c r="I23" s="109">
        <f>IF(B23=0,0,IF(C23&gt;9999,"",ROUND(VLOOKUP(VLOOKUP(B23,Operations!$A$2:$U$79,11,FALSE),PowerUnits[],16,FALSE)/VLOOKUP(B23,Operations!$A$2:$U$79,9,FALSE)*C23,2)))</f>
        <v>9.56</v>
      </c>
      <c r="J23" s="109">
        <f>IF(B23=0,"",IF(C23&gt;9999,"",ROUND(VLOOKUP($B23,Operations!$A$2:$U$79,21,FALSE)*$C23,2)))</f>
        <v>5.72</v>
      </c>
      <c r="K23" s="109">
        <f t="shared" si="0"/>
        <v>24.6</v>
      </c>
      <c r="L23" s="109"/>
    </row>
    <row r="24" spans="1:12" x14ac:dyDescent="0.2">
      <c r="A24" s="170">
        <v>13</v>
      </c>
      <c r="B24" s="217" t="s">
        <v>565</v>
      </c>
      <c r="C24" s="218" t="s">
        <v>184</v>
      </c>
      <c r="D24" s="218"/>
      <c r="E24" s="215" t="str">
        <f>IF(B24=0,"",IF(C24&gt;9999,"",ROUND('General Variables'!$B$4*VLOOKUP(B24,Operations!$A$2:$U$79,10,FALSE)/VLOOKUP(B24,Operations!$A$2:$U$79,9,FALSE)*C24,2)))</f>
        <v/>
      </c>
      <c r="F24" s="215" t="str">
        <f>IF(B24=0,0,IF(C24&gt;9999,"",ROUND(IF(VLOOKUP(B24,Operations!$A$2:$U$79,12,FALSE)=0,VLOOKUP(B24,Operations!$A$2:$U$79,13,FALSE)*'General Variables'!$B$8,VLOOKUP(B24,Operations!$A$2:$U$79,12,FALSE)*'General Variables'!$B$7)/VLOOKUP(B24,Operations!$A$2:$U$79,9,FALSE)*C24,2)))</f>
        <v/>
      </c>
      <c r="G24" s="215" t="str">
        <f>IF(B24=0,0,IF(C24&gt;9999,"",ROUND(VLOOKUP(VLOOKUP(B24,Operations!$A$2:$U$79,11,FALSE),PowerUnits[],10,FALSE)/VLOOKUP(B24,Operations!$A$2:$U$79,9,FALSE)*C24,2)))</f>
        <v/>
      </c>
      <c r="H24" s="215" t="str">
        <f>IF(B24=0,"",IF(C24&gt;9999,"",ROUND(VLOOKUP($B24,Operations!$A$2:$U$79,15,FALSE)*C24,2)))</f>
        <v/>
      </c>
      <c r="I24" s="215" t="str">
        <f>IF(B24=0,0,IF(C24&gt;9999,"",ROUND(VLOOKUP(VLOOKUP(B24,Operations!$A$2:$U$79,11,FALSE),PowerUnits[],16,FALSE)/VLOOKUP(B24,Operations!$A$2:$U$79,9,FALSE)*C24,2)))</f>
        <v/>
      </c>
      <c r="J24" s="215" t="str">
        <f>IF(B24=0,"",IF(C24&gt;9999,"",ROUND(VLOOKUP($B24,Operations!$A$2:$U$79,21,FALSE)*$C24,2)))</f>
        <v/>
      </c>
      <c r="K24" s="215" t="str">
        <f t="shared" si="0"/>
        <v/>
      </c>
      <c r="L24" s="216"/>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31.78</v>
      </c>
      <c r="F33" s="109">
        <f t="shared" ref="F33:K33" si="1">SUM(F12:F31)</f>
        <v>35.029999999999994</v>
      </c>
      <c r="G33" s="109">
        <f t="shared" si="1"/>
        <v>10.45</v>
      </c>
      <c r="H33" s="109">
        <f t="shared" si="1"/>
        <v>28.609999999999996</v>
      </c>
      <c r="I33" s="109">
        <f t="shared" si="1"/>
        <v>64.94</v>
      </c>
      <c r="J33" s="109">
        <f t="shared" si="1"/>
        <v>44.169999999999995</v>
      </c>
      <c r="K33" s="109">
        <f t="shared" si="1"/>
        <v>214.98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11" t="s">
        <v>264</v>
      </c>
      <c r="C37" s="388" t="str">
        <f>IF(B37=0,"",VLOOKUP($B37,Table2[],2,FALSE))</f>
        <v>Herbicide</v>
      </c>
      <c r="D37" s="388"/>
      <c r="E37" s="388"/>
      <c r="F37" s="112">
        <v>3</v>
      </c>
      <c r="G37" s="177">
        <v>1</v>
      </c>
      <c r="H37" s="178">
        <v>11</v>
      </c>
      <c r="I37" s="120" t="str">
        <f>IF($B37=0,"",VLOOKUP($B37,Table2[],5,FALSE))</f>
        <v>ounce</v>
      </c>
      <c r="J37" s="109">
        <f>IF($B37=0,"",VLOOKUP($B37,Table2[],7,FALSE))</f>
        <v>1.5234375</v>
      </c>
      <c r="K37" s="109">
        <f>IF(B37=0,0,ROUND(G37*H37*J37,2))</f>
        <v>16.760000000000002</v>
      </c>
      <c r="L37" s="110"/>
    </row>
    <row r="38" spans="1:12" x14ac:dyDescent="0.2">
      <c r="A38" s="105"/>
      <c r="B38" s="111" t="s">
        <v>266</v>
      </c>
      <c r="C38" s="388" t="str">
        <f>IF(B38=0,"",VLOOKUP($B38,Table2[],2,FALSE))</f>
        <v>Herbicide</v>
      </c>
      <c r="D38" s="388"/>
      <c r="E38" s="388"/>
      <c r="F38" s="112">
        <v>3</v>
      </c>
      <c r="G38" s="177">
        <v>1</v>
      </c>
      <c r="H38" s="178">
        <v>2</v>
      </c>
      <c r="I38" s="120" t="str">
        <f>IF($B38=0,"",VLOOKUP($B38,Table2[],5,FALSE))</f>
        <v>pint</v>
      </c>
      <c r="J38" s="109">
        <f>IF($B38=0,"",VLOOKUP($B38,Table2[],7,FALSE))</f>
        <v>7.5</v>
      </c>
      <c r="K38" s="109">
        <f t="shared" ref="K38:K56" si="2">IF(B38=0,0,ROUND(G38*H38*J38,2))</f>
        <v>15</v>
      </c>
      <c r="L38" s="110"/>
    </row>
    <row r="39" spans="1:12" x14ac:dyDescent="0.2">
      <c r="A39" s="105"/>
      <c r="B39" s="111" t="s">
        <v>332</v>
      </c>
      <c r="C39" s="388" t="str">
        <f>IF(B39=0,"",VLOOKUP($B39,Table2[],2,FALSE))</f>
        <v>Seed</v>
      </c>
      <c r="D39" s="388"/>
      <c r="E39" s="388"/>
      <c r="F39" s="112">
        <v>5</v>
      </c>
      <c r="G39" s="177">
        <v>1</v>
      </c>
      <c r="H39" s="178">
        <v>0.75</v>
      </c>
      <c r="I39" s="120" t="str">
        <f>IF($B39=0,"",VLOOKUP($B39,Table2[],5,FALSE))</f>
        <v>cwt</v>
      </c>
      <c r="J39" s="109">
        <f>IF($B39=0,"",VLOOKUP($B39,Table2[],7,FALSE))</f>
        <v>100</v>
      </c>
      <c r="K39" s="109">
        <f t="shared" si="2"/>
        <v>75</v>
      </c>
      <c r="L39" s="110"/>
    </row>
    <row r="40" spans="1:12" x14ac:dyDescent="0.2">
      <c r="A40" s="105"/>
      <c r="B40" s="217" t="s">
        <v>203</v>
      </c>
      <c r="C40" s="387" t="str">
        <f>IF(B40=0,"",VLOOKUP($B40,Table2[],2,FALSE))</f>
        <v>Fertilizer</v>
      </c>
      <c r="D40" s="387"/>
      <c r="E40" s="387"/>
      <c r="F40" s="218">
        <v>5</v>
      </c>
      <c r="G40" s="224">
        <v>1</v>
      </c>
      <c r="H40" s="225">
        <v>7</v>
      </c>
      <c r="I40" s="223" t="str">
        <f>IF($B40=0,"",VLOOKUP($B40,Table2[],5,FALSE))</f>
        <v>gallon</v>
      </c>
      <c r="J40" s="215">
        <f>IF($B40=0,"",VLOOKUP($B40,Table2[],7,FALSE))</f>
        <v>3.2</v>
      </c>
      <c r="K40" s="215">
        <f t="shared" si="2"/>
        <v>22.4</v>
      </c>
      <c r="L40" s="216"/>
    </row>
    <row r="41" spans="1:12" x14ac:dyDescent="0.2">
      <c r="A41" s="105"/>
      <c r="B41" s="111" t="s">
        <v>210</v>
      </c>
      <c r="C41" s="388" t="str">
        <f>IF(B41=0,"",VLOOKUP($B41,Table2[],2,FALSE))</f>
        <v>Fertilizer</v>
      </c>
      <c r="D41" s="388"/>
      <c r="E41" s="388"/>
      <c r="F41" s="112">
        <v>5</v>
      </c>
      <c r="G41" s="177">
        <v>1</v>
      </c>
      <c r="H41" s="178">
        <v>50</v>
      </c>
      <c r="I41" s="120" t="str">
        <f>IF($B41=0,"",VLOOKUP($B41,Table2[],5,FALSE))</f>
        <v>lbs N</v>
      </c>
      <c r="J41" s="109">
        <f>IF($B41=0,"",VLOOKUP($B41,Table2[],7,FALSE))</f>
        <v>0.55000000000000004</v>
      </c>
      <c r="K41" s="109">
        <f t="shared" si="2"/>
        <v>27.5</v>
      </c>
      <c r="L41" s="110"/>
    </row>
    <row r="42" spans="1:12" x14ac:dyDescent="0.2">
      <c r="A42" s="105"/>
      <c r="B42" s="111" t="s">
        <v>268</v>
      </c>
      <c r="C42" s="388" t="str">
        <f>IF(B42=0,"",VLOOKUP($B42,Table2[],2,FALSE))</f>
        <v>Herbicide</v>
      </c>
      <c r="D42" s="388"/>
      <c r="E42" s="388"/>
      <c r="F42" s="112">
        <v>6</v>
      </c>
      <c r="G42" s="177">
        <v>1</v>
      </c>
      <c r="H42" s="178">
        <v>4</v>
      </c>
      <c r="I42" s="120" t="str">
        <f>IF($B42=0,"",VLOOKUP($B42,Table2[],5,FALSE))</f>
        <v>ounce</v>
      </c>
      <c r="J42" s="109">
        <f>IF($B42=0,"",VLOOKUP($B42,Table2[],7,FALSE))</f>
        <v>3.671875</v>
      </c>
      <c r="K42" s="109">
        <f t="shared" si="2"/>
        <v>14.69</v>
      </c>
      <c r="L42" s="110"/>
    </row>
    <row r="43" spans="1:12" x14ac:dyDescent="0.2">
      <c r="A43" s="143"/>
      <c r="B43" s="111" t="s">
        <v>242</v>
      </c>
      <c r="C43" s="388" t="str">
        <f>IF(B43=0,"",VLOOKUP($B43,Table2[],2,FALSE))</f>
        <v>Herbicide</v>
      </c>
      <c r="D43" s="388"/>
      <c r="E43" s="388"/>
      <c r="F43" s="112">
        <v>6</v>
      </c>
      <c r="G43" s="177">
        <v>1</v>
      </c>
      <c r="H43" s="178">
        <v>1.2</v>
      </c>
      <c r="I43" s="120" t="str">
        <f>IF($B43=0,"",VLOOKUP($B43,Table2[],5,FALSE))</f>
        <v>pint</v>
      </c>
      <c r="J43" s="109">
        <f>IF($B43=0,"",VLOOKUP($B43,Table2[],7,FALSE))</f>
        <v>11.875</v>
      </c>
      <c r="K43" s="109">
        <f t="shared" si="2"/>
        <v>14.25</v>
      </c>
      <c r="L43" s="110"/>
    </row>
    <row r="44" spans="1:12" x14ac:dyDescent="0.2">
      <c r="A44" s="143"/>
      <c r="B44" s="217" t="s">
        <v>264</v>
      </c>
      <c r="C44" s="247"/>
      <c r="D44" s="247" t="s">
        <v>228</v>
      </c>
      <c r="E44" s="247"/>
      <c r="F44" s="218">
        <v>6</v>
      </c>
      <c r="G44" s="224">
        <v>1</v>
      </c>
      <c r="H44" s="225">
        <v>10</v>
      </c>
      <c r="I44" s="223" t="s">
        <v>174</v>
      </c>
      <c r="J44" s="215">
        <f>IF($B44=0,"",VLOOKUP($B44,Table2[],7,FALSE))</f>
        <v>1.5234375</v>
      </c>
      <c r="K44" s="215">
        <f t="shared" ref="K44" si="3">IF(B44=0,0,ROUND(G44*H44*J44,2))</f>
        <v>15.23</v>
      </c>
      <c r="L44" s="216"/>
    </row>
    <row r="45" spans="1:12" x14ac:dyDescent="0.2">
      <c r="A45" s="143"/>
      <c r="B45" s="111" t="s">
        <v>181</v>
      </c>
      <c r="C45" s="388" t="str">
        <f>IF(B45=0,"",VLOOKUP($B45,Table2[],2,FALSE))</f>
        <v>Additive</v>
      </c>
      <c r="D45" s="388"/>
      <c r="E45" s="388"/>
      <c r="F45" s="112">
        <v>6</v>
      </c>
      <c r="G45" s="177">
        <v>1</v>
      </c>
      <c r="H45" s="178">
        <v>5</v>
      </c>
      <c r="I45" s="120" t="str">
        <f>IF($B45=0,"",VLOOKUP($B45,Table2[],5,FALSE))</f>
        <v>ounce</v>
      </c>
      <c r="J45" s="109">
        <f>IF($B45=0,"",VLOOKUP($B45,Table2[],7,FALSE))</f>
        <v>0.203125</v>
      </c>
      <c r="K45" s="109">
        <f>IF(B45=0,0,ROUND(G45*H45*J45,2))</f>
        <v>1.02</v>
      </c>
      <c r="L45" s="257"/>
    </row>
    <row r="46" spans="1:12" x14ac:dyDescent="0.2">
      <c r="A46" s="143"/>
      <c r="B46" s="111" t="s">
        <v>182</v>
      </c>
      <c r="C46" s="388" t="str">
        <f>IF(B46=0,"",VLOOKUP($B46,Table2[],2,FALSE))</f>
        <v>Additive</v>
      </c>
      <c r="D46" s="388"/>
      <c r="E46" s="388"/>
      <c r="F46" s="112">
        <v>6</v>
      </c>
      <c r="G46" s="177">
        <v>1</v>
      </c>
      <c r="H46" s="178">
        <v>4</v>
      </c>
      <c r="I46" s="120" t="str">
        <f>IF($B46=0,"",VLOOKUP($B46,Table2[],5,FALSE))</f>
        <v>pint</v>
      </c>
      <c r="J46" s="109">
        <f>IF($B46=0,"",VLOOKUP($B46,Table2[],7,FALSE))</f>
        <v>0.22500000000000001</v>
      </c>
      <c r="K46" s="109">
        <f t="shared" si="2"/>
        <v>0.9</v>
      </c>
      <c r="L46" s="110"/>
    </row>
    <row r="47" spans="1:12" x14ac:dyDescent="0.2">
      <c r="A47" s="143"/>
      <c r="B47" s="111" t="s">
        <v>291</v>
      </c>
      <c r="C47" s="388" t="str">
        <f>IF(B47=0,"",VLOOKUP($B47,Table2[],2,FALSE))</f>
        <v>Other</v>
      </c>
      <c r="D47" s="388"/>
      <c r="E47" s="388"/>
      <c r="F47" s="112">
        <v>8</v>
      </c>
      <c r="G47" s="177">
        <v>1</v>
      </c>
      <c r="H47" s="178">
        <v>1</v>
      </c>
      <c r="I47" s="120" t="str">
        <f>IF($B47=0,"",VLOOKUP($B47,Table2[],5,FALSE))</f>
        <v>acre</v>
      </c>
      <c r="J47" s="109">
        <f>IF($B47=0,"",VLOOKUP($B47,Table2[],7,FALSE))</f>
        <v>52</v>
      </c>
      <c r="K47" s="109">
        <f>IF(B47=0,0,ROUND(G47*H47*J47,2))</f>
        <v>52</v>
      </c>
      <c r="L47" s="110"/>
    </row>
    <row r="48" spans="1:12" x14ac:dyDescent="0.2">
      <c r="A48" s="143" t="s">
        <v>638</v>
      </c>
      <c r="B48" s="111" t="s">
        <v>183</v>
      </c>
      <c r="C48" s="388" t="str">
        <f>IF(B48=0,"",VLOOKUP($B48,Table2[],2,FALSE))</f>
        <v>Custom</v>
      </c>
      <c r="D48" s="388"/>
      <c r="E48" s="388"/>
      <c r="F48" s="112">
        <v>9</v>
      </c>
      <c r="G48" s="177">
        <v>0.6</v>
      </c>
      <c r="H48" s="178">
        <v>1</v>
      </c>
      <c r="I48" s="120" t="str">
        <f>IF($B48=0,"",VLOOKUP($B48,Table2[],5,FALSE))</f>
        <v>acre</v>
      </c>
      <c r="J48" s="109">
        <f>IF($B48=0,"",VLOOKUP($B48,Table2[],7,FALSE))</f>
        <v>11</v>
      </c>
      <c r="K48" s="109">
        <f t="shared" si="2"/>
        <v>6.6</v>
      </c>
      <c r="L48" s="110"/>
    </row>
    <row r="49" spans="1:12" x14ac:dyDescent="0.2">
      <c r="A49" s="143" t="s">
        <v>638</v>
      </c>
      <c r="B49" s="213" t="s">
        <v>284</v>
      </c>
      <c r="C49" s="387" t="str">
        <f>IF(B49=0,"",VLOOKUP($B49,Table2[],2,FALSE))</f>
        <v>Insecticide</v>
      </c>
      <c r="D49" s="387"/>
      <c r="E49" s="387"/>
      <c r="F49" s="218">
        <v>9</v>
      </c>
      <c r="G49" s="224">
        <v>0.6</v>
      </c>
      <c r="H49" s="225">
        <v>5.8</v>
      </c>
      <c r="I49" s="223" t="str">
        <f>IF($B49=0,"",VLOOKUP($B49,Table2[],5,FALSE))</f>
        <v>ounce</v>
      </c>
      <c r="J49" s="215">
        <f>IF($B49=0,"",VLOOKUP($B49,Table2[],7,FALSE))</f>
        <v>0.6640625</v>
      </c>
      <c r="K49" s="215">
        <f t="shared" si="2"/>
        <v>2.31</v>
      </c>
      <c r="L49" s="216"/>
    </row>
    <row r="50" spans="1:12" x14ac:dyDescent="0.2">
      <c r="A50" s="105"/>
      <c r="B50" s="111" t="s">
        <v>183</v>
      </c>
      <c r="C50" s="388" t="str">
        <f>IF(B50=0,"",VLOOKUP($B50,Table2[],2,FALSE))</f>
        <v>Custom</v>
      </c>
      <c r="D50" s="388"/>
      <c r="E50" s="388"/>
      <c r="F50" s="112">
        <v>10</v>
      </c>
      <c r="G50" s="177">
        <v>1</v>
      </c>
      <c r="H50" s="178">
        <v>1</v>
      </c>
      <c r="I50" s="120" t="str">
        <f>IF($B50=0,"",VLOOKUP($B50,Table2[],5,FALSE))</f>
        <v>acre</v>
      </c>
      <c r="J50" s="109">
        <f>IF($B50=0,"",VLOOKUP($B50,Table2[],7,FALSE))</f>
        <v>11</v>
      </c>
      <c r="K50" s="109">
        <f t="shared" si="2"/>
        <v>11</v>
      </c>
      <c r="L50" s="110"/>
    </row>
    <row r="51" spans="1:12" x14ac:dyDescent="0.2">
      <c r="A51" s="105"/>
      <c r="B51" s="180" t="s">
        <v>213</v>
      </c>
      <c r="C51" s="388" t="str">
        <f>IF(B51=0,"",VLOOKUP($B51,Table2[],2,FALSE))</f>
        <v>Fungicide</v>
      </c>
      <c r="D51" s="388"/>
      <c r="E51" s="388"/>
      <c r="F51" s="112">
        <v>10</v>
      </c>
      <c r="G51" s="177">
        <v>1</v>
      </c>
      <c r="H51" s="178">
        <v>2</v>
      </c>
      <c r="I51" s="120" t="str">
        <f>IF($B51=0,"",VLOOKUP($B51,Table2[],5,FALSE))</f>
        <v>pint</v>
      </c>
      <c r="J51" s="109">
        <f>IF($B51=0,"",VLOOKUP($B51,Table2[],7,FALSE))</f>
        <v>8</v>
      </c>
      <c r="K51" s="109">
        <f>IF(B51=0,0,ROUND(G51*H51*J51,2))</f>
        <v>16</v>
      </c>
      <c r="L51" s="110"/>
    </row>
    <row r="52" spans="1:12" x14ac:dyDescent="0.2">
      <c r="B52" s="111" t="s">
        <v>219</v>
      </c>
      <c r="C52" s="388" t="str">
        <f>IF(B52=0,"",VLOOKUP($B52,Table2[],2,FALSE))</f>
        <v>Fungicide</v>
      </c>
      <c r="D52" s="388"/>
      <c r="E52" s="388"/>
      <c r="F52" s="112">
        <v>10</v>
      </c>
      <c r="G52" s="177">
        <v>1</v>
      </c>
      <c r="H52" s="178">
        <v>4</v>
      </c>
      <c r="I52" s="120" t="str">
        <f>IF($B52=0,"",VLOOKUP($B52,Table2[],5,FALSE))</f>
        <v>ounce</v>
      </c>
      <c r="J52" s="109">
        <f>IF($B52=0,"",VLOOKUP($B52,Table2[],7,FALSE))</f>
        <v>5</v>
      </c>
      <c r="K52" s="109">
        <f t="shared" si="2"/>
        <v>20</v>
      </c>
      <c r="L52" s="110"/>
    </row>
    <row r="53" spans="1:12" x14ac:dyDescent="0.2">
      <c r="B53" s="217" t="s">
        <v>194</v>
      </c>
      <c r="C53" s="387" t="str">
        <f>IF(B53=0,"",VLOOKUP($B53,Table2[],2,FALSE))</f>
        <v>Custom</v>
      </c>
      <c r="D53" s="387"/>
      <c r="E53" s="387"/>
      <c r="F53" s="218">
        <v>13</v>
      </c>
      <c r="G53" s="224">
        <v>1</v>
      </c>
      <c r="H53" s="225">
        <f>$G$4</f>
        <v>27</v>
      </c>
      <c r="I53" s="223" t="str">
        <f>IF($B53=0,"",VLOOKUP($B53,Table2[],5,FALSE))</f>
        <v>cwt</v>
      </c>
      <c r="J53" s="215">
        <f>IF($B53=0,"",VLOOKUP($B53,Table2[],7,FALSE))</f>
        <v>0.32</v>
      </c>
      <c r="K53" s="309">
        <f t="shared" si="2"/>
        <v>8.64</v>
      </c>
      <c r="L53" s="216"/>
    </row>
    <row r="54" spans="1:12" x14ac:dyDescent="0.2">
      <c r="B54" s="180" t="s">
        <v>307</v>
      </c>
      <c r="C54" s="388" t="str">
        <f>IF(B54=0,"",VLOOKUP($B54,Table2[],2,FALSE))</f>
        <v>Scouting</v>
      </c>
      <c r="D54" s="388"/>
      <c r="E54" s="388"/>
      <c r="F54" s="174"/>
      <c r="G54" s="177">
        <v>1</v>
      </c>
      <c r="H54" s="176">
        <v>1</v>
      </c>
      <c r="I54" s="120" t="str">
        <f>IF($B54=0,"",VLOOKUP($B54,Table2[],5,FALSE))</f>
        <v>acre</v>
      </c>
      <c r="J54" s="109">
        <f>IF($B54=0,"",VLOOKUP($B54,Table2[],7,FALSE))</f>
        <v>13</v>
      </c>
      <c r="K54" s="305">
        <f t="shared" si="2"/>
        <v>13</v>
      </c>
      <c r="L54" s="110"/>
    </row>
    <row r="55" spans="1:12" ht="12.75" hidden="1" customHeight="1" x14ac:dyDescent="0.2">
      <c r="B55" s="180"/>
      <c r="C55" s="388" t="str">
        <f>IF(B55=0,"",VLOOKUP($B55,Table2[],2,FALSE))</f>
        <v/>
      </c>
      <c r="D55" s="388"/>
      <c r="E55" s="388"/>
      <c r="F55" s="112"/>
      <c r="G55" s="177">
        <v>0.3</v>
      </c>
      <c r="H55" s="178"/>
      <c r="I55" s="120" t="str">
        <f>IF($B55=0,"",VLOOKUP($B55,Table2[],5,FALSE))</f>
        <v/>
      </c>
      <c r="J55" s="109" t="str">
        <f>IF($B55=0,"",VLOOKUP($B55,Table2[],7,FALSE))</f>
        <v/>
      </c>
      <c r="K55" s="305">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305">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309">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305">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305">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305">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309">
        <f>IF(B61=0,0,ROUND(G61*H61*J61,2))</f>
        <v>0</v>
      </c>
      <c r="L61" s="227"/>
    </row>
    <row r="62" spans="1:12" x14ac:dyDescent="0.2">
      <c r="B62" s="185" t="s">
        <v>430</v>
      </c>
      <c r="C62" s="388" t="s">
        <v>655</v>
      </c>
      <c r="D62" s="388"/>
      <c r="E62" s="388"/>
      <c r="F62" s="112"/>
      <c r="G62" s="177"/>
      <c r="H62" s="178"/>
      <c r="I62" s="170"/>
      <c r="J62" s="109">
        <f ca="1">IF(F5=0,E5,F5)</f>
        <v>18</v>
      </c>
      <c r="K62" s="109">
        <f ca="1">IF(B62=0,0,J62)</f>
        <v>18</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 ca="1">SUM(K37:K62)</f>
        <v>350.3</v>
      </c>
      <c r="L64" s="110"/>
    </row>
    <row r="65" spans="2:12" x14ac:dyDescent="0.2">
      <c r="B65" s="144" t="s">
        <v>745</v>
      </c>
      <c r="K65" s="128"/>
    </row>
    <row r="66" spans="2:12" x14ac:dyDescent="0.2">
      <c r="B66" s="107" t="s">
        <v>672</v>
      </c>
      <c r="K66" s="141">
        <f ca="1">K33+K64</f>
        <v>565.28</v>
      </c>
      <c r="L66" s="110"/>
    </row>
    <row r="67" spans="2:12" ht="13.5" thickBot="1" x14ac:dyDescent="0.25">
      <c r="D67" s="128" t="s">
        <v>673</v>
      </c>
      <c r="E67" s="129">
        <f ca="1">ROUND(SUM($E$33:$H$33)+$K$64,2)</f>
        <v>456.17</v>
      </c>
      <c r="F67" s="388" t="s">
        <v>674</v>
      </c>
      <c r="G67" s="388"/>
      <c r="H67" s="130">
        <f>'General Variables'!$B$11</f>
        <v>7.4999999999999997E-2</v>
      </c>
      <c r="I67" s="131" t="str">
        <f>CONCATENATE("for ",TEXT('General Variables'!$B$12,"0.0")," mo.")</f>
        <v>for 6.0 mo.</v>
      </c>
      <c r="K67" s="145">
        <f ca="1">E67*H67*'General Variables'!$B$12/12</f>
        <v>17.106375</v>
      </c>
      <c r="L67" s="133"/>
    </row>
    <row r="68" spans="2:12" ht="13.5" thickTop="1" x14ac:dyDescent="0.2">
      <c r="B68" s="107" t="s">
        <v>675</v>
      </c>
      <c r="K68" s="141">
        <f ca="1">SUM(K66:K67)</f>
        <v>582.38637499999993</v>
      </c>
      <c r="L68" s="110"/>
    </row>
    <row r="69" spans="2:12" x14ac:dyDescent="0.2">
      <c r="K69" s="128"/>
    </row>
    <row r="70" spans="2:12" x14ac:dyDescent="0.2">
      <c r="B70" s="104" t="s">
        <v>676</v>
      </c>
      <c r="C70" s="134"/>
      <c r="D70" s="134"/>
      <c r="E70" s="134"/>
      <c r="F70" s="134"/>
      <c r="G70" s="134"/>
      <c r="H70" s="134"/>
      <c r="I70" s="134"/>
      <c r="J70" s="134"/>
      <c r="K70" s="142">
        <f>'General Variables'!B14</f>
        <v>35</v>
      </c>
      <c r="L70" s="110"/>
    </row>
    <row r="71" spans="2:12" x14ac:dyDescent="0.2">
      <c r="B71" s="103" t="s">
        <v>687</v>
      </c>
      <c r="C71" s="398" t="s">
        <v>42</v>
      </c>
      <c r="D71" s="399"/>
      <c r="E71" s="400"/>
      <c r="F71" s="136">
        <f>IF(C71=0,0,VLOOKUP(C71,RETable,2,FALSE))</f>
        <v>3970</v>
      </c>
      <c r="G71" s="388" t="s">
        <v>678</v>
      </c>
      <c r="H71" s="388"/>
      <c r="I71" s="130">
        <f>'General Variables'!$B$10</f>
        <v>0.03</v>
      </c>
      <c r="K71" s="146">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7">
        <f>ROUND(F72*I72,2)</f>
        <v>51.61</v>
      </c>
      <c r="L72" s="133"/>
    </row>
    <row r="73" spans="2:12" ht="13.5" thickTop="1" x14ac:dyDescent="0.2">
      <c r="B73" s="107" t="s">
        <v>680</v>
      </c>
      <c r="K73" s="141">
        <f ca="1">SUM(K68:K72)</f>
        <v>788.09637499999997</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20.73653240740741</v>
      </c>
      <c r="L75" s="148"/>
    </row>
    <row r="76" spans="2:12" x14ac:dyDescent="0.2">
      <c r="B76" s="107" t="str">
        <f>IF(G4="","","Cost of production per "&amp;H4)</f>
        <v>Cost of production per cwt</v>
      </c>
      <c r="K76" s="141">
        <f ca="1">IF(G4="","",K73/G4)</f>
        <v>29.188754629629628</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52:E52"/>
    <mergeCell ref="C53:E53"/>
    <mergeCell ref="C54:E54"/>
    <mergeCell ref="C55:E55"/>
    <mergeCell ref="C56:E56"/>
    <mergeCell ref="C62:E62"/>
    <mergeCell ref="F67:G67"/>
    <mergeCell ref="C57:E57"/>
    <mergeCell ref="C58:E58"/>
    <mergeCell ref="C59:E59"/>
    <mergeCell ref="C60:E60"/>
    <mergeCell ref="C61:E61"/>
    <mergeCell ref="C45:E45"/>
    <mergeCell ref="C41:E41"/>
    <mergeCell ref="C51:E51"/>
    <mergeCell ref="L10:L11"/>
    <mergeCell ref="F35:F36"/>
    <mergeCell ref="G35:G36"/>
    <mergeCell ref="H35:I35"/>
    <mergeCell ref="J35:J36"/>
    <mergeCell ref="L35:L36"/>
    <mergeCell ref="I10:J10"/>
    <mergeCell ref="C49:E49"/>
    <mergeCell ref="C50:E50"/>
    <mergeCell ref="C46:E46"/>
    <mergeCell ref="C47:E47"/>
    <mergeCell ref="C48:E48"/>
    <mergeCell ref="F10:F11"/>
    <mergeCell ref="C43:E43"/>
    <mergeCell ref="G10:H10"/>
    <mergeCell ref="C42:E42"/>
    <mergeCell ref="K10:K11"/>
    <mergeCell ref="C37:E37"/>
    <mergeCell ref="C38:E38"/>
    <mergeCell ref="C39:E39"/>
    <mergeCell ref="C40:E40"/>
    <mergeCell ref="C3:E3"/>
    <mergeCell ref="K2:L2"/>
    <mergeCell ref="G2:H2"/>
    <mergeCell ref="C4:E4"/>
    <mergeCell ref="B10:B11"/>
    <mergeCell ref="C10:C11"/>
    <mergeCell ref="E10:E11"/>
    <mergeCell ref="B7:L7"/>
    <mergeCell ref="A6:M6"/>
  </mergeCells>
  <dataValidations count="9">
    <dataValidation type="list" allowBlank="1" showInputMessage="1" showErrorMessage="1" sqref="B32" xr:uid="{00000000-0002-0000-3100-000000000000}">
      <formula1>$B$112:$B$209</formula1>
    </dataValidation>
    <dataValidation type="list" allowBlank="1" showInputMessage="1" showErrorMessage="1" sqref="B63" xr:uid="{00000000-0002-0000-3100-000001000000}">
      <formula1>$C$112:$C$235</formula1>
    </dataValidation>
    <dataValidation type="list" allowBlank="1" showInputMessage="1" showErrorMessage="1" sqref="K4" xr:uid="{00000000-0002-0000-3100-000002000000}">
      <formula1>$K$112:$K$114</formula1>
    </dataValidation>
    <dataValidation type="list" allowBlank="1" showInputMessage="1" showErrorMessage="1" sqref="B37:B61" xr:uid="{00000000-0002-0000-3100-000003000000}">
      <formula1>MaterialList</formula1>
    </dataValidation>
    <dataValidation type="list" allowBlank="1" showInputMessage="1" showErrorMessage="1" sqref="C71:E71" xr:uid="{00000000-0002-0000-3100-000004000000}">
      <formula1>RealEstateList</formula1>
    </dataValidation>
    <dataValidation type="list" allowBlank="1" showInputMessage="1" showErrorMessage="1" sqref="B12:B31" xr:uid="{00000000-0002-0000-3100-000005000000}">
      <formula1>OperationList</formula1>
    </dataValidation>
    <dataValidation type="list" allowBlank="1" showInputMessage="1" showErrorMessage="1" sqref="D12:D32" xr:uid="{00000000-0002-0000-3100-000006000000}">
      <formula1>#REF!</formula1>
    </dataValidation>
    <dataValidation type="list" allowBlank="1" showInputMessage="1" showErrorMessage="1" sqref="K2" xr:uid="{00000000-0002-0000-3100-000007000000}">
      <formula1>watersource</formula1>
    </dataValidation>
    <dataValidation type="list" allowBlank="1" showInputMessage="1" showErrorMessage="1" sqref="C3" xr:uid="{00000000-0002-0000-3100-000008000000}">
      <formula1>TillageSystem</formula1>
    </dataValidation>
  </dataValidations>
  <pageMargins left="0.7" right="0.7" top="0.75" bottom="0.75" header="0.3" footer="0.3"/>
  <pageSetup scale="7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7">
    <pageSetUpPr fitToPage="1"/>
  </sheetPr>
  <dimension ref="A2:M256"/>
  <sheetViews>
    <sheetView zoomScaleNormal="100" workbookViewId="0">
      <selection activeCell="F72" sqref="F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746</v>
      </c>
      <c r="H2" s="392"/>
      <c r="J2" s="128" t="s">
        <v>649</v>
      </c>
      <c r="K2" s="401" t="s">
        <v>70</v>
      </c>
      <c r="L2" s="401"/>
      <c r="M2" s="245" t="s">
        <v>747</v>
      </c>
    </row>
    <row r="3" spans="1:13" hidden="1" x14ac:dyDescent="0.2">
      <c r="B3" s="103" t="s">
        <v>38</v>
      </c>
      <c r="C3" s="391" t="s">
        <v>43</v>
      </c>
      <c r="D3" s="391"/>
      <c r="E3" s="391"/>
      <c r="G3" s="128" t="s">
        <v>650</v>
      </c>
      <c r="H3" s="187" t="s">
        <v>741</v>
      </c>
      <c r="J3" s="128" t="s">
        <v>651</v>
      </c>
      <c r="K3" s="187">
        <v>9</v>
      </c>
    </row>
    <row r="4" spans="1:13" hidden="1" x14ac:dyDescent="0.2">
      <c r="B4" s="103" t="s">
        <v>652</v>
      </c>
      <c r="C4" s="392"/>
      <c r="D4" s="392"/>
      <c r="E4" s="392"/>
      <c r="G4" s="103">
        <f>IFERROR(VALUE(LEFT($H$3,FIND(" ",$H$3))),"")</f>
        <v>27</v>
      </c>
      <c r="H4" s="103" t="str">
        <f>IFERROR(RIGHT(H3,LEN(H3)-LEN(G4)-1),"")</f>
        <v>cwt</v>
      </c>
      <c r="J4" s="128" t="s">
        <v>653</v>
      </c>
      <c r="K4" s="188"/>
    </row>
    <row r="5" spans="1:13" ht="15.75" hidden="1" customHeight="1" x14ac:dyDescent="0.2">
      <c r="B5" s="103" t="s">
        <v>655</v>
      </c>
      <c r="C5" s="103" t="str">
        <f ca="1">MID(CELL("filename",C5),FIND("]",CELL("filename",C5))+1,255)</f>
        <v>46-Dry Beans</v>
      </c>
      <c r="E5" s="103">
        <f ca="1">VLOOKUP($C$5,CropInsurance,5,FALSE)</f>
        <v>18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46-Dry Beans, Direct Harvest, Panhandle, Conventional Tillage, 27 cwt Yield, Pivot Irrigated Electric</v>
      </c>
      <c r="B6" s="390"/>
      <c r="C6" s="390"/>
      <c r="D6" s="390"/>
      <c r="E6" s="390"/>
      <c r="F6" s="390"/>
      <c r="G6" s="390"/>
      <c r="H6" s="390"/>
      <c r="I6" s="390"/>
      <c r="J6" s="390"/>
      <c r="K6" s="390"/>
      <c r="L6" s="390"/>
      <c r="M6" s="246"/>
    </row>
    <row r="7" spans="1:13" ht="30" customHeight="1" x14ac:dyDescent="0.25">
      <c r="B7" s="393" t="str">
        <f ca="1">'General Variables'!$B$3 &amp; " Budget " &amp; REPLACE(CELL("filename",$A$1),1,FIND("]",CELL("filename",$A$1)),"") &amp;  IF($G$2="","", ", " &amp; $G$2 ) &amp; IF($C$2="","",", "&amp;$C$2) &amp; IF($C$3="","",", "&amp;$C$3) &amp; IF($C$4="","",", "&amp;$C$4) &amp; IF($H$3="","",", "&amp;$H$3 &amp; " Yield")</f>
        <v>2025 Budget 46-Dry Beans, Direct Harvest, Panhandle, Conventional Tillage, 27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478</v>
      </c>
      <c r="C12" s="112">
        <v>2</v>
      </c>
      <c r="D12" s="174"/>
      <c r="E12" s="109">
        <f>IF(B12=0,"",IF(C12&gt;9999,"",ROUND('General Variables'!$B$4*VLOOKUP(B12,Operations!$A$2:$U$79,10,FALSE)/VLOOKUP(B12,Operations!$A$2:$U$79,9,FALSE)*C12,2)))</f>
        <v>5.45</v>
      </c>
      <c r="F12" s="109">
        <f>IF(B12=0,0,IF(C12&gt;9999,"",ROUND(IF(VLOOKUP(B12,Operations!$A$2:$U$79,12,FALSE)=0,VLOOKUP(B12,Operations!$A$2:$U$79,13,FALSE)*'General Variables'!$B$8,VLOOKUP(B12,Operations!$A$2:$U$79,12,FALSE)*'General Variables'!$B$7)/VLOOKUP(B12,Operations!$A$2:$U$79,9,FALSE)*C12,2)))</f>
        <v>4.8600000000000003</v>
      </c>
      <c r="G12" s="109">
        <f>IF(B12=0,0,IF(C12&gt;9999,"",ROUND(VLOOKUP(VLOOKUP(B12,Operations!$A$2:$U$79,11,FALSE),PowerUnits[],10,FALSE)/VLOOKUP(B12,Operations!$A$2:$U$79,9,FALSE)*C12,2)))</f>
        <v>0.62</v>
      </c>
      <c r="H12" s="109">
        <f>IF(B12=0,"",IF(C12&gt;9999,"",ROUND(VLOOKUP($B12,Operations!$A$2:$U$79,15,FALSE)*C12,2)))</f>
        <v>3.36</v>
      </c>
      <c r="I12" s="109">
        <f>IF(B12=0,0,IF(C12&gt;9999,"",ROUND(VLOOKUP(VLOOKUP(B12,Operations!$A$2:$U$79,11,FALSE),PowerUnits[],16,FALSE)/VLOOKUP(B12,Operations!$A$2:$U$79,9,FALSE)*C12,2)))</f>
        <v>16.920000000000002</v>
      </c>
      <c r="J12" s="109">
        <f>IF(B12=0,"",IF(C12&gt;9999,"",ROUND(VLOOKUP($B12,Operations!$A$2:$U$79,21,FALSE)*$C12,2)))</f>
        <v>4.91</v>
      </c>
      <c r="K12" s="109">
        <f>IF(C12&gt;9999,"",ROUND(SUM(E12:J12),2))</f>
        <v>36.119999999999997</v>
      </c>
      <c r="L12" s="110"/>
    </row>
    <row r="13" spans="1:13" x14ac:dyDescent="0.2">
      <c r="A13" s="170">
        <v>2</v>
      </c>
      <c r="B13" s="111" t="s">
        <v>422</v>
      </c>
      <c r="C13" s="112">
        <v>1</v>
      </c>
      <c r="D13" s="174"/>
      <c r="E13" s="109">
        <f>IF(B13=0,"",IF(C13&gt;9999,"",ROUND('General Variables'!$B$4*VLOOKUP(B13,Operations!$A$2:$U$79,10,FALSE)/VLOOKUP(B13,Operations!$A$2:$U$79,9,FALSE)*C13,2)))</f>
        <v>2.68</v>
      </c>
      <c r="F13" s="109">
        <f>IF(B13=0,0,IF(C13&gt;9999,"",ROUND(IF(VLOOKUP(B13,Operations!$A$2:$U$79,12,FALSE)=0,VLOOKUP(B13,Operations!$A$2:$U$79,13,FALSE)*'General Variables'!$B$8,VLOOKUP(B13,Operations!$A$2:$U$79,12,FALSE)*'General Variables'!$B$7)/VLOOKUP(B13,Operations!$A$2:$U$79,9,FALSE)*C13,2)))</f>
        <v>2.38</v>
      </c>
      <c r="G13" s="109">
        <f>IF(B13=0,0,IF(C13&gt;9999,"",ROUND(VLOOKUP(VLOOKUP(B13,Operations!$A$2:$U$79,11,FALSE),PowerUnits[],10,FALSE)/VLOOKUP(B13,Operations!$A$2:$U$79,9,FALSE)*C13,2)))</f>
        <v>0.31</v>
      </c>
      <c r="H13" s="109">
        <f>IF(B13=0,"",IF(C13&gt;9999,"",ROUND(VLOOKUP($B13,Operations!$A$2:$U$79,15,FALSE)*C13,2)))</f>
        <v>2.82</v>
      </c>
      <c r="I13" s="109">
        <f>IF(B13=0,0,IF(C13&gt;9999,"",ROUND(VLOOKUP(VLOOKUP(B13,Operations!$A$2:$U$79,11,FALSE),PowerUnits[],16,FALSE)/VLOOKUP(B13,Operations!$A$2:$U$79,9,FALSE)*C13,2)))</f>
        <v>8.32</v>
      </c>
      <c r="J13" s="109">
        <f>IF(B13=0,"",IF(C13&gt;9999,"",ROUND(VLOOKUP($B13,Operations!$A$2:$U$79,21,FALSE)*$C13,2)))</f>
        <v>2.02</v>
      </c>
      <c r="K13" s="109">
        <f t="shared" ref="K13:K22" si="0">IF(C13&gt;9999,"",ROUND(SUM(E13:J13),2))</f>
        <v>18.53</v>
      </c>
      <c r="L13" s="110"/>
    </row>
    <row r="14" spans="1:13" x14ac:dyDescent="0.2">
      <c r="A14" s="170">
        <v>3</v>
      </c>
      <c r="B14" s="111" t="s">
        <v>551</v>
      </c>
      <c r="C14" s="112">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7" t="s">
        <v>498</v>
      </c>
      <c r="C15" s="218">
        <v>1</v>
      </c>
      <c r="D15" s="214"/>
      <c r="E15" s="215">
        <f>IF(B15=0,"",IF(C15&gt;9999,"",ROUND('General Variables'!$B$4*VLOOKUP(B15,Operations!$A$2:$U$79,10,FALSE)/VLOOKUP(B15,Operations!$A$2:$U$79,9,FALSE)*C15,2)))</f>
        <v>1.98</v>
      </c>
      <c r="F15" s="215">
        <f>IF(B15=0,0,IF(C15&gt;9999,"",ROUND(IF(VLOOKUP(B15,Operations!$A$2:$U$79,12,FALSE)=0,VLOOKUP(B15,Operations!$A$2:$U$79,13,FALSE)*'General Variables'!$B$8,VLOOKUP(B15,Operations!$A$2:$U$79,12,FALSE)*'General Variables'!$B$7)/VLOOKUP(B15,Operations!$A$2:$U$79,9,FALSE)*C15,2)))</f>
        <v>1.75</v>
      </c>
      <c r="G15" s="215">
        <f>IF(B15=0,0,IF(C15&gt;9999,"",ROUND(VLOOKUP(VLOOKUP(B15,Operations!$A$2:$U$79,11,FALSE),PowerUnits[],10,FALSE)/VLOOKUP(B15,Operations!$A$2:$U$79,9,FALSE)*C15,2)))</f>
        <v>0.23</v>
      </c>
      <c r="H15" s="215">
        <f>IF(B15=0,"",IF(C15&gt;9999,"",ROUND(VLOOKUP($B15,Operations!$A$2:$U$79,15,FALSE)*C15,2)))</f>
        <v>2.14</v>
      </c>
      <c r="I15" s="215">
        <f>IF(B15=0,0,IF(C15&gt;9999,"",ROUND(VLOOKUP(VLOOKUP(B15,Operations!$A$2:$U$79,11,FALSE),PowerUnits[],16,FALSE)/VLOOKUP(B15,Operations!$A$2:$U$79,9,FALSE)*C15,2)))</f>
        <v>6.15</v>
      </c>
      <c r="J15" s="215">
        <f>IF(B15=0,"",IF(C15&gt;9999,"",ROUND(VLOOKUP($B15,Operations!$A$2:$U$79,21,FALSE)*$C15,2)))</f>
        <v>2.4300000000000002</v>
      </c>
      <c r="K15" s="215">
        <f t="shared" si="0"/>
        <v>14.68</v>
      </c>
      <c r="L15" s="216"/>
    </row>
    <row r="16" spans="1:13" x14ac:dyDescent="0.2">
      <c r="A16" s="170">
        <v>5</v>
      </c>
      <c r="B16" s="111" t="s">
        <v>526</v>
      </c>
      <c r="C16" s="112">
        <v>1</v>
      </c>
      <c r="D16" s="174"/>
      <c r="E16" s="109">
        <f>IF(B16=0,"",IF(C16&gt;9999,"",ROUND('General Variables'!$B$4*VLOOKUP(B16,Operations!$A$2:$U$79,10,FALSE)/VLOOKUP(B16,Operations!$A$2:$U$79,9,FALSE)*C16,2)))</f>
        <v>3.24</v>
      </c>
      <c r="F16" s="109">
        <f>IF(B16=0,0,IF(C16&gt;9999,"",ROUND(IF(VLOOKUP(B16,Operations!$A$2:$U$79,12,FALSE)=0,VLOOKUP(B16,Operations!$A$2:$U$79,13,FALSE)*'General Variables'!$B$8,VLOOKUP(B16,Operations!$A$2:$U$79,12,FALSE)*'General Variables'!$B$7)/VLOOKUP(B16,Operations!$A$2:$U$79,9,FALSE)*C16,2)))</f>
        <v>0.87</v>
      </c>
      <c r="G16" s="109">
        <f>IF(B16=0,0,IF(C16&gt;9999,"",ROUND(VLOOKUP(VLOOKUP(B16,Operations!$A$2:$U$79,11,FALSE),PowerUnits[],10,FALSE)/VLOOKUP(B16,Operations!$A$2:$U$79,9,FALSE)*C16,2)))</f>
        <v>0.08</v>
      </c>
      <c r="H16" s="109">
        <f>IF(B16=0,"",IF(C16&gt;9999,"",ROUND(VLOOKUP($B16,Operations!$A$2:$U$79,15,FALSE)*C16,2)))</f>
        <v>6.97</v>
      </c>
      <c r="I16" s="109">
        <f>IF(B16=0,0,IF(C16&gt;9999,"",ROUND(VLOOKUP(VLOOKUP(B16,Operations!$A$2:$U$79,11,FALSE),PowerUnits[],16,FALSE)/VLOOKUP(B16,Operations!$A$2:$U$79,9,FALSE)*C16,2)))</f>
        <v>4.33</v>
      </c>
      <c r="J16" s="109">
        <f>IF(B16=0,"",IF(C16&gt;9999,"",ROUND(VLOOKUP($B16,Operations!$A$2:$U$79,21,FALSE)*$C16,2)))</f>
        <v>6.61</v>
      </c>
      <c r="K16" s="109">
        <f t="shared" si="0"/>
        <v>22.1</v>
      </c>
      <c r="L16" s="110"/>
    </row>
    <row r="17" spans="1:12" x14ac:dyDescent="0.2">
      <c r="A17" s="170">
        <v>6</v>
      </c>
      <c r="B17" s="111" t="s">
        <v>551</v>
      </c>
      <c r="C17" s="112">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11" t="s">
        <v>524</v>
      </c>
      <c r="C18" s="112">
        <f>$K$3</f>
        <v>9</v>
      </c>
      <c r="D18" s="255" t="s">
        <v>693</v>
      </c>
      <c r="E18" s="109">
        <f>IF(B18=0,"",IF(C18&gt;9999,"",ROUND('General Variables'!$B$4*VLOOKUP(B18,Operations!$A$2:$U$79,10,FALSE)/VLOOKUP(B18,Operations!$A$2:$U$79,9,FALSE)*C18,2)))</f>
        <v>8.44</v>
      </c>
      <c r="F18" s="109">
        <f>IF(B18=0,0,IF(C18&gt;9999,"",ROUND(IF(VLOOKUP(B18,Operations!$A$2:$U$79,12,FALSE)=0,VLOOKUP(B18,Operations!$A$2:$U$79,13,FALSE)*'General Variables'!$B$8,VLOOKUP(B18,Operations!$A$2:$U$79,12,FALSE)*'General Variables'!$B$7)/VLOOKUP(B18,Operations!$A$2:$U$79,9,FALSE)*C18,2)))</f>
        <v>19.11</v>
      </c>
      <c r="G18" s="109">
        <f>IF(B18=0,0,IF(C18&gt;9999,"",ROUND(VLOOKUP(VLOOKUP(B18,Operations!$A$2:$U$79,11,FALSE),PowerUnits[],10,FALSE)/VLOOKUP(B18,Operations!$A$2:$U$79,9,FALSE)*C18,2)))</f>
        <v>5.0199999999999996</v>
      </c>
      <c r="H18" s="109">
        <v>8</v>
      </c>
      <c r="I18" s="109">
        <f>IF(B18=0,0,IF(C18&gt;9999,"",ROUND(VLOOKUP(VLOOKUP(B18,Operations!$A$2:$U$79,11,FALSE),PowerUnits[],16,FALSE)/VLOOKUP(B18,Operations!$A$2:$U$79,9,FALSE)*C18,2)))</f>
        <v>8.7799999999999994</v>
      </c>
      <c r="J18" s="109">
        <f>IF(B18=0,"",IF(C18&gt;9999,"",ROUND(VLOOKUP($B18,Operations!$A$2:$U$79,21,FALSE)*$C18,2)))</f>
        <v>13.1</v>
      </c>
      <c r="K18" s="109">
        <f t="shared" si="0"/>
        <v>62.45</v>
      </c>
      <c r="L18" s="110"/>
    </row>
    <row r="19" spans="1:12" x14ac:dyDescent="0.2">
      <c r="A19" s="170">
        <v>8</v>
      </c>
      <c r="B19" s="217" t="s">
        <v>183</v>
      </c>
      <c r="C19" s="218" t="s">
        <v>184</v>
      </c>
      <c r="D19" s="220"/>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x14ac:dyDescent="0.2">
      <c r="A20" s="170">
        <v>9</v>
      </c>
      <c r="B20" s="111" t="s">
        <v>183</v>
      </c>
      <c r="C20" s="112"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11" t="s">
        <v>551</v>
      </c>
      <c r="C21" s="112">
        <v>0.1</v>
      </c>
      <c r="D21" s="112"/>
      <c r="E21" s="109">
        <f>IF(B21=0,"",IF(C21&gt;9999,"",ROUND('General Variables'!$B$4*VLOOKUP(B21,Operations!$A$2:$U$79,10,FALSE)/VLOOKUP(B21,Operations!$A$2:$U$79,9,FALSE)*C21,2)))</f>
        <v>0.1</v>
      </c>
      <c r="F21" s="109">
        <f>IF(B21=0,0,IF(C21&gt;9999,"",ROUND(IF(VLOOKUP(B21,Operations!$A$2:$U$79,12,FALSE)=0,VLOOKUP(B21,Operations!$A$2:$U$79,13,FALSE)*'General Variables'!$B$8,VLOOKUP(B21,Operations!$A$2:$U$79,12,FALSE)*'General Variables'!$B$7)/VLOOKUP(B21,Operations!$A$2:$U$79,9,FALSE)*C21,2)))</f>
        <v>0.03</v>
      </c>
      <c r="G21" s="109">
        <f>IF(B21=0,0,IF(C21&gt;9999,"",ROUND(VLOOKUP(VLOOKUP(B21,Operations!$A$2:$U$79,11,FALSE),PowerUnits[],10,FALSE)/VLOOKUP(B21,Operations!$A$2:$U$79,9,FALSE)*C21,2)))</f>
        <v>0</v>
      </c>
      <c r="H21" s="109">
        <f>IF(B21=0,"",IF(C21&gt;9999,"",ROUND(VLOOKUP($B21,Operations!$A$2:$U$79,15,FALSE)*C21,2)))</f>
        <v>0.11</v>
      </c>
      <c r="I21" s="109">
        <f>IF(B21=0,0,IF(C21&gt;9999,"",ROUND(VLOOKUP(VLOOKUP(B21,Operations!$A$2:$U$79,11,FALSE),PowerUnits[],16,FALSE)/VLOOKUP(B21,Operations!$A$2:$U$79,9,FALSE)*C21,2)))</f>
        <v>0.13</v>
      </c>
      <c r="J21" s="109">
        <f>IF(B21=0,"",IF(C21&gt;9999,"",ROUND(VLOOKUP($B21,Operations!$A$2:$U$79,21,FALSE)*$C21,2)))</f>
        <v>0.2</v>
      </c>
      <c r="K21" s="109">
        <f t="shared" si="0"/>
        <v>0.56999999999999995</v>
      </c>
      <c r="L21" s="110"/>
    </row>
    <row r="22" spans="1:12" x14ac:dyDescent="0.2">
      <c r="A22" s="179">
        <v>11</v>
      </c>
      <c r="B22" s="183" t="s">
        <v>936</v>
      </c>
      <c r="C22" s="306">
        <v>1</v>
      </c>
      <c r="D22" s="112"/>
      <c r="E22" s="109">
        <f>IF(B22=0,"",IF(C22&gt;9999,"",ROUND('General Variables'!$B$4*VLOOKUP(B22,Operations!$A$2:$U$79,10,FALSE)/VLOOKUP(B22,Operations!$A$2:$U$79,9,FALSE)*C22,2)))</f>
        <v>2.2799999999999998</v>
      </c>
      <c r="F22" s="109">
        <f>IF(B22=0,0,IF(C22&gt;9999,"",ROUND(IF(VLOOKUP(B22,Operations!$A$2:$U$79,12,FALSE)=0,VLOOKUP(B22,Operations!$A$2:$U$79,13,FALSE)*'General Variables'!$B$8,VLOOKUP(B22,Operations!$A$2:$U$79,12,FALSE)*'General Variables'!$B$7)/VLOOKUP(B22,Operations!$A$2:$U$79,9,FALSE)*C22,2)))</f>
        <v>2.58</v>
      </c>
      <c r="G22" s="109">
        <f>IF(B22=0,0,IF(C22&gt;9999,"",ROUND(VLOOKUP(VLOOKUP(B22,Operations!$A$2:$U$79,11,FALSE),PowerUnits[],10,FALSE)/VLOOKUP(B22,Operations!$A$2:$U$79,9,FALSE)*C22,2)))</f>
        <v>3.97</v>
      </c>
      <c r="H22" s="109">
        <f>IF(B22=0,"",IF(C22&gt;9999,"",ROUND(VLOOKUP($B22,Operations!$A$2:$U$79,15,FALSE)*C22,2)))</f>
        <v>0.62</v>
      </c>
      <c r="I22" s="109">
        <f>IF(B22=0,0,IF(C22&gt;9999,"",ROUND(VLOOKUP(VLOOKUP(B22,Operations!$A$2:$U$79,11,FALSE),PowerUnits[],16,FALSE)/VLOOKUP(B22,Operations!$A$2:$U$79,9,FALSE)*C22,2)))</f>
        <v>9.56</v>
      </c>
      <c r="J22" s="109">
        <f>IF(B22=0,"",IF(C22&gt;9999,"",ROUND(VLOOKUP($B22,Operations!$A$2:$U$79,21,FALSE)*$C22,2)))</f>
        <v>4.76</v>
      </c>
      <c r="K22" s="109">
        <f t="shared" si="0"/>
        <v>23.77</v>
      </c>
      <c r="L22" s="110"/>
    </row>
    <row r="23" spans="1:12" ht="13.5" customHeight="1" x14ac:dyDescent="0.2">
      <c r="A23" s="160">
        <v>12</v>
      </c>
      <c r="B23" s="217" t="s">
        <v>565</v>
      </c>
      <c r="C23" s="218" t="s">
        <v>184</v>
      </c>
      <c r="D23" s="307"/>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ref="K23:K31" si="1">IF(C23&gt;9999,"",ROUND(SUM(E23:J23),2))</f>
        <v/>
      </c>
      <c r="L23" s="216"/>
    </row>
    <row r="24" spans="1:12" hidden="1" x14ac:dyDescent="0.2">
      <c r="A24" s="170"/>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1"/>
        <v>0</v>
      </c>
      <c r="L24" s="110"/>
    </row>
    <row r="25" spans="1:12" hidden="1" x14ac:dyDescent="0.2">
      <c r="A25" s="170"/>
      <c r="B25" s="276"/>
      <c r="C25" s="271"/>
      <c r="D25" s="271"/>
      <c r="E25" s="274" t="str">
        <f>IF(B25=0,"",IF(C25&gt;9999,"",ROUND('General Variables'!$B$4*VLOOKUP(B25,Operations!$A$2:$U$79,10,FALSE)/VLOOKUP(B25,Operations!$A$2:$U$79,9,FALSE)*C25,2)))</f>
        <v/>
      </c>
      <c r="F25" s="274">
        <f>IF(B25=0,0,IF(C25&gt;9999,"",ROUND(IF(VLOOKUP(B25,Operations!$A$2:$U$79,12,FALSE)=0,VLOOKUP(B25,Operations!$A$2:$U$79,13,FALSE)*'General Variables'!$B$8,VLOOKUP(B25,Operations!$A$2:$U$79,12,FALSE)*'General Variables'!$B$7)/VLOOKUP(B25,Operations!$A$2:$U$79,9,FALSE)*C25,2)))</f>
        <v>0</v>
      </c>
      <c r="G25" s="274">
        <f>IF(B25=0,0,IF(C25&gt;9999,"",ROUND(VLOOKUP(VLOOKUP(B25,Operations!$A$2:$U$79,11,FALSE),PowerUnits[],10,FALSE)/VLOOKUP(B25,Operations!$A$2:$U$79,9,FALSE)*C25,2)))</f>
        <v>0</v>
      </c>
      <c r="H25" s="109" t="str">
        <f>IF(B25=0,"",IF(C25&gt;9999,"",ROUND(VLOOKUP($B25,Operations!$A$2:$U$79,15,FALSE)*C25,2)))</f>
        <v/>
      </c>
      <c r="I25" s="272">
        <f>IF(B25=0,0,IF(C25&gt;9999,"",ROUND(VLOOKUP(VLOOKUP(B25,Operations!$A$2:$U$79,11,FALSE),PowerUnits[],16,FALSE)/VLOOKUP(B25,Operations!$A$2:$U$79,9,FALSE)*C25,2)))</f>
        <v>0</v>
      </c>
      <c r="J25" s="272" t="str">
        <f>IF(B25=0,"",IF(C25&gt;9999,"",ROUND(VLOOKUP($B25,Operations!$A$2:$U$79,21,FALSE)*$C25,2)))</f>
        <v/>
      </c>
      <c r="K25" s="274">
        <f t="shared" si="1"/>
        <v>0</v>
      </c>
      <c r="L25" s="110"/>
    </row>
    <row r="26" spans="1:12" hidden="1" x14ac:dyDescent="0.2">
      <c r="A26" s="170"/>
      <c r="B26" s="276"/>
      <c r="C26" s="271"/>
      <c r="D26" s="271"/>
      <c r="E26" s="274" t="str">
        <f>IF(B26=0,"",IF(C26&gt;9999,"",ROUND('General Variables'!$B$4*VLOOKUP(B26,Operations!$A$2:$U$79,10,FALSE)/VLOOKUP(B26,Operations!$A$2:$U$79,9,FALSE)*C26,2)))</f>
        <v/>
      </c>
      <c r="F26" s="274">
        <f>IF(B26=0,0,IF(C26&gt;9999,"",ROUND(IF(VLOOKUP(B26,Operations!$A$2:$U$79,12,FALSE)=0,VLOOKUP(B26,Operations!$A$2:$U$79,13,FALSE)*'General Variables'!$B$8,VLOOKUP(B26,Operations!$A$2:$U$79,12,FALSE)*'General Variables'!$B$7)/VLOOKUP(B26,Operations!$A$2:$U$79,9,FALSE)*C26,2)))</f>
        <v>0</v>
      </c>
      <c r="G26" s="274">
        <f>IF(B26=0,0,IF(C26&gt;9999,"",ROUND(VLOOKUP(VLOOKUP(B26,Operations!$A$2:$U$79,11,FALSE),PowerUnits[],10,FALSE)/VLOOKUP(B26,Operations!$A$2:$U$79,9,FALSE)*C26,2)))</f>
        <v>0</v>
      </c>
      <c r="H26" s="109" t="str">
        <f>IF(B26=0,"",IF(C26&gt;9999,"",ROUND(VLOOKUP($B26,Operations!$A$2:$U$79,15,FALSE)*C26,2)))</f>
        <v/>
      </c>
      <c r="I26" s="272">
        <f>IF(B26=0,0,IF(C26&gt;9999,"",ROUND(VLOOKUP(VLOOKUP(B26,Operations!$A$2:$U$79,11,FALSE),PowerUnits[],16,FALSE)/VLOOKUP(B26,Operations!$A$2:$U$79,9,FALSE)*C26,2)))</f>
        <v>0</v>
      </c>
      <c r="J26" s="272" t="str">
        <f>IF(B26=0,"",IF(C26&gt;9999,"",ROUND(VLOOKUP($B26,Operations!$A$2:$U$79,21,FALSE)*$C26,2)))</f>
        <v/>
      </c>
      <c r="K26" s="274">
        <f t="shared" si="1"/>
        <v>0</v>
      </c>
      <c r="L26" s="110"/>
    </row>
    <row r="27" spans="1:12" hidden="1" x14ac:dyDescent="0.2">
      <c r="A27" s="170"/>
      <c r="B27" s="275"/>
      <c r="C27" s="270"/>
      <c r="D27" s="270"/>
      <c r="E27" s="273" t="str">
        <f>IF(B27=0,"",IF(C27&gt;9999,"",ROUND('General Variables'!$B$4*VLOOKUP(B27,Operations!$A$2:$U$79,10,FALSE)/VLOOKUP(B27,Operations!$A$2:$U$79,9,FALSE)*C27,2)))</f>
        <v/>
      </c>
      <c r="F27" s="273">
        <f>IF(B27=0,0,IF(C27&gt;9999,"",ROUND(IF(VLOOKUP(B27,Operations!$A$2:$U$79,12,FALSE)=0,VLOOKUP(B27,Operations!$A$2:$U$79,13,FALSE)*'General Variables'!$B$8,VLOOKUP(B27,Operations!$A$2:$U$79,12,FALSE)*'General Variables'!$B$7)/VLOOKUP(B27,Operations!$A$2:$U$79,9,FALSE)*C27,2)))</f>
        <v>0</v>
      </c>
      <c r="G27" s="273">
        <f>IF(B27=0,0,IF(C27&gt;9999,"",ROUND(VLOOKUP(VLOOKUP(B27,Operations!$A$2:$U$79,11,FALSE),PowerUnits[],10,FALSE)/VLOOKUP(B27,Operations!$A$2:$U$79,9,FALSE)*C27,2)))</f>
        <v>0</v>
      </c>
      <c r="H27" s="215" t="str">
        <f>IF(B27=0,"",IF(C27&gt;9999,"",ROUND(VLOOKUP($B27,Operations!$A$2:$U$79,15,FALSE)*C27,2)))</f>
        <v/>
      </c>
      <c r="I27" s="280">
        <f>IF(B27=0,0,IF(C27&gt;9999,"",ROUND(VLOOKUP(VLOOKUP(B27,Operations!$A$2:$U$79,11,FALSE),PowerUnits[],16,FALSE)/VLOOKUP(B27,Operations!$A$2:$U$79,9,FALSE)*C27,2)))</f>
        <v>0</v>
      </c>
      <c r="J27" s="280" t="str">
        <f>IF(B27=0,"",IF(C27&gt;9999,"",ROUND(VLOOKUP($B27,Operations!$A$2:$U$79,21,FALSE)*$C27,2)))</f>
        <v/>
      </c>
      <c r="K27" s="273">
        <f t="shared" si="1"/>
        <v>0</v>
      </c>
      <c r="L27" s="216"/>
    </row>
    <row r="28" spans="1:12" hidden="1" x14ac:dyDescent="0.2">
      <c r="A28" s="170"/>
      <c r="B28" s="276"/>
      <c r="C28" s="271"/>
      <c r="D28" s="271"/>
      <c r="E28" s="274" t="str">
        <f>IF(B28=0,"",IF(C28&gt;9999,"",ROUND('General Variables'!$B$4*VLOOKUP(B28,Operations!$A$2:$U$79,10,FALSE)/VLOOKUP(B28,Operations!$A$2:$U$79,9,FALSE)*C28,2)))</f>
        <v/>
      </c>
      <c r="F28" s="274">
        <f>IF(B28=0,0,IF(C28&gt;9999,"",ROUND(IF(VLOOKUP(B28,Operations!$A$2:$U$79,12,FALSE)=0,VLOOKUP(B28,Operations!$A$2:$U$79,13,FALSE)*'General Variables'!$B$8,VLOOKUP(B28,Operations!$A$2:$U$79,12,FALSE)*'General Variables'!$B$7)/VLOOKUP(B28,Operations!$A$2:$U$79,9,FALSE)*C28,2)))</f>
        <v>0</v>
      </c>
      <c r="G28" s="274">
        <f>IF(B28=0,0,IF(C28&gt;9999,"",ROUND(VLOOKUP(VLOOKUP(B28,Operations!$A$2:$U$79,11,FALSE),PowerUnits[],10,FALSE)/VLOOKUP(B28,Operations!$A$2:$U$79,9,FALSE)*C28,2)))</f>
        <v>0</v>
      </c>
      <c r="H28" s="109" t="str">
        <f>IF(B28=0,"",IF(C28&gt;9999,"",ROUND(VLOOKUP($B28,Operations!$A$2:$U$79,15,FALSE)*C28,2)))</f>
        <v/>
      </c>
      <c r="I28" s="272">
        <f>IF(B28=0,0,IF(C28&gt;9999,"",ROUND(VLOOKUP(VLOOKUP(B28,Operations!$A$2:$U$79,11,FALSE),PowerUnits[],16,FALSE)/VLOOKUP(B28,Operations!$A$2:$U$79,9,FALSE)*C28,2)))</f>
        <v>0</v>
      </c>
      <c r="J28" s="272" t="str">
        <f>IF(B28=0,"",IF(C28&gt;9999,"",ROUND(VLOOKUP($B28,Operations!$A$2:$U$79,21,FALSE)*$C28,2)))</f>
        <v/>
      </c>
      <c r="K28" s="274">
        <f t="shared" si="1"/>
        <v>0</v>
      </c>
      <c r="L28" s="110"/>
    </row>
    <row r="29" spans="1:12" hidden="1" x14ac:dyDescent="0.2">
      <c r="A29" s="170"/>
      <c r="B29" s="276"/>
      <c r="C29" s="271"/>
      <c r="D29" s="271"/>
      <c r="E29" s="274" t="str">
        <f>IF(B29=0,"",IF(C29&gt;9999,"",ROUND('General Variables'!$B$4*VLOOKUP(B29,Operations!$A$2:$U$79,10,FALSE)/VLOOKUP(B29,Operations!$A$2:$U$79,9,FALSE)*C29,2)))</f>
        <v/>
      </c>
      <c r="F29" s="274">
        <f>IF(B29=0,0,IF(C29&gt;9999,"",ROUND(IF(VLOOKUP(B29,Operations!$A$2:$U$79,12,FALSE)=0,VLOOKUP(B29,Operations!$A$2:$U$79,13,FALSE)*'General Variables'!$B$8,VLOOKUP(B29,Operations!$A$2:$U$79,12,FALSE)*'General Variables'!$B$7)/VLOOKUP(B29,Operations!$A$2:$U$79,9,FALSE)*C29,2)))</f>
        <v>0</v>
      </c>
      <c r="G29" s="274">
        <f>IF(B29=0,0,IF(C29&gt;9999,"",ROUND(VLOOKUP(VLOOKUP(B29,Operations!$A$2:$U$79,11,FALSE),PowerUnits[],10,FALSE)/VLOOKUP(B29,Operations!$A$2:$U$79,9,FALSE)*C29,2)))</f>
        <v>0</v>
      </c>
      <c r="H29" s="109" t="str">
        <f>IF(B29=0,"",IF(C29&gt;9999,"",ROUND(VLOOKUP($B29,Operations!$A$2:$U$79,15,FALSE)*C29,2)))</f>
        <v/>
      </c>
      <c r="I29" s="272">
        <f>IF(B29=0,0,IF(C29&gt;9999,"",ROUND(VLOOKUP(VLOOKUP(B29,Operations!$A$2:$U$79,11,FALSE),PowerUnits[],16,FALSE)/VLOOKUP(B29,Operations!$A$2:$U$79,9,FALSE)*C29,2)))</f>
        <v>0</v>
      </c>
      <c r="J29" s="272" t="str">
        <f>IF(B29=0,"",IF(C29&gt;9999,"",ROUND(VLOOKUP($B29,Operations!$A$2:$U$79,21,FALSE)*$C29,2)))</f>
        <v/>
      </c>
      <c r="K29" s="274">
        <f t="shared" si="1"/>
        <v>0</v>
      </c>
      <c r="L29" s="110"/>
    </row>
    <row r="30" spans="1:12" hidden="1" x14ac:dyDescent="0.2">
      <c r="A30" s="170"/>
      <c r="B30" s="276"/>
      <c r="C30" s="271"/>
      <c r="D30" s="271"/>
      <c r="E30" s="274" t="str">
        <f>IF(B30=0,"",IF(C30&gt;9999,"",ROUND('General Variables'!$B$4*VLOOKUP(B30,Operations!$A$2:$U$79,10,FALSE)/VLOOKUP(B30,Operations!$A$2:$U$79,9,FALSE)*C30,2)))</f>
        <v/>
      </c>
      <c r="F30" s="274">
        <f>IF(B30=0,0,IF(C30&gt;9999,"",ROUND(IF(VLOOKUP(B30,Operations!$A$2:$U$79,12,FALSE)=0,VLOOKUP(B30,Operations!$A$2:$U$79,13,FALSE)*'General Variables'!$B$8,VLOOKUP(B30,Operations!$A$2:$U$79,12,FALSE)*'General Variables'!$B$7)/VLOOKUP(B30,Operations!$A$2:$U$79,9,FALSE)*C30,2)))</f>
        <v>0</v>
      </c>
      <c r="G30" s="274">
        <f>IF(B30=0,0,IF(C30&gt;9999,"",ROUND(VLOOKUP(VLOOKUP(B30,Operations!$A$2:$U$79,11,FALSE),PowerUnits[],10,FALSE)/VLOOKUP(B30,Operations!$A$2:$U$79,9,FALSE)*C30,2)))</f>
        <v>0</v>
      </c>
      <c r="H30" s="109" t="str">
        <f>IF(B30=0,"",IF(C30&gt;9999,"",ROUND(VLOOKUP($B30,Operations!$A$2:$U$79,15,FALSE)*C30,2)))</f>
        <v/>
      </c>
      <c r="I30" s="272">
        <f>IF(B30=0,0,IF(C30&gt;9999,"",ROUND(VLOOKUP(VLOOKUP(B30,Operations!$A$2:$U$79,11,FALSE),PowerUnits[],16,FALSE)/VLOOKUP(B30,Operations!$A$2:$U$79,9,FALSE)*C30,2)))</f>
        <v>0</v>
      </c>
      <c r="J30" s="272" t="str">
        <f>IF(B30=0,"",IF(C30&gt;9999,"",ROUND(VLOOKUP($B30,Operations!$A$2:$U$79,21,FALSE)*$C30,2)))</f>
        <v/>
      </c>
      <c r="K30" s="274">
        <f t="shared" si="1"/>
        <v>0</v>
      </c>
      <c r="L30" s="113"/>
    </row>
    <row r="31" spans="1:12" hidden="1" x14ac:dyDescent="0.2">
      <c r="A31" s="170"/>
      <c r="B31" s="275"/>
      <c r="C31" s="270"/>
      <c r="D31" s="270"/>
      <c r="E31" s="273" t="str">
        <f>IF(B31=0,"",IF(C31&gt;9999,"",ROUND('General Variables'!$B$4*VLOOKUP(B31,Operations!$A$2:$U$79,10,FALSE)/VLOOKUP(B31,Operations!$A$2:$U$79,9,FALSE)*C31,2)))</f>
        <v/>
      </c>
      <c r="F31" s="273">
        <f>IF(B31=0,0,IF(C31&gt;9999,"",ROUND(IF(VLOOKUP(B31,Operations!$A$2:$U$79,12,FALSE)=0,VLOOKUP(B31,Operations!$A$2:$U$79,13,FALSE)*'General Variables'!$B$8,VLOOKUP(B31,Operations!$A$2:$U$79,12,FALSE)*'General Variables'!$B$7)/VLOOKUP(B31,Operations!$A$2:$U$79,9,FALSE)*C31,2)))</f>
        <v>0</v>
      </c>
      <c r="G31" s="273">
        <f>IF(B31=0,0,IF(C31&gt;9999,"",ROUND(VLOOKUP(VLOOKUP(B31,Operations!$A$2:$U$79,11,FALSE),PowerUnits[],10,FALSE)/VLOOKUP(B31,Operations!$A$2:$U$79,9,FALSE)*C31,2)))</f>
        <v>0</v>
      </c>
      <c r="H31" s="215" t="str">
        <f>IF(B31=0,"",IF(C31&gt;9999,"",ROUND(VLOOKUP($B31,Operations!$A$2:$U$79,15,FALSE)*C31,2)))</f>
        <v/>
      </c>
      <c r="I31" s="280">
        <f>IF(B31=0,0,IF(C31&gt;9999,"",ROUND(VLOOKUP(VLOOKUP(B31,Operations!$A$2:$U$79,11,FALSE),PowerUnits[],16,FALSE)/VLOOKUP(B31,Operations!$A$2:$U$79,9,FALSE)*C31,2)))</f>
        <v>0</v>
      </c>
      <c r="J31" s="280" t="str">
        <f>IF(B31=0,"",IF(C31&gt;9999,"",ROUND(VLOOKUP($B31,Operations!$A$2:$U$79,21,FALSE)*$C31,2)))</f>
        <v/>
      </c>
      <c r="K31" s="273">
        <f t="shared" si="1"/>
        <v>0</v>
      </c>
      <c r="L31" s="220"/>
    </row>
    <row r="32" spans="1:12" ht="3" customHeight="1" thickBot="1" x14ac:dyDescent="0.25">
      <c r="A32" s="170"/>
      <c r="B32" s="277"/>
      <c r="C32" s="115"/>
      <c r="D32" s="279"/>
      <c r="E32" s="116"/>
      <c r="F32" s="116"/>
      <c r="G32" s="116"/>
      <c r="H32" s="116"/>
      <c r="I32" s="281"/>
      <c r="J32" s="281"/>
      <c r="K32" s="282"/>
      <c r="L32" s="117"/>
    </row>
    <row r="33" spans="1:12" ht="13.5" thickTop="1" x14ac:dyDescent="0.2">
      <c r="B33" s="278"/>
      <c r="C33" s="108" t="s">
        <v>664</v>
      </c>
      <c r="D33" s="108"/>
      <c r="E33" s="109">
        <f>SUM(E12:E31)</f>
        <v>26.21</v>
      </c>
      <c r="F33" s="109">
        <f t="shared" ref="F33:K33" si="2">SUM(F12:F31)</f>
        <v>32.1</v>
      </c>
      <c r="G33" s="109">
        <f t="shared" si="2"/>
        <v>10.29</v>
      </c>
      <c r="H33" s="109">
        <f t="shared" si="2"/>
        <v>26.24</v>
      </c>
      <c r="I33" s="109">
        <f t="shared" si="2"/>
        <v>56.810000000000009</v>
      </c>
      <c r="J33" s="272">
        <f t="shared" si="2"/>
        <v>38.07</v>
      </c>
      <c r="K33" s="109">
        <f t="shared" si="2"/>
        <v>189.72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11" t="s">
        <v>264</v>
      </c>
      <c r="C37" s="388" t="str">
        <f>IF(B37=0,"",VLOOKUP($B37,Table2[],2,FALSE))</f>
        <v>Herbicide</v>
      </c>
      <c r="D37" s="388"/>
      <c r="E37" s="388"/>
      <c r="F37" s="112">
        <v>3</v>
      </c>
      <c r="G37" s="177">
        <v>1</v>
      </c>
      <c r="H37" s="178">
        <v>11</v>
      </c>
      <c r="I37" s="120" t="str">
        <f>IF($B37=0,"",VLOOKUP($B37,Table2[],5,FALSE))</f>
        <v>ounce</v>
      </c>
      <c r="J37" s="109">
        <f>IF($B37=0,"",VLOOKUP($B37,Table2[],7,FALSE))</f>
        <v>1.5234375</v>
      </c>
      <c r="K37" s="109">
        <f>IF(B37=0,0,ROUND(G37*H37*J37,2))</f>
        <v>16.760000000000002</v>
      </c>
      <c r="L37" s="110"/>
    </row>
    <row r="38" spans="1:12" x14ac:dyDescent="0.2">
      <c r="A38" s="105"/>
      <c r="B38" s="111" t="s">
        <v>266</v>
      </c>
      <c r="C38" s="388" t="str">
        <f>IF(B38=0,"",VLOOKUP($B38,Table2[],2,FALSE))</f>
        <v>Herbicide</v>
      </c>
      <c r="D38" s="388"/>
      <c r="E38" s="388"/>
      <c r="F38" s="112">
        <v>3</v>
      </c>
      <c r="G38" s="177">
        <v>1</v>
      </c>
      <c r="H38" s="178">
        <v>2</v>
      </c>
      <c r="I38" s="120" t="str">
        <f>IF($B38=0,"",VLOOKUP($B38,Table2[],5,FALSE))</f>
        <v>pint</v>
      </c>
      <c r="J38" s="109">
        <f>IF($B38=0,"",VLOOKUP($B38,Table2[],7,FALSE))</f>
        <v>7.5</v>
      </c>
      <c r="K38" s="109">
        <f t="shared" ref="K38:K56" si="3">IF(B38=0,0,ROUND(G38*H38*J38,2))</f>
        <v>15</v>
      </c>
      <c r="L38" s="110"/>
    </row>
    <row r="39" spans="1:12" x14ac:dyDescent="0.2">
      <c r="A39" s="105"/>
      <c r="B39" s="111" t="s">
        <v>332</v>
      </c>
      <c r="C39" s="388" t="str">
        <f>IF(B39=0,"",VLOOKUP($B39,Table2[],2,FALSE))</f>
        <v>Seed</v>
      </c>
      <c r="D39" s="388"/>
      <c r="E39" s="388"/>
      <c r="F39" s="112">
        <v>5</v>
      </c>
      <c r="G39" s="177">
        <v>1</v>
      </c>
      <c r="H39" s="178">
        <v>1</v>
      </c>
      <c r="I39" s="120" t="str">
        <f>IF($B39=0,"",VLOOKUP($B39,Table2[],5,FALSE))</f>
        <v>cwt</v>
      </c>
      <c r="J39" s="109">
        <f>IF($B39=0,"",VLOOKUP($B39,Table2[],7,FALSE))</f>
        <v>100</v>
      </c>
      <c r="K39" s="109">
        <f t="shared" si="3"/>
        <v>100</v>
      </c>
      <c r="L39" s="110"/>
    </row>
    <row r="40" spans="1:12" x14ac:dyDescent="0.2">
      <c r="A40" s="105"/>
      <c r="B40" s="217" t="s">
        <v>203</v>
      </c>
      <c r="C40" s="387" t="str">
        <f>IF(B40=0,"",VLOOKUP($B40,Table2[],2,FALSE))</f>
        <v>Fertilizer</v>
      </c>
      <c r="D40" s="387"/>
      <c r="E40" s="387"/>
      <c r="F40" s="218">
        <v>5</v>
      </c>
      <c r="G40" s="224">
        <v>1</v>
      </c>
      <c r="H40" s="225">
        <v>7</v>
      </c>
      <c r="I40" s="223" t="str">
        <f>IF($B40=0,"",VLOOKUP($B40,Table2[],5,FALSE))</f>
        <v>gallon</v>
      </c>
      <c r="J40" s="215">
        <f>IF($B40=0,"",VLOOKUP($B40,Table2[],7,FALSE))</f>
        <v>3.2</v>
      </c>
      <c r="K40" s="215">
        <f t="shared" si="3"/>
        <v>22.4</v>
      </c>
      <c r="L40" s="216"/>
    </row>
    <row r="41" spans="1:12" x14ac:dyDescent="0.2">
      <c r="A41" s="105"/>
      <c r="B41" s="111" t="s">
        <v>210</v>
      </c>
      <c r="C41" s="388" t="str">
        <f>IF(B41=0,"",VLOOKUP($B41,Table2[],2,FALSE))</f>
        <v>Fertilizer</v>
      </c>
      <c r="D41" s="388"/>
      <c r="E41" s="388"/>
      <c r="F41" s="112">
        <v>5</v>
      </c>
      <c r="G41" s="177">
        <v>1</v>
      </c>
      <c r="H41" s="178">
        <v>50</v>
      </c>
      <c r="I41" s="120" t="str">
        <f>IF($B41=0,"",VLOOKUP($B41,Table2[],5,FALSE))</f>
        <v>lbs N</v>
      </c>
      <c r="J41" s="109">
        <f>IF($B41=0,"",VLOOKUP($B41,Table2[],7,FALSE))</f>
        <v>0.55000000000000004</v>
      </c>
      <c r="K41" s="109">
        <f t="shared" si="3"/>
        <v>27.5</v>
      </c>
      <c r="L41" s="110"/>
    </row>
    <row r="42" spans="1:12" x14ac:dyDescent="0.2">
      <c r="A42" s="105"/>
      <c r="B42" s="111" t="s">
        <v>268</v>
      </c>
      <c r="C42" s="388" t="str">
        <f>IF(B42=0,"",VLOOKUP($B42,Table2[],2,FALSE))</f>
        <v>Herbicide</v>
      </c>
      <c r="D42" s="388"/>
      <c r="E42" s="388"/>
      <c r="F42" s="112">
        <v>6</v>
      </c>
      <c r="G42" s="177">
        <v>1</v>
      </c>
      <c r="H42" s="178">
        <v>4</v>
      </c>
      <c r="I42" s="120" t="str">
        <f>IF($B42=0,"",VLOOKUP($B42,Table2[],5,FALSE))</f>
        <v>ounce</v>
      </c>
      <c r="J42" s="109">
        <f>IF($B42=0,"",VLOOKUP($B42,Table2[],7,FALSE))</f>
        <v>3.671875</v>
      </c>
      <c r="K42" s="109">
        <f t="shared" si="3"/>
        <v>14.69</v>
      </c>
      <c r="L42" s="110"/>
    </row>
    <row r="43" spans="1:12" x14ac:dyDescent="0.2">
      <c r="A43" s="143"/>
      <c r="B43" s="111" t="s">
        <v>242</v>
      </c>
      <c r="C43" s="388" t="str">
        <f>IF(B43=0,"",VLOOKUP($B43,Table2[],2,FALSE))</f>
        <v>Herbicide</v>
      </c>
      <c r="D43" s="388"/>
      <c r="E43" s="388"/>
      <c r="F43" s="112">
        <v>6</v>
      </c>
      <c r="G43" s="177">
        <v>1</v>
      </c>
      <c r="H43" s="178">
        <v>1.2</v>
      </c>
      <c r="I43" s="120" t="str">
        <f>IF($B43=0,"",VLOOKUP($B43,Table2[],5,FALSE))</f>
        <v>pint</v>
      </c>
      <c r="J43" s="109">
        <f>IF($B43=0,"",VLOOKUP($B43,Table2[],7,FALSE))</f>
        <v>11.875</v>
      </c>
      <c r="K43" s="109">
        <f t="shared" si="3"/>
        <v>14.25</v>
      </c>
      <c r="L43" s="110"/>
    </row>
    <row r="44" spans="1:12" x14ac:dyDescent="0.2">
      <c r="A44" s="143"/>
      <c r="B44" s="217" t="s">
        <v>264</v>
      </c>
      <c r="C44" s="247"/>
      <c r="D44" s="247" t="s">
        <v>228</v>
      </c>
      <c r="E44" s="247"/>
      <c r="F44" s="218">
        <v>6</v>
      </c>
      <c r="G44" s="224">
        <v>1</v>
      </c>
      <c r="H44" s="225">
        <v>10</v>
      </c>
      <c r="I44" s="223" t="s">
        <v>174</v>
      </c>
      <c r="J44" s="215">
        <f>IF($B44=0,"",VLOOKUP($B44,Table2[],7,FALSE))</f>
        <v>1.5234375</v>
      </c>
      <c r="K44" s="215">
        <f t="shared" si="3"/>
        <v>15.23</v>
      </c>
      <c r="L44" s="216"/>
    </row>
    <row r="45" spans="1:12" x14ac:dyDescent="0.2">
      <c r="A45" s="143"/>
      <c r="B45" s="111" t="s">
        <v>181</v>
      </c>
      <c r="C45" s="388" t="str">
        <f>IF(B45=0,"",VLOOKUP($B45,Table2[],2,FALSE))</f>
        <v>Additive</v>
      </c>
      <c r="D45" s="388"/>
      <c r="E45" s="388"/>
      <c r="F45" s="112">
        <v>6</v>
      </c>
      <c r="G45" s="177">
        <v>1</v>
      </c>
      <c r="H45" s="178">
        <v>5</v>
      </c>
      <c r="I45" s="120" t="str">
        <f>IF($B45=0,"",VLOOKUP($B45,Table2[],5,FALSE))</f>
        <v>ounce</v>
      </c>
      <c r="J45" s="109">
        <f>IF($B45=0,"",VLOOKUP($B45,Table2[],7,FALSE))</f>
        <v>0.203125</v>
      </c>
      <c r="K45" s="109">
        <f>IF(B45=0,0,ROUND(G45*H45*J45,2))</f>
        <v>1.02</v>
      </c>
      <c r="L45" s="257"/>
    </row>
    <row r="46" spans="1:12" x14ac:dyDescent="0.2">
      <c r="A46" s="143"/>
      <c r="B46" s="111" t="s">
        <v>182</v>
      </c>
      <c r="C46" s="388" t="str">
        <f>IF(B46=0,"",VLOOKUP($B46,Table2[],2,FALSE))</f>
        <v>Additive</v>
      </c>
      <c r="D46" s="388"/>
      <c r="E46" s="388"/>
      <c r="F46" s="112">
        <v>6</v>
      </c>
      <c r="G46" s="177">
        <v>1</v>
      </c>
      <c r="H46" s="178">
        <v>4</v>
      </c>
      <c r="I46" s="120" t="str">
        <f>IF($B46=0,"",VLOOKUP($B46,Table2[],5,FALSE))</f>
        <v>pint</v>
      </c>
      <c r="J46" s="109">
        <f>IF($B46=0,"",VLOOKUP($B46,Table2[],7,FALSE))</f>
        <v>0.22500000000000001</v>
      </c>
      <c r="K46" s="109">
        <f t="shared" si="3"/>
        <v>0.9</v>
      </c>
      <c r="L46" s="110"/>
    </row>
    <row r="47" spans="1:12" x14ac:dyDescent="0.2">
      <c r="A47" s="143"/>
      <c r="B47" s="111" t="s">
        <v>291</v>
      </c>
      <c r="C47" s="388" t="str">
        <f>IF(B47=0,"",VLOOKUP($B47,Table2[],2,FALSE))</f>
        <v>Other</v>
      </c>
      <c r="D47" s="388"/>
      <c r="E47" s="388"/>
      <c r="F47" s="112">
        <v>7</v>
      </c>
      <c r="G47" s="177">
        <v>1</v>
      </c>
      <c r="H47" s="178">
        <v>1</v>
      </c>
      <c r="I47" s="120" t="str">
        <f>IF($B47=0,"",VLOOKUP($B47,Table2[],5,FALSE))</f>
        <v>acre</v>
      </c>
      <c r="J47" s="109">
        <f>IF($B47=0,"",VLOOKUP($B47,Table2[],7,FALSE))</f>
        <v>52</v>
      </c>
      <c r="K47" s="109">
        <f>IF(B47=0,0,ROUND(G47*H47*J47,2))</f>
        <v>52</v>
      </c>
      <c r="L47" s="110"/>
    </row>
    <row r="48" spans="1:12" ht="12.75" customHeight="1" x14ac:dyDescent="0.2">
      <c r="A48" s="143" t="s">
        <v>638</v>
      </c>
      <c r="B48" s="111" t="s">
        <v>183</v>
      </c>
      <c r="C48" s="388" t="str">
        <f>IF(B48=0,"",VLOOKUP($B48,Table2[],2,FALSE))</f>
        <v>Custom</v>
      </c>
      <c r="D48" s="388"/>
      <c r="E48" s="388"/>
      <c r="F48" s="112">
        <v>8</v>
      </c>
      <c r="G48" s="177">
        <v>0.6</v>
      </c>
      <c r="H48" s="178">
        <v>1</v>
      </c>
      <c r="I48" s="120" t="str">
        <f>IF($B48=0,"",VLOOKUP($B48,Table2[],5,FALSE))</f>
        <v>acre</v>
      </c>
      <c r="J48" s="109">
        <f>IF($B48=0,"",VLOOKUP($B48,Table2[],7,FALSE))</f>
        <v>11</v>
      </c>
      <c r="K48" s="109">
        <f t="shared" si="3"/>
        <v>6.6</v>
      </c>
      <c r="L48" s="110"/>
    </row>
    <row r="49" spans="1:12" x14ac:dyDescent="0.2">
      <c r="A49" s="143" t="s">
        <v>638</v>
      </c>
      <c r="B49" s="213" t="s">
        <v>284</v>
      </c>
      <c r="C49" s="387" t="str">
        <f>IF(B49=0,"",VLOOKUP($B49,Table2[],2,FALSE))</f>
        <v>Insecticide</v>
      </c>
      <c r="D49" s="387"/>
      <c r="E49" s="387"/>
      <c r="F49" s="218">
        <v>8</v>
      </c>
      <c r="G49" s="224">
        <v>0.6</v>
      </c>
      <c r="H49" s="225">
        <v>5.8</v>
      </c>
      <c r="I49" s="223" t="str">
        <f>IF($B49=0,"",VLOOKUP($B49,Table2[],5,FALSE))</f>
        <v>ounce</v>
      </c>
      <c r="J49" s="215">
        <f>IF($B49=0,"",VLOOKUP($B49,Table2[],7,FALSE))</f>
        <v>0.6640625</v>
      </c>
      <c r="K49" s="215">
        <f t="shared" si="3"/>
        <v>2.31</v>
      </c>
      <c r="L49" s="216"/>
    </row>
    <row r="50" spans="1:12" x14ac:dyDescent="0.2">
      <c r="A50" s="105"/>
      <c r="B50" s="111" t="s">
        <v>183</v>
      </c>
      <c r="C50" s="388" t="str">
        <f>IF(B50=0,"",VLOOKUP($B50,Table2[],2,FALSE))</f>
        <v>Custom</v>
      </c>
      <c r="D50" s="388"/>
      <c r="E50" s="388"/>
      <c r="F50" s="112">
        <v>9</v>
      </c>
      <c r="G50" s="177">
        <v>1</v>
      </c>
      <c r="H50" s="178">
        <v>1</v>
      </c>
      <c r="I50" s="120" t="str">
        <f>IF($B50=0,"",VLOOKUP($B50,Table2[],5,FALSE))</f>
        <v>acre</v>
      </c>
      <c r="J50" s="109">
        <f>IF($B50=0,"",VLOOKUP($B50,Table2[],7,FALSE))</f>
        <v>11</v>
      </c>
      <c r="K50" s="109">
        <f t="shared" si="3"/>
        <v>11</v>
      </c>
      <c r="L50" s="110"/>
    </row>
    <row r="51" spans="1:12" x14ac:dyDescent="0.2">
      <c r="A51" s="105"/>
      <c r="B51" s="180" t="s">
        <v>213</v>
      </c>
      <c r="C51" s="388" t="str">
        <f>IF(B51=0,"",VLOOKUP($B51,Table2[],2,FALSE))</f>
        <v>Fungicide</v>
      </c>
      <c r="D51" s="388"/>
      <c r="E51" s="388"/>
      <c r="F51" s="112">
        <v>9</v>
      </c>
      <c r="G51" s="177">
        <v>1</v>
      </c>
      <c r="H51" s="178">
        <v>2</v>
      </c>
      <c r="I51" s="120" t="str">
        <f>IF($B51=0,"",VLOOKUP($B51,Table2[],5,FALSE))</f>
        <v>pint</v>
      </c>
      <c r="J51" s="109">
        <f>IF($B51=0,"",VLOOKUP($B51,Table2[],7,FALSE))</f>
        <v>8</v>
      </c>
      <c r="K51" s="109">
        <f t="shared" si="3"/>
        <v>16</v>
      </c>
      <c r="L51" s="110"/>
    </row>
    <row r="52" spans="1:12" x14ac:dyDescent="0.2">
      <c r="B52" s="111" t="s">
        <v>219</v>
      </c>
      <c r="C52" s="388" t="str">
        <f>IF(B52=0,"",VLOOKUP($B52,Table2[],2,FALSE))</f>
        <v>Fungicide</v>
      </c>
      <c r="D52" s="388"/>
      <c r="E52" s="388"/>
      <c r="F52" s="112">
        <v>9</v>
      </c>
      <c r="G52" s="177">
        <v>1</v>
      </c>
      <c r="H52" s="178">
        <v>4</v>
      </c>
      <c r="I52" s="120" t="str">
        <f>IF($B52=0,"",VLOOKUP($B52,Table2[],5,FALSE))</f>
        <v>ounce</v>
      </c>
      <c r="J52" s="109">
        <f>IF($B52=0,"",VLOOKUP($B52,Table2[],7,FALSE))</f>
        <v>5</v>
      </c>
      <c r="K52" s="109">
        <f t="shared" si="3"/>
        <v>20</v>
      </c>
      <c r="L52" s="110"/>
    </row>
    <row r="53" spans="1:12" x14ac:dyDescent="0.2">
      <c r="B53" s="217" t="s">
        <v>930</v>
      </c>
      <c r="C53" s="387" t="str">
        <f>IF(B53=0,"",VLOOKUP($B53,Table2[],2,FALSE))</f>
        <v>Herbicide</v>
      </c>
      <c r="D53" s="387"/>
      <c r="E53" s="387"/>
      <c r="F53" s="218">
        <v>10</v>
      </c>
      <c r="G53" s="224">
        <v>0.1</v>
      </c>
      <c r="H53" s="225">
        <v>2</v>
      </c>
      <c r="I53" s="223" t="str">
        <f>IF($B53=0,"",VLOOKUP($B53,Table2[],5,FALSE))</f>
        <v>pint</v>
      </c>
      <c r="J53" s="215">
        <f>IF($B53=0,"",VLOOKUP($B53,Table2[],7,FALSE))</f>
        <v>5.375</v>
      </c>
      <c r="K53" s="309">
        <f t="shared" si="3"/>
        <v>1.08</v>
      </c>
      <c r="L53" s="216"/>
    </row>
    <row r="54" spans="1:12" ht="12.75" customHeight="1" x14ac:dyDescent="0.2">
      <c r="B54" s="111" t="s">
        <v>194</v>
      </c>
      <c r="C54" s="388" t="str">
        <f>IF(B54=0,"",VLOOKUP($B54,Table2[],2,FALSE))</f>
        <v>Custom</v>
      </c>
      <c r="D54" s="388"/>
      <c r="E54" s="388"/>
      <c r="F54" s="174">
        <v>12</v>
      </c>
      <c r="G54" s="177">
        <v>1</v>
      </c>
      <c r="H54" s="176">
        <f>$G$4</f>
        <v>27</v>
      </c>
      <c r="I54" s="120" t="str">
        <f>IF($B54=0,"",VLOOKUP($B54,Table2[],5,FALSE))</f>
        <v>cwt</v>
      </c>
      <c r="J54" s="109">
        <f>IF($B54=0,"",VLOOKUP($B54,Table2[],7,FALSE))</f>
        <v>0.32</v>
      </c>
      <c r="K54" s="305">
        <f t="shared" si="3"/>
        <v>8.64</v>
      </c>
      <c r="L54" s="110"/>
    </row>
    <row r="55" spans="1:12" x14ac:dyDescent="0.2">
      <c r="B55" s="180" t="s">
        <v>307</v>
      </c>
      <c r="C55" s="388" t="str">
        <f>IF(B55=0,"",VLOOKUP($B55,Table2[],2,FALSE))</f>
        <v>Scouting</v>
      </c>
      <c r="D55" s="388"/>
      <c r="E55" s="388"/>
      <c r="F55" s="112"/>
      <c r="G55" s="177">
        <v>1</v>
      </c>
      <c r="H55" s="178">
        <v>1</v>
      </c>
      <c r="I55" s="120" t="str">
        <f>IF($B55=0,"",VLOOKUP($B55,Table2[],5,FALSE))</f>
        <v>acre</v>
      </c>
      <c r="J55" s="109">
        <f>IF($B55=0,"",VLOOKUP($B55,Table2[],7,FALSE))</f>
        <v>13</v>
      </c>
      <c r="K55" s="305">
        <f t="shared" si="3"/>
        <v>13</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305">
        <f t="shared" si="3"/>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309">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305">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305">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305">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309">
        <f>IF(B61=0,0,ROUND(G61*H61*J61,2))</f>
        <v>0</v>
      </c>
      <c r="L61" s="227"/>
    </row>
    <row r="62" spans="1:12" x14ac:dyDescent="0.2">
      <c r="B62" s="185" t="s">
        <v>430</v>
      </c>
      <c r="C62" s="388" t="s">
        <v>655</v>
      </c>
      <c r="D62" s="388"/>
      <c r="E62" s="388"/>
      <c r="F62" s="112"/>
      <c r="G62" s="177"/>
      <c r="H62" s="178"/>
      <c r="I62" s="170"/>
      <c r="J62" s="109">
        <f ca="1">IF(F5=0,E5,F5)</f>
        <v>18</v>
      </c>
      <c r="K62" s="109">
        <f ca="1">IF(B62=0,0,J62)</f>
        <v>18</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 ca="1">SUM(K37:K62)</f>
        <v>376.38</v>
      </c>
      <c r="L64" s="110"/>
    </row>
    <row r="65" spans="2:12" x14ac:dyDescent="0.2">
      <c r="B65" s="144" t="s">
        <v>745</v>
      </c>
      <c r="K65" s="128"/>
    </row>
    <row r="66" spans="2:12" x14ac:dyDescent="0.2">
      <c r="B66" s="107" t="s">
        <v>672</v>
      </c>
      <c r="K66" s="141">
        <f ca="1">K33+K64</f>
        <v>566.1</v>
      </c>
      <c r="L66" s="110"/>
    </row>
    <row r="67" spans="2:12" ht="13.5" thickBot="1" x14ac:dyDescent="0.25">
      <c r="D67" s="128" t="s">
        <v>673</v>
      </c>
      <c r="E67" s="129">
        <f ca="1">ROUND(SUM($E$33:$H$33)+$K$64,2)</f>
        <v>471.22</v>
      </c>
      <c r="F67" s="388" t="s">
        <v>674</v>
      </c>
      <c r="G67" s="388"/>
      <c r="H67" s="130">
        <f>'General Variables'!$B$11</f>
        <v>7.4999999999999997E-2</v>
      </c>
      <c r="I67" s="131" t="str">
        <f>CONCATENATE("for ",TEXT('General Variables'!$B$12,"0.0")," mo.")</f>
        <v>for 6.0 mo.</v>
      </c>
      <c r="K67" s="145">
        <f ca="1">E67*H67*'General Variables'!$B$12/12</f>
        <v>17.670750000000002</v>
      </c>
      <c r="L67" s="133"/>
    </row>
    <row r="68" spans="2:12" ht="13.5" thickTop="1" x14ac:dyDescent="0.2">
      <c r="B68" s="107" t="s">
        <v>675</v>
      </c>
      <c r="K68" s="141">
        <f ca="1">SUM(K66:K67)</f>
        <v>583.77075000000002</v>
      </c>
      <c r="L68" s="110"/>
    </row>
    <row r="69" spans="2:12" x14ac:dyDescent="0.2">
      <c r="K69" s="128"/>
    </row>
    <row r="70" spans="2:12" x14ac:dyDescent="0.2">
      <c r="B70" s="104" t="s">
        <v>676</v>
      </c>
      <c r="C70" s="134"/>
      <c r="D70" s="134"/>
      <c r="E70" s="134"/>
      <c r="F70" s="134"/>
      <c r="G70" s="134"/>
      <c r="H70" s="134"/>
      <c r="I70" s="134"/>
      <c r="J70" s="134"/>
      <c r="K70" s="142">
        <f>'General Variables'!B14</f>
        <v>35</v>
      </c>
      <c r="L70" s="110"/>
    </row>
    <row r="71" spans="2:12" x14ac:dyDescent="0.2">
      <c r="B71" s="103" t="s">
        <v>687</v>
      </c>
      <c r="C71" s="398" t="s">
        <v>42</v>
      </c>
      <c r="D71" s="399"/>
      <c r="E71" s="400"/>
      <c r="F71" s="136">
        <f>IF(C71=0,0,VLOOKUP(C71,RETable,2,FALSE))</f>
        <v>3970</v>
      </c>
      <c r="G71" s="388" t="s">
        <v>678</v>
      </c>
      <c r="H71" s="388"/>
      <c r="I71" s="130">
        <f>'General Variables'!$B$10</f>
        <v>0.03</v>
      </c>
      <c r="K71" s="146">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7">
        <f>ROUND(F72*I72,2)</f>
        <v>51.61</v>
      </c>
      <c r="L72" s="133"/>
    </row>
    <row r="73" spans="2:12" ht="13.5" thickTop="1" x14ac:dyDescent="0.2">
      <c r="B73" s="107" t="s">
        <v>680</v>
      </c>
      <c r="K73" s="141">
        <f ca="1">SUM(K68:K72)</f>
        <v>789.48075000000006</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21.314842592592594</v>
      </c>
      <c r="L75" s="148"/>
    </row>
    <row r="76" spans="2:12" x14ac:dyDescent="0.2">
      <c r="B76" s="107" t="str">
        <f>IF(G4="","","Cost of production per "&amp;H4)</f>
        <v>Cost of production per cwt</v>
      </c>
      <c r="K76" s="141">
        <f ca="1">IF(G4="","",K73/G4)</f>
        <v>29.24002777777778</v>
      </c>
      <c r="L76" s="110"/>
    </row>
    <row r="78" spans="2:12" ht="51" customHeight="1" x14ac:dyDescent="0.2">
      <c r="B78" s="405" t="s">
        <v>748</v>
      </c>
      <c r="C78" s="406"/>
      <c r="D78" s="406"/>
      <c r="E78" s="406"/>
      <c r="F78" s="406"/>
      <c r="G78" s="406"/>
      <c r="H78" s="406"/>
      <c r="I78" s="406"/>
      <c r="J78" s="406"/>
      <c r="K78" s="406"/>
      <c r="L78" s="407"/>
    </row>
    <row r="80" spans="2:12" x14ac:dyDescent="0.2">
      <c r="D80" s="103" t="s">
        <v>900</v>
      </c>
      <c r="G80" s="105"/>
      <c r="H80" s="105"/>
      <c r="I80" s="105"/>
      <c r="J80" s="105"/>
      <c r="K80" s="355" t="s">
        <v>901</v>
      </c>
      <c r="L80"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9">
    <mergeCell ref="G10:H10"/>
    <mergeCell ref="I10:J10"/>
    <mergeCell ref="K10:K11"/>
    <mergeCell ref="L10:L11"/>
    <mergeCell ref="F35:F36"/>
    <mergeCell ref="G35:G36"/>
    <mergeCell ref="H35:I35"/>
    <mergeCell ref="J35:J36"/>
    <mergeCell ref="L35:L36"/>
    <mergeCell ref="C37:E37"/>
    <mergeCell ref="B10:B11"/>
    <mergeCell ref="C10:C11"/>
    <mergeCell ref="E10:E11"/>
    <mergeCell ref="F10:F11"/>
    <mergeCell ref="C50:E50"/>
    <mergeCell ref="C38:E38"/>
    <mergeCell ref="C39:E39"/>
    <mergeCell ref="C40:E40"/>
    <mergeCell ref="C41:E41"/>
    <mergeCell ref="C42:E42"/>
    <mergeCell ref="C43:E43"/>
    <mergeCell ref="C45:E45"/>
    <mergeCell ref="C46:E46"/>
    <mergeCell ref="C47:E47"/>
    <mergeCell ref="C48:E48"/>
    <mergeCell ref="C49:E49"/>
    <mergeCell ref="C62:E62"/>
    <mergeCell ref="C51:E51"/>
    <mergeCell ref="C52:E52"/>
    <mergeCell ref="C53:E53"/>
    <mergeCell ref="C54:E54"/>
    <mergeCell ref="C55:E55"/>
    <mergeCell ref="C56:E56"/>
    <mergeCell ref="C57:E57"/>
    <mergeCell ref="C58:E58"/>
    <mergeCell ref="C59:E59"/>
    <mergeCell ref="C60:E60"/>
    <mergeCell ref="C61:E61"/>
    <mergeCell ref="B78:L78"/>
    <mergeCell ref="F67:G67"/>
    <mergeCell ref="C71:E71"/>
    <mergeCell ref="G71:H71"/>
    <mergeCell ref="G72:H72"/>
    <mergeCell ref="B7:L7"/>
    <mergeCell ref="C3:E3"/>
    <mergeCell ref="K2:L2"/>
    <mergeCell ref="G2:H2"/>
    <mergeCell ref="C4:E4"/>
    <mergeCell ref="A6:L6"/>
  </mergeCells>
  <dataValidations count="9">
    <dataValidation type="list" allowBlank="1" showInputMessage="1" showErrorMessage="1" sqref="K4" xr:uid="{00000000-0002-0000-3200-000000000000}">
      <formula1>$K$111:$K$113</formula1>
    </dataValidation>
    <dataValidation type="list" allowBlank="1" showInputMessage="1" showErrorMessage="1" sqref="B63" xr:uid="{00000000-0002-0000-3200-000001000000}">
      <formula1>$C$111:$C$229</formula1>
    </dataValidation>
    <dataValidation type="list" allowBlank="1" showInputMessage="1" showErrorMessage="1" sqref="B32" xr:uid="{00000000-0002-0000-3200-000002000000}">
      <formula1>$B$111:$B$208</formula1>
    </dataValidation>
    <dataValidation type="list" allowBlank="1" showInputMessage="1" showErrorMessage="1" sqref="B37:B61" xr:uid="{00000000-0002-0000-3200-000003000000}">
      <formula1>MaterialList</formula1>
    </dataValidation>
    <dataValidation type="list" allowBlank="1" showInputMessage="1" showErrorMessage="1" sqref="C71:E71" xr:uid="{00000000-0002-0000-3200-000004000000}">
      <formula1>RealEstateList</formula1>
    </dataValidation>
    <dataValidation type="list" allowBlank="1" showInputMessage="1" showErrorMessage="1" sqref="B12:B31" xr:uid="{00000000-0002-0000-3200-000005000000}">
      <formula1>OperationList</formula1>
    </dataValidation>
    <dataValidation type="list" allowBlank="1" showInputMessage="1" showErrorMessage="1" sqref="D12:D18 D20:D32" xr:uid="{00000000-0002-0000-3200-000006000000}">
      <formula1>#REF!</formula1>
    </dataValidation>
    <dataValidation type="list" allowBlank="1" showInputMessage="1" showErrorMessage="1" sqref="K2" xr:uid="{00000000-0002-0000-3200-000007000000}">
      <formula1>watersource</formula1>
    </dataValidation>
    <dataValidation type="list" allowBlank="1" showInputMessage="1" showErrorMessage="1" sqref="C3" xr:uid="{00000000-0002-0000-3200-000008000000}">
      <formula1>TillageSystem</formula1>
    </dataValidation>
  </dataValidations>
  <pageMargins left="0.7" right="0.7" top="0.75" bottom="0.75" header="0.3" footer="0.3"/>
  <pageSetup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33">
    <pageSetUpPr fitToPage="1"/>
  </sheetPr>
  <dimension ref="A1:M255"/>
  <sheetViews>
    <sheetView topLeftCell="A38" zoomScaleNormal="100" workbookViewId="0">
      <selection activeCell="G42" sqref="G4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1" spans="1:13" hidden="1" x14ac:dyDescent="0.2"/>
    <row r="2" spans="1:13" ht="14.25" hidden="1" customHeight="1" x14ac:dyDescent="0.2">
      <c r="B2" s="103" t="s">
        <v>20</v>
      </c>
      <c r="C2" s="187" t="s">
        <v>724</v>
      </c>
      <c r="D2" s="187"/>
      <c r="E2" s="187"/>
      <c r="F2" s="128" t="s">
        <v>648</v>
      </c>
      <c r="G2" s="392"/>
      <c r="H2" s="392"/>
      <c r="J2" s="128" t="s">
        <v>649</v>
      </c>
      <c r="K2" s="401" t="s">
        <v>74</v>
      </c>
      <c r="L2" s="401"/>
    </row>
    <row r="3" spans="1:13" hidden="1" x14ac:dyDescent="0.2">
      <c r="B3" s="103" t="s">
        <v>38</v>
      </c>
      <c r="C3" s="391" t="s">
        <v>43</v>
      </c>
      <c r="D3" s="391"/>
      <c r="E3" s="391"/>
      <c r="G3" s="128" t="s">
        <v>650</v>
      </c>
      <c r="H3" s="187" t="s">
        <v>756</v>
      </c>
      <c r="J3" s="128" t="s">
        <v>651</v>
      </c>
      <c r="K3" s="187"/>
    </row>
    <row r="4" spans="1:13" hidden="1" x14ac:dyDescent="0.2">
      <c r="B4" s="103" t="s">
        <v>652</v>
      </c>
      <c r="C4" s="392"/>
      <c r="D4" s="392"/>
      <c r="E4" s="392"/>
      <c r="G4" s="103">
        <f>IFERROR(VALUE(LEFT($H$3,FIND(" ",$H$3))),"")</f>
        <v>85</v>
      </c>
      <c r="H4" s="103" t="str">
        <f>IFERROR(RIGHT(H3,LEN(H3)-LEN(G4)-1),"")</f>
        <v>bushel</v>
      </c>
      <c r="J4" s="128" t="s">
        <v>653</v>
      </c>
      <c r="K4" s="188" t="s">
        <v>654</v>
      </c>
    </row>
    <row r="5" spans="1:13" ht="15.75" hidden="1" customHeight="1" x14ac:dyDescent="0.2">
      <c r="B5" s="103" t="s">
        <v>655</v>
      </c>
      <c r="C5" s="103" t="str">
        <f ca="1">MID(CELL("filename",C5),FIND("]",CELL("filename",C5))+1,255)</f>
        <v>47-Grain Sorghum</v>
      </c>
      <c r="E5" s="103">
        <f ca="1">VLOOKUP($C$5,CropInsurance,5,FALSE)</f>
        <v>14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47-Grain Sorghum, Southwest, Conventional Tillage, 85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47-Grain Sorghum, Southwest, Conventional Tillage, 85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1" si="0">IF(C13&gt;9999,"",ROUND(SUM(E13:J13),2))</f>
        <v>14.98</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526</v>
      </c>
      <c r="C16" s="174">
        <v>1</v>
      </c>
      <c r="D16" s="174"/>
      <c r="E16" s="109">
        <f>IF(B16=0,"",IF(C16&gt;9999,"",ROUND('General Variables'!$B$4*VLOOKUP(B16,Operations!$A$2:$U$79,10,FALSE)/VLOOKUP(B16,Operations!$A$2:$U$79,9,FALSE)*C16,2)))</f>
        <v>3.24</v>
      </c>
      <c r="F16" s="109">
        <f>IF(B16=0,0,IF(C16&gt;9999,"",ROUND(IF(VLOOKUP(B16,Operations!$A$2:$U$79,12,FALSE)=0,VLOOKUP(B16,Operations!$A$2:$U$79,13,FALSE)*'General Variables'!$B$8,VLOOKUP(B16,Operations!$A$2:$U$79,12,FALSE)*'General Variables'!$B$7)/VLOOKUP(B16,Operations!$A$2:$U$79,9,FALSE)*C16,2)))</f>
        <v>0.87</v>
      </c>
      <c r="G16" s="109">
        <f>IF(B16=0,0,IF(C16&gt;9999,"",ROUND(VLOOKUP(VLOOKUP(B16,Operations!$A$2:$U$79,11,FALSE),PowerUnits[],10,FALSE)/VLOOKUP(B16,Operations!$A$2:$U$79,9,FALSE)*C16,2)))</f>
        <v>0.08</v>
      </c>
      <c r="H16" s="109">
        <f>IF(B16=0,"",IF(C16&gt;9999,"",ROUND(VLOOKUP($B16,Operations!$A$2:$U$79,15,FALSE)*C16,2)))</f>
        <v>6.97</v>
      </c>
      <c r="I16" s="109">
        <f>IF(B16=0,0,IF(C16&gt;9999,"",ROUND(VLOOKUP(VLOOKUP(B16,Operations!$A$2:$U$79,11,FALSE),PowerUnits[],16,FALSE)/VLOOKUP(B16,Operations!$A$2:$U$79,9,FALSE)*C16,2)))</f>
        <v>4.33</v>
      </c>
      <c r="J16" s="109">
        <f>IF(B16=0,"",IF(C16&gt;9999,"",ROUND(VLOOKUP($B16,Operations!$A$2:$U$79,21,FALSE)*$C16,2)))</f>
        <v>6.61</v>
      </c>
      <c r="K16" s="109">
        <f t="shared" si="0"/>
        <v>22.1</v>
      </c>
      <c r="L16" s="110"/>
    </row>
    <row r="17" spans="1:12" x14ac:dyDescent="0.2">
      <c r="A17" s="170">
        <v>6</v>
      </c>
      <c r="B17" s="180" t="s">
        <v>545</v>
      </c>
      <c r="C17" s="174">
        <v>1</v>
      </c>
      <c r="D17" s="174"/>
      <c r="E17" s="109">
        <f>IF(B17=0,"",IF(C17&gt;9999,"",ROUND('General Variables'!$B$4*VLOOKUP(B17,Operations!$A$2:$U$79,10,FALSE)/VLOOKUP(B17,Operations!$A$2:$U$79,9,FALSE)*C17,2)))</f>
        <v>2.7</v>
      </c>
      <c r="F17" s="109">
        <f>IF(B17=0,0,IF(C17&gt;9999,"",ROUND(IF(VLOOKUP(B17,Operations!$A$2:$U$79,12,FALSE)=0,VLOOKUP(B17,Operations!$A$2:$U$79,13,FALSE)*'General Variables'!$B$8,VLOOKUP(B17,Operations!$A$2:$U$79,12,FALSE)*'General Variables'!$B$7)/VLOOKUP(B17,Operations!$A$2:$U$79,9,FALSE)*C17,2)))</f>
        <v>1.02</v>
      </c>
      <c r="G17" s="109">
        <f>IF(B17=0,0,IF(C17&gt;9999,"",ROUND(VLOOKUP(VLOOKUP(B17,Operations!$A$2:$U$79,11,FALSE),PowerUnits[],10,FALSE)/VLOOKUP(B17,Operations!$A$2:$U$79,9,FALSE)*C17,2)))</f>
        <v>0.08</v>
      </c>
      <c r="H17" s="109">
        <f>IF(B17=0,"",IF(C17&gt;9999,"",ROUND(VLOOKUP($B17,Operations!$A$2:$U$79,15,FALSE)*C17,2)))</f>
        <v>1.4</v>
      </c>
      <c r="I17" s="109">
        <f>IF(B17=0,0,IF(C17&gt;9999,"",ROUND(VLOOKUP(VLOOKUP(B17,Operations!$A$2:$U$79,11,FALSE),PowerUnits[],16,FALSE)/VLOOKUP(B17,Operations!$A$2:$U$79,9,FALSE)*C17,2)))</f>
        <v>3.93</v>
      </c>
      <c r="J17" s="109">
        <f>IF(B17=0,"",IF(C17&gt;9999,"",ROUND(VLOOKUP($B17,Operations!$A$2:$U$79,21,FALSE)*$C17,2)))</f>
        <v>3.2</v>
      </c>
      <c r="K17" s="109">
        <f t="shared" si="0"/>
        <v>12.33</v>
      </c>
      <c r="L17" s="110"/>
    </row>
    <row r="18" spans="1:12" x14ac:dyDescent="0.2">
      <c r="A18" s="170">
        <v>7</v>
      </c>
      <c r="B18" s="180" t="s">
        <v>545</v>
      </c>
      <c r="C18" s="174">
        <v>0.25</v>
      </c>
      <c r="D18" s="174"/>
      <c r="E18" s="109">
        <f>IF(B18=0,"",IF(C18&gt;9999,"",ROUND('General Variables'!$B$4*VLOOKUP(B18,Operations!$A$2:$U$79,10,FALSE)/VLOOKUP(B18,Operations!$A$2:$U$79,9,FALSE)*C18,2)))</f>
        <v>0.68</v>
      </c>
      <c r="F18" s="109">
        <f>IF(B18=0,0,IF(C18&gt;9999,"",ROUND(IF(VLOOKUP(B18,Operations!$A$2:$U$79,12,FALSE)=0,VLOOKUP(B18,Operations!$A$2:$U$79,13,FALSE)*'General Variables'!$B$8,VLOOKUP(B18,Operations!$A$2:$U$79,12,FALSE)*'General Variables'!$B$7)/VLOOKUP(B18,Operations!$A$2:$U$79,9,FALSE)*C18,2)))</f>
        <v>0.25</v>
      </c>
      <c r="G18" s="109">
        <f>IF(B18=0,0,IF(C18&gt;9999,"",ROUND(VLOOKUP(VLOOKUP(B18,Operations!$A$2:$U$79,11,FALSE),PowerUnits[],10,FALSE)/VLOOKUP(B18,Operations!$A$2:$U$79,9,FALSE)*C18,2)))</f>
        <v>0.02</v>
      </c>
      <c r="H18" s="109">
        <f>IF(B18=0,"",IF(C18&gt;9999,"",ROUND(VLOOKUP($B18,Operations!$A$2:$U$79,15,FALSE)*C18,2)))</f>
        <v>0.35</v>
      </c>
      <c r="I18" s="109">
        <f>IF(B18=0,0,IF(C18&gt;9999,"",ROUND(VLOOKUP(VLOOKUP(B18,Operations!$A$2:$U$79,11,FALSE),PowerUnits[],16,FALSE)/VLOOKUP(B18,Operations!$A$2:$U$79,9,FALSE)*C18,2)))</f>
        <v>0.98</v>
      </c>
      <c r="J18" s="109">
        <f>IF(B18=0,"",IF(C18&gt;9999,"",ROUND(VLOOKUP($B18,Operations!$A$2:$U$79,21,FALSE)*$C18,2)))</f>
        <v>0.8</v>
      </c>
      <c r="K18" s="109">
        <f t="shared" si="0"/>
        <v>3.08</v>
      </c>
      <c r="L18" s="110"/>
    </row>
    <row r="19" spans="1:12" x14ac:dyDescent="0.2">
      <c r="A19" s="170">
        <v>8</v>
      </c>
      <c r="B19" s="213" t="s">
        <v>551</v>
      </c>
      <c r="C19" s="214">
        <v>0.8</v>
      </c>
      <c r="D19" s="214"/>
      <c r="E19" s="215">
        <f>IF(B19=0,"",IF(C19&gt;9999,"",ROUND('General Variables'!$B$4*VLOOKUP(B19,Operations!$A$2:$U$79,10,FALSE)/VLOOKUP(B19,Operations!$A$2:$U$79,9,FALSE)*C19,2)))</f>
        <v>0.82</v>
      </c>
      <c r="F19" s="215">
        <f>IF(B19=0,0,IF(C19&gt;9999,"",ROUND(IF(VLOOKUP(B19,Operations!$A$2:$U$79,12,FALSE)=0,VLOOKUP(B19,Operations!$A$2:$U$79,13,FALSE)*'General Variables'!$B$8,VLOOKUP(B19,Operations!$A$2:$U$79,12,FALSE)*'General Variables'!$B$7)/VLOOKUP(B19,Operations!$A$2:$U$79,9,FALSE)*C19,2)))</f>
        <v>0.2</v>
      </c>
      <c r="G19" s="215">
        <f>IF(B19=0,0,IF(C19&gt;9999,"",ROUND(VLOOKUP(VLOOKUP(B19,Operations!$A$2:$U$79,11,FALSE),PowerUnits[],10,FALSE)/VLOOKUP(B19,Operations!$A$2:$U$79,9,FALSE)*C19,2)))</f>
        <v>0.02</v>
      </c>
      <c r="H19" s="215">
        <f>IF(B19=0,"",IF(C19&gt;9999,"",ROUND(VLOOKUP($B19,Operations!$A$2:$U$79,15,FALSE)*C19,2)))</f>
        <v>0.89</v>
      </c>
      <c r="I19" s="215">
        <f>IF(B19=0,0,IF(C19&gt;9999,"",ROUND(VLOOKUP(VLOOKUP(B19,Operations!$A$2:$U$79,11,FALSE),PowerUnits[],16,FALSE)/VLOOKUP(B19,Operations!$A$2:$U$79,9,FALSE)*C19,2)))</f>
        <v>1.05</v>
      </c>
      <c r="J19" s="215">
        <f>IF(B19=0,"",IF(C19&gt;9999,"",ROUND(VLOOKUP($B19,Operations!$A$2:$U$79,21,FALSE)*$C19,2)))</f>
        <v>1.61</v>
      </c>
      <c r="K19" s="215">
        <f t="shared" si="0"/>
        <v>4.59</v>
      </c>
      <c r="L19" s="216"/>
    </row>
    <row r="20" spans="1:12" x14ac:dyDescent="0.2">
      <c r="A20" s="170">
        <v>9</v>
      </c>
      <c r="B20" s="180" t="s">
        <v>183</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938</v>
      </c>
      <c r="C21" s="174">
        <f>$G$4</f>
        <v>85</v>
      </c>
      <c r="D21" s="112"/>
      <c r="E21" s="109">
        <f>IF(B21=0,"",IF(C21&gt;9999,"",ROUND('General Variables'!$B$4*VLOOKUP(B21,Operations!$A$2:$U$79,10,FALSE)/VLOOKUP(B21,Operations!$A$2:$U$79,9,FALSE)*C21,2))/100)</f>
        <v>1.9419</v>
      </c>
      <c r="F21" s="109">
        <f>IF(B21=0,0,IF(C21&gt;9999,"",ROUND(IF(VLOOKUP(B21,Operations!$A$2:$U$79,12,FALSE)=0,VLOOKUP(B21,Operations!$A$2:$U$79,13,FALSE)*'General Variables'!$B$8,VLOOKUP(B21,Operations!$A$2:$U$79,12,FALSE)*'General Variables'!$B$7)/VLOOKUP(B21,Operations!$A$2:$U$79,9,FALSE)*C21,2))/100)</f>
        <v>2.1949000000000001</v>
      </c>
      <c r="G21" s="109">
        <f>IF(B21=0,0,IF(C21&gt;9999,"",ROUND(VLOOKUP(VLOOKUP(B21,Operations!$A$2:$U$79,11,FALSE),PowerUnits[],10,FALSE)/VLOOKUP(B21,Operations!$A$2:$U$79,9,FALSE)*C21,2))/100)</f>
        <v>3.3744000000000001</v>
      </c>
      <c r="H21" s="109">
        <f>IF(B21=0,"",IF(C21&gt;9999,"",ROUND(VLOOKUP($B21,Operations!$A$2:$U$79,15,FALSE)*C21,2))/100)</f>
        <v>0.26729999999999998</v>
      </c>
      <c r="I21" s="109">
        <f>IF(B21=0,0,IF(C21&gt;9999,"",ROUND(VLOOKUP(VLOOKUP(B21,Operations!$A$2:$U$79,11,FALSE),PowerUnits[],16,FALSE)/VLOOKUP(B21,Operations!$A$2:$U$79,9,FALSE)*C21,2))/100)</f>
        <v>8.1264000000000003</v>
      </c>
      <c r="J21" s="109">
        <f>IF(B21=0,"",IF(C21&gt;9999,"",ROUND(VLOOKUP($B21,Operations!$A$2:$U$79,21,FALSE)*$C21,2))/100)</f>
        <v>3.1425000000000001</v>
      </c>
      <c r="K21" s="109">
        <f>IF(C21&gt;9999,"",ROUND(SUM(E21:J21),2))</f>
        <v>19.05</v>
      </c>
      <c r="L21" s="110"/>
    </row>
    <row r="22" spans="1:12" x14ac:dyDescent="0.2">
      <c r="A22" s="170">
        <v>11</v>
      </c>
      <c r="B22" s="180" t="s">
        <v>414</v>
      </c>
      <c r="C22" s="174">
        <f>$G$4</f>
        <v>85</v>
      </c>
      <c r="D22" s="112" t="s">
        <v>706</v>
      </c>
      <c r="E22" s="109">
        <f>IF(B22=0,"",IF(C22&gt;9999,"",ROUND('General Variables'!$B$4*VLOOKUP(B22,Operations!$A$2:$U$79,10,FALSE)/VLOOKUP(B22,Operations!$A$2:$U$79,9,FALSE)*C22,2)))</f>
        <v>0.77</v>
      </c>
      <c r="F22" s="109">
        <f>IF(B22=0,0,IF(C22&gt;9999,"",ROUND(IF(VLOOKUP(B22,Operations!$A$2:$U$79,12,FALSE)=0,VLOOKUP(B22,Operations!$A$2:$U$79,13,FALSE)*'General Variables'!$B$8,VLOOKUP(B22,Operations!$A$2:$U$79,12,FALSE)*'General Variables'!$B$7)/VLOOKUP(B22,Operations!$A$2:$U$79,9,FALSE)*C22,2)))</f>
        <v>0.25</v>
      </c>
      <c r="G22" s="109">
        <f>IF(B22=0,0,IF(C22&gt;9999,"",ROUND(VLOOKUP(VLOOKUP(B22,Operations!$A$2:$U$79,11,FALSE),PowerUnits[],10,FALSE)/VLOOKUP(B22,Operations!$A$2:$U$79,9,FALSE)*C22,2)))</f>
        <v>0.02</v>
      </c>
      <c r="H22" s="109">
        <f>IF(B22=0,"",IF(C22&gt;9999,"",ROUND(VLOOKUP($B22,Operations!$A$2:$U$79,15,FALSE)*C22,2)))</f>
        <v>0.47</v>
      </c>
      <c r="I22" s="109">
        <f>IF(B22=0,0,IF(C22&gt;9999,"",ROUND(VLOOKUP(VLOOKUP(B22,Operations!$A$2:$U$79,11,FALSE),PowerUnits[],16,FALSE)/VLOOKUP(B22,Operations!$A$2:$U$79,9,FALSE)*C22,2)))</f>
        <v>1.1100000000000001</v>
      </c>
      <c r="J22" s="109">
        <f>IF(B22=0,"",IF(C22&gt;9999,"",ROUND(VLOOKUP($B22,Operations!$A$2:$U$79,21,FALSE)*$C22,2)))</f>
        <v>0.94</v>
      </c>
      <c r="K22" s="109">
        <f t="shared" si="0"/>
        <v>3.56</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290"/>
      <c r="D24" s="291"/>
      <c r="E24" s="292" t="str">
        <f>IF(B24=0,"",IF(C24&gt;9999,"",ROUND('General Variables'!$B$4*VLOOKUP(B24,Operations!$A$2:$U$79,10,FALSE)/VLOOKUP(B24,Operations!$A$2:$U$79,9,FALSE)*C24,2)))</f>
        <v/>
      </c>
      <c r="F24" s="292">
        <f>IF(B24=0,0,IF(C24&gt;9999,"",ROUND(IF(VLOOKUP(B24,Operations!$A$2:$U$79,12,FALSE)=0,VLOOKUP(B24,Operations!$A$2:$U$79,13,FALSE)*'General Variables'!$B$8,VLOOKUP(B24,Operations!$A$2:$U$79,12,FALSE)*'General Variables'!$B$7)/VLOOKUP(B24,Operations!$A$2:$U$79,9,FALSE)*C24,2)))</f>
        <v>0</v>
      </c>
      <c r="G24" s="292">
        <f>IF(B24=0,0,IF(C24&gt;9999,"",ROUND(VLOOKUP(VLOOKUP(B24,Operations!$A$2:$U$79,11,FALSE),PowerUnits[],10,FALSE)/VLOOKUP(B24,Operations!$A$2:$U$79,9,FALSE)*C24,2)))</f>
        <v>0</v>
      </c>
      <c r="H24" s="292" t="str">
        <f>IF(B24=0,"",IF(C24&gt;9999,"",ROUND(VLOOKUP($B24,Operations!$A$2:$U$79,15,FALSE)*C24,2)))</f>
        <v/>
      </c>
      <c r="I24" s="292">
        <f>IF(B24=0,0,IF(C24&gt;9999,"",ROUND(VLOOKUP(VLOOKUP(B24,Operations!$A$2:$U$79,11,FALSE),PowerUnits[],16,FALSE)/VLOOKUP(B24,Operations!$A$2:$U$79,9,FALSE)*C24,2)))</f>
        <v>0</v>
      </c>
      <c r="J24" s="292" t="str">
        <f>IF(B24=0,"",IF(C24&gt;9999,"",ROUND(VLOOKUP($B24,Operations!$A$2:$U$79,21,FALSE)*$C24,2)))</f>
        <v/>
      </c>
      <c r="K24" s="292">
        <f t="shared" si="0"/>
        <v>0</v>
      </c>
      <c r="L24" s="110"/>
    </row>
    <row r="25" spans="1:12" hidden="1" x14ac:dyDescent="0.2">
      <c r="A25" s="170">
        <v>14</v>
      </c>
      <c r="B25" s="111"/>
      <c r="C25" s="283"/>
      <c r="D25" s="283"/>
      <c r="E25" s="284" t="str">
        <f>IF(B25=0,"",IF(C25&gt;9999,"",ROUND('General Variables'!$B$4*VLOOKUP(B25,Operations!$A$2:$U$79,10,FALSE)/VLOOKUP(B25,Operations!$A$2:$U$79,9,FALSE)*C25,2)))</f>
        <v/>
      </c>
      <c r="F25" s="284">
        <f>IF(B25=0,0,IF(C25&gt;9999,"",ROUND(IF(VLOOKUP(B25,Operations!$A$2:$U$79,12,FALSE)=0,VLOOKUP(B25,Operations!$A$2:$U$79,13,FALSE)*'General Variables'!$B$8,VLOOKUP(B25,Operations!$A$2:$U$79,12,FALSE)*'General Variables'!$B$7)/VLOOKUP(B25,Operations!$A$2:$U$79,9,FALSE)*C25,2)))</f>
        <v>0</v>
      </c>
      <c r="G25" s="284">
        <f>IF(B25=0,0,IF(C25&gt;9999,"",ROUND(VLOOKUP(VLOOKUP(B25,Operations!$A$2:$U$79,11,FALSE),PowerUnits[],10,FALSE)/VLOOKUP(B25,Operations!$A$2:$U$79,9,FALSE)*C25,2)))</f>
        <v>0</v>
      </c>
      <c r="H25" s="284" t="str">
        <f>IF(B25=0,"",IF(C25&gt;9999,"",ROUND(VLOOKUP($B25,Operations!$A$2:$U$79,15,FALSE)*C25,2)))</f>
        <v/>
      </c>
      <c r="I25" s="284">
        <f>IF(B25=0,0,IF(C25&gt;9999,"",ROUND(VLOOKUP(VLOOKUP(B25,Operations!$A$2:$U$79,11,FALSE),PowerUnits[],16,FALSE)/VLOOKUP(B25,Operations!$A$2:$U$79,9,FALSE)*C25,2)))</f>
        <v>0</v>
      </c>
      <c r="J25" s="284" t="str">
        <f>IF(B25=0,"",IF(C25&gt;9999,"",ROUND(VLOOKUP($B25,Operations!$A$2:$U$79,21,FALSE)*$C25,2)))</f>
        <v/>
      </c>
      <c r="K25" s="284">
        <f t="shared" si="0"/>
        <v>0</v>
      </c>
      <c r="L25" s="110"/>
    </row>
    <row r="26" spans="1:12" hidden="1" x14ac:dyDescent="0.2">
      <c r="A26" s="170">
        <v>15</v>
      </c>
      <c r="B26" s="111"/>
      <c r="C26" s="283"/>
      <c r="D26" s="283"/>
      <c r="E26" s="284" t="str">
        <f>IF(B26=0,"",IF(C26&gt;9999,"",ROUND('General Variables'!$B$4*VLOOKUP(B26,Operations!$A$2:$U$79,10,FALSE)/VLOOKUP(B26,Operations!$A$2:$U$79,9,FALSE)*C26,2)))</f>
        <v/>
      </c>
      <c r="F26" s="284">
        <f>IF(B26=0,0,IF(C26&gt;9999,"",ROUND(IF(VLOOKUP(B26,Operations!$A$2:$U$79,12,FALSE)=0,VLOOKUP(B26,Operations!$A$2:$U$79,13,FALSE)*'General Variables'!$B$8,VLOOKUP(B26,Operations!$A$2:$U$79,12,FALSE)*'General Variables'!$B$7)/VLOOKUP(B26,Operations!$A$2:$U$79,9,FALSE)*C26,2)))</f>
        <v>0</v>
      </c>
      <c r="G26" s="284">
        <f>IF(B26=0,0,IF(C26&gt;9999,"",ROUND(VLOOKUP(VLOOKUP(B26,Operations!$A$2:$U$79,11,FALSE),PowerUnits[],10,FALSE)/VLOOKUP(B26,Operations!$A$2:$U$79,9,FALSE)*C26,2)))</f>
        <v>0</v>
      </c>
      <c r="H26" s="284" t="str">
        <f>IF(B26=0,"",IF(C26&gt;9999,"",ROUND(VLOOKUP($B26,Operations!$A$2:$U$79,15,FALSE)*C26,2)))</f>
        <v/>
      </c>
      <c r="I26" s="284">
        <f>IF(B26=0,0,IF(C26&gt;9999,"",ROUND(VLOOKUP(VLOOKUP(B26,Operations!$A$2:$U$79,11,FALSE),PowerUnits[],16,FALSE)/VLOOKUP(B26,Operations!$A$2:$U$79,9,FALSE)*C26,2)))</f>
        <v>0</v>
      </c>
      <c r="J26" s="284" t="str">
        <f>IF(B26=0,"",IF(C26&gt;9999,"",ROUND(VLOOKUP($B26,Operations!$A$2:$U$79,21,FALSE)*$C26,2)))</f>
        <v/>
      </c>
      <c r="K26" s="284">
        <f t="shared" si="0"/>
        <v>0</v>
      </c>
      <c r="L26" s="110"/>
    </row>
    <row r="27" spans="1:12" hidden="1" x14ac:dyDescent="0.2">
      <c r="A27" s="170">
        <v>16</v>
      </c>
      <c r="B27" s="217"/>
      <c r="C27" s="288"/>
      <c r="D27" s="288"/>
      <c r="E27" s="287" t="str">
        <f>IF(B27=0,"",IF(C27&gt;9999,"",ROUND('General Variables'!$B$4*VLOOKUP(B27,Operations!$A$2:$U$79,10,FALSE)/VLOOKUP(B27,Operations!$A$2:$U$79,9,FALSE)*C27,2)))</f>
        <v/>
      </c>
      <c r="F27" s="287">
        <f>IF(B27=0,0,IF(C27&gt;9999,"",ROUND(IF(VLOOKUP(B27,Operations!$A$2:$U$79,12,FALSE)=0,VLOOKUP(B27,Operations!$A$2:$U$79,13,FALSE)*'General Variables'!$B$8,VLOOKUP(B27,Operations!$A$2:$U$79,12,FALSE)*'General Variables'!$B$7)/VLOOKUP(B27,Operations!$A$2:$U$79,9,FALSE)*C27,2)))</f>
        <v>0</v>
      </c>
      <c r="G27" s="287">
        <f>IF(B27=0,0,IF(C27&gt;9999,"",ROUND(VLOOKUP(VLOOKUP(B27,Operations!$A$2:$U$79,11,FALSE),PowerUnits[],10,FALSE)/VLOOKUP(B27,Operations!$A$2:$U$79,9,FALSE)*C27,2)))</f>
        <v>0</v>
      </c>
      <c r="H27" s="287" t="str">
        <f>IF(B27=0,"",IF(C27&gt;9999,"",ROUND(VLOOKUP($B27,Operations!$A$2:$U$79,15,FALSE)*C27,2)))</f>
        <v/>
      </c>
      <c r="I27" s="287">
        <f>IF(B27=0,0,IF(C27&gt;9999,"",ROUND(VLOOKUP(VLOOKUP(B27,Operations!$A$2:$U$79,11,FALSE),PowerUnits[],16,FALSE)/VLOOKUP(B27,Operations!$A$2:$U$79,9,FALSE)*C27,2)))</f>
        <v>0</v>
      </c>
      <c r="J27" s="287" t="str">
        <f>IF(B27=0,"",IF(C27&gt;9999,"",ROUND(VLOOKUP($B27,Operations!$A$2:$U$79,21,FALSE)*$C27,2)))</f>
        <v/>
      </c>
      <c r="K27" s="287">
        <f t="shared" si="0"/>
        <v>0</v>
      </c>
      <c r="L27" s="216"/>
    </row>
    <row r="28" spans="1:12" hidden="1" x14ac:dyDescent="0.2">
      <c r="A28" s="170">
        <v>17</v>
      </c>
      <c r="B28" s="111"/>
      <c r="C28" s="283"/>
      <c r="D28" s="283"/>
      <c r="E28" s="284" t="str">
        <f>IF(B28=0,"",IF(C28&gt;9999,"",ROUND('General Variables'!$B$4*VLOOKUP(B28,Operations!$A$2:$U$79,10,FALSE)/VLOOKUP(B28,Operations!$A$2:$U$79,9,FALSE)*C28,2)))</f>
        <v/>
      </c>
      <c r="F28" s="284">
        <f>IF(B28=0,0,IF(C28&gt;9999,"",ROUND(IF(VLOOKUP(B28,Operations!$A$2:$U$79,12,FALSE)=0,VLOOKUP(B28,Operations!$A$2:$U$79,13,FALSE)*'General Variables'!$B$8,VLOOKUP(B28,Operations!$A$2:$U$79,12,FALSE)*'General Variables'!$B$7)/VLOOKUP(B28,Operations!$A$2:$U$79,9,FALSE)*C28,2)))</f>
        <v>0</v>
      </c>
      <c r="G28" s="284">
        <f>IF(B28=0,0,IF(C28&gt;9999,"",ROUND(VLOOKUP(VLOOKUP(B28,Operations!$A$2:$U$79,11,FALSE),PowerUnits[],10,FALSE)/VLOOKUP(B28,Operations!$A$2:$U$79,9,FALSE)*C28,2)))</f>
        <v>0</v>
      </c>
      <c r="H28" s="284" t="str">
        <f>IF(B28=0,"",IF(C28&gt;9999,"",ROUND(VLOOKUP($B28,Operations!$A$2:$U$79,15,FALSE)*C28,2)))</f>
        <v/>
      </c>
      <c r="I28" s="284">
        <f>IF(B28=0,0,IF(C28&gt;9999,"",ROUND(VLOOKUP(VLOOKUP(B28,Operations!$A$2:$U$79,11,FALSE),PowerUnits[],16,FALSE)/VLOOKUP(B28,Operations!$A$2:$U$79,9,FALSE)*C28,2)))</f>
        <v>0</v>
      </c>
      <c r="J28" s="284" t="str">
        <f>IF(B28=0,"",IF(C28&gt;9999,"",ROUND(VLOOKUP($B28,Operations!$A$2:$U$79,21,FALSE)*$C28,2)))</f>
        <v/>
      </c>
      <c r="K28" s="284">
        <f t="shared" si="0"/>
        <v>0</v>
      </c>
      <c r="L28" s="110"/>
    </row>
    <row r="29" spans="1:12" hidden="1" x14ac:dyDescent="0.2">
      <c r="A29" s="170">
        <v>18</v>
      </c>
      <c r="B29" s="111"/>
      <c r="C29" s="283"/>
      <c r="D29" s="283"/>
      <c r="E29" s="284" t="str">
        <f>IF(B29=0,"",IF(C29&gt;9999,"",ROUND('General Variables'!$B$4*VLOOKUP(B29,Operations!$A$2:$U$79,10,FALSE)/VLOOKUP(B29,Operations!$A$2:$U$79,9,FALSE)*C29,2)))</f>
        <v/>
      </c>
      <c r="F29" s="284">
        <f>IF(B29=0,0,IF(C29&gt;9999,"",ROUND(IF(VLOOKUP(B29,Operations!$A$2:$U$79,12,FALSE)=0,VLOOKUP(B29,Operations!$A$2:$U$79,13,FALSE)*'General Variables'!$B$8,VLOOKUP(B29,Operations!$A$2:$U$79,12,FALSE)*'General Variables'!$B$7)/VLOOKUP(B29,Operations!$A$2:$U$79,9,FALSE)*C29,2)))</f>
        <v>0</v>
      </c>
      <c r="G29" s="284">
        <f>IF(B29=0,0,IF(C29&gt;9999,"",ROUND(VLOOKUP(VLOOKUP(B29,Operations!$A$2:$U$79,11,FALSE),PowerUnits[],10,FALSE)/VLOOKUP(B29,Operations!$A$2:$U$79,9,FALSE)*C29,2)))</f>
        <v>0</v>
      </c>
      <c r="H29" s="284" t="str">
        <f>IF(B29=0,"",IF(C29&gt;9999,"",ROUND(VLOOKUP($B29,Operations!$A$2:$U$79,15,FALSE)*C29,2)))</f>
        <v/>
      </c>
      <c r="I29" s="284">
        <f>IF(B29=0,0,IF(C29&gt;9999,"",ROUND(VLOOKUP(VLOOKUP(B29,Operations!$A$2:$U$79,11,FALSE),PowerUnits[],16,FALSE)/VLOOKUP(B29,Operations!$A$2:$U$79,9,FALSE)*C29,2)))</f>
        <v>0</v>
      </c>
      <c r="J29" s="284" t="str">
        <f>IF(B29=0,"",IF(C29&gt;9999,"",ROUND(VLOOKUP($B29,Operations!$A$2:$U$79,21,FALSE)*$C29,2)))</f>
        <v/>
      </c>
      <c r="K29" s="284">
        <f t="shared" si="0"/>
        <v>0</v>
      </c>
      <c r="L29" s="110"/>
    </row>
    <row r="30" spans="1:12" hidden="1" x14ac:dyDescent="0.2">
      <c r="A30" s="170">
        <v>19</v>
      </c>
      <c r="B30" s="111"/>
      <c r="C30" s="283"/>
      <c r="D30" s="283"/>
      <c r="E30" s="284" t="str">
        <f>IF(B30=0,"",IF(C30&gt;9999,"",ROUND('General Variables'!$B$4*VLOOKUP(B30,Operations!$A$2:$U$79,10,FALSE)/VLOOKUP(B30,Operations!$A$2:$U$79,9,FALSE)*C30,2)))</f>
        <v/>
      </c>
      <c r="F30" s="284">
        <f>IF(B30=0,0,IF(C30&gt;9999,"",ROUND(IF(VLOOKUP(B30,Operations!$A$2:$U$79,12,FALSE)=0,VLOOKUP(B30,Operations!$A$2:$U$79,13,FALSE)*'General Variables'!$B$8,VLOOKUP(B30,Operations!$A$2:$U$79,12,FALSE)*'General Variables'!$B$7)/VLOOKUP(B30,Operations!$A$2:$U$79,9,FALSE)*C30,2)))</f>
        <v>0</v>
      </c>
      <c r="G30" s="284">
        <f>IF(B30=0,0,IF(C30&gt;9999,"",ROUND(VLOOKUP(VLOOKUP(B30,Operations!$A$2:$U$79,11,FALSE),PowerUnits[],10,FALSE)/VLOOKUP(B30,Operations!$A$2:$U$79,9,FALSE)*C30,2)))</f>
        <v>0</v>
      </c>
      <c r="H30" s="284" t="str">
        <f>IF(B30=0,"",IF(C30&gt;9999,"",ROUND(VLOOKUP($B30,Operations!$A$2:$U$79,15,FALSE)*C30,2)))</f>
        <v/>
      </c>
      <c r="I30" s="284">
        <f>IF(B30=0,0,IF(C30&gt;9999,"",ROUND(VLOOKUP(VLOOKUP(B30,Operations!$A$2:$U$79,11,FALSE),PowerUnits[],16,FALSE)/VLOOKUP(B30,Operations!$A$2:$U$79,9,FALSE)*C30,2)))</f>
        <v>0</v>
      </c>
      <c r="J30" s="284" t="str">
        <f>IF(B30=0,"",IF(C30&gt;9999,"",ROUND(VLOOKUP($B30,Operations!$A$2:$U$79,21,FALSE)*$C30,2)))</f>
        <v/>
      </c>
      <c r="K30" s="284">
        <f t="shared" si="0"/>
        <v>0</v>
      </c>
      <c r="L30" s="113"/>
    </row>
    <row r="31" spans="1:12" hidden="1" x14ac:dyDescent="0.2">
      <c r="A31" s="170">
        <v>20</v>
      </c>
      <c r="B31" s="217"/>
      <c r="C31" s="288"/>
      <c r="D31" s="288"/>
      <c r="E31" s="287" t="str">
        <f>IF(B31=0,"",IF(C31&gt;9999,"",ROUND('General Variables'!$B$4*VLOOKUP(B31,Operations!$A$2:$U$79,10,FALSE)/VLOOKUP(B31,Operations!$A$2:$U$79,9,FALSE)*C31,2)))</f>
        <v/>
      </c>
      <c r="F31" s="287">
        <f>IF(B31=0,0,IF(C31&gt;9999,"",ROUND(IF(VLOOKUP(B31,Operations!$A$2:$U$79,12,FALSE)=0,VLOOKUP(B31,Operations!$A$2:$U$79,13,FALSE)*'General Variables'!$B$8,VLOOKUP(B31,Operations!$A$2:$U$79,12,FALSE)*'General Variables'!$B$7)/VLOOKUP(B31,Operations!$A$2:$U$79,9,FALSE)*C31,2)))</f>
        <v>0</v>
      </c>
      <c r="G31" s="287">
        <f>IF(B31=0,0,IF(C31&gt;9999,"",ROUND(VLOOKUP(VLOOKUP(B31,Operations!$A$2:$U$79,11,FALSE),PowerUnits[],10,FALSE)/VLOOKUP(B31,Operations!$A$2:$U$79,9,FALSE)*C31,2)))</f>
        <v>0</v>
      </c>
      <c r="H31" s="287" t="str">
        <f>IF(B31=0,"",IF(C31&gt;9999,"",ROUND(VLOOKUP($B31,Operations!$A$2:$U$79,15,FALSE)*C31,2)))</f>
        <v/>
      </c>
      <c r="I31" s="287">
        <f>IF(B31=0,0,IF(C31&gt;9999,"",ROUND(VLOOKUP(VLOOKUP(B31,Operations!$A$2:$U$79,11,FALSE),PowerUnits[],16,FALSE)/VLOOKUP(B31,Operations!$A$2:$U$79,9,FALSE)*C31,2)))</f>
        <v>0</v>
      </c>
      <c r="J31" s="287" t="str">
        <f>IF(B31=0,"",IF(C31&gt;9999,"",ROUND(VLOOKUP($B31,Operations!$A$2:$U$79,21,FALSE)*$C31,2)))</f>
        <v/>
      </c>
      <c r="K31" s="287">
        <f t="shared" si="0"/>
        <v>0</v>
      </c>
      <c r="L31" s="220"/>
    </row>
    <row r="32" spans="1:12" ht="3" customHeight="1" thickBot="1" x14ac:dyDescent="0.25">
      <c r="A32" s="170"/>
      <c r="B32" s="114"/>
      <c r="C32" s="114"/>
      <c r="D32" s="114"/>
      <c r="E32" s="114"/>
      <c r="F32" s="114"/>
      <c r="G32" s="114"/>
      <c r="H32" s="114"/>
      <c r="I32" s="114"/>
      <c r="J32" s="114"/>
      <c r="K32" s="114"/>
      <c r="L32" s="114"/>
    </row>
    <row r="33" spans="1:12" ht="13.5" thickTop="1" x14ac:dyDescent="0.2">
      <c r="C33" s="108" t="s">
        <v>664</v>
      </c>
      <c r="D33" s="111"/>
      <c r="E33" s="111">
        <f>SUM(E12:E31)</f>
        <v>17.851900000000001</v>
      </c>
      <c r="F33" s="111">
        <f t="shared" ref="F33:K33" si="1">SUM(F12:F31)</f>
        <v>9.9248999999999992</v>
      </c>
      <c r="G33" s="111">
        <f t="shared" si="1"/>
        <v>4.3943999999999992</v>
      </c>
      <c r="H33" s="109">
        <f t="shared" si="1"/>
        <v>16.677299999999999</v>
      </c>
      <c r="I33" s="109">
        <f t="shared" si="1"/>
        <v>41.596400000000003</v>
      </c>
      <c r="J33" s="111">
        <f t="shared" si="1"/>
        <v>27.732499999999998</v>
      </c>
      <c r="K33" s="109">
        <f t="shared" si="1"/>
        <v>118.17999999999999</v>
      </c>
    </row>
    <row r="34" spans="1:12" x14ac:dyDescent="0.2">
      <c r="K34" s="111"/>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211</v>
      </c>
      <c r="C37" s="388" t="str">
        <f>IF(B37=0,"",VLOOKUP($B37,Table2[],2,FALSE))</f>
        <v>Fertilizer</v>
      </c>
      <c r="D37" s="388"/>
      <c r="E37" s="388"/>
      <c r="F37" s="174">
        <v>2</v>
      </c>
      <c r="G37" s="175">
        <v>1</v>
      </c>
      <c r="H37" s="176">
        <v>70</v>
      </c>
      <c r="I37" s="120" t="str">
        <f>IF($B37=0,"",VLOOKUP($B37,Table2[],5,FALSE))</f>
        <v>lbs N</v>
      </c>
      <c r="J37" s="109">
        <f>IF($B37=0,"",VLOOKUP($B37,Table2[],7,FALSE))</f>
        <v>0.38</v>
      </c>
      <c r="K37" s="109">
        <f>IF(B37=0,0,ROUND(G37*H37*J37,2))</f>
        <v>26.6</v>
      </c>
      <c r="L37" s="110"/>
    </row>
    <row r="38" spans="1:12" x14ac:dyDescent="0.2">
      <c r="A38" s="105"/>
      <c r="B38" s="180" t="s">
        <v>201</v>
      </c>
      <c r="C38" s="388" t="str">
        <f>IF(B38=0,"",VLOOKUP($B38,Table2[],2,FALSE))</f>
        <v>Fertilizer</v>
      </c>
      <c r="D38" s="388"/>
      <c r="E38" s="388"/>
      <c r="F38" s="174">
        <v>4</v>
      </c>
      <c r="G38" s="175">
        <v>1</v>
      </c>
      <c r="H38" s="176">
        <v>6</v>
      </c>
      <c r="I38" s="120" t="str">
        <f>IF($B38=0,"",VLOOKUP($B38,Table2[],5,FALSE))</f>
        <v>gallon</v>
      </c>
      <c r="J38" s="109">
        <f>IF($B38=0,"",VLOOKUP($B38,Table2[],7,FALSE))</f>
        <v>3.1</v>
      </c>
      <c r="K38" s="109">
        <f t="shared" ref="K38:K55" si="2">IF(B38=0,0,ROUND(G38*H38*J38,2))</f>
        <v>18.600000000000001</v>
      </c>
      <c r="L38" s="110"/>
    </row>
    <row r="39" spans="1:12" x14ac:dyDescent="0.2">
      <c r="A39" s="105"/>
      <c r="B39" s="180" t="s">
        <v>263</v>
      </c>
      <c r="C39" s="388" t="str">
        <f>IF(B39=0,"",VLOOKUP($B39,Table2[],2,FALSE))</f>
        <v>Herbicide</v>
      </c>
      <c r="D39" s="388"/>
      <c r="E39" s="388"/>
      <c r="F39" s="174">
        <v>4</v>
      </c>
      <c r="G39" s="175">
        <v>1</v>
      </c>
      <c r="H39" s="176">
        <v>2.7</v>
      </c>
      <c r="I39" s="120" t="str">
        <f>IF($B39=0,"",VLOOKUP($B39,Table2[],5,FALSE))</f>
        <v>quart</v>
      </c>
      <c r="J39" s="109">
        <f>IF($B39=0,"",VLOOKUP($B39,Table2[],7,FALSE))</f>
        <v>18.75</v>
      </c>
      <c r="K39" s="109">
        <f t="shared" si="2"/>
        <v>50.63</v>
      </c>
      <c r="L39" s="110"/>
    </row>
    <row r="40" spans="1:12" x14ac:dyDescent="0.2">
      <c r="A40" s="105"/>
      <c r="B40" s="213" t="s">
        <v>230</v>
      </c>
      <c r="C40" s="387" t="str">
        <f>IF(B40=0,"",VLOOKUP($B40,Table2[],2,FALSE))</f>
        <v>Herbicide</v>
      </c>
      <c r="D40" s="387"/>
      <c r="E40" s="387"/>
      <c r="F40" s="214">
        <v>4</v>
      </c>
      <c r="G40" s="221">
        <v>1</v>
      </c>
      <c r="H40" s="222">
        <v>0.5</v>
      </c>
      <c r="I40" s="223" t="str">
        <f>IF($B40=0,"",VLOOKUP($B40,Table2[],5,FALSE))</f>
        <v>quart</v>
      </c>
      <c r="J40" s="215">
        <f>IF($B40=0,"",VLOOKUP($B40,Table2[],7,FALSE))</f>
        <v>5.5</v>
      </c>
      <c r="K40" s="215">
        <f t="shared" si="2"/>
        <v>2.75</v>
      </c>
      <c r="L40" s="216"/>
    </row>
    <row r="41" spans="1:12" x14ac:dyDescent="0.2">
      <c r="A41" s="105"/>
      <c r="B41" s="180" t="s">
        <v>343</v>
      </c>
      <c r="C41" s="388" t="str">
        <f>IF(B41=0,"",VLOOKUP($B41,Table2[],2,FALSE))</f>
        <v>Seed</v>
      </c>
      <c r="D41" s="388"/>
      <c r="E41" s="388"/>
      <c r="F41" s="174">
        <v>5</v>
      </c>
      <c r="G41" s="175">
        <v>1</v>
      </c>
      <c r="H41" s="176">
        <v>4</v>
      </c>
      <c r="I41" s="120" t="str">
        <f>IF($B41=0,"",VLOOKUP($B41,Table2[],5,FALSE))</f>
        <v>pound</v>
      </c>
      <c r="J41" s="109">
        <f>IF($B41=0,"",VLOOKUP($B41,Table2[],7,FALSE))</f>
        <v>3.7</v>
      </c>
      <c r="K41" s="109">
        <f t="shared" si="2"/>
        <v>14.8</v>
      </c>
      <c r="L41" s="110"/>
    </row>
    <row r="42" spans="1:12" x14ac:dyDescent="0.2">
      <c r="A42" s="105"/>
      <c r="B42" s="180" t="s">
        <v>260</v>
      </c>
      <c r="C42" s="388" t="str">
        <f>IF(B42=0,"",VLOOKUP($B42,Table2[],2,FALSE))</f>
        <v>Herbicide</v>
      </c>
      <c r="D42" s="388"/>
      <c r="E42" s="388"/>
      <c r="F42" s="174">
        <v>8</v>
      </c>
      <c r="G42" s="175">
        <v>0.8</v>
      </c>
      <c r="H42" s="176">
        <v>11</v>
      </c>
      <c r="I42" s="120" t="str">
        <f>IF($B42=0,"",VLOOKUP($B42,Table2[],5,FALSE))</f>
        <v>ounce</v>
      </c>
      <c r="J42" s="109">
        <f>IF($B42=0,"",VLOOKUP($B42,Table2[],7,FALSE))</f>
        <v>1.0546875</v>
      </c>
      <c r="K42" s="109">
        <f t="shared" si="2"/>
        <v>9.2799999999999994</v>
      </c>
      <c r="L42" s="110"/>
    </row>
    <row r="43" spans="1:12" x14ac:dyDescent="0.2">
      <c r="B43" s="180" t="s">
        <v>170</v>
      </c>
      <c r="C43" s="388" t="str">
        <f>IF(B43=0,"",VLOOKUP($B43,Table2[],2,FALSE))</f>
        <v>Additive</v>
      </c>
      <c r="D43" s="388"/>
      <c r="E43" s="388"/>
      <c r="F43" s="174">
        <v>8</v>
      </c>
      <c r="G43" s="175">
        <v>0.8</v>
      </c>
      <c r="H43" s="176">
        <v>1</v>
      </c>
      <c r="I43" s="120" t="str">
        <f>IF($B43=0,"",VLOOKUP($B43,Table2[],5,FALSE))</f>
        <v>pound</v>
      </c>
      <c r="J43" s="109">
        <f>IF($B43=0,"",VLOOKUP($B43,Table2[],7,FALSE))</f>
        <v>0.4</v>
      </c>
      <c r="K43" s="109">
        <f t="shared" si="2"/>
        <v>0.32</v>
      </c>
      <c r="L43" s="110"/>
    </row>
    <row r="44" spans="1:12" x14ac:dyDescent="0.2">
      <c r="A44" s="143" t="s">
        <v>638</v>
      </c>
      <c r="B44" s="213" t="s">
        <v>183</v>
      </c>
      <c r="C44" s="387" t="str">
        <f>IF(B44=0,"",VLOOKUP($B44,Table2[],2,FALSE))</f>
        <v>Custom</v>
      </c>
      <c r="D44" s="387"/>
      <c r="E44" s="387"/>
      <c r="F44" s="214">
        <v>9</v>
      </c>
      <c r="G44" s="221">
        <v>0.15</v>
      </c>
      <c r="H44" s="222">
        <v>1</v>
      </c>
      <c r="I44" s="223" t="str">
        <f>IF($B44=0,"",VLOOKUP($B44,Table2[],5,FALSE))</f>
        <v>acre</v>
      </c>
      <c r="J44" s="215">
        <f>IF($B44=0,"",VLOOKUP($B44,Table2[],7,FALSE))</f>
        <v>11</v>
      </c>
      <c r="K44" s="215">
        <f t="shared" si="2"/>
        <v>1.65</v>
      </c>
      <c r="L44" s="216"/>
    </row>
    <row r="45" spans="1:12" x14ac:dyDescent="0.2">
      <c r="A45" s="143" t="s">
        <v>638</v>
      </c>
      <c r="B45" s="180" t="s">
        <v>288</v>
      </c>
      <c r="C45" s="388" t="str">
        <f>IF(B45=0,"",VLOOKUP($B45,Table2[],2,FALSE))</f>
        <v>Insecticide</v>
      </c>
      <c r="D45" s="388"/>
      <c r="E45" s="388"/>
      <c r="F45" s="174">
        <v>9</v>
      </c>
      <c r="G45" s="175">
        <v>0.15</v>
      </c>
      <c r="H45" s="176">
        <v>3</v>
      </c>
      <c r="I45" s="120" t="str">
        <f>IF($B45=0,"",VLOOKUP($B45,Table2[],5,FALSE))</f>
        <v>ounce</v>
      </c>
      <c r="J45" s="109">
        <f>IF($B45=0,"",VLOOKUP($B45,Table2[],7,FALSE))</f>
        <v>1.25</v>
      </c>
      <c r="K45" s="109">
        <f t="shared" si="2"/>
        <v>0.56000000000000005</v>
      </c>
      <c r="L45" s="110"/>
    </row>
    <row r="46" spans="1:12" x14ac:dyDescent="0.2">
      <c r="A46" s="143"/>
      <c r="B46" s="180" t="s">
        <v>198</v>
      </c>
      <c r="C46" s="388" t="str">
        <f>IF(B46=0,"",VLOOKUP($B46,Table2[],2,FALSE))</f>
        <v>Custom</v>
      </c>
      <c r="D46" s="388"/>
      <c r="E46" s="388"/>
      <c r="F46" s="174">
        <v>12</v>
      </c>
      <c r="G46" s="175">
        <v>1</v>
      </c>
      <c r="H46" s="176">
        <f>$G$4</f>
        <v>85</v>
      </c>
      <c r="I46" s="120" t="str">
        <f>IF($B46=0,"",VLOOKUP($B46,Table2[],5,FALSE))</f>
        <v>bushel</v>
      </c>
      <c r="J46" s="109">
        <f>IF($B46=0,"",VLOOKUP($B46,Table2[],7,FALSE))</f>
        <v>0.15</v>
      </c>
      <c r="K46" s="109">
        <f t="shared" si="2"/>
        <v>12.75</v>
      </c>
      <c r="L46" s="110"/>
    </row>
    <row r="47" spans="1:12" x14ac:dyDescent="0.2">
      <c r="A47" s="143"/>
      <c r="B47" s="180" t="s">
        <v>312</v>
      </c>
      <c r="C47" s="388" t="str">
        <f>IF(B47=0,"",VLOOKUP($B47,Table2[],2,FALSE))</f>
        <v>Scouting</v>
      </c>
      <c r="D47" s="388"/>
      <c r="E47" s="388"/>
      <c r="F47" s="174"/>
      <c r="G47" s="175">
        <v>1</v>
      </c>
      <c r="H47" s="176">
        <v>1</v>
      </c>
      <c r="I47" s="120" t="str">
        <f>IF($B47=0,"",VLOOKUP($B47,Table2[],5,FALSE))</f>
        <v>acre</v>
      </c>
      <c r="J47" s="109">
        <f>IF($B47=0,"",VLOOKUP($B47,Table2[],7,FALSE))</f>
        <v>10</v>
      </c>
      <c r="K47" s="109">
        <f t="shared" si="2"/>
        <v>10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260" t="s">
        <v>430</v>
      </c>
      <c r="C61" s="387" t="s">
        <v>655</v>
      </c>
      <c r="D61" s="387"/>
      <c r="E61" s="387"/>
      <c r="F61" s="218"/>
      <c r="G61" s="224"/>
      <c r="H61" s="225"/>
      <c r="I61" s="247"/>
      <c r="J61" s="215">
        <f ca="1">IF(F5=0,E5,F5)</f>
        <v>14</v>
      </c>
      <c r="K61" s="215">
        <f ca="1">IF(B61=0,0,J61)</f>
        <v>14</v>
      </c>
      <c r="L61" s="227"/>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161.94</v>
      </c>
      <c r="L63" s="110"/>
    </row>
    <row r="64" spans="1:12" x14ac:dyDescent="0.2">
      <c r="B64" s="144" t="s">
        <v>749</v>
      </c>
      <c r="K64" s="127"/>
    </row>
    <row r="65" spans="1:12" x14ac:dyDescent="0.2">
      <c r="B65" s="107" t="s">
        <v>672</v>
      </c>
      <c r="K65" s="127">
        <f ca="1">K33+K63</f>
        <v>280.12</v>
      </c>
      <c r="L65" s="110"/>
    </row>
    <row r="66" spans="1:12" ht="13.5" thickBot="1" x14ac:dyDescent="0.25">
      <c r="D66" s="128" t="s">
        <v>673</v>
      </c>
      <c r="E66" s="129">
        <f ca="1">ROUND(SUM($E$33:$H$33)+$K$63,2)</f>
        <v>210.79</v>
      </c>
      <c r="F66" s="388" t="s">
        <v>674</v>
      </c>
      <c r="G66" s="388"/>
      <c r="H66" s="130">
        <f>'General Variables'!$B$11</f>
        <v>7.4999999999999997E-2</v>
      </c>
      <c r="I66" s="131" t="str">
        <f>CONCATENATE("for ",TEXT('General Variables'!$B$12,"0.0")," mo.")</f>
        <v>for 6.0 mo.</v>
      </c>
      <c r="K66" s="132">
        <f ca="1">E66*H66*'General Variables'!$B$12/12</f>
        <v>7.9046249999999993</v>
      </c>
      <c r="L66" s="133"/>
    </row>
    <row r="67" spans="1:12" ht="13.5" thickTop="1" x14ac:dyDescent="0.2">
      <c r="B67" s="107" t="s">
        <v>675</v>
      </c>
      <c r="K67" s="127">
        <f ca="1">SUM(K65:K66)</f>
        <v>288.02462500000001</v>
      </c>
      <c r="L67" s="110"/>
    </row>
    <row r="68" spans="1:12" x14ac:dyDescent="0.2">
      <c r="K68" s="127"/>
    </row>
    <row r="69" spans="1:12" x14ac:dyDescent="0.2">
      <c r="B69" s="104" t="s">
        <v>676</v>
      </c>
      <c r="C69" s="134"/>
      <c r="D69" s="134"/>
      <c r="E69" s="134"/>
      <c r="F69" s="134"/>
      <c r="G69" s="134"/>
      <c r="H69" s="134"/>
      <c r="I69" s="134"/>
      <c r="J69" s="134"/>
      <c r="K69" s="135">
        <f>'General Variables'!B15</f>
        <v>27</v>
      </c>
      <c r="L69" s="110"/>
    </row>
    <row r="70" spans="1:12" x14ac:dyDescent="0.2">
      <c r="A70" s="128" t="s">
        <v>750</v>
      </c>
      <c r="B70" s="103" t="s">
        <v>687</v>
      </c>
      <c r="C70" s="398" t="s">
        <v>45</v>
      </c>
      <c r="D70" s="399"/>
      <c r="E70" s="400"/>
      <c r="F70" s="136">
        <f>IF(C70=0,0,VLOOKUP(C70,RETable,2,FALSE))</f>
        <v>1825</v>
      </c>
      <c r="G70" s="388" t="s">
        <v>678</v>
      </c>
      <c r="H70" s="388"/>
      <c r="I70" s="130">
        <f>'General Variables'!$B$10</f>
        <v>0.03</v>
      </c>
      <c r="K70" s="137">
        <f>ROUND(F70*I70,2)</f>
        <v>54.75</v>
      </c>
      <c r="L70" s="110"/>
    </row>
    <row r="71" spans="1:12" ht="13.5" thickBot="1" x14ac:dyDescent="0.25">
      <c r="A71" s="128" t="s">
        <v>750</v>
      </c>
      <c r="B71" s="103" t="s">
        <v>679</v>
      </c>
      <c r="F71" s="138">
        <f>IF(C70=0,0,VLOOKUP(C70,RETable,2,FALSE))</f>
        <v>1825</v>
      </c>
      <c r="G71" s="397" t="s">
        <v>678</v>
      </c>
      <c r="H71" s="397"/>
      <c r="I71" s="139">
        <f>'General Variables'!$B$13</f>
        <v>1.2999999999999999E-2</v>
      </c>
      <c r="J71" s="105"/>
      <c r="K71" s="140">
        <f>ROUND(F71*I71,2)</f>
        <v>23.73</v>
      </c>
      <c r="L71" s="133"/>
    </row>
    <row r="72" spans="1:12" ht="13.5" thickTop="1" x14ac:dyDescent="0.2">
      <c r="B72" s="107" t="s">
        <v>680</v>
      </c>
      <c r="K72" s="127">
        <f ca="1">SUM(K67:K71)</f>
        <v>393.50462500000003</v>
      </c>
      <c r="L72" s="110"/>
    </row>
    <row r="73" spans="1:12" x14ac:dyDescent="0.2">
      <c r="K73" s="128"/>
    </row>
    <row r="74" spans="1:12" x14ac:dyDescent="0.2">
      <c r="B74" s="104" t="str">
        <f>IF(G4="","","Cash Cost per "&amp;H4)</f>
        <v>Cash Cost per bushel</v>
      </c>
      <c r="C74" s="261" t="s">
        <v>688</v>
      </c>
      <c r="D74" s="105"/>
      <c r="E74" s="105"/>
      <c r="F74" s="105"/>
      <c r="G74" s="105"/>
      <c r="H74" s="105"/>
      <c r="I74" s="105"/>
      <c r="J74" s="105"/>
      <c r="K74" s="142">
        <f ca="1">IF(G4=0,0,(E66+K66+K69+K71)/G4)</f>
        <v>3.1697014705882354</v>
      </c>
      <c r="L74" s="148"/>
    </row>
    <row r="75" spans="1:12" x14ac:dyDescent="0.2">
      <c r="B75" s="107" t="str">
        <f>IF(G4="","","Cost of production per "&amp;H4)</f>
        <v>Cost of production per bushel</v>
      </c>
      <c r="K75" s="141">
        <f ca="1">IF(G4="","",K72/G4)</f>
        <v>4.6294661764705882</v>
      </c>
      <c r="L75" s="110"/>
    </row>
    <row r="77" spans="1:12" x14ac:dyDescent="0.2">
      <c r="B77" s="144" t="s">
        <v>751</v>
      </c>
    </row>
    <row r="78" spans="1:12" x14ac:dyDescent="0.2">
      <c r="D78" s="103" t="s">
        <v>900</v>
      </c>
      <c r="G78" s="105"/>
      <c r="H78" s="105"/>
      <c r="I78" s="105"/>
      <c r="J78" s="105"/>
      <c r="K78" s="355" t="s">
        <v>901</v>
      </c>
      <c r="L78" s="105"/>
    </row>
    <row r="85" spans="2:4" x14ac:dyDescent="0.2">
      <c r="B85" s="106"/>
      <c r="C85" s="106"/>
      <c r="D85" s="106"/>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5"/>
      <c r="C110" s="105"/>
      <c r="D110" s="105"/>
      <c r="H110" s="103" t="e">
        <f>'General Variables'!#REF!</f>
        <v>#REF!</v>
      </c>
    </row>
    <row r="111" spans="2:11" x14ac:dyDescent="0.2">
      <c r="B111" s="105"/>
      <c r="C111" s="105"/>
      <c r="D111" s="105"/>
      <c r="H111" s="103" t="e">
        <f>'General Variables'!#REF!</f>
        <v>#REF!</v>
      </c>
      <c r="K111" s="103" t="s">
        <v>681</v>
      </c>
    </row>
    <row r="112" spans="2:11" x14ac:dyDescent="0.2">
      <c r="B112" s="105"/>
      <c r="C112" s="105"/>
      <c r="D112" s="105"/>
      <c r="H112" s="103" t="e">
        <f>'General Variables'!#REF!</f>
        <v>#REF!</v>
      </c>
      <c r="K112" s="103" t="s">
        <v>654</v>
      </c>
    </row>
    <row r="113" spans="2:8" x14ac:dyDescent="0.2">
      <c r="B113" s="105"/>
      <c r="C113" s="105"/>
      <c r="D113" s="105"/>
      <c r="H113" s="103" t="e">
        <f>'General Variables'!#REF!</f>
        <v>#REF!</v>
      </c>
    </row>
    <row r="114" spans="2:8" x14ac:dyDescent="0.2">
      <c r="B114" s="105"/>
      <c r="C114" s="105"/>
      <c r="D114" s="105"/>
      <c r="H114" s="103" t="e">
        <f>'General Variables'!#REF!</f>
        <v>#REF!</v>
      </c>
    </row>
    <row r="115" spans="2:8" x14ac:dyDescent="0.2">
      <c r="B115" s="105"/>
      <c r="C115" s="105"/>
      <c r="D115" s="105"/>
      <c r="H115" s="103" t="e">
        <f>'General Variables'!#REF!</f>
        <v>#REF!</v>
      </c>
    </row>
    <row r="116" spans="2:8" x14ac:dyDescent="0.2">
      <c r="B116" s="105"/>
      <c r="C116" s="105"/>
      <c r="D116" s="105"/>
      <c r="H116" s="103" t="e">
        <f>'General Variables'!#REF!</f>
        <v>#REF!</v>
      </c>
    </row>
    <row r="117" spans="2:8" x14ac:dyDescent="0.2">
      <c r="B117" s="105"/>
      <c r="C117" s="105"/>
      <c r="D117" s="105"/>
      <c r="H117" s="103" t="e">
        <f>'General Variables'!#REF!</f>
        <v>#REF!</v>
      </c>
    </row>
    <row r="118" spans="2:8" x14ac:dyDescent="0.2">
      <c r="B118" s="105"/>
      <c r="C118" s="105"/>
      <c r="D118" s="105"/>
      <c r="H118" s="103" t="e">
        <f>'General Variables'!#REF!</f>
        <v>#REF!</v>
      </c>
    </row>
    <row r="119" spans="2:8" x14ac:dyDescent="0.2">
      <c r="B119" s="105"/>
      <c r="C119" s="105"/>
      <c r="D119" s="105"/>
      <c r="H119" s="103" t="e">
        <f>'General Variables'!#REF!</f>
        <v>#REF!</v>
      </c>
    </row>
    <row r="120" spans="2:8" x14ac:dyDescent="0.2">
      <c r="B120" s="105"/>
      <c r="C120" s="105"/>
      <c r="D120" s="105"/>
      <c r="H120" s="103" t="e">
        <f>'General Variables'!#REF!</f>
        <v>#REF!</v>
      </c>
    </row>
    <row r="121" spans="2:8" x14ac:dyDescent="0.2">
      <c r="B121" s="105"/>
      <c r="C121" s="105"/>
      <c r="D121" s="105"/>
      <c r="H121" s="103" t="e">
        <f>'General Variables'!#REF!</f>
        <v>#REF!</v>
      </c>
    </row>
    <row r="122" spans="2:8" x14ac:dyDescent="0.2">
      <c r="B122" s="105"/>
      <c r="C122" s="105"/>
      <c r="D122" s="105"/>
      <c r="H122" s="103" t="e">
        <f>'General Variables'!#REF!</f>
        <v>#REF!</v>
      </c>
    </row>
    <row r="123" spans="2:8" x14ac:dyDescent="0.2">
      <c r="B123" s="105"/>
      <c r="C123" s="105"/>
      <c r="D123" s="105"/>
      <c r="H123" s="103" t="e">
        <f>'General Variables'!#REF!</f>
        <v>#REF!</v>
      </c>
    </row>
    <row r="124" spans="2:8" x14ac:dyDescent="0.2">
      <c r="B124" s="105"/>
      <c r="C124" s="105"/>
      <c r="D124" s="105"/>
      <c r="H124" s="103" t="e">
        <f>'General Variables'!#REF!</f>
        <v>#REF!</v>
      </c>
    </row>
    <row r="125" spans="2:8" x14ac:dyDescent="0.2">
      <c r="B125" s="105"/>
      <c r="C125" s="105"/>
      <c r="D125" s="105"/>
      <c r="H125" s="103" t="e">
        <f>'General Variables'!#REF!</f>
        <v>#REF!</v>
      </c>
    </row>
    <row r="126" spans="2:8" x14ac:dyDescent="0.2">
      <c r="B126" s="105"/>
      <c r="C126" s="105"/>
      <c r="D126" s="105"/>
    </row>
    <row r="127" spans="2:8" x14ac:dyDescent="0.2">
      <c r="B127" s="105"/>
      <c r="C127" s="105"/>
      <c r="D127" s="105"/>
    </row>
    <row r="128" spans="2:8"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t="str">
        <f>IF(Operations!A96="","",Operations!A96)</f>
        <v/>
      </c>
      <c r="C240" s="105" t="str">
        <f>IF(Materials!B140="","",Materials!B140)</f>
        <v>Alfalfa w/Inoculant</v>
      </c>
    </row>
    <row r="241" spans="2:3" x14ac:dyDescent="0.2">
      <c r="B241" s="105" t="str">
        <f>IF(Operations!A97="","",Operations!A97)</f>
        <v/>
      </c>
      <c r="C241" s="105" t="str">
        <f>IF(Materials!B141="","",Materials!B141)</f>
        <v>Corn</v>
      </c>
    </row>
    <row r="242" spans="2:3" x14ac:dyDescent="0.2">
      <c r="B242" s="105" t="str">
        <f>IF(Operations!A98="","",Operations!A98)</f>
        <v/>
      </c>
      <c r="C242" s="105" t="str">
        <f>IF(Materials!B142="","",Materials!B142)</f>
        <v>Corn Bt, ECB, &amp; RIB</v>
      </c>
    </row>
    <row r="243" spans="2:3" x14ac:dyDescent="0.2">
      <c r="B243" s="105" t="str">
        <f>IF(Operations!A99="","",Operations!A99)</f>
        <v/>
      </c>
      <c r="C243" s="105" t="str">
        <f>IF(Materials!B143="","",Materials!B143)</f>
        <v>Corn Bt, ECB, RR2, LL, &amp; RIB</v>
      </c>
    </row>
    <row r="244" spans="2:3" x14ac:dyDescent="0.2">
      <c r="B244" s="105" t="str">
        <f>IF(Operations!A100="","",Operations!A100)</f>
        <v/>
      </c>
      <c r="C244" s="105" t="str">
        <f>IF(Materials!B144="","",Materials!B144)</f>
        <v>Corn Bt, ECB, RW, &amp; RIB</v>
      </c>
    </row>
    <row r="245" spans="2:3" x14ac:dyDescent="0.2">
      <c r="B245" s="105"/>
      <c r="C245" s="105"/>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row>
    <row r="255" spans="2:3" x14ac:dyDescent="0.2">
      <c r="B255"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300-000000000000}">
      <formula1>$B$110:$B$207</formula1>
    </dataValidation>
    <dataValidation type="list" allowBlank="1" showInputMessage="1" showErrorMessage="1" sqref="B62" xr:uid="{00000000-0002-0000-3300-000001000000}">
      <formula1>$C$110:$C$228</formula1>
    </dataValidation>
    <dataValidation type="list" allowBlank="1" showInputMessage="1" showErrorMessage="1" sqref="K4" xr:uid="{00000000-0002-0000-3300-000002000000}">
      <formula1>$K$110:$K$112</formula1>
    </dataValidation>
    <dataValidation type="list" allowBlank="1" showInputMessage="1" showErrorMessage="1" sqref="B37:B60" xr:uid="{00000000-0002-0000-3300-000003000000}">
      <formula1>MaterialList</formula1>
    </dataValidation>
    <dataValidation type="list" allowBlank="1" showInputMessage="1" showErrorMessage="1" sqref="C70:E70" xr:uid="{00000000-0002-0000-3300-000004000000}">
      <formula1>RealEstateList</formula1>
    </dataValidation>
    <dataValidation type="list" allowBlank="1" showInputMessage="1" showErrorMessage="1" sqref="B12:B31" xr:uid="{00000000-0002-0000-3300-000005000000}">
      <formula1>OperationList</formula1>
    </dataValidation>
    <dataValidation type="list" allowBlank="1" showInputMessage="1" showErrorMessage="1" sqref="D12:D32" xr:uid="{00000000-0002-0000-3300-000006000000}">
      <formula1>#REF!</formula1>
    </dataValidation>
    <dataValidation type="list" allowBlank="1" showInputMessage="1" showErrorMessage="1" sqref="K2" xr:uid="{00000000-0002-0000-3300-000007000000}">
      <formula1>watersource</formula1>
    </dataValidation>
    <dataValidation type="list" allowBlank="1" showInputMessage="1" showErrorMessage="1" sqref="C3" xr:uid="{00000000-0002-0000-3300-000008000000}">
      <formula1>TillageSystem</formula1>
    </dataValidation>
  </dataValidations>
  <pageMargins left="0.7" right="0.7" top="0.75" bottom="0.75" header="0.3" footer="0.3"/>
  <pageSetup scale="71" orientation="portrait" r:id="rId1"/>
  <ignoredErrors>
    <ignoredError sqref="C21" unlockedFormula="1"/>
    <ignoredError sqref="E21:J21"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4">
    <pageSetUpPr fitToPage="1"/>
  </sheetPr>
  <dimension ref="A2:M256"/>
  <sheetViews>
    <sheetView zoomScaleNormal="100" workbookViewId="0">
      <selection activeCell="H8" sqref="H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74</v>
      </c>
      <c r="L2" s="401"/>
    </row>
    <row r="3" spans="1:13" hidden="1" x14ac:dyDescent="0.2">
      <c r="B3" s="103" t="s">
        <v>38</v>
      </c>
      <c r="C3" s="391" t="s">
        <v>46</v>
      </c>
      <c r="D3" s="391"/>
      <c r="E3" s="391"/>
      <c r="G3" s="128" t="s">
        <v>650</v>
      </c>
      <c r="H3" s="187" t="s">
        <v>714</v>
      </c>
      <c r="J3" s="128" t="s">
        <v>651</v>
      </c>
      <c r="K3" s="187"/>
    </row>
    <row r="4" spans="1:13" hidden="1" x14ac:dyDescent="0.2">
      <c r="B4" s="103" t="s">
        <v>652</v>
      </c>
      <c r="C4" s="392"/>
      <c r="D4" s="392"/>
      <c r="E4" s="392"/>
      <c r="G4" s="103">
        <f>IFERROR(VALUE(LEFT($H$3,FIND(" ",$H$3))),"")</f>
        <v>135</v>
      </c>
      <c r="H4" s="103" t="str">
        <f>IFERROR(RIGHT(H3,LEN(H3)-LEN(G4)-1),"")</f>
        <v>bushel</v>
      </c>
      <c r="J4" s="128" t="s">
        <v>653</v>
      </c>
      <c r="K4" s="188" t="s">
        <v>654</v>
      </c>
    </row>
    <row r="5" spans="1:13" ht="15.75" hidden="1" customHeight="1" x14ac:dyDescent="0.2">
      <c r="B5" s="103" t="s">
        <v>655</v>
      </c>
      <c r="C5" s="103" t="str">
        <f ca="1">MID(CELL("filename",C5),FIND("]",CELL("filename",C5))+1,255)</f>
        <v>48-Grain Sorghum</v>
      </c>
      <c r="E5" s="103">
        <f ca="1">VLOOKUP($C$5,CropInsurance,5,FALSE)</f>
        <v>11</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48-Grain Sorghum, No Till, 135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48-Grain Sorghum, No Till, 135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 t="shared" ref="K12:K16" si="0">IF(C12&gt;9999,"",ROUND(SUM(E12:J12),2))</f>
        <v>5.75</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si="0"/>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938</v>
      </c>
      <c r="C17" s="174">
        <f>$G$4</f>
        <v>135</v>
      </c>
      <c r="D17" s="174"/>
      <c r="E17" s="109">
        <f>IF(B17=0,"",IF(C17&gt;9999,"",ROUND('General Variables'!$B$4*VLOOKUP(B17,Operations!$A$2:$U$79,10,FALSE)/VLOOKUP(B17,Operations!$A$2:$U$79,9,FALSE)*C17,2))/100)</f>
        <v>3.0842000000000001</v>
      </c>
      <c r="F17" s="109">
        <f>IF(B17=0,0,IF(C17&gt;9999,"",ROUND(IF(VLOOKUP(B17,Operations!$A$2:$U$79,12,FALSE)=0,VLOOKUP(B17,Operations!$A$2:$U$79,13,FALSE)*'General Variables'!$B$8,VLOOKUP(B17,Operations!$A$2:$U$79,12,FALSE)*'General Variables'!$B$7)/VLOOKUP(B17,Operations!$A$2:$U$79,9,FALSE)*C17,2))/100)</f>
        <v>3.4860000000000002</v>
      </c>
      <c r="G17" s="109">
        <f>IF(B17=0,0,IF(C17&gt;9999,"",ROUND(VLOOKUP(VLOOKUP(B17,Operations!$A$2:$U$79,11,FALSE),PowerUnits[],10,FALSE)/VLOOKUP(B17,Operations!$A$2:$U$79,9,FALSE)*C17,2))/100)</f>
        <v>5.3592999999999993</v>
      </c>
      <c r="H17" s="109">
        <f>IF(B17=0,"",IF(C17&gt;9999,"",ROUND(VLOOKUP($B17,Operations!$A$2:$U$79,15,FALSE)*C17,2))/100)</f>
        <v>0.42460000000000003</v>
      </c>
      <c r="I17" s="109">
        <f>IF(B17=0,0,IF(C17&gt;9999,"",ROUND(VLOOKUP(VLOOKUP(B17,Operations!$A$2:$U$79,11,FALSE),PowerUnits[],16,FALSE)/VLOOKUP(B17,Operations!$A$2:$U$79,9,FALSE)*C17,2))/100)</f>
        <v>12.906600000000001</v>
      </c>
      <c r="J17" s="109">
        <f>IF(B17=0,"",IF(C17&gt;9999,"",ROUND(VLOOKUP($B17,Operations!$A$2:$U$79,21,FALSE)*$C17,2))/100)</f>
        <v>4.9910000000000005</v>
      </c>
      <c r="K17" s="109">
        <f>IF(C17&gt;9999,"",ROUND(SUM(E17:J17),2))</f>
        <v>30.25</v>
      </c>
      <c r="L17" s="110"/>
    </row>
    <row r="18" spans="1:12" x14ac:dyDescent="0.2">
      <c r="A18" s="170">
        <v>7</v>
      </c>
      <c r="B18" s="180" t="s">
        <v>414</v>
      </c>
      <c r="C18" s="174">
        <f>$G$4</f>
        <v>135</v>
      </c>
      <c r="D18" s="174" t="s">
        <v>706</v>
      </c>
      <c r="E18" s="109">
        <f>IF(B18=0,"",IF(C18&gt;9999,"",ROUND('General Variables'!$B$4*VLOOKUP(B18,Operations!$A$2:$U$79,10,FALSE)/VLOOKUP(B18,Operations!$A$2:$U$79,9,FALSE)*C18,2)))</f>
        <v>1.22</v>
      </c>
      <c r="F18" s="109">
        <f>IF(B18=0,0,IF(C18&gt;9999,"",ROUND(IF(VLOOKUP(B18,Operations!$A$2:$U$79,12,FALSE)=0,VLOOKUP(B18,Operations!$A$2:$U$79,13,FALSE)*'General Variables'!$B$8,VLOOKUP(B18,Operations!$A$2:$U$79,12,FALSE)*'General Variables'!$B$7)/VLOOKUP(B18,Operations!$A$2:$U$79,9,FALSE)*C18,2)))</f>
        <v>0.39</v>
      </c>
      <c r="G18" s="109">
        <f>IF(B18=0,0,IF(C18&gt;9999,"",ROUND(VLOOKUP(VLOOKUP(B18,Operations!$A$2:$U$79,11,FALSE),PowerUnits[],10,FALSE)/VLOOKUP(B18,Operations!$A$2:$U$79,9,FALSE)*C18,2)))</f>
        <v>0.03</v>
      </c>
      <c r="H18" s="109">
        <f>IF(B18=0,"",IF(C18&gt;9999,"",ROUND(VLOOKUP($B18,Operations!$A$2:$U$79,15,FALSE)*C18,2)))</f>
        <v>0.75</v>
      </c>
      <c r="I18" s="109">
        <f>IF(B18=0,0,IF(C18&gt;9999,"",ROUND(VLOOKUP(VLOOKUP(B18,Operations!$A$2:$U$79,11,FALSE),PowerUnits[],16,FALSE)/VLOOKUP(B18,Operations!$A$2:$U$79,9,FALSE)*C18,2)))</f>
        <v>1.77</v>
      </c>
      <c r="J18" s="109">
        <f>IF(B18=0,"",IF(C18&gt;9999,"",ROUND(VLOOKUP($B18,Operations!$A$2:$U$79,21,FALSE)*$C18,2)))</f>
        <v>1.49</v>
      </c>
      <c r="K18" s="109">
        <f>IF(C18&gt;9999,"",ROUND(SUM(E18:J18),2))</f>
        <v>5.65</v>
      </c>
      <c r="L18" s="110"/>
    </row>
    <row r="19" spans="1:12" x14ac:dyDescent="0.2">
      <c r="A19" s="170">
        <v>8</v>
      </c>
      <c r="B19" s="213" t="s">
        <v>565</v>
      </c>
      <c r="C19" s="214" t="s">
        <v>184</v>
      </c>
      <c r="D19" s="214"/>
      <c r="E19" s="215"/>
      <c r="F19" s="215"/>
      <c r="G19" s="215"/>
      <c r="H19" s="215"/>
      <c r="I19" s="215"/>
      <c r="J19" s="215"/>
      <c r="K19" s="215"/>
      <c r="L19" s="216"/>
    </row>
    <row r="20" spans="1:12" hidden="1" x14ac:dyDescent="0.2">
      <c r="A20" s="170">
        <v>9</v>
      </c>
      <c r="B20" s="180"/>
      <c r="C20" s="174"/>
      <c r="D20" s="174"/>
      <c r="E20" s="109"/>
      <c r="F20" s="109"/>
      <c r="G20" s="109"/>
      <c r="H20" s="109"/>
      <c r="I20" s="109"/>
      <c r="J20" s="109"/>
      <c r="K20" s="109"/>
      <c r="L20" s="110"/>
    </row>
    <row r="21" spans="1:12" hidden="1" x14ac:dyDescent="0.2">
      <c r="A21" s="170">
        <v>10</v>
      </c>
      <c r="B21" s="180"/>
      <c r="C21" s="174"/>
      <c r="D21" s="174"/>
      <c r="E21" s="109"/>
      <c r="F21" s="109"/>
      <c r="G21" s="109"/>
      <c r="H21" s="109"/>
      <c r="I21" s="109"/>
      <c r="J21" s="109"/>
      <c r="K21" s="109"/>
      <c r="L21" s="110"/>
    </row>
    <row r="22" spans="1:12" hidden="1" x14ac:dyDescent="0.2">
      <c r="A22" s="170">
        <v>11</v>
      </c>
      <c r="B22" s="180"/>
      <c r="C22" s="290"/>
      <c r="D22" s="290"/>
      <c r="E22" s="292"/>
      <c r="F22" s="292"/>
      <c r="G22" s="292"/>
      <c r="H22" s="292"/>
      <c r="I22" s="292"/>
      <c r="J22" s="292"/>
      <c r="K22" s="292"/>
      <c r="L22" s="110"/>
    </row>
    <row r="23" spans="1:12" hidden="1" x14ac:dyDescent="0.2">
      <c r="A23" s="170">
        <v>12</v>
      </c>
      <c r="B23" s="213"/>
      <c r="C23" s="286"/>
      <c r="D23" s="286"/>
      <c r="E23" s="287"/>
      <c r="F23" s="287"/>
      <c r="G23" s="287"/>
      <c r="H23" s="287"/>
      <c r="I23" s="287"/>
      <c r="J23" s="287"/>
      <c r="K23" s="287"/>
      <c r="L23" s="216"/>
    </row>
    <row r="24" spans="1:12" hidden="1" x14ac:dyDescent="0.2">
      <c r="A24" s="170">
        <v>13</v>
      </c>
      <c r="B24" s="180"/>
      <c r="C24" s="174"/>
      <c r="D24" s="174"/>
      <c r="E24" s="109"/>
      <c r="F24" s="109"/>
      <c r="G24" s="109"/>
      <c r="H24" s="109"/>
      <c r="I24" s="109"/>
      <c r="J24" s="109"/>
      <c r="K24" s="109"/>
      <c r="L24" s="110"/>
    </row>
    <row r="25" spans="1:12" hidden="1" x14ac:dyDescent="0.2">
      <c r="A25" s="170">
        <v>14</v>
      </c>
      <c r="B25" s="180"/>
      <c r="C25" s="174"/>
      <c r="D25" s="174"/>
      <c r="E25" s="109"/>
      <c r="F25" s="109"/>
      <c r="G25" s="109"/>
      <c r="H25" s="109"/>
      <c r="I25" s="109"/>
      <c r="J25" s="109"/>
      <c r="K25" s="109"/>
      <c r="L25" s="110"/>
    </row>
    <row r="26" spans="1:12" hidden="1" x14ac:dyDescent="0.2">
      <c r="A26" s="170">
        <v>15</v>
      </c>
      <c r="B26" s="180"/>
      <c r="C26" s="174"/>
      <c r="D26" s="174"/>
      <c r="E26" s="109"/>
      <c r="F26" s="109"/>
      <c r="G26" s="109"/>
      <c r="H26" s="109"/>
      <c r="I26" s="109"/>
      <c r="J26" s="109"/>
      <c r="K26" s="109"/>
      <c r="L26" s="110"/>
    </row>
    <row r="27" spans="1:12" hidden="1" x14ac:dyDescent="0.2">
      <c r="A27" s="170">
        <v>16</v>
      </c>
      <c r="B27" s="213"/>
      <c r="C27" s="214"/>
      <c r="D27" s="214"/>
      <c r="E27" s="215"/>
      <c r="F27" s="215"/>
      <c r="G27" s="215"/>
      <c r="H27" s="215"/>
      <c r="I27" s="215"/>
      <c r="J27" s="215"/>
      <c r="K27" s="215"/>
      <c r="L27" s="216"/>
    </row>
    <row r="28" spans="1:12" hidden="1" x14ac:dyDescent="0.2">
      <c r="A28" s="170">
        <v>17</v>
      </c>
      <c r="B28" s="180"/>
      <c r="C28" s="174"/>
      <c r="D28" s="174"/>
      <c r="E28" s="109"/>
      <c r="F28" s="109"/>
      <c r="G28" s="109"/>
      <c r="H28" s="109"/>
      <c r="I28" s="109"/>
      <c r="J28" s="109"/>
      <c r="K28" s="109"/>
      <c r="L28" s="110"/>
    </row>
    <row r="29" spans="1:12" hidden="1" x14ac:dyDescent="0.2">
      <c r="A29" s="170">
        <v>18</v>
      </c>
      <c r="B29" s="180"/>
      <c r="C29" s="174"/>
      <c r="D29" s="174"/>
      <c r="E29" s="109"/>
      <c r="F29" s="109"/>
      <c r="G29" s="109"/>
      <c r="H29" s="109"/>
      <c r="I29" s="109"/>
      <c r="J29" s="109"/>
      <c r="K29" s="109"/>
      <c r="L29" s="110"/>
    </row>
    <row r="30" spans="1:12" hidden="1" x14ac:dyDescent="0.2">
      <c r="A30" s="170">
        <v>19</v>
      </c>
      <c r="B30" s="180"/>
      <c r="C30" s="174"/>
      <c r="D30" s="174"/>
      <c r="E30" s="109"/>
      <c r="F30" s="109"/>
      <c r="G30" s="109"/>
      <c r="H30" s="109"/>
      <c r="I30" s="109"/>
      <c r="J30" s="109"/>
      <c r="K30" s="109"/>
      <c r="L30" s="110"/>
    </row>
    <row r="31" spans="1:12" hidden="1" x14ac:dyDescent="0.2">
      <c r="A31" s="170">
        <v>20</v>
      </c>
      <c r="B31" s="213"/>
      <c r="C31" s="214"/>
      <c r="D31" s="214"/>
      <c r="E31" s="215"/>
      <c r="F31" s="215"/>
      <c r="G31" s="215"/>
      <c r="H31" s="215"/>
      <c r="I31" s="215"/>
      <c r="J31" s="215"/>
      <c r="K31" s="215"/>
      <c r="L31" s="216"/>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1">SUM(E12:E31)</f>
        <v>10.604200000000001</v>
      </c>
      <c r="F33" s="109">
        <f t="shared" si="1"/>
        <v>5.7359999999999998</v>
      </c>
      <c r="G33" s="109">
        <f t="shared" si="1"/>
        <v>5.5592999999999995</v>
      </c>
      <c r="H33" s="109">
        <f t="shared" si="1"/>
        <v>10.694599999999999</v>
      </c>
      <c r="I33" s="109">
        <f t="shared" si="1"/>
        <v>22.936600000000002</v>
      </c>
      <c r="J33" s="109">
        <f t="shared" si="1"/>
        <v>21.331</v>
      </c>
      <c r="K33" s="109">
        <f t="shared" si="1"/>
        <v>76.860000000000014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 t="shared" ref="K38:K55" si="2">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si="2"/>
        <v>0.68</v>
      </c>
      <c r="L39" s="110"/>
    </row>
    <row r="40" spans="1:12" x14ac:dyDescent="0.2">
      <c r="A40" s="105"/>
      <c r="B40" s="213" t="s">
        <v>207</v>
      </c>
      <c r="C40" s="387" t="str">
        <f>IF(B40=0,"",VLOOKUP($B40,Table2[],2,FALSE))</f>
        <v>Fertilizer</v>
      </c>
      <c r="D40" s="387"/>
      <c r="E40" s="387"/>
      <c r="F40" s="214">
        <v>2</v>
      </c>
      <c r="G40" s="221">
        <v>1</v>
      </c>
      <c r="H40" s="222">
        <v>120</v>
      </c>
      <c r="I40" s="223" t="str">
        <f>IF($B40=0,"",VLOOKUP($B40,Table2[],5,FALSE))</f>
        <v>lbs N</v>
      </c>
      <c r="J40" s="215">
        <f>IF($B40=0,"",VLOOKUP($B40,Table2[],7,FALSE))</f>
        <v>0.5</v>
      </c>
      <c r="K40" s="215">
        <f t="shared" si="2"/>
        <v>60</v>
      </c>
      <c r="L40" s="216"/>
    </row>
    <row r="41" spans="1:12" x14ac:dyDescent="0.2">
      <c r="A41" s="105"/>
      <c r="B41" s="180" t="s">
        <v>263</v>
      </c>
      <c r="C41" s="388" t="str">
        <f>IF(B41=0,"",VLOOKUP($B41,Table2[],2,FALSE))</f>
        <v>Herbicide</v>
      </c>
      <c r="D41" s="388"/>
      <c r="E41" s="388"/>
      <c r="F41" s="174">
        <v>2</v>
      </c>
      <c r="G41" s="175">
        <v>1</v>
      </c>
      <c r="H41" s="176">
        <v>2.7</v>
      </c>
      <c r="I41" s="120" t="str">
        <f>IF($B41=0,"",VLOOKUP($B41,Table2[],5,FALSE))</f>
        <v>quart</v>
      </c>
      <c r="J41" s="109">
        <f>IF($B41=0,"",VLOOKUP($B41,Table2[],7,FALSE))</f>
        <v>18.75</v>
      </c>
      <c r="K41" s="109">
        <f t="shared" si="2"/>
        <v>50.63</v>
      </c>
      <c r="L41" s="110"/>
    </row>
    <row r="42" spans="1:12" x14ac:dyDescent="0.2">
      <c r="B42" s="180" t="s">
        <v>230</v>
      </c>
      <c r="C42" s="388" t="str">
        <f>IF(B42=0,"",VLOOKUP($B42,Table2[],2,FALSE))</f>
        <v>Herbicide</v>
      </c>
      <c r="D42" s="388"/>
      <c r="E42" s="388"/>
      <c r="F42" s="174">
        <v>2</v>
      </c>
      <c r="G42" s="175">
        <v>1</v>
      </c>
      <c r="H42" s="176">
        <v>0.5</v>
      </c>
      <c r="I42" s="120" t="str">
        <f>IF($B42=0,"",VLOOKUP($B42,Table2[],5,FALSE))</f>
        <v>quart</v>
      </c>
      <c r="J42" s="109">
        <f>IF($B42=0,"",VLOOKUP($B42,Table2[],7,FALSE))</f>
        <v>5.5</v>
      </c>
      <c r="K42" s="109">
        <f t="shared" si="2"/>
        <v>2.75</v>
      </c>
      <c r="L42" s="110"/>
    </row>
    <row r="43" spans="1:12" x14ac:dyDescent="0.2">
      <c r="B43" s="180" t="s">
        <v>201</v>
      </c>
      <c r="C43" s="388" t="str">
        <f>IF(B43=0,"",VLOOKUP($B43,Table2[],2,FALSE))</f>
        <v>Fertilizer</v>
      </c>
      <c r="D43" s="388"/>
      <c r="E43" s="388"/>
      <c r="F43" s="174">
        <v>3</v>
      </c>
      <c r="G43" s="175">
        <v>1</v>
      </c>
      <c r="H43" s="176">
        <v>6</v>
      </c>
      <c r="I43" s="120" t="str">
        <f>IF($B43=0,"",VLOOKUP($B43,Table2[],5,FALSE))</f>
        <v>gallon</v>
      </c>
      <c r="J43" s="109">
        <f>IF($B43=0,"",VLOOKUP($B43,Table2[],7,FALSE))</f>
        <v>3.1</v>
      </c>
      <c r="K43" s="109">
        <f t="shared" si="2"/>
        <v>18.600000000000001</v>
      </c>
      <c r="L43" s="110"/>
    </row>
    <row r="44" spans="1:12" x14ac:dyDescent="0.2">
      <c r="A44" s="105"/>
      <c r="B44" s="213" t="s">
        <v>343</v>
      </c>
      <c r="C44" s="387" t="str">
        <f>IF(B44=0,"",VLOOKUP($B44,Table2[],2,FALSE))</f>
        <v>Seed</v>
      </c>
      <c r="D44" s="387"/>
      <c r="E44" s="387"/>
      <c r="F44" s="214">
        <v>3</v>
      </c>
      <c r="G44" s="221">
        <v>1</v>
      </c>
      <c r="H44" s="222">
        <v>4</v>
      </c>
      <c r="I44" s="223" t="str">
        <f>IF($B44=0,"",VLOOKUP($B44,Table2[],5,FALSE))</f>
        <v>pound</v>
      </c>
      <c r="J44" s="215">
        <f>IF($B44=0,"",VLOOKUP($B44,Table2[],7,FALSE))</f>
        <v>3.7</v>
      </c>
      <c r="K44" s="215">
        <f t="shared" si="2"/>
        <v>14.8</v>
      </c>
      <c r="L44" s="216"/>
    </row>
    <row r="45" spans="1:12" x14ac:dyDescent="0.2">
      <c r="A45" s="143"/>
      <c r="B45" s="180" t="s">
        <v>260</v>
      </c>
      <c r="C45" s="388" t="str">
        <f>IF(B45=0,"",VLOOKUP($B45,Table2[],2,FALSE))</f>
        <v>Herbicide</v>
      </c>
      <c r="D45" s="388"/>
      <c r="E45" s="388"/>
      <c r="F45" s="174">
        <v>4</v>
      </c>
      <c r="G45" s="175">
        <v>1</v>
      </c>
      <c r="H45" s="176">
        <v>11</v>
      </c>
      <c r="I45" s="120" t="str">
        <f>IF($B45=0,"",VLOOKUP($B45,Table2[],5,FALSE))</f>
        <v>ounce</v>
      </c>
      <c r="J45" s="109">
        <f>IF($B45=0,"",VLOOKUP($B45,Table2[],7,FALSE))</f>
        <v>1.0546875</v>
      </c>
      <c r="K45" s="109">
        <f t="shared" si="2"/>
        <v>11.6</v>
      </c>
      <c r="L45" s="110"/>
    </row>
    <row r="46" spans="1:12" x14ac:dyDescent="0.2">
      <c r="A46" s="143"/>
      <c r="B46" s="180" t="s">
        <v>170</v>
      </c>
      <c r="C46" s="388" t="str">
        <f>IF(B46=0,"",VLOOKUP($B46,Table2[],2,FALSE))</f>
        <v>Additive</v>
      </c>
      <c r="D46" s="388"/>
      <c r="E46" s="388"/>
      <c r="F46" s="174">
        <v>4</v>
      </c>
      <c r="G46" s="175">
        <v>1</v>
      </c>
      <c r="H46" s="176">
        <v>1</v>
      </c>
      <c r="I46" s="120" t="str">
        <f>IF($B46=0,"",VLOOKUP($B46,Table2[],5,FALSE))</f>
        <v>pound</v>
      </c>
      <c r="J46" s="109">
        <f>IF($B46=0,"",VLOOKUP($B46,Table2[],7,FALSE))</f>
        <v>0.4</v>
      </c>
      <c r="K46" s="109">
        <f t="shared" si="2"/>
        <v>0.4</v>
      </c>
      <c r="L46" s="110"/>
    </row>
    <row r="47" spans="1:12" x14ac:dyDescent="0.2">
      <c r="A47" s="143" t="s">
        <v>638</v>
      </c>
      <c r="B47" s="180" t="s">
        <v>183</v>
      </c>
      <c r="C47" s="388" t="str">
        <f>IF(B47=0,"",VLOOKUP($B47,Table2[],2,FALSE))</f>
        <v>Custom</v>
      </c>
      <c r="D47" s="388"/>
      <c r="E47" s="388"/>
      <c r="F47" s="174">
        <v>5</v>
      </c>
      <c r="G47" s="175">
        <v>0.15</v>
      </c>
      <c r="H47" s="176">
        <v>1</v>
      </c>
      <c r="I47" s="120" t="str">
        <f>IF($B47=0,"",VLOOKUP($B47,Table2[],5,FALSE))</f>
        <v>acre</v>
      </c>
      <c r="J47" s="109">
        <f>IF($B47=0,"",VLOOKUP($B47,Table2[],7,FALSE))</f>
        <v>11</v>
      </c>
      <c r="K47" s="109">
        <f t="shared" si="2"/>
        <v>1.65</v>
      </c>
      <c r="L47" s="110"/>
    </row>
    <row r="48" spans="1:12" x14ac:dyDescent="0.2">
      <c r="A48" s="143" t="s">
        <v>638</v>
      </c>
      <c r="B48" s="213" t="s">
        <v>288</v>
      </c>
      <c r="C48" s="387" t="str">
        <f>IF(B48=0,"",VLOOKUP($B48,Table2[],2,FALSE))</f>
        <v>Insecticide</v>
      </c>
      <c r="D48" s="387"/>
      <c r="E48" s="387"/>
      <c r="F48" s="214">
        <v>5</v>
      </c>
      <c r="G48" s="221">
        <v>0.15</v>
      </c>
      <c r="H48" s="222">
        <v>3</v>
      </c>
      <c r="I48" s="223" t="str">
        <f>IF($B48=0,"",VLOOKUP($B48,Table2[],5,FALSE))</f>
        <v>ounce</v>
      </c>
      <c r="J48" s="215">
        <f>IF($B48=0,"",VLOOKUP($B48,Table2[],7,FALSE))</f>
        <v>1.25</v>
      </c>
      <c r="K48" s="215">
        <f t="shared" si="2"/>
        <v>0.56000000000000005</v>
      </c>
      <c r="L48" s="216"/>
    </row>
    <row r="49" spans="1:12" x14ac:dyDescent="0.2">
      <c r="A49" s="143"/>
      <c r="B49" s="180" t="s">
        <v>198</v>
      </c>
      <c r="C49" s="388" t="str">
        <f>IF(B49=0,"",VLOOKUP($B49,Table2[],2,FALSE))</f>
        <v>Custom</v>
      </c>
      <c r="D49" s="388"/>
      <c r="E49" s="388"/>
      <c r="F49" s="174">
        <v>8</v>
      </c>
      <c r="G49" s="175">
        <v>1</v>
      </c>
      <c r="H49" s="176">
        <f>$G$4</f>
        <v>135</v>
      </c>
      <c r="I49" s="120" t="str">
        <f>IF($B49=0,"",VLOOKUP($B49,Table2[],5,FALSE))</f>
        <v>bushel</v>
      </c>
      <c r="J49" s="109">
        <f>IF($B49=0,"",VLOOKUP($B49,Table2[],7,FALSE))</f>
        <v>0.15</v>
      </c>
      <c r="K49" s="109">
        <f t="shared" si="2"/>
        <v>20.25</v>
      </c>
      <c r="L49" s="110"/>
    </row>
    <row r="50" spans="1:12" x14ac:dyDescent="0.2">
      <c r="A50" s="105"/>
      <c r="B50" s="180" t="s">
        <v>312</v>
      </c>
      <c r="C50" s="388" t="str">
        <f>IF(B50=0,"",VLOOKUP($B50,Table2[],2,FALSE))</f>
        <v>Scouting</v>
      </c>
      <c r="D50" s="388"/>
      <c r="E50" s="388"/>
      <c r="F50" s="174"/>
      <c r="G50" s="175">
        <v>1</v>
      </c>
      <c r="H50" s="176">
        <v>1</v>
      </c>
      <c r="I50" s="120" t="str">
        <f>IF($B50=0,"",VLOOKUP($B50,Table2[],5,FALSE))</f>
        <v>acre</v>
      </c>
      <c r="J50" s="109">
        <f>IF($B50=0,"",VLOOKUP($B50,Table2[],7,FALSE))</f>
        <v>10</v>
      </c>
      <c r="K50" s="109">
        <f t="shared" si="2"/>
        <v>10</v>
      </c>
      <c r="L50" s="110"/>
    </row>
    <row r="51" spans="1:12" ht="12.75" hidden="1" customHeight="1" x14ac:dyDescent="0.2">
      <c r="A51" s="105"/>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11</v>
      </c>
      <c r="K61" s="109">
        <f ca="1">IF(B61=0,0,J61)</f>
        <v>11</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209.67000000000002</v>
      </c>
      <c r="L63" s="110"/>
    </row>
    <row r="64" spans="1:12" x14ac:dyDescent="0.2">
      <c r="B64" s="144" t="s">
        <v>749</v>
      </c>
      <c r="K64" s="127"/>
    </row>
    <row r="65" spans="1:12" x14ac:dyDescent="0.2">
      <c r="B65" s="107" t="s">
        <v>672</v>
      </c>
      <c r="K65" s="127">
        <f ca="1">K33+K63</f>
        <v>286.53000000000003</v>
      </c>
      <c r="L65" s="110"/>
    </row>
    <row r="66" spans="1:12" ht="13.5" thickBot="1" x14ac:dyDescent="0.25">
      <c r="D66" s="128" t="s">
        <v>673</v>
      </c>
      <c r="E66" s="129">
        <f ca="1">ROUND(SUM($E$33:$H$33)+$K$63,2)</f>
        <v>242.26</v>
      </c>
      <c r="F66" s="388" t="s">
        <v>674</v>
      </c>
      <c r="G66" s="388"/>
      <c r="H66" s="130">
        <f>'General Variables'!$B$11</f>
        <v>7.4999999999999997E-2</v>
      </c>
      <c r="I66" s="131" t="str">
        <f>CONCATENATE("for ",TEXT('General Variables'!$B$12,"0.0")," mo.")</f>
        <v>for 6.0 mo.</v>
      </c>
      <c r="K66" s="132">
        <f ca="1">E66*H66*'General Variables'!$B$12/12</f>
        <v>9.0847499999999997</v>
      </c>
      <c r="L66" s="133"/>
    </row>
    <row r="67" spans="1:12" ht="13.5" thickTop="1" x14ac:dyDescent="0.2">
      <c r="B67" s="107" t="s">
        <v>675</v>
      </c>
      <c r="K67" s="127">
        <f ca="1">SUM(K65:K66)</f>
        <v>295.61475000000002</v>
      </c>
      <c r="L67" s="110"/>
    </row>
    <row r="68" spans="1:12" x14ac:dyDescent="0.2">
      <c r="K68" s="127"/>
    </row>
    <row r="69" spans="1:12" x14ac:dyDescent="0.2">
      <c r="B69" s="104" t="s">
        <v>676</v>
      </c>
      <c r="C69" s="134"/>
      <c r="D69" s="134"/>
      <c r="E69" s="134"/>
      <c r="F69" s="134"/>
      <c r="G69" s="134"/>
      <c r="H69" s="134"/>
      <c r="I69" s="134"/>
      <c r="J69" s="134"/>
      <c r="K69" s="135">
        <f>'General Variables'!B15</f>
        <v>27</v>
      </c>
      <c r="L69" s="110"/>
    </row>
    <row r="70" spans="1:12" x14ac:dyDescent="0.2">
      <c r="A70" s="128" t="s">
        <v>750</v>
      </c>
      <c r="B70" s="103" t="s">
        <v>687</v>
      </c>
      <c r="C70" s="398" t="s">
        <v>30</v>
      </c>
      <c r="D70" s="399"/>
      <c r="E70" s="400"/>
      <c r="F70" s="136">
        <f>IF(C70=0,0,VLOOKUP(C70,RETable,2,FALSE))</f>
        <v>4530</v>
      </c>
      <c r="G70" s="388" t="s">
        <v>678</v>
      </c>
      <c r="H70" s="388"/>
      <c r="I70" s="130">
        <f>'General Variables'!$B$10</f>
        <v>0.03</v>
      </c>
      <c r="K70" s="137">
        <f>ROUND(F70*I70,2)</f>
        <v>135.9</v>
      </c>
      <c r="L70" s="110"/>
    </row>
    <row r="71" spans="1:12" ht="13.5" thickBot="1" x14ac:dyDescent="0.25">
      <c r="A71" s="128" t="s">
        <v>750</v>
      </c>
      <c r="B71" s="103" t="s">
        <v>679</v>
      </c>
      <c r="F71" s="138">
        <f>IF(C70=0,0,VLOOKUP(C70,RETable,2,FALSE))</f>
        <v>4530</v>
      </c>
      <c r="G71" s="397" t="s">
        <v>678</v>
      </c>
      <c r="H71" s="397"/>
      <c r="I71" s="139">
        <f>'General Variables'!$B$13</f>
        <v>1.2999999999999999E-2</v>
      </c>
      <c r="J71" s="105"/>
      <c r="K71" s="140">
        <f>ROUND(F71*I71,2)</f>
        <v>58.89</v>
      </c>
      <c r="L71" s="133"/>
    </row>
    <row r="72" spans="1:12" ht="13.5" thickTop="1" x14ac:dyDescent="0.2">
      <c r="B72" s="107" t="s">
        <v>680</v>
      </c>
      <c r="K72" s="127">
        <f ca="1">SUM(K67:K71)</f>
        <v>517.40475000000004</v>
      </c>
      <c r="L72" s="110"/>
    </row>
    <row r="73" spans="1:12" x14ac:dyDescent="0.2">
      <c r="K73" s="128"/>
    </row>
    <row r="74" spans="1:12" x14ac:dyDescent="0.2">
      <c r="B74" s="104" t="str">
        <f>IF(G4="","","Cash Cost per "&amp;H4)</f>
        <v>Cash Cost per bushel</v>
      </c>
      <c r="C74" s="261" t="s">
        <v>688</v>
      </c>
      <c r="D74" s="105"/>
      <c r="E74" s="105"/>
      <c r="F74" s="105"/>
      <c r="G74" s="105"/>
      <c r="H74" s="105"/>
      <c r="I74" s="105"/>
      <c r="J74" s="105"/>
      <c r="K74" s="142">
        <f ca="1">IF(G4=0,0,(E66+K66+K69+K71)/G4)</f>
        <v>2.4980351851851847</v>
      </c>
      <c r="L74" s="148"/>
    </row>
    <row r="75" spans="1:12" x14ac:dyDescent="0.2">
      <c r="B75" s="107" t="str">
        <f>IF(G4="","","Cost of production per "&amp;H4)</f>
        <v>Cost of production per bushel</v>
      </c>
      <c r="K75" s="141">
        <f ca="1">IF(G4="","",K72/G4)</f>
        <v>3.8326277777777782</v>
      </c>
      <c r="L75" s="110"/>
    </row>
    <row r="77" spans="1:12" x14ac:dyDescent="0.2">
      <c r="B77" s="144" t="s">
        <v>751</v>
      </c>
    </row>
    <row r="78" spans="1:12" x14ac:dyDescent="0.2">
      <c r="D78" s="103" t="s">
        <v>900</v>
      </c>
      <c r="G78" s="105"/>
      <c r="H78" s="105"/>
      <c r="I78" s="105"/>
      <c r="J78" s="105"/>
      <c r="K78" s="355" t="s">
        <v>901</v>
      </c>
      <c r="L78"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400-000000000000}">
      <formula1>$B$111:$B$208</formula1>
    </dataValidation>
    <dataValidation type="list" allowBlank="1" showInputMessage="1" showErrorMessage="1" sqref="B62" xr:uid="{00000000-0002-0000-3400-000001000000}">
      <formula1>$C$111:$C$229</formula1>
    </dataValidation>
    <dataValidation type="list" allowBlank="1" showInputMessage="1" showErrorMessage="1" sqref="K4" xr:uid="{00000000-0002-0000-3400-000002000000}">
      <formula1>$K$111:$K$113</formula1>
    </dataValidation>
    <dataValidation type="list" allowBlank="1" showInputMessage="1" showErrorMessage="1" sqref="B37:B60" xr:uid="{00000000-0002-0000-3400-000003000000}">
      <formula1>MaterialList</formula1>
    </dataValidation>
    <dataValidation type="list" allowBlank="1" showInputMessage="1" showErrorMessage="1" sqref="C70:E70" xr:uid="{00000000-0002-0000-3400-000004000000}">
      <formula1>RealEstateList</formula1>
    </dataValidation>
    <dataValidation type="list" allowBlank="1" showInputMessage="1" showErrorMessage="1" sqref="B12:B31" xr:uid="{00000000-0002-0000-3400-000005000000}">
      <formula1>OperationList</formula1>
    </dataValidation>
    <dataValidation type="list" allowBlank="1" showInputMessage="1" showErrorMessage="1" sqref="D12:D32" xr:uid="{00000000-0002-0000-3400-000006000000}">
      <formula1>#REF!</formula1>
    </dataValidation>
    <dataValidation type="list" allowBlank="1" showInputMessage="1" showErrorMessage="1" sqref="K2" xr:uid="{00000000-0002-0000-3400-000007000000}">
      <formula1>watersource</formula1>
    </dataValidation>
    <dataValidation type="list" allowBlank="1" showInputMessage="1" showErrorMessage="1" sqref="C3" xr:uid="{00000000-0002-0000-3400-000008000000}">
      <formula1>TillageSystem</formula1>
    </dataValidation>
  </dataValidations>
  <pageMargins left="0.7" right="0.7" top="0.75" bottom="0.75" header="0.3" footer="0.3"/>
  <pageSetup scale="71" orientation="portrait" r:id="rId1"/>
  <ignoredErrors>
    <ignoredError sqref="C17" unlockedFormula="1"/>
    <ignoredError sqref="E17:J17"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5">
    <pageSetUpPr fitToPage="1"/>
  </sheetPr>
  <dimension ref="A2:M255"/>
  <sheetViews>
    <sheetView topLeftCell="A7" zoomScaleNormal="100" workbookViewId="0">
      <selection activeCell="F70" sqref="F70:F71"/>
    </sheetView>
  </sheetViews>
  <sheetFormatPr defaultColWidth="9.140625" defaultRowHeight="12.75" x14ac:dyDescent="0.2"/>
  <cols>
    <col min="1" max="1" width="5.140625" style="103" customWidth="1"/>
    <col min="2" max="2" width="32.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724</v>
      </c>
      <c r="D2" s="187"/>
      <c r="E2" s="187"/>
      <c r="F2" s="128" t="s">
        <v>648</v>
      </c>
      <c r="G2" s="392"/>
      <c r="H2" s="392"/>
      <c r="J2" s="128" t="s">
        <v>649</v>
      </c>
      <c r="K2" s="401" t="s">
        <v>74</v>
      </c>
      <c r="L2" s="401"/>
    </row>
    <row r="3" spans="1:13" hidden="1" x14ac:dyDescent="0.2">
      <c r="B3" s="103" t="s">
        <v>38</v>
      </c>
      <c r="C3" s="391" t="s">
        <v>57</v>
      </c>
      <c r="D3" s="391"/>
      <c r="E3" s="391"/>
      <c r="G3" s="128" t="s">
        <v>650</v>
      </c>
      <c r="H3" s="187" t="s">
        <v>752</v>
      </c>
      <c r="J3" s="128" t="s">
        <v>651</v>
      </c>
      <c r="K3" s="187"/>
    </row>
    <row r="4" spans="1:13" hidden="1" x14ac:dyDescent="0.2">
      <c r="B4" s="103" t="s">
        <v>652</v>
      </c>
      <c r="C4" s="392" t="s">
        <v>753</v>
      </c>
      <c r="D4" s="392"/>
      <c r="E4" s="392"/>
      <c r="G4" s="103">
        <f>IFERROR(VALUE(LEFT($H$3,FIND(" ",$H$3))),"")</f>
        <v>120</v>
      </c>
      <c r="H4" s="103" t="str">
        <f>IFERROR(RIGHT(H3,LEN(H3)-LEN(G4)-1),"")</f>
        <v>bushel</v>
      </c>
      <c r="J4" s="128" t="s">
        <v>653</v>
      </c>
      <c r="K4" s="188" t="s">
        <v>654</v>
      </c>
    </row>
    <row r="5" spans="1:13" ht="15.75" hidden="1" customHeight="1" x14ac:dyDescent="0.2">
      <c r="B5" s="103" t="s">
        <v>655</v>
      </c>
      <c r="C5" s="103" t="str">
        <f ca="1">MID(CELL("filename",C5),FIND("]",CELL("filename",C5))+1,255)</f>
        <v>49-Grain Sorghum</v>
      </c>
      <c r="E5" s="103">
        <f ca="1">VLOOKUP($C$5,CropInsurance,5,FALSE)</f>
        <v>12</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49-Grain Sorghum, Southwest, Ecofallow, after Wheat, Two Crops in Three Years, 120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49-Grain Sorghum, Southwest, Ecofallow, after Wheat, Two Crops in Three Years, 120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554</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555</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1.04</v>
      </c>
      <c r="I13" s="109">
        <f>IF(B13=0,0,IF(C13&gt;9999,"",ROUND(VLOOKUP(VLOOKUP(B13,Operations!$A$2:$U$79,11,FALSE),PowerUnits[],16,FALSE)/VLOOKUP(B13,Operations!$A$2:$U$79,9,FALSE)*C13,2)))</f>
        <v>1.31</v>
      </c>
      <c r="J13" s="109">
        <f>IF(B13=0,"",IF(C13&gt;9999,"",ROUND(VLOOKUP($B13,Operations!$A$2:$U$79,21,FALSE)*$C13,2)))</f>
        <v>2.52</v>
      </c>
      <c r="K13" s="109">
        <f t="shared" ref="K13:K31" si="0">IF(C13&gt;9999,"",ROUND(SUM(E13:J13),2))</f>
        <v>6.18</v>
      </c>
      <c r="L13" s="110"/>
    </row>
    <row r="14" spans="1:13" x14ac:dyDescent="0.2">
      <c r="A14" s="170">
        <v>3</v>
      </c>
      <c r="B14" s="180" t="s">
        <v>550</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0.33</v>
      </c>
      <c r="I14" s="109">
        <f>IF(B14=0,0,IF(C14&gt;9999,"",ROUND(VLOOKUP(VLOOKUP(B14,Operations!$A$2:$U$79,11,FALSE),PowerUnits[],16,FALSE)/VLOOKUP(B14,Operations!$A$2:$U$79,9,FALSE)*C14,2)))</f>
        <v>1.31</v>
      </c>
      <c r="J14" s="109">
        <f>IF(B14=0,"",IF(C14&gt;9999,"",ROUND(VLOOKUP($B14,Operations!$A$2:$U$79,21,FALSE)*$C14,2)))</f>
        <v>4.2</v>
      </c>
      <c r="K14" s="109">
        <f t="shared" si="0"/>
        <v>7.15</v>
      </c>
      <c r="L14" s="110"/>
    </row>
    <row r="15" spans="1:13" x14ac:dyDescent="0.2">
      <c r="A15" s="170">
        <v>4</v>
      </c>
      <c r="B15" s="213" t="s">
        <v>529</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1.08</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22.31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938</v>
      </c>
      <c r="C18" s="174">
        <f>$G$4</f>
        <v>120</v>
      </c>
      <c r="D18" s="174"/>
      <c r="E18" s="109">
        <f>IF(B18=0,"",IF(C18&gt;9999,"",ROUND('General Variables'!$B$4*VLOOKUP(B18,Operations!$A$2:$U$79,10,FALSE)/VLOOKUP(B18,Operations!$A$2:$U$79,9,FALSE)*C18,2))/100)</f>
        <v>2.7414999999999998</v>
      </c>
      <c r="F18" s="109">
        <f>IF(B18=0,0,IF(C18&gt;9999,"",ROUND(IF(VLOOKUP(B18,Operations!$A$2:$U$79,12,FALSE)=0,VLOOKUP(B18,Operations!$A$2:$U$79,13,FALSE)*'General Variables'!$B$8,VLOOKUP(B18,Operations!$A$2:$U$79,12,FALSE)*'General Variables'!$B$7)/VLOOKUP(B18,Operations!$A$2:$U$79,9,FALSE)*C18,2))/100)</f>
        <v>3.0986000000000002</v>
      </c>
      <c r="G18" s="109">
        <f>IF(B18=0,0,IF(C18&gt;9999,"",ROUND(VLOOKUP(VLOOKUP(B18,Operations!$A$2:$U$79,11,FALSE),PowerUnits[],10,FALSE)/VLOOKUP(B18,Operations!$A$2:$U$79,9,FALSE)*C18,2))/100)</f>
        <v>4.7637999999999998</v>
      </c>
      <c r="H18" s="109">
        <f>IF(B18=0,"",IF(C18&gt;9999,"",ROUND(VLOOKUP($B18,Operations!$A$2:$U$79,15,FALSE)*C18,2))/100)</f>
        <v>0.37740000000000001</v>
      </c>
      <c r="I18" s="109">
        <f>IF(B18=0,0,IF(C18&gt;9999,"",ROUND(VLOOKUP(VLOOKUP(B18,Operations!$A$2:$U$79,11,FALSE),PowerUnits[],16,FALSE)/VLOOKUP(B18,Operations!$A$2:$U$79,9,FALSE)*C18,2))/100)</f>
        <v>11.4725</v>
      </c>
      <c r="J18" s="109">
        <f>IF(B18=0,"",IF(C18&gt;9999,"",ROUND(VLOOKUP($B18,Operations!$A$2:$U$79,21,FALSE)*$C18,2))/100)</f>
        <v>4.4364999999999997</v>
      </c>
      <c r="K18" s="109">
        <f>IF(C18&gt;9999,"",ROUND(SUM(E18:J18),2))</f>
        <v>26.89</v>
      </c>
      <c r="L18" s="110"/>
    </row>
    <row r="19" spans="1:12" x14ac:dyDescent="0.2">
      <c r="A19" s="170">
        <v>8</v>
      </c>
      <c r="B19" s="213" t="s">
        <v>414</v>
      </c>
      <c r="C19" s="214">
        <f>$G$4</f>
        <v>120</v>
      </c>
      <c r="D19" s="214" t="s">
        <v>706</v>
      </c>
      <c r="E19" s="215">
        <f>IF(B19=0,"",IF(C19&gt;9999,"",ROUND('General Variables'!$B$4*VLOOKUP(B19,Operations!$A$2:$U$79,10,FALSE)/VLOOKUP(B19,Operations!$A$2:$U$79,9,FALSE)*C19,2)))</f>
        <v>1.08</v>
      </c>
      <c r="F19" s="215">
        <f>IF(B19=0,0,IF(C19&gt;9999,"",ROUND(IF(VLOOKUP(B19,Operations!$A$2:$U$79,12,FALSE)=0,VLOOKUP(B19,Operations!$A$2:$U$79,13,FALSE)*'General Variables'!$B$8,VLOOKUP(B19,Operations!$A$2:$U$79,12,FALSE)*'General Variables'!$B$7)/VLOOKUP(B19,Operations!$A$2:$U$79,9,FALSE)*C19,2)))</f>
        <v>0.35</v>
      </c>
      <c r="G19" s="215">
        <f>IF(B19=0,0,IF(C19&gt;9999,"",ROUND(VLOOKUP(VLOOKUP(B19,Operations!$A$2:$U$79,11,FALSE),PowerUnits[],10,FALSE)/VLOOKUP(B19,Operations!$A$2:$U$79,9,FALSE)*C19,2)))</f>
        <v>0.03</v>
      </c>
      <c r="H19" s="215">
        <f>IF(B19=0,"",IF(C19&gt;9999,"",ROUND(VLOOKUP($B19,Operations!$A$2:$U$79,15,FALSE)*C19,2)))</f>
        <v>0.66</v>
      </c>
      <c r="I19" s="215">
        <f>IF(B19=0,0,IF(C19&gt;9999,"",ROUND(VLOOKUP(VLOOKUP(B19,Operations!$A$2:$U$79,11,FALSE),PowerUnits[],16,FALSE)/VLOOKUP(B19,Operations!$A$2:$U$79,9,FALSE)*C19,2)))</f>
        <v>1.57</v>
      </c>
      <c r="J19" s="215">
        <f>IF(B19=0,"",IF(C19&gt;9999,"",ROUND(VLOOKUP($B19,Operations!$A$2:$U$79,21,FALSE)*$C19,2)))</f>
        <v>1.33</v>
      </c>
      <c r="K19" s="215">
        <f>IF(C19&gt;9999,"",ROUND(SUM(E19:J19),2))</f>
        <v>5.0199999999999996</v>
      </c>
      <c r="L19" s="216"/>
    </row>
    <row r="20" spans="1:12" x14ac:dyDescent="0.2">
      <c r="A20" s="170">
        <v>9</v>
      </c>
      <c r="B20" s="180" t="s">
        <v>565</v>
      </c>
      <c r="C20" s="174" t="s">
        <v>184</v>
      </c>
      <c r="D20" s="174"/>
      <c r="E20" s="109"/>
      <c r="F20" s="109"/>
      <c r="G20" s="109"/>
      <c r="H20" s="109"/>
      <c r="I20" s="109"/>
      <c r="J20" s="109"/>
      <c r="K20" s="109"/>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290"/>
      <c r="D22" s="291"/>
      <c r="E22" s="292" t="str">
        <f>IF(B22=0,"",IF(C22&gt;9999,"",ROUND('General Variables'!$B$4*VLOOKUP(B22,Operations!$A$2:$U$79,10,FALSE)/VLOOKUP(B22,Operations!$A$2:$U$79,9,FALSE)*C22,2)))</f>
        <v/>
      </c>
      <c r="F22" s="292">
        <f>IF(B22=0,0,IF(C22&gt;9999,"",ROUND(IF(VLOOKUP(B22,Operations!$A$2:$U$79,12,FALSE)=0,VLOOKUP(B22,Operations!$A$2:$U$79,13,FALSE)*'General Variables'!$B$8,VLOOKUP(B22,Operations!$A$2:$U$79,12,FALSE)*'General Variables'!$B$7)/VLOOKUP(B22,Operations!$A$2:$U$79,9,FALSE)*C22,2)))</f>
        <v>0</v>
      </c>
      <c r="G22" s="292">
        <f>IF(B22=0,0,IF(C22&gt;9999,"",ROUND(VLOOKUP(VLOOKUP(B22,Operations!$A$2:$U$79,11,FALSE),PowerUnits[],10,FALSE)/VLOOKUP(B22,Operations!$A$2:$U$79,9,FALSE)*C22,2)))</f>
        <v>0</v>
      </c>
      <c r="H22" s="292" t="str">
        <f>IF(B22=0,"",IF(C22&gt;9999,"",ROUND(VLOOKUP($B22,Operations!$A$2:$U$79,15,FALSE)*C22,2)))</f>
        <v/>
      </c>
      <c r="I22" s="292">
        <f>IF(B22=0,0,IF(C22&gt;9999,"",ROUND(VLOOKUP(VLOOKUP(B22,Operations!$A$2:$U$79,11,FALSE),PowerUnits[],16,FALSE)/VLOOKUP(B22,Operations!$A$2:$U$79,9,FALSE)*C22,2)))</f>
        <v>0</v>
      </c>
      <c r="J22" s="292" t="str">
        <f>IF(B22=0,"",IF(C22&gt;9999,"",ROUND(VLOOKUP($B22,Operations!$A$2:$U$79,21,FALSE)*$C22,2)))</f>
        <v/>
      </c>
      <c r="K22" s="292">
        <f t="shared" si="0"/>
        <v>0</v>
      </c>
      <c r="L22" s="110"/>
    </row>
    <row r="23" spans="1:12" hidden="1" x14ac:dyDescent="0.2">
      <c r="A23" s="170">
        <v>12</v>
      </c>
      <c r="B23" s="213"/>
      <c r="C23" s="286"/>
      <c r="D23" s="288"/>
      <c r="E23" s="287" t="str">
        <f>IF(B23=0,"",IF(C23&gt;9999,"",ROUND('General Variables'!$B$4*VLOOKUP(B23,Operations!$A$2:$U$79,10,FALSE)/VLOOKUP(B23,Operations!$A$2:$U$79,9,FALSE)*C23,2)))</f>
        <v/>
      </c>
      <c r="F23" s="287">
        <f>IF(B23=0,0,IF(C23&gt;9999,"",ROUND(IF(VLOOKUP(B23,Operations!$A$2:$U$79,12,FALSE)=0,VLOOKUP(B23,Operations!$A$2:$U$79,13,FALSE)*'General Variables'!$B$8,VLOOKUP(B23,Operations!$A$2:$U$79,12,FALSE)*'General Variables'!$B$7)/VLOOKUP(B23,Operations!$A$2:$U$79,9,FALSE)*C23,2)))</f>
        <v>0</v>
      </c>
      <c r="G23" s="287">
        <f>IF(B23=0,0,IF(C23&gt;9999,"",ROUND(VLOOKUP(VLOOKUP(B23,Operations!$A$2:$U$79,11,FALSE),PowerUnits[],10,FALSE)/VLOOKUP(B23,Operations!$A$2:$U$79,9,FALSE)*C23,2)))</f>
        <v>0</v>
      </c>
      <c r="H23" s="287" t="str">
        <f>IF(B23=0,"",IF(C23&gt;9999,"",ROUND(VLOOKUP($B23,Operations!$A$2:$U$79,15,FALSE)*C23,2)))</f>
        <v/>
      </c>
      <c r="I23" s="287">
        <f>IF(B23=0,0,IF(C23&gt;9999,"",ROUND(VLOOKUP(VLOOKUP(B23,Operations!$A$2:$U$79,11,FALSE),PowerUnits[],16,FALSE)/VLOOKUP(B23,Operations!$A$2:$U$79,9,FALSE)*C23,2)))</f>
        <v>0</v>
      </c>
      <c r="J23" s="287" t="str">
        <f>IF(B23=0,"",IF(C23&gt;9999,"",ROUND(VLOOKUP($B23,Operations!$A$2:$U$79,21,FALSE)*$C23,2)))</f>
        <v/>
      </c>
      <c r="K23" s="287">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1">SUM(E12:E31)</f>
        <v>11.141500000000001</v>
      </c>
      <c r="F33" s="109">
        <f t="shared" si="1"/>
        <v>5.5686</v>
      </c>
      <c r="G33" s="109">
        <f t="shared" si="1"/>
        <v>4.9938000000000002</v>
      </c>
      <c r="H33" s="109">
        <f t="shared" si="1"/>
        <v>11.597399999999999</v>
      </c>
      <c r="I33" s="109">
        <f t="shared" si="1"/>
        <v>22.612500000000001</v>
      </c>
      <c r="J33" s="109">
        <f t="shared" si="1"/>
        <v>23.136499999999998</v>
      </c>
      <c r="K33" s="109">
        <f t="shared" si="1"/>
        <v>79.05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 t="shared" ref="K38:K55" si="2">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si="2"/>
        <v>0.68</v>
      </c>
      <c r="L39" s="110"/>
    </row>
    <row r="40" spans="1:12" x14ac:dyDescent="0.2">
      <c r="A40" s="105"/>
      <c r="B40" s="213" t="s">
        <v>230</v>
      </c>
      <c r="C40" s="387" t="str">
        <f>IF(B40=0,"",VLOOKUP($B40,Table2[],2,FALSE))</f>
        <v>Herbicide</v>
      </c>
      <c r="D40" s="387"/>
      <c r="E40" s="387"/>
      <c r="F40" s="214">
        <v>2</v>
      </c>
      <c r="G40" s="221">
        <v>1</v>
      </c>
      <c r="H40" s="222">
        <v>1</v>
      </c>
      <c r="I40" s="223" t="str">
        <f>IF($B40=0,"",VLOOKUP($B40,Table2[],5,FALSE))</f>
        <v>quart</v>
      </c>
      <c r="J40" s="215">
        <f>IF($B40=0,"",VLOOKUP($B40,Table2[],7,FALSE))</f>
        <v>5.5</v>
      </c>
      <c r="K40" s="215">
        <f t="shared" si="2"/>
        <v>5.5</v>
      </c>
      <c r="L40" s="216"/>
    </row>
    <row r="41" spans="1:12" x14ac:dyDescent="0.2">
      <c r="A41" s="105"/>
      <c r="B41" s="180" t="s">
        <v>930</v>
      </c>
      <c r="C41" s="388" t="str">
        <f>IF(B41=0,"",VLOOKUP($B41,Table2[],2,FALSE))</f>
        <v>Herbicide</v>
      </c>
      <c r="D41" s="388"/>
      <c r="E41" s="388"/>
      <c r="F41" s="174">
        <v>2</v>
      </c>
      <c r="G41" s="175">
        <v>1</v>
      </c>
      <c r="H41" s="176">
        <v>1.5</v>
      </c>
      <c r="I41" s="120" t="str">
        <f>IF($B41=0,"",VLOOKUP($B41,Table2[],5,FALSE))</f>
        <v>pint</v>
      </c>
      <c r="J41" s="109">
        <f>IF($B41=0,"",VLOOKUP($B41,Table2[],7,FALSE))</f>
        <v>5.375</v>
      </c>
      <c r="K41" s="109">
        <f t="shared" si="2"/>
        <v>8.06</v>
      </c>
      <c r="L41" s="110"/>
    </row>
    <row r="42" spans="1:12" x14ac:dyDescent="0.2">
      <c r="A42" s="105"/>
      <c r="B42" s="180" t="s">
        <v>207</v>
      </c>
      <c r="C42" s="388" t="str">
        <f>IF(B42=0,"",VLOOKUP($B42,Table2[],2,FALSE))</f>
        <v>Fertilizer</v>
      </c>
      <c r="D42" s="388"/>
      <c r="E42" s="388"/>
      <c r="F42" s="174">
        <v>3</v>
      </c>
      <c r="G42" s="175">
        <v>1</v>
      </c>
      <c r="H42" s="176">
        <v>115</v>
      </c>
      <c r="I42" s="120" t="str">
        <f>IF($B42=0,"",VLOOKUP($B42,Table2[],5,FALSE))</f>
        <v>lbs N</v>
      </c>
      <c r="J42" s="109">
        <f>IF($B42=0,"",VLOOKUP($B42,Table2[],7,FALSE))</f>
        <v>0.5</v>
      </c>
      <c r="K42" s="109">
        <f t="shared" si="2"/>
        <v>57.5</v>
      </c>
      <c r="L42" s="110"/>
    </row>
    <row r="43" spans="1:12" x14ac:dyDescent="0.2">
      <c r="A43" s="105"/>
      <c r="B43" s="180" t="s">
        <v>263</v>
      </c>
      <c r="C43" s="388" t="str">
        <f>IF(B43=0,"",VLOOKUP($B43,Table2[],2,FALSE))</f>
        <v>Herbicide</v>
      </c>
      <c r="D43" s="388"/>
      <c r="E43" s="388"/>
      <c r="F43" s="174">
        <v>3</v>
      </c>
      <c r="G43" s="175">
        <v>1</v>
      </c>
      <c r="H43" s="176">
        <v>2.7</v>
      </c>
      <c r="I43" s="120" t="str">
        <f>IF($B43=0,"",VLOOKUP($B43,Table2[],5,FALSE))</f>
        <v>quart</v>
      </c>
      <c r="J43" s="109">
        <f>IF($B43=0,"",VLOOKUP($B43,Table2[],7,FALSE))</f>
        <v>18.75</v>
      </c>
      <c r="K43" s="109">
        <f t="shared" si="2"/>
        <v>50.63</v>
      </c>
      <c r="L43" s="110"/>
    </row>
    <row r="44" spans="1:12" x14ac:dyDescent="0.2">
      <c r="A44" s="105"/>
      <c r="B44" s="213" t="s">
        <v>201</v>
      </c>
      <c r="C44" s="387" t="str">
        <f>IF(B44=0,"",VLOOKUP($B44,Table2[],2,FALSE))</f>
        <v>Fertilizer</v>
      </c>
      <c r="D44" s="387"/>
      <c r="E44" s="387"/>
      <c r="F44" s="214">
        <v>4</v>
      </c>
      <c r="G44" s="221">
        <v>1</v>
      </c>
      <c r="H44" s="222">
        <v>6</v>
      </c>
      <c r="I44" s="223" t="str">
        <f>IF($B44=0,"",VLOOKUP($B44,Table2[],5,FALSE))</f>
        <v>gallon</v>
      </c>
      <c r="J44" s="215">
        <f>IF($B44=0,"",VLOOKUP($B44,Table2[],7,FALSE))</f>
        <v>3.1</v>
      </c>
      <c r="K44" s="215">
        <f t="shared" si="2"/>
        <v>18.600000000000001</v>
      </c>
      <c r="L44" s="216"/>
    </row>
    <row r="45" spans="1:12" x14ac:dyDescent="0.2">
      <c r="A45" s="105"/>
      <c r="B45" s="180" t="s">
        <v>343</v>
      </c>
      <c r="C45" s="388" t="str">
        <f>IF(B45=0,"",VLOOKUP($B45,Table2[],2,FALSE))</f>
        <v>Seed</v>
      </c>
      <c r="D45" s="388"/>
      <c r="E45" s="388"/>
      <c r="F45" s="174">
        <v>4</v>
      </c>
      <c r="G45" s="175">
        <v>1</v>
      </c>
      <c r="H45" s="176">
        <v>4</v>
      </c>
      <c r="I45" s="120" t="str">
        <f>IF($B45=0,"",VLOOKUP($B45,Table2[],5,FALSE))</f>
        <v>pound</v>
      </c>
      <c r="J45" s="109">
        <f>IF($B45=0,"",VLOOKUP($B45,Table2[],7,FALSE))</f>
        <v>3.7</v>
      </c>
      <c r="K45" s="109">
        <f t="shared" si="2"/>
        <v>14.8</v>
      </c>
      <c r="L45" s="110"/>
    </row>
    <row r="46" spans="1:12" x14ac:dyDescent="0.2">
      <c r="A46" s="143"/>
      <c r="B46" s="180" t="s">
        <v>260</v>
      </c>
      <c r="C46" s="388" t="str">
        <f>IF(B46=0,"",VLOOKUP($B46,Table2[],2,FALSE))</f>
        <v>Herbicide</v>
      </c>
      <c r="D46" s="388"/>
      <c r="E46" s="388"/>
      <c r="F46" s="174">
        <v>5</v>
      </c>
      <c r="G46" s="175">
        <v>1</v>
      </c>
      <c r="H46" s="176">
        <v>11</v>
      </c>
      <c r="I46" s="120" t="str">
        <f>IF($B46=0,"",VLOOKUP($B46,Table2[],5,FALSE))</f>
        <v>ounce</v>
      </c>
      <c r="J46" s="109">
        <f>IF($B46=0,"",VLOOKUP($B46,Table2[],7,FALSE))</f>
        <v>1.0546875</v>
      </c>
      <c r="K46" s="109">
        <f>IF(B46=0,0,ROUND(G46*H46*J46,2))</f>
        <v>11.6</v>
      </c>
      <c r="L46" s="110"/>
    </row>
    <row r="47" spans="1:12" x14ac:dyDescent="0.2">
      <c r="A47" s="143"/>
      <c r="B47" s="180" t="s">
        <v>170</v>
      </c>
      <c r="C47" s="388" t="str">
        <f>IF(B47=0,"",VLOOKUP($B47,Table2[],2,FALSE))</f>
        <v>Additive</v>
      </c>
      <c r="D47" s="388"/>
      <c r="E47" s="388"/>
      <c r="F47" s="174">
        <v>5</v>
      </c>
      <c r="G47" s="175">
        <v>1</v>
      </c>
      <c r="H47" s="176">
        <v>1</v>
      </c>
      <c r="I47" s="120" t="str">
        <f>IF($B47=0,"",VLOOKUP($B47,Table2[],5,FALSE))</f>
        <v>pound</v>
      </c>
      <c r="J47" s="109">
        <f>IF($B47=0,"",VLOOKUP($B47,Table2[],7,FALSE))</f>
        <v>0.4</v>
      </c>
      <c r="K47" s="109">
        <f t="shared" si="2"/>
        <v>0.4</v>
      </c>
      <c r="L47" s="110"/>
    </row>
    <row r="48" spans="1:12" x14ac:dyDescent="0.2">
      <c r="A48" s="143" t="s">
        <v>638</v>
      </c>
      <c r="B48" s="213" t="s">
        <v>183</v>
      </c>
      <c r="C48" s="387" t="str">
        <f>IF(B48=0,"",VLOOKUP($B48,Table2[],2,FALSE))</f>
        <v>Custom</v>
      </c>
      <c r="D48" s="387"/>
      <c r="E48" s="387"/>
      <c r="F48" s="214">
        <v>6</v>
      </c>
      <c r="G48" s="221">
        <v>0.15</v>
      </c>
      <c r="H48" s="222">
        <v>1</v>
      </c>
      <c r="I48" s="223" t="str">
        <f>IF($B48=0,"",VLOOKUP($B48,Table2[],5,FALSE))</f>
        <v>acre</v>
      </c>
      <c r="J48" s="215">
        <f>IF($B48=0,"",VLOOKUP($B48,Table2[],7,FALSE))</f>
        <v>11</v>
      </c>
      <c r="K48" s="309">
        <f t="shared" si="2"/>
        <v>1.65</v>
      </c>
      <c r="L48" s="216"/>
    </row>
    <row r="49" spans="1:12" x14ac:dyDescent="0.2">
      <c r="A49" s="143" t="s">
        <v>638</v>
      </c>
      <c r="B49" s="180" t="s">
        <v>288</v>
      </c>
      <c r="C49" s="388" t="str">
        <f>IF(B49=0,"",VLOOKUP($B49,Table2[],2,FALSE))</f>
        <v>Insecticide</v>
      </c>
      <c r="D49" s="388"/>
      <c r="E49" s="388"/>
      <c r="F49" s="174">
        <v>6</v>
      </c>
      <c r="G49" s="175">
        <v>0.15</v>
      </c>
      <c r="H49" s="176">
        <v>3</v>
      </c>
      <c r="I49" s="120" t="str">
        <f>IF($B49=0,"",VLOOKUP($B49,Table2[],5,FALSE))</f>
        <v>ounce</v>
      </c>
      <c r="J49" s="109">
        <f>IF($B49=0,"",VLOOKUP($B49,Table2[],7,FALSE))</f>
        <v>1.25</v>
      </c>
      <c r="K49" s="305">
        <f t="shared" si="2"/>
        <v>0.56000000000000005</v>
      </c>
      <c r="L49" s="110"/>
    </row>
    <row r="50" spans="1:12" x14ac:dyDescent="0.2">
      <c r="A50" s="143"/>
      <c r="B50" s="180" t="s">
        <v>198</v>
      </c>
      <c r="C50" s="388" t="str">
        <f>IF(B50=0,"",VLOOKUP($B50,Table2[],2,FALSE))</f>
        <v>Custom</v>
      </c>
      <c r="D50" s="388"/>
      <c r="E50" s="388"/>
      <c r="F50" s="174">
        <v>9</v>
      </c>
      <c r="G50" s="175">
        <v>1</v>
      </c>
      <c r="H50" s="176">
        <f>$G$4</f>
        <v>120</v>
      </c>
      <c r="I50" s="120" t="str">
        <f>IF($B50=0,"",VLOOKUP($B50,Table2[],5,FALSE))</f>
        <v>bushel</v>
      </c>
      <c r="J50" s="109">
        <f>IF($B50=0,"",VLOOKUP($B50,Table2[],7,FALSE))</f>
        <v>0.15</v>
      </c>
      <c r="K50" s="305">
        <f t="shared" si="2"/>
        <v>18</v>
      </c>
      <c r="L50" s="110"/>
    </row>
    <row r="51" spans="1:12" x14ac:dyDescent="0.2">
      <c r="A51" s="105"/>
      <c r="B51" s="180" t="s">
        <v>312</v>
      </c>
      <c r="C51" s="388" t="str">
        <f>IF(B51=0,"",VLOOKUP($B51,Table2[],2,FALSE))</f>
        <v>Scouting</v>
      </c>
      <c r="D51" s="388"/>
      <c r="E51" s="388"/>
      <c r="F51" s="174"/>
      <c r="G51" s="175">
        <v>1</v>
      </c>
      <c r="H51" s="176">
        <v>1</v>
      </c>
      <c r="I51" s="120" t="str">
        <f>IF($B51=0,"",VLOOKUP($B51,Table2[],5,FALSE))</f>
        <v>acre</v>
      </c>
      <c r="J51" s="109">
        <f>IF($B51=0,"",VLOOKUP($B51,Table2[],7,FALSE))</f>
        <v>10</v>
      </c>
      <c r="K51" s="305">
        <f t="shared" si="2"/>
        <v>10</v>
      </c>
      <c r="L51" s="110"/>
    </row>
    <row r="52" spans="1:12" ht="12.75" hidden="1" customHeight="1" x14ac:dyDescent="0.2">
      <c r="A52" s="105"/>
      <c r="B52" s="213"/>
      <c r="C52" s="387" t="str">
        <f>IF(B52=0,"",VLOOKUP($B52,Table2[],2,FALSE))</f>
        <v/>
      </c>
      <c r="D52" s="387"/>
      <c r="E52" s="387"/>
      <c r="F52" s="214"/>
      <c r="G52" s="221">
        <v>0.1</v>
      </c>
      <c r="H52" s="222"/>
      <c r="I52" s="223" t="str">
        <f>IF($B52=0,"",VLOOKUP($B52,Table2[],5,FALSE))</f>
        <v/>
      </c>
      <c r="J52" s="215" t="str">
        <f>IF($B52=0,"",VLOOKUP($B52,Table2[],7,FALSE))</f>
        <v/>
      </c>
      <c r="K52" s="309">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305">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305">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305">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309">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305">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260" t="s">
        <v>430</v>
      </c>
      <c r="C61" s="387" t="s">
        <v>655</v>
      </c>
      <c r="D61" s="387"/>
      <c r="E61" s="387"/>
      <c r="F61" s="218"/>
      <c r="G61" s="224"/>
      <c r="H61" s="225"/>
      <c r="I61" s="247"/>
      <c r="J61" s="215">
        <f ca="1">IF(F5=0,E5,F5)</f>
        <v>12</v>
      </c>
      <c r="K61" s="215">
        <f ca="1">IF(B61=0,0,J61)</f>
        <v>12</v>
      </c>
      <c r="L61" s="227"/>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41">
        <f ca="1">SUM(K37:K61)</f>
        <v>216.73000000000002</v>
      </c>
      <c r="L63" s="110"/>
    </row>
    <row r="64" spans="1:12" x14ac:dyDescent="0.2">
      <c r="B64" s="144" t="s">
        <v>749</v>
      </c>
      <c r="K64" s="128"/>
    </row>
    <row r="65" spans="1:12" x14ac:dyDescent="0.2">
      <c r="B65" s="107" t="s">
        <v>672</v>
      </c>
      <c r="K65" s="141">
        <f ca="1">K33+K63</f>
        <v>295.78000000000003</v>
      </c>
      <c r="L65" s="110"/>
    </row>
    <row r="66" spans="1:12" ht="13.5" thickBot="1" x14ac:dyDescent="0.25">
      <c r="D66" s="128" t="s">
        <v>673</v>
      </c>
      <c r="E66" s="129">
        <f ca="1">ROUND(SUM($E$33:$H$33)+$K$63,2)</f>
        <v>250.03</v>
      </c>
      <c r="F66" s="388" t="s">
        <v>674</v>
      </c>
      <c r="G66" s="388"/>
      <c r="H66" s="130">
        <f>'General Variables'!$B$11</f>
        <v>7.4999999999999997E-2</v>
      </c>
      <c r="I66" s="131" t="str">
        <f>CONCATENATE("for ",TEXT('General Variables'!$B$12,"0.0")," mo.")</f>
        <v>for 6.0 mo.</v>
      </c>
      <c r="K66" s="145">
        <f ca="1">E66*H66*'General Variables'!$B$12/12</f>
        <v>9.376125</v>
      </c>
      <c r="L66" s="133"/>
    </row>
    <row r="67" spans="1:12" ht="13.5" thickTop="1" x14ac:dyDescent="0.2">
      <c r="B67" s="107" t="s">
        <v>675</v>
      </c>
      <c r="K67" s="141">
        <f ca="1">SUM(K65:K66)</f>
        <v>305.15612500000003</v>
      </c>
      <c r="L67" s="110"/>
    </row>
    <row r="68" spans="1:12" x14ac:dyDescent="0.2">
      <c r="K68" s="128"/>
    </row>
    <row r="69" spans="1:12" x14ac:dyDescent="0.2">
      <c r="B69" s="104" t="s">
        <v>676</v>
      </c>
      <c r="C69" s="134"/>
      <c r="D69" s="134"/>
      <c r="E69" s="134"/>
      <c r="F69" s="134"/>
      <c r="G69" s="134"/>
      <c r="H69" s="134"/>
      <c r="I69" s="134"/>
      <c r="J69" s="134"/>
      <c r="K69" s="142">
        <f>'General Variables'!B15</f>
        <v>27</v>
      </c>
      <c r="L69" s="110"/>
    </row>
    <row r="70" spans="1:12" x14ac:dyDescent="0.2">
      <c r="A70" s="128" t="s">
        <v>750</v>
      </c>
      <c r="B70" s="103" t="s">
        <v>687</v>
      </c>
      <c r="C70" s="398" t="s">
        <v>45</v>
      </c>
      <c r="D70" s="399"/>
      <c r="E70" s="400"/>
      <c r="F70" s="136">
        <f>IF(C70=0,0,VLOOKUP(C70,RETable,2,FALSE))</f>
        <v>1825</v>
      </c>
      <c r="G70" s="388" t="s">
        <v>678</v>
      </c>
      <c r="H70" s="388"/>
      <c r="I70" s="130">
        <f>'General Variables'!$B$10</f>
        <v>0.03</v>
      </c>
      <c r="K70" s="146">
        <f>ROUND(F70*I70,2)</f>
        <v>54.75</v>
      </c>
      <c r="L70" s="110"/>
    </row>
    <row r="71" spans="1:12" ht="13.5" thickBot="1" x14ac:dyDescent="0.25">
      <c r="A71" s="128" t="s">
        <v>750</v>
      </c>
      <c r="B71" s="103" t="s">
        <v>679</v>
      </c>
      <c r="F71" s="138">
        <f>IF(C70=0,0,VLOOKUP(C70,RETable,2,FALSE))</f>
        <v>1825</v>
      </c>
      <c r="G71" s="397" t="s">
        <v>678</v>
      </c>
      <c r="H71" s="397"/>
      <c r="I71" s="139">
        <f>'General Variables'!$B$13</f>
        <v>1.2999999999999999E-2</v>
      </c>
      <c r="J71" s="105"/>
      <c r="K71" s="147">
        <f>ROUND(F71*I71,2)</f>
        <v>23.73</v>
      </c>
      <c r="L71" s="133"/>
    </row>
    <row r="72" spans="1:12" ht="13.5" thickTop="1" x14ac:dyDescent="0.2">
      <c r="B72" s="107" t="s">
        <v>680</v>
      </c>
      <c r="K72" s="141">
        <f ca="1">SUM(K67:K71)</f>
        <v>410.63612500000005</v>
      </c>
      <c r="L72" s="110"/>
    </row>
    <row r="73" spans="1:12" x14ac:dyDescent="0.2">
      <c r="K73" s="128"/>
    </row>
    <row r="74" spans="1:12" x14ac:dyDescent="0.2">
      <c r="B74" s="104" t="str">
        <f>IF(G4="","","Cash Cost per "&amp;H4)</f>
        <v>Cash Cost per bushel</v>
      </c>
      <c r="C74" s="261" t="s">
        <v>688</v>
      </c>
      <c r="D74" s="105"/>
      <c r="E74" s="105"/>
      <c r="F74" s="105"/>
      <c r="G74" s="105"/>
      <c r="H74" s="105"/>
      <c r="I74" s="105"/>
      <c r="J74" s="105"/>
      <c r="K74" s="142">
        <f ca="1">IF(G4=0,0,(E66+K66+K69+K71)/G4)</f>
        <v>2.5844677083333334</v>
      </c>
      <c r="L74" s="148"/>
    </row>
    <row r="75" spans="1:12" x14ac:dyDescent="0.2">
      <c r="B75" s="107" t="str">
        <f>IF(G4="","","Cost of production per "&amp;H4)</f>
        <v>Cost of production per bushel</v>
      </c>
      <c r="K75" s="141">
        <f ca="1">IF(G4="","",K72/G4)</f>
        <v>3.4219677083333337</v>
      </c>
      <c r="L75" s="110"/>
    </row>
    <row r="77" spans="1:12" x14ac:dyDescent="0.2">
      <c r="B77" s="144" t="s">
        <v>751</v>
      </c>
    </row>
    <row r="78" spans="1:12" x14ac:dyDescent="0.2">
      <c r="D78" s="103" t="s">
        <v>900</v>
      </c>
      <c r="G78" s="105"/>
      <c r="H78" s="105"/>
      <c r="I78" s="105"/>
      <c r="J78" s="105"/>
      <c r="K78" s="355" t="s">
        <v>901</v>
      </c>
      <c r="L78" s="105"/>
    </row>
    <row r="85" spans="2:8" x14ac:dyDescent="0.2">
      <c r="B85" s="106"/>
      <c r="C85" s="106"/>
      <c r="D85" s="106"/>
    </row>
    <row r="86" spans="2:8" x14ac:dyDescent="0.2">
      <c r="B86" s="106"/>
      <c r="C86" s="106"/>
      <c r="D86" s="106"/>
    </row>
    <row r="87" spans="2:8" x14ac:dyDescent="0.2">
      <c r="B87" s="106"/>
      <c r="C87" s="106"/>
      <c r="D87" s="106"/>
    </row>
    <row r="88" spans="2:8" x14ac:dyDescent="0.2">
      <c r="B88" s="106"/>
      <c r="C88" s="106"/>
      <c r="D88" s="106"/>
    </row>
    <row r="89" spans="2:8" x14ac:dyDescent="0.2">
      <c r="B89" s="106"/>
      <c r="C89" s="106"/>
      <c r="D89" s="106"/>
    </row>
    <row r="90" spans="2:8" x14ac:dyDescent="0.2">
      <c r="B90" s="106"/>
      <c r="C90" s="106"/>
      <c r="D90" s="106"/>
    </row>
    <row r="91" spans="2:8" x14ac:dyDescent="0.2">
      <c r="B91" s="106"/>
      <c r="C91" s="106"/>
      <c r="D91" s="106"/>
    </row>
    <row r="92" spans="2:8" x14ac:dyDescent="0.2">
      <c r="B92" s="106"/>
      <c r="C92" s="106"/>
      <c r="D92" s="106"/>
    </row>
    <row r="93" spans="2:8" x14ac:dyDescent="0.2">
      <c r="B93" s="106"/>
      <c r="C93" s="106"/>
      <c r="D93" s="106"/>
    </row>
    <row r="94" spans="2:8" hidden="1" x14ac:dyDescent="0.2">
      <c r="B94" s="106"/>
      <c r="C94" s="106"/>
      <c r="D94" s="106"/>
    </row>
    <row r="95" spans="2:8" hidden="1" x14ac:dyDescent="0.2">
      <c r="B95" s="106"/>
      <c r="C95" s="106"/>
      <c r="D95" s="106"/>
      <c r="H95" s="103" t="e">
        <f>'General Variables'!#REF!</f>
        <v>#REF!</v>
      </c>
    </row>
    <row r="96" spans="2:8" hidden="1" x14ac:dyDescent="0.2">
      <c r="B96" s="106"/>
      <c r="C96" s="106"/>
      <c r="D96" s="106"/>
      <c r="H96" s="103" t="e">
        <f>'General Variables'!#REF!</f>
        <v>#REF!</v>
      </c>
    </row>
    <row r="97" spans="2:11" hidden="1" x14ac:dyDescent="0.2">
      <c r="B97" s="106"/>
      <c r="C97" s="106"/>
      <c r="D97" s="106"/>
      <c r="H97" s="103" t="e">
        <f>'General Variables'!#REF!</f>
        <v>#REF!</v>
      </c>
    </row>
    <row r="98" spans="2:11" hidden="1" x14ac:dyDescent="0.2">
      <c r="B98" s="106"/>
      <c r="C98" s="106"/>
      <c r="D98" s="106"/>
      <c r="H98" s="103" t="e">
        <f>'General Variables'!#REF!</f>
        <v>#REF!</v>
      </c>
    </row>
    <row r="99" spans="2:11" hidden="1" x14ac:dyDescent="0.2">
      <c r="B99" s="106"/>
      <c r="C99" s="106"/>
      <c r="D99" s="106"/>
      <c r="H99" s="103" t="e">
        <f>'General Variables'!#REF!</f>
        <v>#REF!</v>
      </c>
    </row>
    <row r="100" spans="2:11" hidden="1" x14ac:dyDescent="0.2">
      <c r="B100" s="106"/>
      <c r="C100" s="106"/>
      <c r="D100" s="106"/>
      <c r="H100" s="103" t="e">
        <f>'General Variables'!#REF!</f>
        <v>#REF!</v>
      </c>
    </row>
    <row r="101" spans="2:11" hidden="1" x14ac:dyDescent="0.2">
      <c r="B101" s="106"/>
      <c r="C101" s="106"/>
      <c r="D101" s="106"/>
      <c r="H101" s="103" t="e">
        <f>'General Variables'!#REF!</f>
        <v>#REF!</v>
      </c>
    </row>
    <row r="102" spans="2:11" hidden="1" x14ac:dyDescent="0.2">
      <c r="B102" s="106"/>
      <c r="C102" s="106"/>
      <c r="D102" s="106"/>
      <c r="H102" s="103" t="e">
        <f>'General Variables'!#REF!</f>
        <v>#REF!</v>
      </c>
    </row>
    <row r="103" spans="2:11" hidden="1" x14ac:dyDescent="0.2">
      <c r="B103" s="106"/>
      <c r="C103" s="106"/>
      <c r="D103" s="106"/>
      <c r="H103" s="103" t="e">
        <f>'General Variables'!#REF!</f>
        <v>#REF!</v>
      </c>
    </row>
    <row r="104" spans="2:11" hidden="1" x14ac:dyDescent="0.2">
      <c r="B104" s="106"/>
      <c r="C104" s="106"/>
      <c r="D104" s="106"/>
      <c r="H104" s="103" t="e">
        <f>'General Variables'!#REF!</f>
        <v>#REF!</v>
      </c>
    </row>
    <row r="105" spans="2:11" hidden="1" x14ac:dyDescent="0.2">
      <c r="B105" s="106"/>
      <c r="C105" s="106"/>
      <c r="D105" s="106"/>
      <c r="H105" s="103" t="e">
        <f>'General Variables'!#REF!</f>
        <v>#REF!</v>
      </c>
    </row>
    <row r="106" spans="2:11" hidden="1" x14ac:dyDescent="0.2">
      <c r="B106" s="106"/>
      <c r="C106" s="106"/>
      <c r="D106" s="106"/>
      <c r="H106" s="103" t="e">
        <f>'General Variables'!#REF!</f>
        <v>#REF!</v>
      </c>
    </row>
    <row r="107" spans="2:11" hidden="1" x14ac:dyDescent="0.2">
      <c r="B107" s="106"/>
      <c r="C107" s="106"/>
      <c r="D107" s="106"/>
      <c r="H107" s="103" t="e">
        <f>'General Variables'!#REF!</f>
        <v>#REF!</v>
      </c>
    </row>
    <row r="108" spans="2:11" hidden="1" x14ac:dyDescent="0.2">
      <c r="B108" s="106"/>
      <c r="C108" s="106"/>
      <c r="D108" s="106"/>
      <c r="H108" s="103" t="e">
        <f>'General Variables'!#REF!</f>
        <v>#REF!</v>
      </c>
    </row>
    <row r="109" spans="2:11" hidden="1" x14ac:dyDescent="0.2">
      <c r="B109" s="106"/>
      <c r="C109" s="106"/>
      <c r="D109" s="106"/>
      <c r="H109" s="103" t="e">
        <f>'General Variables'!#REF!</f>
        <v>#REF!</v>
      </c>
    </row>
    <row r="110" spans="2:11" hidden="1" x14ac:dyDescent="0.2">
      <c r="B110" s="105"/>
      <c r="C110" s="105"/>
      <c r="D110" s="105"/>
      <c r="H110" s="103" t="e">
        <f>'General Variables'!#REF!</f>
        <v>#REF!</v>
      </c>
    </row>
    <row r="111" spans="2:11" hidden="1" x14ac:dyDescent="0.2">
      <c r="B111" s="105"/>
      <c r="C111" s="105"/>
      <c r="D111" s="105"/>
      <c r="K111" s="103" t="s">
        <v>681</v>
      </c>
    </row>
    <row r="112" spans="2:11" hidden="1" x14ac:dyDescent="0.2">
      <c r="B112" s="105"/>
      <c r="C112" s="105"/>
      <c r="D112" s="105"/>
      <c r="K112" s="103" t="s">
        <v>654</v>
      </c>
    </row>
    <row r="113" spans="2:4" hidden="1" x14ac:dyDescent="0.2">
      <c r="B113" s="105"/>
      <c r="C113" s="105"/>
      <c r="D113" s="105"/>
    </row>
    <row r="114" spans="2:4" x14ac:dyDescent="0.2">
      <c r="B114" s="105"/>
      <c r="C114" s="105"/>
      <c r="D114" s="105"/>
    </row>
    <row r="115" spans="2:4" x14ac:dyDescent="0.2">
      <c r="B115" s="105"/>
      <c r="C115" s="105"/>
      <c r="D115" s="105"/>
    </row>
    <row r="116" spans="2:4" x14ac:dyDescent="0.2">
      <c r="B116" s="105"/>
      <c r="C116" s="105"/>
      <c r="D116" s="105"/>
    </row>
    <row r="117" spans="2:4" x14ac:dyDescent="0.2">
      <c r="B117" s="105"/>
      <c r="C117" s="105"/>
      <c r="D117" s="105"/>
    </row>
    <row r="118" spans="2:4" x14ac:dyDescent="0.2">
      <c r="B118" s="105"/>
      <c r="C118" s="105"/>
      <c r="D118" s="105"/>
    </row>
    <row r="119" spans="2:4" x14ac:dyDescent="0.2">
      <c r="B119" s="105"/>
      <c r="C119" s="105"/>
      <c r="D119" s="105"/>
    </row>
    <row r="120" spans="2:4" x14ac:dyDescent="0.2">
      <c r="B120" s="105"/>
      <c r="C120" s="105"/>
      <c r="D120" s="105"/>
    </row>
    <row r="121" spans="2:4" x14ac:dyDescent="0.2">
      <c r="B121" s="105"/>
      <c r="C121" s="105"/>
      <c r="D121" s="105"/>
    </row>
    <row r="122" spans="2:4" x14ac:dyDescent="0.2">
      <c r="B122" s="105"/>
      <c r="C122" s="105"/>
      <c r="D122" s="105"/>
    </row>
    <row r="123" spans="2:4" x14ac:dyDescent="0.2">
      <c r="B123" s="105"/>
      <c r="C123" s="105"/>
      <c r="D123" s="105"/>
    </row>
    <row r="124" spans="2:4" x14ac:dyDescent="0.2">
      <c r="B124" s="105"/>
      <c r="C124" s="105"/>
      <c r="D124" s="105"/>
    </row>
    <row r="125" spans="2:4" x14ac:dyDescent="0.2">
      <c r="B125" s="105"/>
      <c r="C125" s="105"/>
      <c r="D125" s="105"/>
    </row>
    <row r="126" spans="2:4" x14ac:dyDescent="0.2">
      <c r="B126" s="105"/>
      <c r="C126" s="105"/>
      <c r="D126" s="105"/>
    </row>
    <row r="127" spans="2:4" x14ac:dyDescent="0.2">
      <c r="B127" s="105"/>
      <c r="C127" s="105"/>
      <c r="D127" s="105"/>
    </row>
    <row r="128" spans="2:4"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t="str">
        <f>IF(Operations!A96="","",Operations!A96)</f>
        <v/>
      </c>
      <c r="C240" s="105" t="str">
        <f>IF(Materials!B140="","",Materials!B140)</f>
        <v>Alfalfa w/Inoculant</v>
      </c>
    </row>
    <row r="241" spans="2:3" x14ac:dyDescent="0.2">
      <c r="B241" s="105" t="str">
        <f>IF(Operations!A97="","",Operations!A97)</f>
        <v/>
      </c>
      <c r="C241" s="105" t="str">
        <f>IF(Materials!B141="","",Materials!B141)</f>
        <v>Corn</v>
      </c>
    </row>
    <row r="242" spans="2:3" x14ac:dyDescent="0.2">
      <c r="B242" s="105" t="str">
        <f>IF(Operations!A98="","",Operations!A98)</f>
        <v/>
      </c>
      <c r="C242" s="105" t="str">
        <f>IF(Materials!B142="","",Materials!B142)</f>
        <v>Corn Bt, ECB, &amp; RIB</v>
      </c>
    </row>
    <row r="243" spans="2:3" x14ac:dyDescent="0.2">
      <c r="B243" s="105" t="str">
        <f>IF(Operations!A99="","",Operations!A99)</f>
        <v/>
      </c>
      <c r="C243" s="105" t="str">
        <f>IF(Materials!B143="","",Materials!B143)</f>
        <v>Corn Bt, ECB, RR2, LL, &amp; RIB</v>
      </c>
    </row>
    <row r="244" spans="2:3" x14ac:dyDescent="0.2">
      <c r="B244" s="105" t="str">
        <f>IF(Operations!A100="","",Operations!A100)</f>
        <v/>
      </c>
      <c r="C244" s="105" t="str">
        <f>IF(Materials!B144="","",Materials!B144)</f>
        <v>Corn Bt, ECB, RW, &amp; RIB</v>
      </c>
    </row>
    <row r="245" spans="2:3" x14ac:dyDescent="0.2">
      <c r="B245" s="105"/>
      <c r="C245" s="105"/>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row>
    <row r="255" spans="2:3" x14ac:dyDescent="0.2">
      <c r="B255"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500-000000000000}">
      <formula1>$B$110:$B$207</formula1>
    </dataValidation>
    <dataValidation type="list" allowBlank="1" showInputMessage="1" showErrorMessage="1" sqref="B62" xr:uid="{00000000-0002-0000-3500-000001000000}">
      <formula1>$C$110:$C$228</formula1>
    </dataValidation>
    <dataValidation type="list" allowBlank="1" showInputMessage="1" showErrorMessage="1" sqref="K4" xr:uid="{00000000-0002-0000-3500-000002000000}">
      <formula1>$K$110:$K$112</formula1>
    </dataValidation>
    <dataValidation type="list" allowBlank="1" showInputMessage="1" showErrorMessage="1" sqref="B37:B60" xr:uid="{00000000-0002-0000-3500-000003000000}">
      <formula1>MaterialList</formula1>
    </dataValidation>
    <dataValidation type="list" allowBlank="1" showInputMessage="1" showErrorMessage="1" sqref="C70:E70" xr:uid="{00000000-0002-0000-3500-000004000000}">
      <formula1>RealEstateList</formula1>
    </dataValidation>
    <dataValidation type="list" allowBlank="1" showInputMessage="1" showErrorMessage="1" sqref="B12:B31" xr:uid="{00000000-0002-0000-3500-000005000000}">
      <formula1>OperationList</formula1>
    </dataValidation>
    <dataValidation type="list" allowBlank="1" showInputMessage="1" showErrorMessage="1" sqref="D12:D32" xr:uid="{00000000-0002-0000-3500-000006000000}">
      <formula1>#REF!</formula1>
    </dataValidation>
    <dataValidation type="list" allowBlank="1" showInputMessage="1" showErrorMessage="1" sqref="K2" xr:uid="{00000000-0002-0000-3500-000007000000}">
      <formula1>watersource</formula1>
    </dataValidation>
    <dataValidation type="list" allowBlank="1" showInputMessage="1" showErrorMessage="1" sqref="C3" xr:uid="{00000000-0002-0000-3500-000008000000}">
      <formula1>TillageSystem</formula1>
    </dataValidation>
  </dataValidations>
  <pageMargins left="0.7" right="0.7" top="0.75" bottom="0.75" header="0.3" footer="0.3"/>
  <pageSetup scale="68" orientation="portrait" r:id="rId1"/>
  <ignoredErrors>
    <ignoredError sqref="C18" unlockedFormula="1"/>
    <ignoredError sqref="E18:J18"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6">
    <pageSetUpPr fitToPage="1"/>
  </sheetPr>
  <dimension ref="A2:M256"/>
  <sheetViews>
    <sheetView zoomScaleNormal="100" workbookViewId="0">
      <selection activeCell="F70" sqref="F70:F7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69</v>
      </c>
      <c r="L2" s="401"/>
    </row>
    <row r="3" spans="1:13" hidden="1" x14ac:dyDescent="0.2">
      <c r="B3" s="103" t="s">
        <v>38</v>
      </c>
      <c r="C3" s="391" t="s">
        <v>46</v>
      </c>
      <c r="D3" s="391"/>
      <c r="E3" s="391"/>
      <c r="G3" s="128" t="s">
        <v>650</v>
      </c>
      <c r="H3" s="187" t="s">
        <v>711</v>
      </c>
      <c r="J3" s="128" t="s">
        <v>651</v>
      </c>
      <c r="K3" s="187">
        <v>6</v>
      </c>
    </row>
    <row r="4" spans="1:13" hidden="1" x14ac:dyDescent="0.2">
      <c r="B4" s="103" t="s">
        <v>652</v>
      </c>
      <c r="C4" s="392" t="s">
        <v>623</v>
      </c>
      <c r="D4" s="392"/>
      <c r="E4" s="392"/>
      <c r="G4" s="103">
        <f>IFERROR(VALUE(LEFT($H$3,FIND(" ",$H$3))),"")</f>
        <v>170</v>
      </c>
      <c r="H4" s="103" t="str">
        <f>IFERROR(RIGHT(H3,LEN(H3)-LEN(G4)-1),"")</f>
        <v>bushel</v>
      </c>
      <c r="J4" s="128" t="s">
        <v>653</v>
      </c>
      <c r="K4" s="188" t="s">
        <v>654</v>
      </c>
    </row>
    <row r="5" spans="1:13" ht="15.75" hidden="1" customHeight="1" x14ac:dyDescent="0.2">
      <c r="B5" s="103" t="s">
        <v>655</v>
      </c>
      <c r="C5" s="103" t="str">
        <f ca="1">MID(CELL("filename",C5),FIND("]",CELL("filename",C5))+1,255)</f>
        <v>50-Grain Sorghum</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50-Grain Sorghum, No Till, Limited Irrigation, 170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50-Grain Sorghum, No Till, Limited Irrigation, 170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376</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0.7</v>
      </c>
      <c r="G13" s="109">
        <f>IF(B13=0,0,IF(C13&gt;9999,"",ROUND(VLOOKUP(VLOOKUP(B13,Operations!$A$2:$U$79,11,FALSE),PowerUnits[],10,FALSE)/VLOOKUP(B13,Operations!$A$2:$U$79,9,FALSE)*C13,2)))</f>
        <v>0.23</v>
      </c>
      <c r="H13" s="109">
        <f>IF(B13=0,"",IF(C13&gt;9999,"",ROUND(VLOOKUP($B13,Operations!$A$2:$U$79,15,FALSE)*C13,2)))</f>
        <v>1.4</v>
      </c>
      <c r="I13" s="109">
        <f>IF(B13=0,0,IF(C13&gt;9999,"",ROUND(VLOOKUP(VLOOKUP(B13,Operations!$A$2:$U$79,11,FALSE),PowerUnits[],16,FALSE)/VLOOKUP(B13,Operations!$A$2:$U$79,9,FALSE)*C13,2)))</f>
        <v>6.15</v>
      </c>
      <c r="J13" s="109">
        <f>IF(B13=0,"",IF(C13&gt;9999,"",ROUND(VLOOKUP($B13,Operations!$A$2:$U$79,21,FALSE)*$C13,2)))</f>
        <v>4.5199999999999996</v>
      </c>
      <c r="K13" s="109">
        <f t="shared" ref="K13:K31" si="0">IF(C13&gt;9999,"",ROUND(SUM(E13:J13),2))</f>
        <v>14.98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529</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1.08</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22.31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IF(C17&gt;9999,"",ROUND(SUM(E17:J17),2))</f>
        <v/>
      </c>
      <c r="L17" s="110"/>
    </row>
    <row r="18" spans="1:12" x14ac:dyDescent="0.2">
      <c r="A18" s="170">
        <v>7</v>
      </c>
      <c r="B18" s="180" t="s">
        <v>522</v>
      </c>
      <c r="C18" s="174">
        <f>$K$3</f>
        <v>6</v>
      </c>
      <c r="D18" s="174" t="s">
        <v>693</v>
      </c>
      <c r="E18" s="109">
        <f>IF(B18=0,"",IF(C18&gt;9999,"",ROUND('General Variables'!$B$4*VLOOKUP(B18,Operations!$A$2:$U$79,10,FALSE)/VLOOKUP(B18,Operations!$A$2:$U$79,9,FALSE)*C18,2)))</f>
        <v>5.63</v>
      </c>
      <c r="F18" s="109">
        <f>IF(B18=0,0,IF(C18&gt;9999,"",ROUND(IF(VLOOKUP(B18,Operations!$A$2:$U$79,12,FALSE)=0,VLOOKUP(B18,Operations!$A$2:$U$79,13,FALSE)*'General Variables'!$B$8,VLOOKUP(B18,Operations!$A$2:$U$79,12,FALSE)*'General Variables'!$B$7)/VLOOKUP(B18,Operations!$A$2:$U$79,9,FALSE)*C18,2)))</f>
        <v>35.590000000000003</v>
      </c>
      <c r="G18" s="109">
        <f>IF(B18=0,0,IF(C18&gt;9999,"",ROUND(VLOOKUP(VLOOKUP(B18,Operations!$A$2:$U$79,11,FALSE),PowerUnits[],10,FALSE)/VLOOKUP(B18,Operations!$A$2:$U$79,9,FALSE)*C18,2)))</f>
        <v>3.27</v>
      </c>
      <c r="H18" s="109">
        <f>IF(B18=0,"",IF(C18&gt;9999,"",ROUND(VLOOKUP($B18,Operations!$A$2:$U$79,15,FALSE)*C18,2)))</f>
        <v>15.91</v>
      </c>
      <c r="I18" s="109">
        <f>IF(B18=0,0,IF(C18&gt;9999,"",ROUND(VLOOKUP(VLOOKUP(B18,Operations!$A$2:$U$79,11,FALSE),PowerUnits[],16,FALSE)/VLOOKUP(B18,Operations!$A$2:$U$79,9,FALSE)*C18,2)))</f>
        <v>6.2</v>
      </c>
      <c r="J18" s="109">
        <f>IF(B18=0,"",IF(C18&gt;9999,"",ROUND(VLOOKUP($B18,Operations!$A$2:$U$79,21,FALSE)*$C18,2)))</f>
        <v>8.73</v>
      </c>
      <c r="K18" s="109">
        <f>IF(C18&gt;9999,"",ROUND(SUM(E18:J18),2))</f>
        <v>75.33</v>
      </c>
      <c r="L18" s="110"/>
    </row>
    <row r="19" spans="1:12" x14ac:dyDescent="0.2">
      <c r="A19" s="170">
        <v>8</v>
      </c>
      <c r="B19" s="213" t="s">
        <v>941</v>
      </c>
      <c r="C19" s="214">
        <f>$G$4</f>
        <v>170</v>
      </c>
      <c r="D19" s="214"/>
      <c r="E19" s="215">
        <f>IF(B19=0,"",IF(C19&gt;9999,"",ROUND('General Variables'!$B$4*VLOOKUP(B19,Operations!$A$2:$U$79,10,FALSE)/VLOOKUP(B19,Operations!$A$2:$U$79,9,FALSE)*C19,2))/100)</f>
        <v>4.2074999999999996</v>
      </c>
      <c r="F19" s="215">
        <f>IF(B19=0,0,IF(C19&gt;9999,"",ROUND(IF(VLOOKUP(B19,Operations!$A$2:$U$79,12,FALSE)=0,VLOOKUP(B19,Operations!$A$2:$U$79,13,FALSE)*'General Variables'!$B$8,VLOOKUP(B19,Operations!$A$2:$U$79,12,FALSE)*'General Variables'!$B$7)/VLOOKUP(B19,Operations!$A$2:$U$79,9,FALSE)*C19,2))/100)</f>
        <v>4.7555000000000005</v>
      </c>
      <c r="G19" s="215">
        <f>IF(B19=0,0,IF(C19&gt;9999,"",ROUND(VLOOKUP(VLOOKUP(B19,Operations!$A$2:$U$79,11,FALSE),PowerUnits[],10,FALSE)/VLOOKUP(B19,Operations!$A$2:$U$79,9,FALSE)*C19,2))/100)</f>
        <v>7.3110999999999997</v>
      </c>
      <c r="H19" s="215">
        <f>IF(B19=0,"",IF(C19&gt;9999,"",ROUND(VLOOKUP($B19,Operations!$A$2:$U$79,15,FALSE)*C19,2))/100)</f>
        <v>0.9617</v>
      </c>
      <c r="I19" s="215">
        <f>IF(B19=0,0,IF(C19&gt;9999,"",ROUND(VLOOKUP(VLOOKUP(B19,Operations!$A$2:$U$79,11,FALSE),PowerUnits[],16,FALSE)/VLOOKUP(B19,Operations!$A$2:$U$79,9,FALSE)*C19,2))/100)</f>
        <v>17.607099999999999</v>
      </c>
      <c r="J19" s="215">
        <f>IF(B19=0,"",IF(C19&gt;9999,"",ROUND(VLOOKUP($B19,Operations!$A$2:$U$79,21,FALSE)*$C19,2))/100)</f>
        <v>5.0209000000000001</v>
      </c>
      <c r="K19" s="215">
        <f>IF(C19&gt;9999,"",ROUND(SUM(E19:J19),2))</f>
        <v>39.86</v>
      </c>
      <c r="L19" s="216"/>
    </row>
    <row r="20" spans="1:12" x14ac:dyDescent="0.2">
      <c r="A20" s="170">
        <v>9</v>
      </c>
      <c r="B20" s="180" t="s">
        <v>414</v>
      </c>
      <c r="C20" s="174">
        <f>$G$4</f>
        <v>170</v>
      </c>
      <c r="D20" s="174" t="s">
        <v>706</v>
      </c>
      <c r="E20" s="109">
        <f>IF(B20=0,"",IF(C20&gt;9999,"",ROUND('General Variables'!$B$4*VLOOKUP(B20,Operations!$A$2:$U$79,10,FALSE)/VLOOKUP(B20,Operations!$A$2:$U$79,9,FALSE)*C20,2)))</f>
        <v>1.53</v>
      </c>
      <c r="F20" s="109">
        <f>IF(B20=0,0,IF(C20&gt;9999,"",ROUND(IF(VLOOKUP(B20,Operations!$A$2:$U$79,12,FALSE)=0,VLOOKUP(B20,Operations!$A$2:$U$79,13,FALSE)*'General Variables'!$B$8,VLOOKUP(B20,Operations!$A$2:$U$79,12,FALSE)*'General Variables'!$B$7)/VLOOKUP(B20,Operations!$A$2:$U$79,9,FALSE)*C20,2)))</f>
        <v>0.49</v>
      </c>
      <c r="G20" s="109">
        <f>IF(B20=0,0,IF(C20&gt;9999,"",ROUND(VLOOKUP(VLOOKUP(B20,Operations!$A$2:$U$79,11,FALSE),PowerUnits[],10,FALSE)/VLOOKUP(B20,Operations!$A$2:$U$79,9,FALSE)*C20,2)))</f>
        <v>0.04</v>
      </c>
      <c r="H20" s="109">
        <f>IF(B20=0,"",IF(C20&gt;9999,"",ROUND(VLOOKUP($B20,Operations!$A$2:$U$79,15,FALSE)*C20,2)))</f>
        <v>0.94</v>
      </c>
      <c r="I20" s="109">
        <f>IF(B20=0,0,IF(C20&gt;9999,"",ROUND(VLOOKUP(VLOOKUP(B20,Operations!$A$2:$U$79,11,FALSE),PowerUnits[],16,FALSE)/VLOOKUP(B20,Operations!$A$2:$U$79,9,FALSE)*C20,2)))</f>
        <v>2.23</v>
      </c>
      <c r="J20" s="109">
        <f>IF(B20=0,"",IF(C20&gt;9999,"",ROUND(VLOOKUP($B20,Operations!$A$2:$U$79,21,FALSE)*$C20,2)))</f>
        <v>1.88</v>
      </c>
      <c r="K20" s="109">
        <f t="shared" si="0"/>
        <v>7.11</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80"/>
      <c r="C22" s="290"/>
      <c r="D22" s="291"/>
      <c r="E22" s="292" t="str">
        <f>IF(B22=0,"",IF(C22&gt;9999,"",ROUND('General Variables'!$B$4*VLOOKUP(B22,Operations!$A$2:$U$79,10,FALSE)/VLOOKUP(B22,Operations!$A$2:$U$79,9,FALSE)*C22,2)))</f>
        <v/>
      </c>
      <c r="F22" s="292">
        <f>IF(B22=0,0,IF(C22&gt;9999,"",ROUND(IF(VLOOKUP(B22,Operations!$A$2:$U$79,12,FALSE)=0,VLOOKUP(B22,Operations!$A$2:$U$79,13,FALSE)*'General Variables'!$B$8,VLOOKUP(B22,Operations!$A$2:$U$79,12,FALSE)*'General Variables'!$B$7)/VLOOKUP(B22,Operations!$A$2:$U$79,9,FALSE)*C22,2)))</f>
        <v>0</v>
      </c>
      <c r="G22" s="292">
        <f>IF(B22=0,0,IF(C22&gt;9999,"",ROUND(VLOOKUP(VLOOKUP(B22,Operations!$A$2:$U$79,11,FALSE),PowerUnits[],10,FALSE)/VLOOKUP(B22,Operations!$A$2:$U$79,9,FALSE)*C22,2)))</f>
        <v>0</v>
      </c>
      <c r="H22" s="292" t="str">
        <f>IF(B22=0,"",IF(C22&gt;9999,"",ROUND(VLOOKUP($B22,Operations!$A$2:$U$79,15,FALSE)*C22,2)))</f>
        <v/>
      </c>
      <c r="I22" s="292">
        <f>IF(B22=0,0,IF(C22&gt;9999,"",ROUND(VLOOKUP(VLOOKUP(B22,Operations!$A$2:$U$79,11,FALSE),PowerUnits[],16,FALSE)/VLOOKUP(B22,Operations!$A$2:$U$79,9,FALSE)*C22,2)))</f>
        <v>0</v>
      </c>
      <c r="J22" s="292" t="str">
        <f>IF(B22=0,"",IF(C22&gt;9999,"",ROUND(VLOOKUP($B22,Operations!$A$2:$U$79,21,FALSE)*$C22,2)))</f>
        <v/>
      </c>
      <c r="K22" s="292">
        <f t="shared" si="0"/>
        <v>0</v>
      </c>
      <c r="L22" s="110"/>
    </row>
    <row r="23" spans="1:12" hidden="1" x14ac:dyDescent="0.2">
      <c r="A23" s="170">
        <v>12</v>
      </c>
      <c r="B23" s="213"/>
      <c r="C23" s="286"/>
      <c r="D23" s="288"/>
      <c r="E23" s="287" t="str">
        <f>IF(B23=0,"",IF(C23&gt;9999,"",ROUND('General Variables'!$B$4*VLOOKUP(B23,Operations!$A$2:$U$79,10,FALSE)/VLOOKUP(B23,Operations!$A$2:$U$79,9,FALSE)*C23,2)))</f>
        <v/>
      </c>
      <c r="F23" s="287">
        <f>IF(B23=0,0,IF(C23&gt;9999,"",ROUND(IF(VLOOKUP(B23,Operations!$A$2:$U$79,12,FALSE)=0,VLOOKUP(B23,Operations!$A$2:$U$79,13,FALSE)*'General Variables'!$B$8,VLOOKUP(B23,Operations!$A$2:$U$79,12,FALSE)*'General Variables'!$B$7)/VLOOKUP(B23,Operations!$A$2:$U$79,9,FALSE)*C23,2)))</f>
        <v>0</v>
      </c>
      <c r="G23" s="287">
        <f>IF(B23=0,0,IF(C23&gt;9999,"",ROUND(VLOOKUP(VLOOKUP(B23,Operations!$A$2:$U$79,11,FALSE),PowerUnits[],10,FALSE)/VLOOKUP(B23,Operations!$A$2:$U$79,9,FALSE)*C23,2)))</f>
        <v>0</v>
      </c>
      <c r="H23" s="287" t="str">
        <f>IF(B23=0,"",IF(C23&gt;9999,"",ROUND(VLOOKUP($B23,Operations!$A$2:$U$79,15,FALSE)*C23,2)))</f>
        <v/>
      </c>
      <c r="I23" s="287">
        <f>IF(B23=0,0,IF(C23&gt;9999,"",ROUND(VLOOKUP(VLOOKUP(B23,Operations!$A$2:$U$79,11,FALSE),PowerUnits[],16,FALSE)/VLOOKUP(B23,Operations!$A$2:$U$79,9,FALSE)*C23,2)))</f>
        <v>0</v>
      </c>
      <c r="J23" s="287" t="str">
        <f>IF(B23=0,"",IF(C23&gt;9999,"",ROUND(VLOOKUP($B23,Operations!$A$2:$U$79,21,FALSE)*$C23,2)))</f>
        <v/>
      </c>
      <c r="K23" s="287">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19.647500000000001</v>
      </c>
      <c r="F33" s="109">
        <f t="shared" ref="F33:K33" si="1">SUM(F12:F31)</f>
        <v>43.395500000000006</v>
      </c>
      <c r="G33" s="109">
        <f t="shared" si="1"/>
        <v>11.021099999999999</v>
      </c>
      <c r="H33" s="109">
        <f t="shared" si="1"/>
        <v>29.511700000000001</v>
      </c>
      <c r="I33" s="109">
        <f t="shared" si="1"/>
        <v>40.447099999999999</v>
      </c>
      <c r="J33" s="109">
        <f t="shared" si="1"/>
        <v>32.820900000000002</v>
      </c>
      <c r="K33" s="109">
        <f t="shared" si="1"/>
        <v>176.84000000000003</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229</v>
      </c>
      <c r="C38" s="388" t="str">
        <f>IF(B38=0,"",VLOOKUP($B38,Table2[],2,FALSE))</f>
        <v>Herbicide</v>
      </c>
      <c r="D38" s="388"/>
      <c r="E38" s="388"/>
      <c r="F38" s="174">
        <v>1</v>
      </c>
      <c r="G38" s="175">
        <v>1</v>
      </c>
      <c r="H38" s="176">
        <v>1</v>
      </c>
      <c r="I38" s="120" t="str">
        <f>IF($B38=0,"",VLOOKUP($B38,Table2[],5,FALSE))</f>
        <v>pint</v>
      </c>
      <c r="J38" s="109">
        <f>IF($B38=0,"",VLOOKUP($B38,Table2[],7,FALSE))</f>
        <v>2.5</v>
      </c>
      <c r="K38" s="109">
        <f t="shared" ref="K38:K55" si="2">IF(B38=0,0,ROUND(G38*H38*J38,2))</f>
        <v>2.5</v>
      </c>
      <c r="L38" s="110"/>
    </row>
    <row r="39" spans="1:12" x14ac:dyDescent="0.2">
      <c r="A39" s="105"/>
      <c r="B39" s="180" t="s">
        <v>170</v>
      </c>
      <c r="C39" s="388" t="str">
        <f>IF(B39=0,"",VLOOKUP($B39,Table2[],2,FALSE))</f>
        <v>Additive</v>
      </c>
      <c r="D39" s="388"/>
      <c r="E39" s="388"/>
      <c r="F39" s="174">
        <v>1</v>
      </c>
      <c r="G39" s="175">
        <v>1</v>
      </c>
      <c r="H39" s="176">
        <v>1.7</v>
      </c>
      <c r="I39" s="120" t="str">
        <f>IF($B39=0,"",VLOOKUP($B39,Table2[],5,FALSE))</f>
        <v>pound</v>
      </c>
      <c r="J39" s="109">
        <f>IF($B39=0,"",VLOOKUP($B39,Table2[],7,FALSE))</f>
        <v>0.4</v>
      </c>
      <c r="K39" s="109">
        <f t="shared" si="2"/>
        <v>0.68</v>
      </c>
      <c r="L39" s="110"/>
    </row>
    <row r="40" spans="1:12" x14ac:dyDescent="0.2">
      <c r="A40" s="105"/>
      <c r="B40" s="213" t="s">
        <v>211</v>
      </c>
      <c r="C40" s="387" t="str">
        <f>IF(B40=0,"",VLOOKUP($B40,Table2[],2,FALSE))</f>
        <v>Fertilizer</v>
      </c>
      <c r="D40" s="387"/>
      <c r="E40" s="387"/>
      <c r="F40" s="214">
        <v>2</v>
      </c>
      <c r="G40" s="221">
        <v>1</v>
      </c>
      <c r="H40" s="222">
        <v>150</v>
      </c>
      <c r="I40" s="223" t="str">
        <f>IF($B40=0,"",VLOOKUP($B40,Table2[],5,FALSE))</f>
        <v>lbs N</v>
      </c>
      <c r="J40" s="215">
        <f>IF($B40=0,"",VLOOKUP($B40,Table2[],7,FALSE))</f>
        <v>0.38</v>
      </c>
      <c r="K40" s="215">
        <f t="shared" si="2"/>
        <v>57</v>
      </c>
      <c r="L40" s="216"/>
    </row>
    <row r="41" spans="1:12" x14ac:dyDescent="0.2">
      <c r="A41" s="105"/>
      <c r="B41" s="180" t="s">
        <v>263</v>
      </c>
      <c r="C41" s="388" t="str">
        <f>IF(B41=0,"",VLOOKUP($B41,Table2[],2,FALSE))</f>
        <v>Herbicide</v>
      </c>
      <c r="D41" s="388"/>
      <c r="E41" s="388"/>
      <c r="F41" s="174">
        <v>3</v>
      </c>
      <c r="G41" s="175">
        <v>1</v>
      </c>
      <c r="H41" s="176">
        <v>2.7</v>
      </c>
      <c r="I41" s="120" t="str">
        <f>IF($B41=0,"",VLOOKUP($B41,Table2[],5,FALSE))</f>
        <v>quart</v>
      </c>
      <c r="J41" s="109">
        <f>IF($B41=0,"",VLOOKUP($B41,Table2[],7,FALSE))</f>
        <v>18.75</v>
      </c>
      <c r="K41" s="109">
        <f t="shared" si="2"/>
        <v>50.63</v>
      </c>
      <c r="L41" s="110"/>
    </row>
    <row r="42" spans="1:12" x14ac:dyDescent="0.2">
      <c r="A42" s="105"/>
      <c r="B42" s="180" t="s">
        <v>230</v>
      </c>
      <c r="C42" s="388" t="str">
        <f>IF(B42=0,"",VLOOKUP($B42,Table2[],2,FALSE))</f>
        <v>Herbicide</v>
      </c>
      <c r="D42" s="388"/>
      <c r="E42" s="388"/>
      <c r="F42" s="174">
        <v>3</v>
      </c>
      <c r="G42" s="175">
        <v>1</v>
      </c>
      <c r="H42" s="176">
        <v>0.5</v>
      </c>
      <c r="I42" s="120" t="str">
        <f>IF($B42=0,"",VLOOKUP($B42,Table2[],5,FALSE))</f>
        <v>quart</v>
      </c>
      <c r="J42" s="109">
        <f>IF($B42=0,"",VLOOKUP($B42,Table2[],7,FALSE))</f>
        <v>5.5</v>
      </c>
      <c r="K42" s="109">
        <f t="shared" si="2"/>
        <v>2.75</v>
      </c>
      <c r="L42" s="110"/>
    </row>
    <row r="43" spans="1:12" x14ac:dyDescent="0.2">
      <c r="A43" s="105"/>
      <c r="B43" s="180" t="s">
        <v>201</v>
      </c>
      <c r="C43" s="388" t="str">
        <f>IF(B43=0,"",VLOOKUP($B43,Table2[],2,FALSE))</f>
        <v>Fertilizer</v>
      </c>
      <c r="D43" s="388"/>
      <c r="E43" s="388"/>
      <c r="F43" s="174">
        <v>4</v>
      </c>
      <c r="G43" s="175">
        <v>1</v>
      </c>
      <c r="H43" s="176">
        <v>6</v>
      </c>
      <c r="I43" s="120" t="str">
        <f>IF($B43=0,"",VLOOKUP($B43,Table2[],5,FALSE))</f>
        <v>gallon</v>
      </c>
      <c r="J43" s="109">
        <f>IF($B43=0,"",VLOOKUP($B43,Table2[],7,FALSE))</f>
        <v>3.1</v>
      </c>
      <c r="K43" s="109">
        <f t="shared" si="2"/>
        <v>18.600000000000001</v>
      </c>
      <c r="L43" s="110"/>
    </row>
    <row r="44" spans="1:12" x14ac:dyDescent="0.2">
      <c r="A44" s="105"/>
      <c r="B44" s="213" t="s">
        <v>343</v>
      </c>
      <c r="C44" s="387" t="str">
        <f>IF(B44=0,"",VLOOKUP($B44,Table2[],2,FALSE))</f>
        <v>Seed</v>
      </c>
      <c r="D44" s="387"/>
      <c r="E44" s="387"/>
      <c r="F44" s="214">
        <v>4</v>
      </c>
      <c r="G44" s="221">
        <v>1</v>
      </c>
      <c r="H44" s="222">
        <v>6</v>
      </c>
      <c r="I44" s="223" t="str">
        <f>IF($B44=0,"",VLOOKUP($B44,Table2[],5,FALSE))</f>
        <v>pound</v>
      </c>
      <c r="J44" s="215">
        <f>IF($B44=0,"",VLOOKUP($B44,Table2[],7,FALSE))</f>
        <v>3.7</v>
      </c>
      <c r="K44" s="215">
        <f t="shared" si="2"/>
        <v>22.2</v>
      </c>
      <c r="L44" s="216"/>
    </row>
    <row r="45" spans="1:12" x14ac:dyDescent="0.2">
      <c r="A45" s="143"/>
      <c r="B45" s="180" t="s">
        <v>260</v>
      </c>
      <c r="C45" s="388" t="str">
        <f>IF(B45=0,"",VLOOKUP($B45,Table2[],2,FALSE))</f>
        <v>Herbicide</v>
      </c>
      <c r="D45" s="388"/>
      <c r="E45" s="388"/>
      <c r="F45" s="174">
        <v>5</v>
      </c>
      <c r="G45" s="175">
        <v>1</v>
      </c>
      <c r="H45" s="176">
        <v>11</v>
      </c>
      <c r="I45" s="120" t="str">
        <f>IF($B45=0,"",VLOOKUP($B45,Table2[],5,FALSE))</f>
        <v>ounce</v>
      </c>
      <c r="J45" s="109">
        <f>IF($B45=0,"",VLOOKUP($B45,Table2[],7,FALSE))</f>
        <v>1.0546875</v>
      </c>
      <c r="K45" s="109">
        <f t="shared" si="2"/>
        <v>11.6</v>
      </c>
      <c r="L45" s="110"/>
    </row>
    <row r="46" spans="1:12" x14ac:dyDescent="0.2">
      <c r="A46" s="143"/>
      <c r="B46" s="180" t="s">
        <v>170</v>
      </c>
      <c r="C46" s="388" t="str">
        <f>IF(B46=0,"",VLOOKUP($B46,Table2[],2,FALSE))</f>
        <v>Additive</v>
      </c>
      <c r="D46" s="388"/>
      <c r="E46" s="388"/>
      <c r="F46" s="174">
        <v>5</v>
      </c>
      <c r="G46" s="175">
        <v>1</v>
      </c>
      <c r="H46" s="176">
        <v>1</v>
      </c>
      <c r="I46" s="120" t="str">
        <f>IF($B46=0,"",VLOOKUP($B46,Table2[],5,FALSE))</f>
        <v>pound</v>
      </c>
      <c r="J46" s="109">
        <f>IF($B46=0,"",VLOOKUP($B46,Table2[],7,FALSE))</f>
        <v>0.4</v>
      </c>
      <c r="K46" s="109">
        <f t="shared" si="2"/>
        <v>0.4</v>
      </c>
      <c r="L46" s="110"/>
    </row>
    <row r="47" spans="1:12" x14ac:dyDescent="0.2">
      <c r="A47" s="143" t="s">
        <v>638</v>
      </c>
      <c r="B47" s="180" t="s">
        <v>183</v>
      </c>
      <c r="C47" s="388" t="str">
        <f>IF(B47=0,"",VLOOKUP($B47,Table2[],2,FALSE))</f>
        <v>Custom</v>
      </c>
      <c r="D47" s="388"/>
      <c r="E47" s="388"/>
      <c r="F47" s="174">
        <v>6</v>
      </c>
      <c r="G47" s="175">
        <v>0.15</v>
      </c>
      <c r="H47" s="176">
        <v>1</v>
      </c>
      <c r="I47" s="120" t="str">
        <f>IF($B47=0,"",VLOOKUP($B47,Table2[],5,FALSE))</f>
        <v>acre</v>
      </c>
      <c r="J47" s="109">
        <f>IF($B47=0,"",VLOOKUP($B47,Table2[],7,FALSE))</f>
        <v>11</v>
      </c>
      <c r="K47" s="109">
        <f t="shared" si="2"/>
        <v>1.65</v>
      </c>
      <c r="L47" s="110"/>
    </row>
    <row r="48" spans="1:12" x14ac:dyDescent="0.2">
      <c r="A48" s="143" t="s">
        <v>638</v>
      </c>
      <c r="B48" s="213" t="s">
        <v>288</v>
      </c>
      <c r="C48" s="387" t="str">
        <f>IF(B48=0,"",VLOOKUP($B48,Table2[],2,FALSE))</f>
        <v>Insecticide</v>
      </c>
      <c r="D48" s="387"/>
      <c r="E48" s="387"/>
      <c r="F48" s="214">
        <v>6</v>
      </c>
      <c r="G48" s="221">
        <v>0.15</v>
      </c>
      <c r="H48" s="222">
        <v>3</v>
      </c>
      <c r="I48" s="223" t="str">
        <f>IF($B48=0,"",VLOOKUP($B48,Table2[],5,FALSE))</f>
        <v>ounce</v>
      </c>
      <c r="J48" s="215">
        <f>IF($B48=0,"",VLOOKUP($B48,Table2[],7,FALSE))</f>
        <v>1.25</v>
      </c>
      <c r="K48" s="215">
        <f t="shared" si="2"/>
        <v>0.56000000000000005</v>
      </c>
      <c r="L48" s="216"/>
    </row>
    <row r="49" spans="1:12" x14ac:dyDescent="0.2">
      <c r="A49" s="105"/>
      <c r="B49" s="180" t="s">
        <v>198</v>
      </c>
      <c r="C49" s="388" t="str">
        <f>IF(B49=0,"",VLOOKUP($B49,Table2[],2,FALSE))</f>
        <v>Custom</v>
      </c>
      <c r="D49" s="388"/>
      <c r="E49" s="388"/>
      <c r="F49" s="174">
        <v>10</v>
      </c>
      <c r="G49" s="175">
        <v>1</v>
      </c>
      <c r="H49" s="176">
        <f>$G$4</f>
        <v>170</v>
      </c>
      <c r="I49" s="120" t="str">
        <f>IF($B49=0,"",VLOOKUP($B49,Table2[],5,FALSE))</f>
        <v>bushel</v>
      </c>
      <c r="J49" s="109">
        <f>IF($B49=0,"",VLOOKUP($B49,Table2[],7,FALSE))</f>
        <v>0.15</v>
      </c>
      <c r="K49" s="109">
        <f t="shared" si="2"/>
        <v>25.5</v>
      </c>
      <c r="L49" s="110"/>
    </row>
    <row r="50" spans="1:12" x14ac:dyDescent="0.2">
      <c r="A50" s="143"/>
      <c r="B50" s="180" t="s">
        <v>312</v>
      </c>
      <c r="C50" s="388" t="str">
        <f>IF(B50=0,"",VLOOKUP($B50,Table2[],2,FALSE))</f>
        <v>Scouting</v>
      </c>
      <c r="D50" s="388"/>
      <c r="E50" s="388"/>
      <c r="F50" s="174"/>
      <c r="G50" s="175">
        <v>1</v>
      </c>
      <c r="H50" s="176">
        <v>1</v>
      </c>
      <c r="I50" s="120" t="str">
        <f>IF($B50=0,"",VLOOKUP($B50,Table2[],5,FALSE))</f>
        <v>acre</v>
      </c>
      <c r="J50" s="109">
        <f>IF($B50=0,"",VLOOKUP($B50,Table2[],7,FALSE))</f>
        <v>10</v>
      </c>
      <c r="K50" s="109">
        <f t="shared" si="2"/>
        <v>10</v>
      </c>
      <c r="L50" s="110"/>
    </row>
    <row r="51" spans="1:12" ht="12.75" hidden="1" customHeight="1" x14ac:dyDescent="0.2">
      <c r="A51" s="143"/>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9</v>
      </c>
      <c r="K61" s="109">
        <f ca="1">IF(B61=0,0,J61)</f>
        <v>9</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217.32</v>
      </c>
      <c r="L63" s="110"/>
    </row>
    <row r="64" spans="1:12" x14ac:dyDescent="0.2">
      <c r="B64" s="144" t="s">
        <v>749</v>
      </c>
      <c r="K64" s="127"/>
    </row>
    <row r="65" spans="1:12" x14ac:dyDescent="0.2">
      <c r="B65" s="107" t="s">
        <v>672</v>
      </c>
      <c r="K65" s="127">
        <f ca="1">K33+K63</f>
        <v>394.16</v>
      </c>
      <c r="L65" s="110"/>
    </row>
    <row r="66" spans="1:12" ht="13.5" thickBot="1" x14ac:dyDescent="0.25">
      <c r="D66" s="128" t="s">
        <v>673</v>
      </c>
      <c r="E66" s="129">
        <f ca="1">ROUND(SUM($E$33:$H$33)+$K$63,2)</f>
        <v>320.89999999999998</v>
      </c>
      <c r="F66" s="388" t="s">
        <v>674</v>
      </c>
      <c r="G66" s="388"/>
      <c r="H66" s="130">
        <f>'General Variables'!$B$11</f>
        <v>7.4999999999999997E-2</v>
      </c>
      <c r="I66" s="131" t="str">
        <f>CONCATENATE("for ",TEXT('General Variables'!$B$12,"0.0")," mo.")</f>
        <v>for 6.0 mo.</v>
      </c>
      <c r="K66" s="132">
        <f ca="1">E66*H66*'General Variables'!$B$12/12</f>
        <v>12.03375</v>
      </c>
      <c r="L66" s="133"/>
    </row>
    <row r="67" spans="1:12" ht="13.5" thickTop="1" x14ac:dyDescent="0.2">
      <c r="B67" s="107" t="s">
        <v>675</v>
      </c>
      <c r="K67" s="127">
        <f ca="1">SUM(K65:K66)</f>
        <v>406.19375000000002</v>
      </c>
      <c r="L67" s="110"/>
    </row>
    <row r="68" spans="1:12" x14ac:dyDescent="0.2">
      <c r="K68" s="127"/>
    </row>
    <row r="69" spans="1:12" x14ac:dyDescent="0.2">
      <c r="B69" s="104" t="s">
        <v>676</v>
      </c>
      <c r="C69" s="134"/>
      <c r="D69" s="134"/>
      <c r="E69" s="134"/>
      <c r="F69" s="134"/>
      <c r="G69" s="134"/>
      <c r="H69" s="134"/>
      <c r="I69" s="134"/>
      <c r="J69" s="134"/>
      <c r="K69" s="135">
        <f>'General Variables'!B14</f>
        <v>35</v>
      </c>
      <c r="L69" s="110"/>
    </row>
    <row r="70" spans="1:12" x14ac:dyDescent="0.2">
      <c r="A70" s="128" t="s">
        <v>750</v>
      </c>
      <c r="B70" s="103" t="s">
        <v>687</v>
      </c>
      <c r="C70" s="398" t="s">
        <v>52</v>
      </c>
      <c r="D70" s="399"/>
      <c r="E70" s="400"/>
      <c r="F70" s="136">
        <f>IF(C70=0,0,VLOOKUP(C70,RETable,2,FALSE))</f>
        <v>6390</v>
      </c>
      <c r="G70" s="388" t="s">
        <v>678</v>
      </c>
      <c r="H70" s="388"/>
      <c r="I70" s="130">
        <f>'General Variables'!$B$10</f>
        <v>0.03</v>
      </c>
      <c r="K70" s="137">
        <f>ROUND(F70*I70,2)</f>
        <v>191.7</v>
      </c>
      <c r="L70" s="110"/>
    </row>
    <row r="71" spans="1:12" ht="13.5" thickBot="1" x14ac:dyDescent="0.25">
      <c r="A71" s="128" t="s">
        <v>750</v>
      </c>
      <c r="B71" s="103" t="s">
        <v>679</v>
      </c>
      <c r="F71" s="138">
        <f>IF(C70=0,0,VLOOKUP(C70,RETable,2,FALSE))</f>
        <v>6390</v>
      </c>
      <c r="G71" s="397" t="s">
        <v>678</v>
      </c>
      <c r="H71" s="397"/>
      <c r="I71" s="139">
        <f>'General Variables'!$B$13</f>
        <v>1.2999999999999999E-2</v>
      </c>
      <c r="J71" s="105"/>
      <c r="K71" s="140">
        <f>ROUND(F71*I71,2)</f>
        <v>83.07</v>
      </c>
      <c r="L71" s="133"/>
    </row>
    <row r="72" spans="1:12" ht="13.5" thickTop="1" x14ac:dyDescent="0.2">
      <c r="B72" s="107" t="s">
        <v>680</v>
      </c>
      <c r="K72" s="127">
        <f ca="1">SUM(K67:K71)</f>
        <v>715.96374999999989</v>
      </c>
      <c r="L72" s="110"/>
    </row>
    <row r="73" spans="1:12" x14ac:dyDescent="0.2">
      <c r="K73" s="128"/>
    </row>
    <row r="74" spans="1:12" x14ac:dyDescent="0.2">
      <c r="B74" s="104" t="str">
        <f>IF(G4="","","Cash Cost per "&amp;H4)</f>
        <v>Cash Cost per bushel</v>
      </c>
      <c r="C74" s="261" t="s">
        <v>688</v>
      </c>
      <c r="D74" s="105"/>
      <c r="E74" s="105"/>
      <c r="F74" s="105"/>
      <c r="G74" s="105"/>
      <c r="H74" s="105"/>
      <c r="I74" s="105"/>
      <c r="J74" s="105"/>
      <c r="K74" s="142">
        <f ca="1">IF(G4=0,0,(E66+K66+K69+K71)/G4)</f>
        <v>2.6529632352941173</v>
      </c>
      <c r="L74" s="148"/>
    </row>
    <row r="75" spans="1:12" x14ac:dyDescent="0.2">
      <c r="B75" s="107" t="str">
        <f>IF(G4="","","Cost of production per "&amp;H4)</f>
        <v>Cost of production per bushel</v>
      </c>
      <c r="K75" s="141">
        <f ca="1">IF(G4="","",K72/G4)</f>
        <v>4.2115514705882351</v>
      </c>
      <c r="L75" s="110"/>
    </row>
    <row r="77" spans="1:12" x14ac:dyDescent="0.2">
      <c r="B77" s="144" t="s">
        <v>751</v>
      </c>
    </row>
    <row r="78" spans="1:12" x14ac:dyDescent="0.2">
      <c r="D78" s="103" t="s">
        <v>900</v>
      </c>
      <c r="G78" s="105"/>
      <c r="H78" s="105"/>
      <c r="I78" s="105"/>
      <c r="J78" s="105"/>
      <c r="K78" s="355" t="s">
        <v>901</v>
      </c>
      <c r="L78"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600-000000000000}">
      <formula1>$B$111:$B$208</formula1>
    </dataValidation>
    <dataValidation type="list" allowBlank="1" showInputMessage="1" showErrorMessage="1" sqref="B62" xr:uid="{00000000-0002-0000-3600-000001000000}">
      <formula1>$C$111:$C$229</formula1>
    </dataValidation>
    <dataValidation type="list" allowBlank="1" showInputMessage="1" showErrorMessage="1" sqref="K4" xr:uid="{00000000-0002-0000-3600-000002000000}">
      <formula1>$K$111:$K$113</formula1>
    </dataValidation>
    <dataValidation type="list" allowBlank="1" showInputMessage="1" showErrorMessage="1" sqref="B37:B60" xr:uid="{00000000-0002-0000-3600-000003000000}">
      <formula1>MaterialList</formula1>
    </dataValidation>
    <dataValidation type="list" allowBlank="1" showInputMessage="1" showErrorMessage="1" sqref="C70:E70" xr:uid="{00000000-0002-0000-3600-000004000000}">
      <formula1>RealEstateList</formula1>
    </dataValidation>
    <dataValidation type="list" allowBlank="1" showInputMessage="1" showErrorMessage="1" sqref="B12:B31" xr:uid="{00000000-0002-0000-3600-000005000000}">
      <formula1>OperationList</formula1>
    </dataValidation>
    <dataValidation type="list" allowBlank="1" showInputMessage="1" showErrorMessage="1" sqref="D12:D32" xr:uid="{00000000-0002-0000-3600-000006000000}">
      <formula1>#REF!</formula1>
    </dataValidation>
    <dataValidation type="list" allowBlank="1" showInputMessage="1" showErrorMessage="1" sqref="K2" xr:uid="{00000000-0002-0000-3600-000007000000}">
      <formula1>watersource</formula1>
    </dataValidation>
    <dataValidation type="list" allowBlank="1" showInputMessage="1" showErrorMessage="1" sqref="C3" xr:uid="{00000000-0002-0000-3600-000008000000}">
      <formula1>TillageSystem</formula1>
    </dataValidation>
  </dataValidations>
  <pageMargins left="0.7" right="0.7" top="0.75" bottom="0.75" header="0.3" footer="0.3"/>
  <pageSetup scale="71" orientation="portrait" r:id="rId1"/>
  <ignoredErrors>
    <ignoredError sqref="C19" unlockedFormula="1"/>
    <ignoredError sqref="E19:J19"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7">
    <pageSetUpPr fitToPage="1"/>
  </sheetPr>
  <dimension ref="A2:M256"/>
  <sheetViews>
    <sheetView zoomScaleNormal="100" workbookViewId="0">
      <selection activeCell="F70" sqref="F7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69</v>
      </c>
      <c r="L2" s="401"/>
    </row>
    <row r="3" spans="1:13" hidden="1" x14ac:dyDescent="0.2">
      <c r="B3" s="103" t="s">
        <v>38</v>
      </c>
      <c r="C3" s="391"/>
      <c r="D3" s="391"/>
      <c r="E3" s="391"/>
      <c r="G3" s="128" t="s">
        <v>650</v>
      </c>
      <c r="H3" s="187"/>
      <c r="J3" s="128" t="s">
        <v>651</v>
      </c>
      <c r="K3" s="187">
        <v>2</v>
      </c>
    </row>
    <row r="4" spans="1:13" hidden="1" x14ac:dyDescent="0.2">
      <c r="B4" s="103" t="s">
        <v>652</v>
      </c>
      <c r="C4" s="392" t="s">
        <v>49</v>
      </c>
      <c r="D4" s="392"/>
      <c r="E4" s="392"/>
      <c r="G4" s="103" t="str">
        <f>IFERROR(VALUE(LEFT($H$3,FIND(" ",$H$3))),"")</f>
        <v/>
      </c>
      <c r="H4" s="103" t="str">
        <f>IFERROR(RIGHT(H3,LEN(H3)-LEN(G4)-1),"")</f>
        <v/>
      </c>
      <c r="J4" s="128" t="s">
        <v>653</v>
      </c>
      <c r="K4" s="188"/>
    </row>
    <row r="5" spans="1:13" ht="15.75" hidden="1" customHeight="1" x14ac:dyDescent="0.2">
      <c r="B5" s="103" t="s">
        <v>655</v>
      </c>
      <c r="C5" s="103" t="str">
        <f ca="1">MID(CELL("filename",C5),FIND("]",CELL("filename",C5))+1,255)</f>
        <v>51-Grass</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51-Grass, Fall Establishment,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51-Grass, Fall Establishment</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304</v>
      </c>
      <c r="C14" s="174">
        <v>1</v>
      </c>
      <c r="D14" s="174"/>
      <c r="E14" s="109">
        <f>IF(B14=0,"",IF(C14&gt;9999,"",ROUND('General Variables'!$B$4*VLOOKUP(B14,Operations!$A$2:$U$79,10,FALSE)/VLOOKUP(B14,Operations!$A$2:$U$79,9,FALSE)*C14,2)))</f>
        <v>3.3</v>
      </c>
      <c r="F14" s="109">
        <f>IF(B14=0,0,IF(C14&gt;9999,"",ROUND(IF(VLOOKUP(B14,Operations!$A$2:$U$79,12,FALSE)=0,VLOOKUP(B14,Operations!$A$2:$U$79,13,FALSE)*'General Variables'!$B$8,VLOOKUP(B14,Operations!$A$2:$U$79,12,FALSE)*'General Variables'!$B$7)/VLOOKUP(B14,Operations!$A$2:$U$79,9,FALSE)*C14,2)))</f>
        <v>1.53</v>
      </c>
      <c r="G14" s="109">
        <f>IF(B14=0,0,IF(C14&gt;9999,"",ROUND(VLOOKUP(VLOOKUP(B14,Operations!$A$2:$U$79,11,FALSE),PowerUnits[],10,FALSE)/VLOOKUP(B14,Operations!$A$2:$U$79,9,FALSE)*C14,2)))</f>
        <v>0.09</v>
      </c>
      <c r="H14" s="109">
        <f>IF(B14=0,"",IF(C14&gt;9999,"",ROUND(VLOOKUP($B14,Operations!$A$2:$U$79,15,FALSE)*C14,2)))</f>
        <v>3.26</v>
      </c>
      <c r="I14" s="109">
        <f>IF(B14=0,0,IF(C14&gt;9999,"",ROUND(VLOOKUP(VLOOKUP(B14,Operations!$A$2:$U$79,11,FALSE),PowerUnits[],16,FALSE)/VLOOKUP(B14,Operations!$A$2:$U$79,9,FALSE)*C14,2)))</f>
        <v>4.8099999999999996</v>
      </c>
      <c r="J14" s="109">
        <f>IF(B14=0,"",IF(C14&gt;9999,"",ROUND(VLOOKUP($B14,Operations!$A$2:$U$79,21,FALSE)*$C14,2)))</f>
        <v>3.63</v>
      </c>
      <c r="K14" s="109">
        <f t="shared" si="0"/>
        <v>16.62</v>
      </c>
      <c r="L14" s="110"/>
    </row>
    <row r="15" spans="1:13" x14ac:dyDescent="0.2">
      <c r="A15" s="170">
        <v>4</v>
      </c>
      <c r="B15" s="213" t="s">
        <v>540</v>
      </c>
      <c r="C15" s="214">
        <v>1</v>
      </c>
      <c r="D15" s="214"/>
      <c r="E15" s="215">
        <f>IF(B15=0,"",IF(C15&gt;9999,"",ROUND('General Variables'!$B$4*VLOOKUP(B15,Operations!$A$2:$U$79,10,FALSE)/VLOOKUP(B15,Operations!$A$2:$U$79,9,FALSE)*C15,2)))</f>
        <v>2.25</v>
      </c>
      <c r="F15" s="215">
        <f>IF(B15=0,0,IF(C15&gt;9999,"",ROUND(IF(VLOOKUP(B15,Operations!$A$2:$U$79,12,FALSE)=0,VLOOKUP(B15,Operations!$A$2:$U$79,13,FALSE)*'General Variables'!$B$8,VLOOKUP(B15,Operations!$A$2:$U$79,12,FALSE)*'General Variables'!$B$7)/VLOOKUP(B15,Operations!$A$2:$U$79,9,FALSE)*C15,2)))</f>
        <v>1.45</v>
      </c>
      <c r="G15" s="215">
        <f>IF(B15=0,0,IF(C15&gt;9999,"",ROUND(VLOOKUP(VLOOKUP(B15,Operations!$A$2:$U$79,11,FALSE),PowerUnits[],10,FALSE)/VLOOKUP(B15,Operations!$A$2:$U$79,9,FALSE)*C15,2)))</f>
        <v>7.0000000000000007E-2</v>
      </c>
      <c r="H15" s="215">
        <f>IF(B15=0,"",IF(C15&gt;9999,"",ROUND(VLOOKUP($B15,Operations!$A$2:$U$79,15,FALSE)*C15,2)))</f>
        <v>0.39</v>
      </c>
      <c r="I15" s="215">
        <f>IF(B15=0,0,IF(C15&gt;9999,"",ROUND(VLOOKUP(VLOOKUP(B15,Operations!$A$2:$U$79,11,FALSE),PowerUnits[],16,FALSE)/VLOOKUP(B15,Operations!$A$2:$U$79,9,FALSE)*C15,2)))</f>
        <v>3.61</v>
      </c>
      <c r="J15" s="215">
        <f>IF(B15=0,"",IF(C15&gt;9999,"",ROUND(VLOOKUP($B15,Operations!$A$2:$U$79,21,FALSE)*$C15,2)))</f>
        <v>2.78</v>
      </c>
      <c r="K15" s="215">
        <f t="shared" si="0"/>
        <v>10.55</v>
      </c>
      <c r="L15" s="216"/>
    </row>
    <row r="16" spans="1:13" x14ac:dyDescent="0.2">
      <c r="A16" s="170">
        <v>5</v>
      </c>
      <c r="B16" s="180" t="s">
        <v>522</v>
      </c>
      <c r="C16" s="174">
        <f>$K$3</f>
        <v>2</v>
      </c>
      <c r="D16" s="174" t="s">
        <v>693</v>
      </c>
      <c r="E16" s="109">
        <f>IF(B16=0,"",IF(C16&gt;9999,"",ROUND('General Variables'!$B$4*VLOOKUP(B16,Operations!$A$2:$U$79,10,FALSE)/VLOOKUP(B16,Operations!$A$2:$U$79,9,FALSE)*C16,2)))</f>
        <v>1.88</v>
      </c>
      <c r="F16" s="109">
        <f>IF(B16=0,0,IF(C16&gt;9999,"",ROUND(IF(VLOOKUP(B16,Operations!$A$2:$U$79,12,FALSE)=0,VLOOKUP(B16,Operations!$A$2:$U$79,13,FALSE)*'General Variables'!$B$8,VLOOKUP(B16,Operations!$A$2:$U$79,12,FALSE)*'General Variables'!$B$7)/VLOOKUP(B16,Operations!$A$2:$U$79,9,FALSE)*C16,2)))</f>
        <v>11.86</v>
      </c>
      <c r="G16" s="109">
        <f>IF(B16=0,0,IF(C16&gt;9999,"",ROUND(VLOOKUP(VLOOKUP(B16,Operations!$A$2:$U$79,11,FALSE),PowerUnits[],10,FALSE)/VLOOKUP(B16,Operations!$A$2:$U$79,9,FALSE)*C16,2)))</f>
        <v>1.0900000000000001</v>
      </c>
      <c r="H16" s="109">
        <f>IF(B16=0,"",IF(C16&gt;9999,"",ROUND(VLOOKUP($B16,Operations!$A$2:$U$79,15,FALSE)*C16,2)))</f>
        <v>5.3</v>
      </c>
      <c r="I16" s="109">
        <f>IF(B16=0,0,IF(C16&gt;9999,"",ROUND(VLOOKUP(VLOOKUP(B16,Operations!$A$2:$U$79,11,FALSE),PowerUnits[],16,FALSE)/VLOOKUP(B16,Operations!$A$2:$U$79,9,FALSE)*C16,2)))</f>
        <v>2.0699999999999998</v>
      </c>
      <c r="J16" s="109">
        <f>IF(B16=0,"",IF(C16&gt;9999,"",ROUND(VLOOKUP($B16,Operations!$A$2:$U$79,21,FALSE)*$C16,2)))</f>
        <v>2.91</v>
      </c>
      <c r="K16" s="109">
        <f>IF(C16&gt;9999,"",ROUND(SUM(E16:J16),2))</f>
        <v>25.11</v>
      </c>
      <c r="L16" s="110"/>
    </row>
    <row r="17" spans="1:12" x14ac:dyDescent="0.2">
      <c r="A17" s="170">
        <v>6</v>
      </c>
      <c r="B17" s="180" t="s">
        <v>556</v>
      </c>
      <c r="C17" s="174">
        <v>1</v>
      </c>
      <c r="D17" s="174"/>
      <c r="E17" s="109">
        <f>IF(B17=0,"",IF(C17&gt;9999,"",ROUND('General Variables'!$B$4*VLOOKUP(B17,Operations!$A$2:$U$79,10,FALSE)/VLOOKUP(B17,Operations!$A$2:$U$79,9,FALSE)*C17,2)))</f>
        <v>2.13</v>
      </c>
      <c r="F17" s="109">
        <f>IF(B17=0,0,IF(C17&gt;9999,"",ROUND(IF(VLOOKUP(B17,Operations!$A$2:$U$79,12,FALSE)=0,VLOOKUP(B17,Operations!$A$2:$U$79,13,FALSE)*'General Variables'!$B$8,VLOOKUP(B17,Operations!$A$2:$U$79,12,FALSE)*'General Variables'!$B$7)/VLOOKUP(B17,Operations!$A$2:$U$79,9,FALSE)*C17,2)))</f>
        <v>0.97</v>
      </c>
      <c r="G17" s="109">
        <f>IF(B17=0,0,IF(C17&gt;9999,"",ROUND(VLOOKUP(VLOOKUP(B17,Operations!$A$2:$U$79,11,FALSE),PowerUnits[],10,FALSE)/VLOOKUP(B17,Operations!$A$2:$U$79,9,FALSE)*C17,2)))</f>
        <v>7.0000000000000007E-2</v>
      </c>
      <c r="H17" s="109">
        <f>IF(B17=0,"",IF(C17&gt;9999,"",ROUND(VLOOKUP($B17,Operations!$A$2:$U$79,15,FALSE)*C17,2)))</f>
        <v>0</v>
      </c>
      <c r="I17" s="109">
        <f>IF(B17=0,0,IF(C17&gt;9999,"",ROUND(VLOOKUP(VLOOKUP(B17,Operations!$A$2:$U$79,11,FALSE),PowerUnits[],16,FALSE)/VLOOKUP(B17,Operations!$A$2:$U$79,9,FALSE)*C17,2)))</f>
        <v>3.41</v>
      </c>
      <c r="J17" s="109">
        <f>IF(B17=0,"",IF(C17&gt;9999,"",ROUND(VLOOKUP($B17,Operations!$A$2:$U$79,21,FALSE)*$C17,2)))</f>
        <v>2.64</v>
      </c>
      <c r="K17" s="109">
        <f>IF(C17&gt;9999,"",ROUND(SUM(E17:J17),2))</f>
        <v>9.2200000000000006</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14.259999999999998</v>
      </c>
      <c r="F33" s="109">
        <f t="shared" ref="F33:K33" si="1">SUM(F12:F31)</f>
        <v>19.989999999999998</v>
      </c>
      <c r="G33" s="109">
        <f t="shared" si="1"/>
        <v>1.86</v>
      </c>
      <c r="H33" s="109">
        <f t="shared" si="1"/>
        <v>12.77</v>
      </c>
      <c r="I33" s="109">
        <f t="shared" si="1"/>
        <v>28.51</v>
      </c>
      <c r="J33" s="109">
        <f t="shared" si="1"/>
        <v>16.849999999999998</v>
      </c>
      <c r="K33" s="109">
        <f t="shared" si="1"/>
        <v>94.24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333</v>
      </c>
      <c r="C37" s="388" t="str">
        <f>IF(B37=0,"",VLOOKUP($B37,Table2[],2,FALSE))</f>
        <v>Seed</v>
      </c>
      <c r="D37" s="388"/>
      <c r="E37" s="388"/>
      <c r="F37" s="174">
        <v>3</v>
      </c>
      <c r="G37" s="175">
        <v>1</v>
      </c>
      <c r="H37" s="176">
        <v>1</v>
      </c>
      <c r="I37" s="120" t="str">
        <f>IF($B37=0,"",VLOOKUP($B37,Table2[],5,FALSE))</f>
        <v>acre</v>
      </c>
      <c r="J37" s="109">
        <f>IF($B37=0,"",VLOOKUP($B37,Table2[],7,FALSE))</f>
        <v>80</v>
      </c>
      <c r="K37" s="109">
        <f>IF(B37=0,0,ROUND(G37*H37*J37,2))</f>
        <v>80</v>
      </c>
      <c r="L37" s="110"/>
    </row>
    <row r="38" spans="1:12" x14ac:dyDescent="0.2">
      <c r="A38" s="105"/>
      <c r="B38" s="180" t="s">
        <v>204</v>
      </c>
      <c r="C38" s="388" t="str">
        <f>IF(B38=0,"",VLOOKUP($B38,Table2[],2,FALSE))</f>
        <v>Fertilizer</v>
      </c>
      <c r="D38" s="388"/>
      <c r="E38" s="388"/>
      <c r="F38" s="174">
        <v>6</v>
      </c>
      <c r="G38" s="175">
        <v>1</v>
      </c>
      <c r="H38" s="176">
        <v>60</v>
      </c>
      <c r="I38" s="120" t="str">
        <f>IF($B38=0,"",VLOOKUP($B38,Table2[],5,FALSE))</f>
        <v>pound</v>
      </c>
      <c r="J38" s="109">
        <f>IF($B38=0,"",VLOOKUP($B38,Table2[],7,FALSE))</f>
        <v>0.4</v>
      </c>
      <c r="K38" s="109">
        <f t="shared" ref="K38:K55" si="2">IF(B38=0,0,ROUND(G38*H38*J38,2))</f>
        <v>24</v>
      </c>
      <c r="L38" s="110"/>
    </row>
    <row r="39" spans="1:12" ht="12.75" hidden="1" customHeight="1" x14ac:dyDescent="0.2">
      <c r="A39" s="105"/>
      <c r="B39" s="180"/>
      <c r="C39" s="388" t="str">
        <f>IF(B39=0,"",VLOOKUP($B39,Table2[],2,FALSE))</f>
        <v/>
      </c>
      <c r="D39" s="388"/>
      <c r="E39" s="388"/>
      <c r="F39" s="174"/>
      <c r="G39" s="175"/>
      <c r="H39" s="176"/>
      <c r="I39" s="120" t="str">
        <f>IF($B39=0,"",VLOOKUP($B39,Table2[],5,FALSE))</f>
        <v/>
      </c>
      <c r="J39" s="109" t="str">
        <f>IF($B39=0,"",VLOOKUP($B39,Table2[],7,FALSE))</f>
        <v/>
      </c>
      <c r="K39" s="109">
        <f t="shared" si="2"/>
        <v>0</v>
      </c>
      <c r="L39" s="110"/>
    </row>
    <row r="40" spans="1:12" ht="12.75" hidden="1" customHeight="1" x14ac:dyDescent="0.2">
      <c r="A40" s="105"/>
      <c r="B40" s="213"/>
      <c r="C40" s="387" t="str">
        <f>IF(B40=0,"",VLOOKUP($B40,Table2[],2,FALSE))</f>
        <v/>
      </c>
      <c r="D40" s="387"/>
      <c r="E40" s="387"/>
      <c r="F40" s="214"/>
      <c r="G40" s="221"/>
      <c r="H40" s="222"/>
      <c r="I40" s="223" t="str">
        <f>IF($B40=0,"",VLOOKUP($B40,Table2[],5,FALSE))</f>
        <v/>
      </c>
      <c r="J40" s="215" t="str">
        <f>IF($B40=0,"",VLOOKUP($B40,Table2[],7,FALSE))</f>
        <v/>
      </c>
      <c r="K40" s="215">
        <f t="shared" si="2"/>
        <v>0</v>
      </c>
      <c r="L40" s="216"/>
    </row>
    <row r="41" spans="1:12" ht="12.75" hidden="1" customHeight="1" x14ac:dyDescent="0.2">
      <c r="A41" s="105"/>
      <c r="B41" s="180"/>
      <c r="C41" s="388" t="str">
        <f>IF(B41=0,"",VLOOKUP($B41,Table2[],2,FALSE))</f>
        <v/>
      </c>
      <c r="D41" s="388"/>
      <c r="E41" s="388"/>
      <c r="F41" s="174"/>
      <c r="G41" s="175"/>
      <c r="H41" s="181"/>
      <c r="I41" s="120" t="str">
        <f>IF($B41=0,"",VLOOKUP($B41,Table2[],5,FALSE))</f>
        <v/>
      </c>
      <c r="J41" s="109" t="str">
        <f>IF($B41=0,"",VLOOKUP($B41,Table2[],7,FALSE))</f>
        <v/>
      </c>
      <c r="K41" s="109">
        <f t="shared" si="2"/>
        <v>0</v>
      </c>
      <c r="L41" s="110"/>
    </row>
    <row r="42" spans="1:12" ht="12.75" hidden="1" customHeight="1" x14ac:dyDescent="0.2">
      <c r="A42" s="105"/>
      <c r="B42" s="180"/>
      <c r="C42" s="388" t="str">
        <f>IF(B42=0,"",VLOOKUP($B42,Table2[],2,FALSE))</f>
        <v/>
      </c>
      <c r="D42" s="388"/>
      <c r="E42" s="388"/>
      <c r="F42" s="174"/>
      <c r="G42" s="175"/>
      <c r="H42" s="181"/>
      <c r="I42" s="120" t="str">
        <f>IF($B42=0,"",VLOOKUP($B42,Table2[],5,FALSE))</f>
        <v/>
      </c>
      <c r="J42" s="109" t="str">
        <f>IF($B42=0,"",VLOOKUP($B42,Table2[],7,FALSE))</f>
        <v/>
      </c>
      <c r="K42" s="109">
        <f t="shared" si="2"/>
        <v>0</v>
      </c>
      <c r="L42" s="110"/>
    </row>
    <row r="43" spans="1:12" ht="12.75" hidden="1" customHeight="1" x14ac:dyDescent="0.2">
      <c r="A43" s="143"/>
      <c r="B43" s="180"/>
      <c r="C43" s="388" t="str">
        <f>IF(B43=0,"",VLOOKUP($B43,Table2[],2,FALSE))</f>
        <v/>
      </c>
      <c r="D43" s="388"/>
      <c r="E43" s="388"/>
      <c r="F43" s="174"/>
      <c r="G43" s="175"/>
      <c r="H43" s="176"/>
      <c r="I43" s="120" t="str">
        <f>IF($B43=0,"",VLOOKUP($B43,Table2[],5,FALSE))</f>
        <v/>
      </c>
      <c r="J43" s="109" t="str">
        <f>IF($B43=0,"",VLOOKUP($B43,Table2[],7,FALSE))</f>
        <v/>
      </c>
      <c r="K43" s="109">
        <f t="shared" si="2"/>
        <v>0</v>
      </c>
      <c r="L43" s="110"/>
    </row>
    <row r="44" spans="1:12" ht="12.75" hidden="1" customHeight="1" x14ac:dyDescent="0.2">
      <c r="A44" s="143"/>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idden="1" x14ac:dyDescent="0.2">
      <c r="B61" s="185" t="s">
        <v>430</v>
      </c>
      <c r="C61" s="388" t="s">
        <v>655</v>
      </c>
      <c r="D61" s="388"/>
      <c r="E61" s="388"/>
      <c r="F61" s="112"/>
      <c r="G61" s="177"/>
      <c r="H61" s="178"/>
      <c r="I61" s="170"/>
      <c r="J61" s="109" t="str">
        <f ca="1">IF(F5=0,E5,F5)</f>
        <v>N/A</v>
      </c>
      <c r="K61" s="109" t="str">
        <f ca="1">IF(B61=0,0,J61)</f>
        <v>N/A</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104</v>
      </c>
      <c r="L63" s="110"/>
    </row>
    <row r="64" spans="1:12" x14ac:dyDescent="0.2">
      <c r="B64" s="144"/>
      <c r="K64" s="127"/>
    </row>
    <row r="65" spans="2:12" x14ac:dyDescent="0.2">
      <c r="B65" s="107" t="s">
        <v>672</v>
      </c>
      <c r="K65" s="127">
        <f ca="1">K33+K63</f>
        <v>198.24</v>
      </c>
      <c r="L65" s="110"/>
    </row>
    <row r="66" spans="2:12" ht="13.5" thickBot="1" x14ac:dyDescent="0.25">
      <c r="D66" s="128" t="s">
        <v>673</v>
      </c>
      <c r="E66" s="129">
        <f ca="1">ROUND(SUM($E$33:$H$33)+$K$63,2)</f>
        <v>152.88</v>
      </c>
      <c r="F66" s="388" t="s">
        <v>674</v>
      </c>
      <c r="G66" s="388"/>
      <c r="H66" s="130">
        <f>'General Variables'!$B$11</f>
        <v>7.4999999999999997E-2</v>
      </c>
      <c r="I66" s="131" t="str">
        <f>CONCATENATE("for ",TEXT('General Variables'!$B$12,"0.0")," mo.")</f>
        <v>for 6.0 mo.</v>
      </c>
      <c r="K66" s="132">
        <f ca="1">E66*H66*'General Variables'!$B$12/12</f>
        <v>5.7329999999999997</v>
      </c>
      <c r="L66" s="133"/>
    </row>
    <row r="67" spans="2:12" ht="13.5" thickTop="1" x14ac:dyDescent="0.2">
      <c r="B67" s="107" t="s">
        <v>675</v>
      </c>
      <c r="K67" s="127">
        <f ca="1">SUM(K65:K66)</f>
        <v>203.97300000000001</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677</v>
      </c>
      <c r="C70" s="398" t="s">
        <v>49</v>
      </c>
      <c r="D70" s="399"/>
      <c r="E70" s="400"/>
      <c r="F70" s="136">
        <f>IF(C70=0,0,VLOOKUP(C70,RETable,2,FALSE))</f>
        <v>0</v>
      </c>
      <c r="G70" s="388" t="s">
        <v>678</v>
      </c>
      <c r="H70" s="388"/>
      <c r="I70" s="130">
        <f>'General Variables'!$B$10</f>
        <v>0.03</v>
      </c>
      <c r="K70" s="137">
        <f>ROUND(F70*I70,2)</f>
        <v>0</v>
      </c>
      <c r="L70" s="110"/>
    </row>
    <row r="71" spans="2:12" ht="13.5" thickBot="1" x14ac:dyDescent="0.25">
      <c r="B71" s="103" t="s">
        <v>679</v>
      </c>
      <c r="F71" s="138">
        <f>IF(C70=0,0,VLOOKUP(C70,RETable,2,FALSE))</f>
        <v>0</v>
      </c>
      <c r="G71" s="397" t="s">
        <v>678</v>
      </c>
      <c r="H71" s="397"/>
      <c r="I71" s="139">
        <f>'General Variables'!$B$13</f>
        <v>1.2999999999999999E-2</v>
      </c>
      <c r="J71" s="105"/>
      <c r="K71" s="140">
        <f>ROUND(F71*I71,2)</f>
        <v>0</v>
      </c>
      <c r="L71" s="133"/>
    </row>
    <row r="72" spans="2:12" ht="13.5" thickTop="1" x14ac:dyDescent="0.2">
      <c r="B72" s="107" t="s">
        <v>680</v>
      </c>
      <c r="K72" s="127">
        <f ca="1">SUM(K67:K71)</f>
        <v>238.97300000000001</v>
      </c>
      <c r="L72" s="110"/>
    </row>
    <row r="73" spans="2:12" x14ac:dyDescent="0.2">
      <c r="K73" s="128"/>
    </row>
    <row r="74" spans="2:12" x14ac:dyDescent="0.2">
      <c r="C74" s="261"/>
      <c r="D74" s="103" t="s">
        <v>900</v>
      </c>
      <c r="G74" s="105"/>
      <c r="H74" s="105"/>
      <c r="I74" s="105"/>
      <c r="J74" s="105"/>
      <c r="K74" s="355" t="s">
        <v>901</v>
      </c>
      <c r="L74" s="105"/>
    </row>
    <row r="75" spans="2:12" x14ac:dyDescent="0.2">
      <c r="B75" s="107" t="str">
        <f>IF(G4="","","Cost of production per "&amp;H4)</f>
        <v/>
      </c>
      <c r="K75" s="141" t="str">
        <f>IF(G4="","",K72/G4)</f>
        <v/>
      </c>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700-000000000000}">
      <formula1>$B$111:$B$208</formula1>
    </dataValidation>
    <dataValidation type="list" allowBlank="1" showInputMessage="1" showErrorMessage="1" sqref="B62" xr:uid="{00000000-0002-0000-3700-000001000000}">
      <formula1>$C$111:$C$229</formula1>
    </dataValidation>
    <dataValidation type="list" allowBlank="1" showInputMessage="1" showErrorMessage="1" sqref="K4" xr:uid="{00000000-0002-0000-3700-000002000000}">
      <formula1>$K$111:$K$113</formula1>
    </dataValidation>
    <dataValidation type="list" allowBlank="1" showInputMessage="1" showErrorMessage="1" sqref="B37:B60" xr:uid="{00000000-0002-0000-3700-000003000000}">
      <formula1>MaterialList</formula1>
    </dataValidation>
    <dataValidation type="list" allowBlank="1" showInputMessage="1" showErrorMessage="1" sqref="C70:E70" xr:uid="{00000000-0002-0000-3700-000004000000}">
      <formula1>RealEstateList</formula1>
    </dataValidation>
    <dataValidation type="list" allowBlank="1" showInputMessage="1" showErrorMessage="1" sqref="B12:B31" xr:uid="{00000000-0002-0000-3700-000005000000}">
      <formula1>OperationList</formula1>
    </dataValidation>
    <dataValidation type="list" allowBlank="1" showInputMessage="1" showErrorMessage="1" sqref="D12:D32" xr:uid="{00000000-0002-0000-3700-000006000000}">
      <formula1>#REF!</formula1>
    </dataValidation>
    <dataValidation type="list" allowBlank="1" showInputMessage="1" showErrorMessage="1" sqref="K2" xr:uid="{00000000-0002-0000-3700-000007000000}">
      <formula1>watersource</formula1>
    </dataValidation>
    <dataValidation type="list" allowBlank="1" showInputMessage="1" showErrorMessage="1" sqref="C3" xr:uid="{00000000-0002-0000-3700-000008000000}">
      <formula1>TillageSystem</formula1>
    </dataValidation>
  </dataValidations>
  <pageMargins left="0.7" right="0.7" top="0.75" bottom="0.75" header="0.3" footer="0.3"/>
  <pageSetup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8">
    <pageSetUpPr fitToPage="1"/>
  </sheetPr>
  <dimension ref="A2:M256"/>
  <sheetViews>
    <sheetView zoomScaleNormal="100" workbookViewId="0">
      <selection activeCell="A2" sqref="A2:XFD6"/>
    </sheetView>
  </sheetViews>
  <sheetFormatPr defaultColWidth="9.140625" defaultRowHeight="12.75" x14ac:dyDescent="0.2"/>
  <cols>
    <col min="1" max="1" width="5.140625" style="103" customWidth="1"/>
    <col min="2" max="2" width="28.8554687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c r="L2" s="401"/>
    </row>
    <row r="3" spans="1:13" hidden="1" x14ac:dyDescent="0.2">
      <c r="B3" s="103" t="s">
        <v>38</v>
      </c>
      <c r="C3" s="391"/>
      <c r="D3" s="391"/>
      <c r="E3" s="391"/>
      <c r="G3" s="128" t="s">
        <v>650</v>
      </c>
      <c r="H3" s="187" t="s">
        <v>924</v>
      </c>
      <c r="J3" s="128" t="s">
        <v>651</v>
      </c>
      <c r="K3" s="187"/>
    </row>
    <row r="4" spans="1:13" hidden="1" x14ac:dyDescent="0.2">
      <c r="B4" s="103" t="s">
        <v>652</v>
      </c>
      <c r="C4" s="392" t="s">
        <v>697</v>
      </c>
      <c r="D4" s="392"/>
      <c r="E4" s="392"/>
      <c r="G4" s="103">
        <f>IFERROR(VALUE(LEFT($H$3,FIND(" ",$H$3))),"")</f>
        <v>3.3</v>
      </c>
      <c r="H4" s="103" t="str">
        <f>IFERROR(RIGHT(H3,LEN(H3)-LEN(G4)-1),"")</f>
        <v>ton</v>
      </c>
      <c r="J4" s="128" t="s">
        <v>653</v>
      </c>
      <c r="K4" s="188"/>
    </row>
    <row r="5" spans="1:13" ht="15.75" hidden="1" customHeight="1" x14ac:dyDescent="0.2">
      <c r="B5" s="103" t="s">
        <v>655</v>
      </c>
      <c r="C5" s="103" t="str">
        <f ca="1">MID(CELL("filename",C5),FIND("]",CELL("filename",C5))+1,255)</f>
        <v>52-Grass Hay</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52-Grass Hay, Large Round Bales, 3.3 ton Yield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52-Grass Hay, Large Round Bales, 3.3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556</v>
      </c>
      <c r="C12" s="112">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IF(C12&gt;9999,"",ROUND(SUM(E12:J12),2))</f>
        <v>9.2200000000000006</v>
      </c>
      <c r="L12" s="110"/>
    </row>
    <row r="13" spans="1:13" x14ac:dyDescent="0.2">
      <c r="A13" s="170">
        <v>2</v>
      </c>
      <c r="B13" s="111" t="s">
        <v>559</v>
      </c>
      <c r="C13" s="112">
        <v>1</v>
      </c>
      <c r="D13" s="174"/>
      <c r="E13" s="109">
        <f>IF(B13=0,"",IF(C13&gt;9999,"",ROUND('General Variables'!$B$4*VLOOKUP(B13,Operations!$A$2:$U$79,10,FALSE)/VLOOKUP(B13,Operations!$A$2:$U$79,9,FALSE)*C13,2)))</f>
        <v>2.7</v>
      </c>
      <c r="F13" s="109">
        <f>IF(B13=0,0,IF(C13&gt;9999,"",ROUND(IF(VLOOKUP(B13,Operations!$A$2:$U$79,12,FALSE)=0,VLOOKUP(B13,Operations!$A$2:$U$79,13,FALSE)*'General Variables'!$B$8,VLOOKUP(B13,Operations!$A$2:$U$79,12,FALSE)*'General Variables'!$B$7)/VLOOKUP(B13,Operations!$A$2:$U$79,9,FALSE)*C13,2)))</f>
        <v>1.6</v>
      </c>
      <c r="G13" s="109">
        <f>IF(B13=0,0,IF(C13&gt;9999,"",ROUND(VLOOKUP(VLOOKUP(B13,Operations!$A$2:$U$79,11,FALSE),PowerUnits[],10,FALSE)/VLOOKUP(B13,Operations!$A$2:$U$79,9,FALSE)*C13,2)))</f>
        <v>1.02</v>
      </c>
      <c r="H13" s="109">
        <f>IF(B13=0,"",IF(C13&gt;9999,"",ROUND(VLOOKUP($B13,Operations!$A$2:$U$79,15,FALSE)*C13,2)))</f>
        <v>1.02</v>
      </c>
      <c r="I13" s="109">
        <f>IF(B13=0,0,IF(C13&gt;9999,"",ROUND(VLOOKUP(VLOOKUP(B13,Operations!$A$2:$U$79,11,FALSE),PowerUnits[],16,FALSE)/VLOOKUP(B13,Operations!$A$2:$U$79,9,FALSE)*C13,2)))</f>
        <v>3.74</v>
      </c>
      <c r="J13" s="109">
        <f>IF(B13=0,"",IF(C13&gt;9999,"",ROUND(VLOOKUP($B13,Operations!$A$2:$U$79,21,FALSE)*$C13,2)))</f>
        <v>5.07</v>
      </c>
      <c r="K13" s="109">
        <f t="shared" ref="K13:K31" si="0">IF(C13&gt;9999,"",ROUND(SUM(E13:J13),2))</f>
        <v>15.15</v>
      </c>
      <c r="L13" s="110"/>
    </row>
    <row r="14" spans="1:13" x14ac:dyDescent="0.2">
      <c r="A14" s="170">
        <v>3</v>
      </c>
      <c r="B14" s="111" t="s">
        <v>387</v>
      </c>
      <c r="C14" s="174">
        <f>$G$4</f>
        <v>3.3</v>
      </c>
      <c r="D14" s="174" t="s">
        <v>187</v>
      </c>
      <c r="E14" s="109">
        <f>IF(B14=0,"",IF(C14&gt;9999,"",ROUND('General Variables'!$B$4*VLOOKUP(B14,Operations!$A$2:$U$79,10,FALSE)/VLOOKUP(B14,Operations!$A$2:$U$79,9,FALSE)*C14,2)))</f>
        <v>8.17</v>
      </c>
      <c r="F14" s="109">
        <f>IF(B14=0,0,IF(C14&gt;9999,"",ROUND(IF(VLOOKUP(B14,Operations!$A$2:$U$79,12,FALSE)=0,VLOOKUP(B14,Operations!$A$2:$U$79,13,FALSE)*'General Variables'!$B$8,VLOOKUP(B14,Operations!$A$2:$U$79,12,FALSE)*'General Variables'!$B$7)/VLOOKUP(B14,Operations!$A$2:$U$79,9,FALSE)*C14,2)))</f>
        <v>2.5299999999999998</v>
      </c>
      <c r="G14" s="109">
        <f>IF(B14=0,0,IF(C14&gt;9999,"",ROUND(VLOOKUP(VLOOKUP(B14,Operations!$A$2:$U$79,11,FALSE),PowerUnits[],10,FALSE)/VLOOKUP(B14,Operations!$A$2:$U$79,9,FALSE)*C14,2)))</f>
        <v>0.23</v>
      </c>
      <c r="H14" s="109">
        <f>IF(B14=0,"",IF(C14&gt;9999,"",ROUND(VLOOKUP($B14,Operations!$A$2:$U$79,15,FALSE)*C14,2)))</f>
        <v>9.57</v>
      </c>
      <c r="I14" s="109">
        <f>IF(B14=0,0,IF(C14&gt;9999,"",ROUND(VLOOKUP(VLOOKUP(B14,Operations!$A$2:$U$79,11,FALSE),PowerUnits[],16,FALSE)/VLOOKUP(B14,Operations!$A$2:$U$79,9,FALSE)*C14,2)))</f>
        <v>11.9</v>
      </c>
      <c r="J14" s="109">
        <f>IF(B14=0,"",IF(C14&gt;9999,"",ROUND(VLOOKUP($B14,Operations!$A$2:$U$79,21,FALSE)*$C14,2)))</f>
        <v>12.78</v>
      </c>
      <c r="K14" s="109">
        <f>IF(C14&gt;9999,"",ROUND(SUM(E14:J14),2))</f>
        <v>45.18</v>
      </c>
      <c r="L14" s="110"/>
    </row>
    <row r="15" spans="1:13" x14ac:dyDescent="0.2">
      <c r="A15" s="170">
        <v>4</v>
      </c>
      <c r="B15" s="217" t="s">
        <v>514</v>
      </c>
      <c r="C15" s="214">
        <f>$G$4</f>
        <v>3.3</v>
      </c>
      <c r="D15" s="214" t="s">
        <v>187</v>
      </c>
      <c r="E15" s="215">
        <f>IF(B15=0,"",IF(C15&gt;9999,"",ROUND('General Variables'!$B$4*VLOOKUP(B15,Operations!$A$2:$U$79,10,FALSE)/VLOOKUP(B15,Operations!$A$2:$U$79,9,FALSE)*C15,2)))</f>
        <v>4.67</v>
      </c>
      <c r="F15" s="215">
        <f>IF(B15=0,0,IF(C15&gt;9999,"",ROUND(IF(VLOOKUP(B15,Operations!$A$2:$U$79,12,FALSE)=0,VLOOKUP(B15,Operations!$A$2:$U$79,13,FALSE)*'General Variables'!$B$8,VLOOKUP(B15,Operations!$A$2:$U$79,12,FALSE)*'General Variables'!$B$7)/VLOOKUP(B15,Operations!$A$2:$U$79,9,FALSE)*C15,2)))</f>
        <v>2.0099999999999998</v>
      </c>
      <c r="G15" s="215">
        <f>IF(B15=0,0,IF(C15&gt;9999,"",ROUND(VLOOKUP(VLOOKUP(B15,Operations!$A$2:$U$79,11,FALSE),PowerUnits[],10,FALSE)/VLOOKUP(B15,Operations!$A$2:$U$79,9,FALSE)*C15,2)))</f>
        <v>0.13</v>
      </c>
      <c r="H15" s="215">
        <f>IF(B15=0,"",IF(C15&gt;9999,"",ROUND(VLOOKUP($B15,Operations!$A$2:$U$79,15,FALSE)*C15,2)))</f>
        <v>0</v>
      </c>
      <c r="I15" s="215">
        <f>IF(B15=0,0,IF(C15&gt;9999,"",ROUND(VLOOKUP(VLOOKUP(B15,Operations!$A$2:$U$79,11,FALSE),PowerUnits[],16,FALSE)/VLOOKUP(B15,Operations!$A$2:$U$79,9,FALSE)*C15,2)))</f>
        <v>6.8</v>
      </c>
      <c r="J15" s="215">
        <f>IF(B15=0,"",IF(C15&gt;9999,"",ROUND(VLOOKUP($B15,Operations!$A$2:$U$79,21,FALSE)*$C15,2)))</f>
        <v>0.61</v>
      </c>
      <c r="K15" s="215">
        <f>IF(C15&gt;9999,"",ROUND(SUM(E15:J15),2))</f>
        <v>14.22</v>
      </c>
      <c r="L15" s="216"/>
    </row>
    <row r="16" spans="1:13" hidden="1" x14ac:dyDescent="0.2">
      <c r="A16" s="170">
        <v>5</v>
      </c>
      <c r="B16" s="180"/>
      <c r="C16" s="174"/>
      <c r="D16" s="174"/>
      <c r="E16" s="109" t="str">
        <f>IF(B16=0,"",IF(C16&gt;9999,"",ROUND('General Variables'!$B$4*VLOOKUP(B16,Operations!$A$2:$U$79,10,FALSE)/VLOOKUP(B16,Operations!$A$2:$U$79,9,FALSE)*C16,2)))</f>
        <v/>
      </c>
      <c r="F16" s="109">
        <f>IF(B16=0,0,IF(C16&gt;9999,"",ROUND(IF(VLOOKUP(B16,Operations!$A$2:$U$79,12,FALSE)=0,VLOOKUP(B16,Operations!$A$2:$U$79,13,FALSE)*'General Variables'!$B$8,VLOOKUP(B16,Operations!$A$2:$U$79,12,FALSE)*'General Variables'!$B$7)/VLOOKUP(B16,Operations!$A$2:$U$79,9,FALSE)*C16,2)))</f>
        <v>0</v>
      </c>
      <c r="G16" s="109">
        <f>IF(B16=0,0,IF(C16&gt;9999,"",ROUND(VLOOKUP(VLOOKUP(B16,Operations!$A$2:$U$79,11,FALSE),PowerUnits[],10,FALSE)/VLOOKUP(B16,Operations!$A$2:$U$79,9,FALSE)*C16,2)))</f>
        <v>0</v>
      </c>
      <c r="H16" s="109" t="str">
        <f>IF(B16=0,"",IF(C16&gt;9999,"",ROUND(VLOOKUP($B16,Operations!$A$2:$U$79,15,FALSE)*C16,2)))</f>
        <v/>
      </c>
      <c r="I16" s="109">
        <f>IF(B16=0,0,IF(C16&gt;9999,"",ROUND(VLOOKUP(VLOOKUP(B16,Operations!$A$2:$U$79,11,FALSE),PowerUnits[],16,FALSE)/VLOOKUP(B16,Operations!$A$2:$U$79,9,FALSE)*C16,2)))</f>
        <v>0</v>
      </c>
      <c r="J16" s="109" t="str">
        <f>IF(B16=0,"",IF(C16&gt;9999,"",ROUND(VLOOKUP($B16,Operations!$A$2:$U$79,21,FALSE)*$C16,2)))</f>
        <v/>
      </c>
      <c r="K16" s="109">
        <f t="shared" si="0"/>
        <v>0</v>
      </c>
      <c r="L16" s="110"/>
    </row>
    <row r="17" spans="1:12" hidden="1" x14ac:dyDescent="0.2">
      <c r="A17" s="170">
        <v>6</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17.670000000000002</v>
      </c>
      <c r="F33" s="109">
        <f t="shared" ref="F33:K33" si="1">SUM(F12:F31)</f>
        <v>7.1099999999999994</v>
      </c>
      <c r="G33" s="109">
        <f t="shared" si="1"/>
        <v>1.4500000000000002</v>
      </c>
      <c r="H33" s="109">
        <f t="shared" si="1"/>
        <v>10.59</v>
      </c>
      <c r="I33" s="109">
        <f t="shared" si="1"/>
        <v>25.85</v>
      </c>
      <c r="J33" s="109">
        <f t="shared" si="1"/>
        <v>21.1</v>
      </c>
      <c r="K33" s="109">
        <f t="shared" si="1"/>
        <v>83.77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11" t="s">
        <v>210</v>
      </c>
      <c r="C37" s="388" t="str">
        <f>IF(B37=0,"",VLOOKUP($B37,Table2[],2,FALSE))</f>
        <v>Fertilizer</v>
      </c>
      <c r="D37" s="388"/>
      <c r="E37" s="388"/>
      <c r="F37" s="112">
        <v>1</v>
      </c>
      <c r="G37" s="177">
        <v>1</v>
      </c>
      <c r="H37" s="178">
        <v>60</v>
      </c>
      <c r="I37" s="120" t="str">
        <f>IF($B37=0,"",VLOOKUP($B37,Table2[],5,FALSE))</f>
        <v>lbs N</v>
      </c>
      <c r="J37" s="109">
        <f>IF($B37=0,"",VLOOKUP($B37,Table2[],7,FALSE))</f>
        <v>0.55000000000000004</v>
      </c>
      <c r="K37" s="109">
        <f>IF(B37=0,0,ROUND(G37*H37*J37,2))</f>
        <v>33</v>
      </c>
      <c r="L37" s="110"/>
    </row>
    <row r="38" spans="1:12" x14ac:dyDescent="0.2">
      <c r="A38" s="105"/>
      <c r="B38" s="111" t="s">
        <v>204</v>
      </c>
      <c r="C38" s="388" t="str">
        <f>IF(B38=0,"",VLOOKUP($B38,Table2[],2,FALSE))</f>
        <v>Fertilizer</v>
      </c>
      <c r="D38" s="388"/>
      <c r="E38" s="388"/>
      <c r="F38" s="112">
        <v>1</v>
      </c>
      <c r="G38" s="177">
        <v>1</v>
      </c>
      <c r="H38" s="178">
        <v>15</v>
      </c>
      <c r="I38" s="120" t="str">
        <f>IF($B38=0,"",VLOOKUP($B38,Table2[],5,FALSE))</f>
        <v>pound</v>
      </c>
      <c r="J38" s="109">
        <f>IF($B38=0,"",VLOOKUP($B38,Table2[],7,FALSE))</f>
        <v>0.4</v>
      </c>
      <c r="K38" s="109">
        <f t="shared" ref="K38:K55" si="2">IF(B38=0,0,ROUND(G38*H38*J38,2))</f>
        <v>6</v>
      </c>
      <c r="L38" s="110"/>
    </row>
    <row r="39" spans="1:12" x14ac:dyDescent="0.2">
      <c r="A39" s="105"/>
      <c r="B39" s="111" t="s">
        <v>300</v>
      </c>
      <c r="C39" s="388" t="str">
        <f>IF(B39=0,"",VLOOKUP($B39,Table2[],2,FALSE))</f>
        <v>Other</v>
      </c>
      <c r="D39" s="388"/>
      <c r="E39" s="388"/>
      <c r="F39" s="112">
        <v>3</v>
      </c>
      <c r="G39" s="177">
        <v>1</v>
      </c>
      <c r="H39" s="178">
        <f>$G$4</f>
        <v>3.3</v>
      </c>
      <c r="I39" s="120" t="str">
        <f>IF($B39=0,"",VLOOKUP($B39,Table2[],5,FALSE))</f>
        <v>ton</v>
      </c>
      <c r="J39" s="109">
        <f>IF($B39=0,"",VLOOKUP($B39,Table2[],7,FALSE))</f>
        <v>2.2092267706302793</v>
      </c>
      <c r="K39" s="109">
        <f t="shared" si="2"/>
        <v>7.29</v>
      </c>
      <c r="L39" s="110"/>
    </row>
    <row r="40" spans="1:12" ht="12.75" customHeight="1" x14ac:dyDescent="0.2">
      <c r="A40" s="105"/>
      <c r="B40" s="213" t="s">
        <v>303</v>
      </c>
      <c r="C40" s="387" t="str">
        <f>IF(B40=0,"",VLOOKUP($B40,Table2[],2,FALSE))</f>
        <v>Other</v>
      </c>
      <c r="D40" s="387"/>
      <c r="E40" s="387"/>
      <c r="F40" s="214"/>
      <c r="G40" s="221">
        <v>1</v>
      </c>
      <c r="H40" s="222">
        <v>1</v>
      </c>
      <c r="I40" s="223" t="str">
        <f>IF($B40=0,"",VLOOKUP($B40,Table2[],5,FALSE))</f>
        <v>acre</v>
      </c>
      <c r="J40" s="215">
        <f>IF($B40=0,"",VLOOKUP($B40,Table2[],7,FALSE))</f>
        <v>1</v>
      </c>
      <c r="K40" s="215">
        <f t="shared" si="2"/>
        <v>1</v>
      </c>
      <c r="L40" s="216"/>
    </row>
    <row r="41" spans="1:12" ht="12.75" hidden="1" customHeight="1" x14ac:dyDescent="0.2">
      <c r="A41" s="105"/>
      <c r="B41" s="180"/>
      <c r="C41" s="388" t="str">
        <f>IF(B41=0,"",VLOOKUP($B41,Table2[],2,FALSE))</f>
        <v/>
      </c>
      <c r="D41" s="388"/>
      <c r="E41" s="388"/>
      <c r="F41" s="174"/>
      <c r="G41" s="175"/>
      <c r="H41" s="181"/>
      <c r="I41" s="120" t="str">
        <f>IF($B41=0,"",VLOOKUP($B41,Table2[],5,FALSE))</f>
        <v/>
      </c>
      <c r="J41" s="109" t="str">
        <f>IF($B41=0,"",VLOOKUP($B41,Table2[],7,FALSE))</f>
        <v/>
      </c>
      <c r="K41" s="109">
        <f t="shared" si="2"/>
        <v>0</v>
      </c>
      <c r="L41" s="110"/>
    </row>
    <row r="42" spans="1:12" ht="12.75" hidden="1" customHeight="1" x14ac:dyDescent="0.2">
      <c r="A42" s="105"/>
      <c r="B42" s="180"/>
      <c r="C42" s="388" t="str">
        <f>IF(B42=0,"",VLOOKUP($B42,Table2[],2,FALSE))</f>
        <v/>
      </c>
      <c r="D42" s="388"/>
      <c r="E42" s="388"/>
      <c r="F42" s="174"/>
      <c r="G42" s="175"/>
      <c r="H42" s="181"/>
      <c r="I42" s="120" t="str">
        <f>IF($B42=0,"",VLOOKUP($B42,Table2[],5,FALSE))</f>
        <v/>
      </c>
      <c r="J42" s="109" t="str">
        <f>IF($B42=0,"",VLOOKUP($B42,Table2[],7,FALSE))</f>
        <v/>
      </c>
      <c r="K42" s="109">
        <f t="shared" si="2"/>
        <v>0</v>
      </c>
      <c r="L42" s="110"/>
    </row>
    <row r="43" spans="1:12" ht="12.75" hidden="1" customHeight="1" x14ac:dyDescent="0.2">
      <c r="A43" s="143"/>
      <c r="B43" s="180"/>
      <c r="C43" s="388" t="str">
        <f>IF(B43=0,"",VLOOKUP($B43,Table2[],2,FALSE))</f>
        <v/>
      </c>
      <c r="D43" s="388"/>
      <c r="E43" s="388"/>
      <c r="F43" s="174"/>
      <c r="G43" s="175"/>
      <c r="H43" s="176"/>
      <c r="I43" s="120" t="str">
        <f>IF($B43=0,"",VLOOKUP($B43,Table2[],5,FALSE))</f>
        <v/>
      </c>
      <c r="J43" s="109" t="str">
        <f>IF($B43=0,"",VLOOKUP($B43,Table2[],7,FALSE))</f>
        <v/>
      </c>
      <c r="K43" s="109">
        <f t="shared" si="2"/>
        <v>0</v>
      </c>
      <c r="L43" s="110"/>
    </row>
    <row r="44" spans="1:12" ht="12.75" hidden="1" customHeight="1" x14ac:dyDescent="0.2">
      <c r="A44" s="143"/>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idden="1" x14ac:dyDescent="0.2">
      <c r="B61" s="185" t="s">
        <v>430</v>
      </c>
      <c r="C61" s="388" t="s">
        <v>655</v>
      </c>
      <c r="D61" s="388"/>
      <c r="E61" s="388"/>
      <c r="F61" s="112"/>
      <c r="G61" s="177"/>
      <c r="H61" s="178"/>
      <c r="I61" s="170"/>
      <c r="J61" s="109" t="str">
        <f ca="1">IF(F5=0,E5,F5)</f>
        <v>N/A</v>
      </c>
      <c r="K61" s="109" t="str">
        <f ca="1">IF(B61=0,0,J61)</f>
        <v>N/A</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47.29</v>
      </c>
      <c r="L63" s="110"/>
    </row>
    <row r="64" spans="1:12" x14ac:dyDescent="0.2">
      <c r="B64" s="144"/>
      <c r="K64" s="127"/>
    </row>
    <row r="65" spans="2:12" x14ac:dyDescent="0.2">
      <c r="B65" s="107" t="s">
        <v>672</v>
      </c>
      <c r="K65" s="127">
        <f ca="1">K33+K63</f>
        <v>131.06</v>
      </c>
      <c r="L65" s="110"/>
    </row>
    <row r="66" spans="2:12" ht="13.5" thickBot="1" x14ac:dyDescent="0.25">
      <c r="D66" s="128" t="s">
        <v>673</v>
      </c>
      <c r="E66" s="129">
        <f ca="1">ROUND(SUM($E$33:$H$33)+$K$63,2)</f>
        <v>84.11</v>
      </c>
      <c r="F66" s="388" t="s">
        <v>674</v>
      </c>
      <c r="G66" s="388"/>
      <c r="H66" s="130">
        <f>'General Variables'!$B$11</f>
        <v>7.4999999999999997E-2</v>
      </c>
      <c r="I66" s="131" t="str">
        <f>CONCATENATE("for ",TEXT('General Variables'!$B$12,"0.0")," mo.")</f>
        <v>for 6.0 mo.</v>
      </c>
      <c r="K66" s="132">
        <f ca="1">E66*H66*'General Variables'!$B$12/12</f>
        <v>3.1541250000000001</v>
      </c>
      <c r="L66" s="133"/>
    </row>
    <row r="67" spans="2:12" ht="13.5" thickTop="1" x14ac:dyDescent="0.2">
      <c r="B67" s="107" t="s">
        <v>675</v>
      </c>
      <c r="K67" s="127">
        <f ca="1">SUM(K65:K66)</f>
        <v>134.214125</v>
      </c>
      <c r="L67" s="110"/>
    </row>
    <row r="68" spans="2:12" x14ac:dyDescent="0.2">
      <c r="K68" s="127"/>
    </row>
    <row r="69" spans="2:12" x14ac:dyDescent="0.2">
      <c r="B69" s="104" t="s">
        <v>676</v>
      </c>
      <c r="C69" s="134"/>
      <c r="D69" s="134"/>
      <c r="E69" s="134"/>
      <c r="F69" s="134"/>
      <c r="G69" s="134"/>
      <c r="H69" s="134"/>
      <c r="I69" s="134"/>
      <c r="J69" s="134"/>
      <c r="K69" s="135">
        <f>'General Variables'!B16</f>
        <v>18</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 ca="1">SUM(K67:K71)</f>
        <v>347.00412499999999</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 ca="1">IF(G4=0,0,(E66+K66+K69+K71)/G4)</f>
        <v>49.743674242424241</v>
      </c>
      <c r="L74" s="148"/>
    </row>
    <row r="75" spans="2:12" x14ac:dyDescent="0.2">
      <c r="B75" s="107" t="str">
        <f>IF(G4="","","Cost of production per "&amp;H4)</f>
        <v>Cost of production per ton</v>
      </c>
      <c r="K75" s="141">
        <f ca="1">IF(G4="","",K72/G4)</f>
        <v>105.15276515151515</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800-000000000000}">
      <formula1>$B$111:$B$208</formula1>
    </dataValidation>
    <dataValidation type="list" allowBlank="1" showInputMessage="1" showErrorMessage="1" sqref="B62" xr:uid="{00000000-0002-0000-3800-000001000000}">
      <formula1>$C$111:$C$229</formula1>
    </dataValidation>
    <dataValidation type="list" allowBlank="1" showInputMessage="1" showErrorMessage="1" sqref="K4" xr:uid="{00000000-0002-0000-3800-000002000000}">
      <formula1>$K$111:$K$113</formula1>
    </dataValidation>
    <dataValidation type="list" allowBlank="1" showInputMessage="1" showErrorMessage="1" sqref="B37:B60" xr:uid="{00000000-0002-0000-3800-000003000000}">
      <formula1>MaterialList</formula1>
    </dataValidation>
    <dataValidation type="list" allowBlank="1" showInputMessage="1" showErrorMessage="1" sqref="C70:E70" xr:uid="{00000000-0002-0000-3800-000004000000}">
      <formula1>RealEstateList</formula1>
    </dataValidation>
    <dataValidation type="list" allowBlank="1" showInputMessage="1" showErrorMessage="1" sqref="B12:B31" xr:uid="{00000000-0002-0000-3800-000005000000}">
      <formula1>OperationList</formula1>
    </dataValidation>
    <dataValidation type="list" allowBlank="1" showInputMessage="1" showErrorMessage="1" sqref="D12:D32" xr:uid="{00000000-0002-0000-3800-000006000000}">
      <formula1>#REF!</formula1>
    </dataValidation>
    <dataValidation type="list" allowBlank="1" showInputMessage="1" showErrorMessage="1" sqref="K2" xr:uid="{00000000-0002-0000-3800-000007000000}">
      <formula1>watersource</formula1>
    </dataValidation>
    <dataValidation type="list" allowBlank="1" showInputMessage="1" showErrorMessage="1" sqref="C3" xr:uid="{00000000-0002-0000-3800-000008000000}">
      <formula1>TillageSystem</formula1>
    </dataValidation>
  </dataValidations>
  <pageMargins left="0.7" right="0.7" top="0.75" bottom="0.75" header="0.3" footer="0.3"/>
  <pageSetup scale="7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9">
    <pageSetUpPr fitToPage="1"/>
  </sheetPr>
  <dimension ref="A2:M258"/>
  <sheetViews>
    <sheetView zoomScaleNormal="100" workbookViewId="0">
      <selection activeCell="B13" sqref="B13"/>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10" width="9.140625" style="103" customWidth="1"/>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55</v>
      </c>
      <c r="D3" s="391"/>
      <c r="E3" s="391"/>
      <c r="G3" s="128" t="s">
        <v>650</v>
      </c>
      <c r="H3" s="187" t="s">
        <v>754</v>
      </c>
      <c r="J3" s="128" t="s">
        <v>651</v>
      </c>
      <c r="K3" s="187"/>
    </row>
    <row r="4" spans="1:13" hidden="1" x14ac:dyDescent="0.2">
      <c r="B4" s="103" t="s">
        <v>652</v>
      </c>
      <c r="C4" s="392" t="s">
        <v>755</v>
      </c>
      <c r="D4" s="392"/>
      <c r="E4" s="392"/>
      <c r="G4" s="103">
        <f>IFERROR(VALUE(LEFT($H$3,FIND(" ",$H$3))),"")</f>
        <v>22</v>
      </c>
      <c r="H4" s="103" t="str">
        <f>IFERROR(RIGHT(H3,LEN(H3)-LEN(G4)-1),"")</f>
        <v>cwt</v>
      </c>
      <c r="J4" s="128" t="s">
        <v>653</v>
      </c>
      <c r="K4" s="188" t="s">
        <v>654</v>
      </c>
    </row>
    <row r="5" spans="1:13" ht="15.75" hidden="1" customHeight="1" x14ac:dyDescent="0.2">
      <c r="B5" s="103" t="s">
        <v>655</v>
      </c>
      <c r="C5" s="103" t="str">
        <f ca="1">MID(CELL("filename",C5),FIND("]",CELL("filename",C5))+1,255)</f>
        <v>53-Millet-Proso</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53-Millet-Proso, Panhandle, Stubble Mulch Fallow, Followed by Wheat, Two Crops in Three Years, 22 cwt Yield, Dryland</v>
      </c>
      <c r="B6" s="390"/>
      <c r="C6" s="390"/>
      <c r="D6" s="390"/>
      <c r="E6" s="390"/>
      <c r="F6" s="390"/>
      <c r="G6" s="390"/>
      <c r="H6" s="390"/>
      <c r="I6" s="390"/>
      <c r="J6" s="390"/>
      <c r="K6" s="390"/>
      <c r="L6" s="390"/>
      <c r="M6" s="390"/>
    </row>
    <row r="7" spans="1:13" ht="32.25" customHeight="1" x14ac:dyDescent="0.25">
      <c r="B7" s="393" t="str">
        <f ca="1">'General Variables'!$B$3 &amp; " Budget " &amp; REPLACE(CELL("filename",$A$1),1,FIND("]",CELL("filename",$A$1)),"") &amp;  IF($G$2="","", ", " &amp; $G$2 ) &amp; IF($C$2="","",", "&amp;$C$2) &amp; IF($C$3="","",", "&amp;$C$3) &amp; IF($C$4="","",", "&amp;$C$4) &amp; IF($H$3="","",", "&amp;$H$3 &amp; " Yield")</f>
        <v>2025 Budget 53-Millet-Proso, Panhandle, Stubble Mulch Fallow, Followed by Wheat, Two Crops in Three Years, 22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561</v>
      </c>
      <c r="C13" s="174">
        <v>1</v>
      </c>
      <c r="D13" s="174"/>
      <c r="E13" s="109">
        <f>IF(B13=0,"",IF(C13&gt;9999,"",ROUND('General Variables'!$B$4*VLOOKUP(B13,Operations!$A$2:$U$79,10,FALSE)/VLOOKUP(B13,Operations!$A$2:$U$79,9,FALSE)*C13,2)))</f>
        <v>2.38</v>
      </c>
      <c r="F13" s="109">
        <f>IF(B13=0,0,IF(C13&gt;9999,"",ROUND(IF(VLOOKUP(B13,Operations!$A$2:$U$79,12,FALSE)=0,VLOOKUP(B13,Operations!$A$2:$U$79,13,FALSE)*'General Variables'!$B$8,VLOOKUP(B13,Operations!$A$2:$U$79,12,FALSE)*'General Variables'!$B$7)/VLOOKUP(B13,Operations!$A$2:$U$79,9,FALSE)*C13,2)))</f>
        <v>2.21</v>
      </c>
      <c r="G13" s="109">
        <f>IF(B13=0,0,IF(C13&gt;9999,"",ROUND(VLOOKUP(VLOOKUP(B13,Operations!$A$2:$U$79,11,FALSE),PowerUnits[],10,FALSE)/VLOOKUP(B13,Operations!$A$2:$U$79,9,FALSE)*C13,2)))</f>
        <v>0.27</v>
      </c>
      <c r="H13" s="109">
        <f>IF(B13=0,"",IF(C13&gt;9999,"",ROUND(VLOOKUP($B13,Operations!$A$2:$U$79,15,FALSE)*C13,2)))</f>
        <v>0.79</v>
      </c>
      <c r="I13" s="109">
        <f>IF(B13=0,0,IF(C13&gt;9999,"",ROUND(VLOOKUP(VLOOKUP(B13,Operations!$A$2:$U$79,11,FALSE),PowerUnits[],16,FALSE)/VLOOKUP(B13,Operations!$A$2:$U$79,9,FALSE)*C13,2)))</f>
        <v>7.38</v>
      </c>
      <c r="J13" s="109">
        <f>IF(B13=0,"",IF(C13&gt;9999,"",ROUND(VLOOKUP($B13,Operations!$A$2:$U$79,21,FALSE)*$C13,2)))</f>
        <v>2.42</v>
      </c>
      <c r="K13" s="109">
        <f t="shared" ref="K13:K32" si="0">IF(C13&gt;9999,"",ROUND(SUM(E13:J13),2))</f>
        <v>15.45</v>
      </c>
      <c r="L13" s="110"/>
    </row>
    <row r="14" spans="1:13" x14ac:dyDescent="0.2">
      <c r="A14" s="170">
        <v>3</v>
      </c>
      <c r="B14" s="180" t="s">
        <v>537</v>
      </c>
      <c r="C14" s="174">
        <v>1</v>
      </c>
      <c r="D14" s="174"/>
      <c r="E14" s="109">
        <f>IF(B14=0,"",IF(C14&gt;9999,"",ROUND('General Variables'!$B$4*VLOOKUP(B14,Operations!$A$2:$U$79,10,FALSE)/VLOOKUP(B14,Operations!$A$2:$U$79,9,FALSE)*C14,2)))</f>
        <v>2.0499999999999998</v>
      </c>
      <c r="F14" s="109">
        <f>IF(B14=0,0,IF(C14&gt;9999,"",ROUND(IF(VLOOKUP(B14,Operations!$A$2:$U$79,12,FALSE)=0,VLOOKUP(B14,Operations!$A$2:$U$79,13,FALSE)*'General Variables'!$B$8,VLOOKUP(B14,Operations!$A$2:$U$79,12,FALSE)*'General Variables'!$B$7)/VLOOKUP(B14,Operations!$A$2:$U$79,9,FALSE)*C14,2)))</f>
        <v>1.29</v>
      </c>
      <c r="G14" s="109">
        <f>IF(B14=0,0,IF(C14&gt;9999,"",ROUND(VLOOKUP(VLOOKUP(B14,Operations!$A$2:$U$79,11,FALSE),PowerUnits[],10,FALSE)/VLOOKUP(B14,Operations!$A$2:$U$79,9,FALSE)*C14,2)))</f>
        <v>0.26</v>
      </c>
      <c r="H14" s="109">
        <f>IF(B14=0,"",IF(C14&gt;9999,"",ROUND(VLOOKUP($B14,Operations!$A$2:$U$79,15,FALSE)*C14,2)))</f>
        <v>0.92</v>
      </c>
      <c r="I14" s="109">
        <f>IF(B14=0,0,IF(C14&gt;9999,"",ROUND(VLOOKUP(VLOOKUP(B14,Operations!$A$2:$U$79,11,FALSE),PowerUnits[],16,FALSE)/VLOOKUP(B14,Operations!$A$2:$U$79,9,FALSE)*C14,2)))</f>
        <v>6.99</v>
      </c>
      <c r="J14" s="109">
        <f>IF(B14=0,"",IF(C14&gt;9999,"",ROUND(VLOOKUP($B14,Operations!$A$2:$U$79,21,FALSE)*$C14,2)))</f>
        <v>3.69</v>
      </c>
      <c r="K14" s="109">
        <f t="shared" si="0"/>
        <v>15.2</v>
      </c>
      <c r="L14" s="110"/>
    </row>
    <row r="15" spans="1:13" x14ac:dyDescent="0.2">
      <c r="A15" s="170">
        <v>4</v>
      </c>
      <c r="B15" s="213" t="s">
        <v>548</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0.33</v>
      </c>
      <c r="I15" s="215">
        <f>IF(B15=0,0,IF(C15&gt;9999,"",ROUND(VLOOKUP(VLOOKUP(B15,Operations!$A$2:$U$79,11,FALSE),PowerUnits[],16,FALSE)/VLOOKUP(B15,Operations!$A$2:$U$79,9,FALSE)*C15,2)))</f>
        <v>1.31</v>
      </c>
      <c r="J15" s="215">
        <f>IF(B15=0,"",IF(C15&gt;9999,"",ROUND(VLOOKUP($B15,Operations!$A$2:$U$79,21,FALSE)*$C15,2)))</f>
        <v>4.2</v>
      </c>
      <c r="K15" s="215">
        <f t="shared" si="0"/>
        <v>7.15</v>
      </c>
      <c r="L15" s="216"/>
    </row>
    <row r="16" spans="1:13" x14ac:dyDescent="0.2">
      <c r="A16" s="170">
        <v>5</v>
      </c>
      <c r="B16" s="180" t="s">
        <v>488</v>
      </c>
      <c r="C16" s="174">
        <v>1</v>
      </c>
      <c r="D16" s="174"/>
      <c r="E16" s="109">
        <f>IF(B16=0,"",IF(C16&gt;9999,"",ROUND('General Variables'!$B$4*VLOOKUP(B16,Operations!$A$2:$U$79,10,FALSE)/VLOOKUP(B16,Operations!$A$2:$U$79,9,FALSE)*C16,2)))</f>
        <v>2.38</v>
      </c>
      <c r="F16" s="109">
        <f>IF(B16=0,0,IF(C16&gt;9999,"",ROUND(IF(VLOOKUP(B16,Operations!$A$2:$U$79,12,FALSE)=0,VLOOKUP(B16,Operations!$A$2:$U$79,13,FALSE)*'General Variables'!$B$8,VLOOKUP(B16,Operations!$A$2:$U$79,12,FALSE)*'General Variables'!$B$7)/VLOOKUP(B16,Operations!$A$2:$U$79,9,FALSE)*C16,2)))</f>
        <v>1.28</v>
      </c>
      <c r="G16" s="109">
        <f>IF(B16=0,0,IF(C16&gt;9999,"",ROUND(VLOOKUP(VLOOKUP(B16,Operations!$A$2:$U$79,11,FALSE),PowerUnits[],10,FALSE)/VLOOKUP(B16,Operations!$A$2:$U$79,9,FALSE)*C16,2)))</f>
        <v>7.0000000000000007E-2</v>
      </c>
      <c r="H16" s="109">
        <f>IF(B16=0,"",IF(C16&gt;9999,"",ROUND(VLOOKUP($B16,Operations!$A$2:$U$79,15,FALSE)*C16,2)))</f>
        <v>7.18</v>
      </c>
      <c r="I16" s="109">
        <f>IF(B16=0,0,IF(C16&gt;9999,"",ROUND(VLOOKUP(VLOOKUP(B16,Operations!$A$2:$U$79,11,FALSE),PowerUnits[],16,FALSE)/VLOOKUP(B16,Operations!$A$2:$U$79,9,FALSE)*C16,2)))</f>
        <v>3.46</v>
      </c>
      <c r="J16" s="109">
        <f>IF(B16=0,"",IF(C16&gt;9999,"",ROUND(VLOOKUP($B16,Operations!$A$2:$U$79,21,FALSE)*$C16,2)))</f>
        <v>2.4500000000000002</v>
      </c>
      <c r="K16" s="109">
        <f t="shared" si="0"/>
        <v>16.82</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551</v>
      </c>
      <c r="C18" s="174">
        <v>1</v>
      </c>
      <c r="D18" s="174"/>
      <c r="E18" s="109">
        <f>IF(B18=0,"",IF(C18&gt;9999,"",ROUND('General Variables'!$B$4*VLOOKUP(B18,Operations!$A$2:$U$79,10,FALSE)/VLOOKUP(B18,Operations!$A$2:$U$79,9,FALSE)*C18,2)))</f>
        <v>1.02</v>
      </c>
      <c r="F18" s="109">
        <f>IF(B18=0,0,IF(C18&gt;9999,"",ROUND(IF(VLOOKUP(B18,Operations!$A$2:$U$79,12,FALSE)=0,VLOOKUP(B18,Operations!$A$2:$U$79,13,FALSE)*'General Variables'!$B$8,VLOOKUP(B18,Operations!$A$2:$U$79,12,FALSE)*'General Variables'!$B$7)/VLOOKUP(B18,Operations!$A$2:$U$79,9,FALSE)*C18,2)))</f>
        <v>0.26</v>
      </c>
      <c r="G18" s="109">
        <f>IF(B18=0,0,IF(C18&gt;9999,"",ROUND(VLOOKUP(VLOOKUP(B18,Operations!$A$2:$U$79,11,FALSE),PowerUnits[],10,FALSE)/VLOOKUP(B18,Operations!$A$2:$U$79,9,FALSE)*C18,2)))</f>
        <v>0.03</v>
      </c>
      <c r="H18" s="109">
        <f>IF(B18=0,"",IF(C18&gt;9999,"",ROUND(VLOOKUP($B18,Operations!$A$2:$U$79,15,FALSE)*C18,2)))</f>
        <v>1.1100000000000001</v>
      </c>
      <c r="I18" s="109">
        <f>IF(B18=0,0,IF(C18&gt;9999,"",ROUND(VLOOKUP(VLOOKUP(B18,Operations!$A$2:$U$79,11,FALSE),PowerUnits[],16,FALSE)/VLOOKUP(B18,Operations!$A$2:$U$79,9,FALSE)*C18,2)))</f>
        <v>1.31</v>
      </c>
      <c r="J18" s="109">
        <f>IF(B18=0,"",IF(C18&gt;9999,"",ROUND(VLOOKUP($B18,Operations!$A$2:$U$79,21,FALSE)*$C18,2)))</f>
        <v>2.02</v>
      </c>
      <c r="K18" s="109">
        <f t="shared" ref="K18" si="1">IF(C18&gt;9999,"",ROUND(SUM(E18:J18),2))</f>
        <v>5.75</v>
      </c>
      <c r="L18" s="110"/>
    </row>
    <row r="19" spans="1:12" x14ac:dyDescent="0.2">
      <c r="A19" s="170">
        <v>8</v>
      </c>
      <c r="B19" s="180" t="s">
        <v>567</v>
      </c>
      <c r="C19" s="174">
        <v>1</v>
      </c>
      <c r="D19" s="174"/>
      <c r="E19" s="109">
        <f>IF(B19=0,"",IF(C19&gt;9999,"",ROUND('General Variables'!$B$4*VLOOKUP(B19,Operations!$A$2:$U$79,10,FALSE)/VLOOKUP(B19,Operations!$A$2:$U$79,9,FALSE)*C19,2)))</f>
        <v>2.7</v>
      </c>
      <c r="F19" s="109">
        <f>IF(B19=0,0,IF(C19&gt;9999,"",ROUND(IF(VLOOKUP(B19,Operations!$A$2:$U$79,12,FALSE)=0,VLOOKUP(B19,Operations!$A$2:$U$79,13,FALSE)*'General Variables'!$B$8,VLOOKUP(B19,Operations!$A$2:$U$79,12,FALSE)*'General Variables'!$B$7)/VLOOKUP(B19,Operations!$A$2:$U$79,9,FALSE)*C19,2)))</f>
        <v>1.6</v>
      </c>
      <c r="G19" s="109">
        <f>IF(B19=0,0,IF(C19&gt;9999,"",ROUND(VLOOKUP(VLOOKUP(B19,Operations!$A$2:$U$79,11,FALSE),PowerUnits[],10,FALSE)/VLOOKUP(B19,Operations!$A$2:$U$79,9,FALSE)*C19,2)))</f>
        <v>1.02</v>
      </c>
      <c r="H19" s="109">
        <f>IF(B19=0,"",IF(C19&gt;9999,"",ROUND(VLOOKUP($B19,Operations!$A$2:$U$79,15,FALSE)*C19,2)))</f>
        <v>1.1599999999999999</v>
      </c>
      <c r="I19" s="109">
        <f>IF(B19=0,0,IF(C19&gt;9999,"",ROUND(VLOOKUP(VLOOKUP(B19,Operations!$A$2:$U$79,11,FALSE),PowerUnits[],16,FALSE)/VLOOKUP(B19,Operations!$A$2:$U$79,9,FALSE)*C19,2)))</f>
        <v>3.74</v>
      </c>
      <c r="J19" s="109">
        <f>IF(B19=0,"",IF(C19&gt;9999,"",ROUND(VLOOKUP($B19,Operations!$A$2:$U$79,21,FALSE)*$C19,2)))</f>
        <v>1.2</v>
      </c>
      <c r="K19" s="109">
        <f t="shared" si="0"/>
        <v>11.42</v>
      </c>
      <c r="L19" s="110"/>
    </row>
    <row r="20" spans="1:12" x14ac:dyDescent="0.2">
      <c r="A20" s="170" t="s">
        <v>913</v>
      </c>
      <c r="B20" s="213" t="s">
        <v>942</v>
      </c>
      <c r="C20" s="357">
        <v>75</v>
      </c>
      <c r="D20" s="214"/>
      <c r="E20" s="215">
        <f>IF(B20=0,"",IF(C20&gt;9999,"",ROUND('General Variables'!$B$4*VLOOKUP(B20,Operations!$A$2:$U$79,10,FALSE)/VLOOKUP(B20,Operations!$A$2:$U$79,9,FALSE)*C20,2))/100)</f>
        <v>1.7135</v>
      </c>
      <c r="F20" s="215">
        <f>IF(B20=0,0,IF(C20&gt;9999,"",ROUND(IF(VLOOKUP(B20,Operations!$A$2:$U$79,12,FALSE)=0,VLOOKUP(B20,Operations!$A$2:$U$79,13,FALSE)*'General Variables'!$B$8,VLOOKUP(B20,Operations!$A$2:$U$79,12,FALSE)*'General Variables'!$B$7)/VLOOKUP(B20,Operations!$A$2:$U$79,9,FALSE)*C20,2))/100)</f>
        <v>1.9306999999999999</v>
      </c>
      <c r="G20" s="215">
        <f>IF(B20=0,0,IF(C20&gt;9999,"",ROUND(VLOOKUP(VLOOKUP(B20,Operations!$A$2:$U$79,11,FALSE),PowerUnits[],10,FALSE)/VLOOKUP(B20,Operations!$A$2:$U$79,9,FALSE)*C20,2))/100)</f>
        <v>2.9774000000000003</v>
      </c>
      <c r="H20" s="215">
        <f>IF(B20=0,"",IF(C20&gt;9999,"",ROUND(VLOOKUP($B20,Operations!$A$2:$U$79,15,FALSE)*C20,2))/100)</f>
        <v>0.29899999999999999</v>
      </c>
      <c r="I20" s="215">
        <f>IF(B20=0,0,IF(C20&gt;9999,"",ROUND(VLOOKUP(VLOOKUP(B20,Operations!$A$2:$U$79,11,FALSE),PowerUnits[],16,FALSE)/VLOOKUP(B20,Operations!$A$2:$U$79,9,FALSE)*C20,2))/85)</f>
        <v>8.4356470588235286</v>
      </c>
      <c r="J20" s="215">
        <f>IF(B20=0,"",IF(C20&gt;9999,"",ROUND(VLOOKUP($B20,Operations!$A$2:$U$79,21,FALSE)*$C20,2))/85)</f>
        <v>2.7184705882352942</v>
      </c>
      <c r="K20" s="215">
        <f>IF(C20&gt;9999,"",ROUND(SUM(E20:J20),2))</f>
        <v>18.07</v>
      </c>
      <c r="L20" s="216"/>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10</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11</v>
      </c>
      <c r="B23" s="180"/>
      <c r="C23" s="174"/>
      <c r="D23" s="112"/>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idden="1" x14ac:dyDescent="0.2">
      <c r="A24" s="170">
        <v>12</v>
      </c>
      <c r="B24" s="213"/>
      <c r="C24" s="214"/>
      <c r="D24" s="218"/>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idden="1" x14ac:dyDescent="0.2">
      <c r="A25" s="170">
        <v>13</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14</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15</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16</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15.303499999999996</v>
      </c>
      <c r="F34" s="109">
        <f t="shared" ref="F34:K34" si="2">SUM(F12:F32)</f>
        <v>9.3506999999999998</v>
      </c>
      <c r="G34" s="109">
        <f t="shared" si="2"/>
        <v>4.7174000000000005</v>
      </c>
      <c r="H34" s="109">
        <f t="shared" si="2"/>
        <v>14.008999999999999</v>
      </c>
      <c r="I34" s="109">
        <f t="shared" si="2"/>
        <v>35.245647058823522</v>
      </c>
      <c r="J34" s="109">
        <f t="shared" si="2"/>
        <v>22.738470588235291</v>
      </c>
      <c r="K34" s="109">
        <f t="shared" si="2"/>
        <v>101.36000000000001</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259</v>
      </c>
      <c r="C38" s="388" t="str">
        <f>IF(B38=0,"",VLOOKUP($B38,Table2[],2,FALSE))</f>
        <v>Herbicide</v>
      </c>
      <c r="D38" s="388"/>
      <c r="E38" s="388"/>
      <c r="F38" s="174">
        <v>1</v>
      </c>
      <c r="G38" s="175">
        <v>1</v>
      </c>
      <c r="H38" s="176">
        <v>32</v>
      </c>
      <c r="I38" s="120" t="str">
        <f>IF($B38=0,"",VLOOKUP($B38,Table2[],5,FALSE))</f>
        <v>ounce</v>
      </c>
      <c r="J38" s="109">
        <f>IF($B38=0,"",VLOOKUP($B38,Table2[],7,FALSE))</f>
        <v>0.1328125</v>
      </c>
      <c r="K38" s="109">
        <f>IF(B38=0,0,ROUND(G38*H38*J38,2))</f>
        <v>4.25</v>
      </c>
      <c r="L38" s="110"/>
    </row>
    <row r="39" spans="1:12" x14ac:dyDescent="0.2">
      <c r="A39" s="105"/>
      <c r="B39" s="180" t="s">
        <v>229</v>
      </c>
      <c r="C39" s="388" t="str">
        <f>IF(B39=0,"",VLOOKUP($B39,Table2[],2,FALSE))</f>
        <v>Herbicide</v>
      </c>
      <c r="D39" s="388"/>
      <c r="E39" s="388"/>
      <c r="F39" s="174">
        <v>1</v>
      </c>
      <c r="G39" s="175">
        <v>1</v>
      </c>
      <c r="H39" s="176">
        <v>1.5</v>
      </c>
      <c r="I39" s="120" t="str">
        <f>IF($B39=0,"",VLOOKUP($B39,Table2[],5,FALSE))</f>
        <v>pint</v>
      </c>
      <c r="J39" s="109">
        <f>IF($B39=0,"",VLOOKUP($B39,Table2[],7,FALSE))</f>
        <v>2.5</v>
      </c>
      <c r="K39" s="109">
        <f t="shared" ref="K39:K56" si="3">IF(B39=0,0,ROUND(G39*H39*J39,2))</f>
        <v>3.75</v>
      </c>
      <c r="L39" s="110"/>
    </row>
    <row r="40" spans="1:12" x14ac:dyDescent="0.2">
      <c r="A40" s="105"/>
      <c r="B40" s="180" t="s">
        <v>170</v>
      </c>
      <c r="C40" s="388" t="str">
        <f>IF(B40=0,"",VLOOKUP($B40,Table2[],2,FALSE))</f>
        <v>Additive</v>
      </c>
      <c r="D40" s="388"/>
      <c r="E40" s="388"/>
      <c r="F40" s="174">
        <v>1</v>
      </c>
      <c r="G40" s="175">
        <v>1</v>
      </c>
      <c r="H40" s="176">
        <v>1.7</v>
      </c>
      <c r="I40" s="120" t="str">
        <f>IF($B40=0,"",VLOOKUP($B40,Table2[],5,FALSE))</f>
        <v>pound</v>
      </c>
      <c r="J40" s="109">
        <f>IF($B40=0,"",VLOOKUP($B40,Table2[],7,FALSE))</f>
        <v>0.4</v>
      </c>
      <c r="K40" s="109">
        <f t="shared" si="3"/>
        <v>0.68</v>
      </c>
      <c r="L40" s="110"/>
    </row>
    <row r="41" spans="1:12" x14ac:dyDescent="0.2">
      <c r="A41" s="105"/>
      <c r="B41" s="213" t="s">
        <v>205</v>
      </c>
      <c r="C41" s="387" t="str">
        <f>IF(B41=0,"",VLOOKUP($B41,Table2[],2,FALSE))</f>
        <v>Fertilizer</v>
      </c>
      <c r="D41" s="387"/>
      <c r="E41" s="387"/>
      <c r="F41" s="214">
        <v>4</v>
      </c>
      <c r="G41" s="221">
        <v>1</v>
      </c>
      <c r="H41" s="222">
        <v>45</v>
      </c>
      <c r="I41" s="223" t="str">
        <f>IF($B41=0,"",VLOOKUP($B41,Table2[],5,FALSE))</f>
        <v>lbs N</v>
      </c>
      <c r="J41" s="215">
        <f>IF($B41=0,"",VLOOKUP($B41,Table2[],7,FALSE))</f>
        <v>0.5</v>
      </c>
      <c r="K41" s="215">
        <f t="shared" si="3"/>
        <v>22.5</v>
      </c>
      <c r="L41" s="216"/>
    </row>
    <row r="42" spans="1:12" x14ac:dyDescent="0.2">
      <c r="A42" s="105"/>
      <c r="B42" s="180" t="s">
        <v>334</v>
      </c>
      <c r="C42" s="388" t="str">
        <f>IF(B42=0,"",VLOOKUP($B42,Table2[],2,FALSE))</f>
        <v>Seed</v>
      </c>
      <c r="D42" s="388"/>
      <c r="E42" s="388"/>
      <c r="F42" s="174">
        <v>5</v>
      </c>
      <c r="G42" s="175">
        <v>1</v>
      </c>
      <c r="H42" s="176">
        <v>15</v>
      </c>
      <c r="I42" s="120" t="str">
        <f>IF($B42=0,"",VLOOKUP($B42,Table2[],5,FALSE))</f>
        <v>pound</v>
      </c>
      <c r="J42" s="109">
        <f>IF($B42=0,"",VLOOKUP($B42,Table2[],7,FALSE))</f>
        <v>0.55000000000000004</v>
      </c>
      <c r="K42" s="109">
        <f t="shared" si="3"/>
        <v>8.25</v>
      </c>
      <c r="L42" s="110"/>
    </row>
    <row r="43" spans="1:12" x14ac:dyDescent="0.2">
      <c r="A43" s="105"/>
      <c r="B43" s="180" t="s">
        <v>271</v>
      </c>
      <c r="C43" s="388" t="str">
        <f>IF(B43=0,"",VLOOKUP($B43,Table2[],2,FALSE))</f>
        <v>Herbicide</v>
      </c>
      <c r="D43" s="388"/>
      <c r="E43" s="388"/>
      <c r="F43" s="174">
        <v>6</v>
      </c>
      <c r="G43" s="175">
        <v>1</v>
      </c>
      <c r="H43" s="176">
        <v>1</v>
      </c>
      <c r="I43" s="120" t="str">
        <f>IF($B43=0,"",VLOOKUP($B43,Table2[],5,FALSE))</f>
        <v>pint</v>
      </c>
      <c r="J43" s="109">
        <f>IF($B43=0,"",VLOOKUP($B43,Table2[],7,FALSE))</f>
        <v>8.75</v>
      </c>
      <c r="K43" s="109">
        <f t="shared" si="3"/>
        <v>8.75</v>
      </c>
      <c r="L43" s="110"/>
    </row>
    <row r="44" spans="1:12" x14ac:dyDescent="0.2">
      <c r="A44" s="105"/>
      <c r="B44" s="180" t="s">
        <v>259</v>
      </c>
      <c r="C44" s="170"/>
      <c r="D44" s="170" t="s">
        <v>933</v>
      </c>
      <c r="E44" s="170"/>
      <c r="F44" s="174">
        <v>7</v>
      </c>
      <c r="G44" s="175">
        <v>1</v>
      </c>
      <c r="H44" s="176">
        <v>32</v>
      </c>
      <c r="I44" s="120" t="s">
        <v>174</v>
      </c>
      <c r="J44" s="109">
        <f>IF($B44=0,"",VLOOKUP($B44,Table2[],7,FALSE))</f>
        <v>0.1328125</v>
      </c>
      <c r="K44" s="109">
        <f t="shared" ref="K44" si="4">IF(B44=0,0,ROUND(G44*H44*J44,2))</f>
        <v>4.25</v>
      </c>
      <c r="L44" s="110"/>
    </row>
    <row r="45" spans="1:12" x14ac:dyDescent="0.2">
      <c r="A45" s="143"/>
      <c r="B45" s="213" t="s">
        <v>196</v>
      </c>
      <c r="C45" s="387" t="str">
        <f>IF(B45=0,"",VLOOKUP($B45,Table2[],2,FALSE))</f>
        <v>Custom</v>
      </c>
      <c r="D45" s="387"/>
      <c r="E45" s="387"/>
      <c r="F45" s="214">
        <v>10</v>
      </c>
      <c r="G45" s="221">
        <v>1</v>
      </c>
      <c r="H45" s="222">
        <f>$G$4</f>
        <v>22</v>
      </c>
      <c r="I45" s="223" t="str">
        <f>IF($B45=0,"",VLOOKUP($B45,Table2[],5,FALSE))</f>
        <v>cwt</v>
      </c>
      <c r="J45" s="215">
        <f>IF($B45=0,"",VLOOKUP($B45,Table2[],7,FALSE))</f>
        <v>0.28000000000000003</v>
      </c>
      <c r="K45" s="215">
        <f t="shared" si="3"/>
        <v>6.16</v>
      </c>
      <c r="L45" s="216"/>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3"/>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3"/>
        <v>0</v>
      </c>
      <c r="L47" s="110"/>
    </row>
    <row r="48" spans="1:12" ht="12.75" hidden="1" customHeight="1" x14ac:dyDescent="0.2">
      <c r="A48" s="143"/>
      <c r="B48" s="180"/>
      <c r="C48" s="388" t="str">
        <f>IF(B48=0,"",VLOOKUP($B48,Table2[],2,FALSE))</f>
        <v/>
      </c>
      <c r="D48" s="388"/>
      <c r="E48" s="388"/>
      <c r="F48" s="174"/>
      <c r="G48" s="175"/>
      <c r="H48" s="176"/>
      <c r="I48" s="120" t="str">
        <f>IF($B48=0,"",VLOOKUP($B48,Table2[],5,FALSE))</f>
        <v/>
      </c>
      <c r="J48" s="109" t="str">
        <f>IF($B48=0,"",VLOOKUP($B48,Table2[],7,FALSE))</f>
        <v/>
      </c>
      <c r="K48" s="109">
        <f t="shared" si="3"/>
        <v>0</v>
      </c>
      <c r="L48" s="110"/>
    </row>
    <row r="49" spans="1:12" ht="12.75" hidden="1" customHeight="1" x14ac:dyDescent="0.2">
      <c r="A49" s="105"/>
      <c r="B49" s="213"/>
      <c r="C49" s="387" t="str">
        <f>IF(B49=0,"",VLOOKUP($B49,Table2[],2,FALSE))</f>
        <v/>
      </c>
      <c r="D49" s="387"/>
      <c r="E49" s="387"/>
      <c r="F49" s="214"/>
      <c r="G49" s="221"/>
      <c r="H49" s="222"/>
      <c r="I49" s="223" t="str">
        <f>IF($B49=0,"",VLOOKUP($B49,Table2[],5,FALSE))</f>
        <v/>
      </c>
      <c r="J49" s="215" t="str">
        <f>IF($B49=0,"",VLOOKUP($B49,Table2[],7,FALSE))</f>
        <v/>
      </c>
      <c r="K49" s="215">
        <f t="shared" si="3"/>
        <v>0</v>
      </c>
      <c r="L49" s="216"/>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3"/>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3"/>
        <v>0</v>
      </c>
      <c r="L51" s="110"/>
    </row>
    <row r="52" spans="1:12" ht="12.75" hidden="1" customHeight="1" x14ac:dyDescent="0.2">
      <c r="B52" s="111"/>
      <c r="C52" s="388" t="str">
        <f>IF(B52=0,"",VLOOKUP($B52,Table2[],2,FALSE))</f>
        <v/>
      </c>
      <c r="D52" s="388"/>
      <c r="E52" s="388"/>
      <c r="F52" s="112"/>
      <c r="G52" s="175"/>
      <c r="H52" s="178"/>
      <c r="I52" s="120" t="str">
        <f>IF($B52=0,"",VLOOKUP($B52,Table2[],5,FALSE))</f>
        <v/>
      </c>
      <c r="J52" s="109" t="str">
        <f>IF($B52=0,"",VLOOKUP($B52,Table2[],7,FALSE))</f>
        <v/>
      </c>
      <c r="K52" s="109">
        <f t="shared" si="3"/>
        <v>0</v>
      </c>
      <c r="L52" s="110"/>
    </row>
    <row r="53" spans="1: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3"/>
        <v>0</v>
      </c>
      <c r="L53" s="216"/>
    </row>
    <row r="54" spans="1: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3"/>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3"/>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3"/>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9</v>
      </c>
      <c r="K62" s="109">
        <f ca="1">IF(B62=0,0,J62)</f>
        <v>9</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27">
        <f ca="1">SUM(K38:K62)</f>
        <v>67.59</v>
      </c>
      <c r="L64" s="110"/>
    </row>
    <row r="65" spans="2:12" x14ac:dyDescent="0.2">
      <c r="B65" s="358" t="s">
        <v>909</v>
      </c>
      <c r="K65" s="127"/>
    </row>
    <row r="66" spans="2:12" x14ac:dyDescent="0.2">
      <c r="B66" s="358"/>
      <c r="K66" s="127"/>
    </row>
    <row r="67" spans="2:12" x14ac:dyDescent="0.2">
      <c r="B67" s="107" t="s">
        <v>672</v>
      </c>
      <c r="K67" s="127">
        <f ca="1">K34+K64</f>
        <v>168.95000000000002</v>
      </c>
      <c r="L67" s="110"/>
    </row>
    <row r="68" spans="2:12" ht="13.5" thickBot="1" x14ac:dyDescent="0.25">
      <c r="D68" s="128" t="s">
        <v>673</v>
      </c>
      <c r="E68" s="129">
        <f ca="1">ROUND(SUM($E$34:$H$34)+$K$64,2)</f>
        <v>110.97</v>
      </c>
      <c r="F68" s="388" t="s">
        <v>674</v>
      </c>
      <c r="G68" s="388"/>
      <c r="H68" s="130">
        <f>'General Variables'!$B$11</f>
        <v>7.4999999999999997E-2</v>
      </c>
      <c r="I68" s="131" t="str">
        <f>CONCATENATE("for ",TEXT('General Variables'!$B$12,"0.0")," mo.")</f>
        <v>for 6.0 mo.</v>
      </c>
      <c r="K68" s="132">
        <f ca="1">E68*H68*'General Variables'!$B$12/12</f>
        <v>4.1613749999999996</v>
      </c>
      <c r="L68" s="133"/>
    </row>
    <row r="69" spans="2:12" ht="13.5" thickTop="1" x14ac:dyDescent="0.2">
      <c r="B69" s="107" t="s">
        <v>675</v>
      </c>
      <c r="K69" s="127">
        <f ca="1">SUM(K67:K68)</f>
        <v>173.11137500000001</v>
      </c>
      <c r="L69" s="110"/>
    </row>
    <row r="70" spans="2:12" x14ac:dyDescent="0.2">
      <c r="K70" s="127"/>
    </row>
    <row r="71" spans="2:12" x14ac:dyDescent="0.2">
      <c r="B71" s="104" t="s">
        <v>676</v>
      </c>
      <c r="C71" s="134"/>
      <c r="D71" s="134"/>
      <c r="E71" s="134"/>
      <c r="F71" s="134"/>
      <c r="G71" s="134"/>
      <c r="H71" s="134"/>
      <c r="I71" s="134"/>
      <c r="J71" s="134"/>
      <c r="K71" s="135">
        <f>'General Variables'!B15</f>
        <v>27</v>
      </c>
      <c r="L71" s="110"/>
    </row>
    <row r="72" spans="2:12" x14ac:dyDescent="0.2">
      <c r="B72" s="103" t="s">
        <v>687</v>
      </c>
      <c r="C72" s="398" t="s">
        <v>32</v>
      </c>
      <c r="D72" s="399"/>
      <c r="E72" s="400"/>
      <c r="F72" s="136">
        <f>IF(C72=0,0,VLOOKUP(C72,RETable,2,FALSE))</f>
        <v>920</v>
      </c>
      <c r="G72" s="388" t="s">
        <v>678</v>
      </c>
      <c r="H72" s="388"/>
      <c r="I72" s="130">
        <f>'General Variables'!$B$10</f>
        <v>0.03</v>
      </c>
      <c r="K72" s="137">
        <f>ROUND(F72*I72,2)</f>
        <v>27.6</v>
      </c>
      <c r="L72" s="110"/>
    </row>
    <row r="73" spans="2:12" ht="13.5" thickBot="1" x14ac:dyDescent="0.25">
      <c r="B73" s="103" t="s">
        <v>679</v>
      </c>
      <c r="F73" s="138">
        <f>IF(C72=0,0,VLOOKUP(C72,RETable,2,FALSE))</f>
        <v>920</v>
      </c>
      <c r="G73" s="397" t="s">
        <v>678</v>
      </c>
      <c r="H73" s="397"/>
      <c r="I73" s="139">
        <f>'General Variables'!$B$13</f>
        <v>1.2999999999999999E-2</v>
      </c>
      <c r="J73" s="105"/>
      <c r="K73" s="140">
        <f>ROUND(F73*I73,2)</f>
        <v>11.96</v>
      </c>
      <c r="L73" s="133"/>
    </row>
    <row r="74" spans="2:12" ht="13.5" thickTop="1" x14ac:dyDescent="0.2">
      <c r="B74" s="107" t="s">
        <v>680</v>
      </c>
      <c r="K74" s="127">
        <f ca="1">SUM(K69:K73)</f>
        <v>239.67137500000001</v>
      </c>
      <c r="L74" s="110"/>
    </row>
    <row r="75" spans="2:12" x14ac:dyDescent="0.2">
      <c r="K75" s="128"/>
    </row>
    <row r="76" spans="2:12" x14ac:dyDescent="0.2">
      <c r="B76" s="104" t="str">
        <f>IF(G4="","","Cash Cost per "&amp;H4)</f>
        <v>Cash Cost per cwt</v>
      </c>
      <c r="C76" s="261" t="s">
        <v>688</v>
      </c>
      <c r="D76" s="105"/>
      <c r="E76" s="105"/>
      <c r="F76" s="105"/>
      <c r="G76" s="105"/>
      <c r="H76" s="105"/>
      <c r="I76" s="105"/>
      <c r="J76" s="105"/>
      <c r="K76" s="142">
        <f ca="1">IF(G4=0,0,(E68+K68+K71+K73)/G4)</f>
        <v>7.0041534090909092</v>
      </c>
      <c r="L76" s="148"/>
    </row>
    <row r="77" spans="2:12" x14ac:dyDescent="0.2">
      <c r="B77" s="107" t="str">
        <f>IF(G4="","","Cost of production per "&amp;H4)</f>
        <v>Cost of production per cwt</v>
      </c>
      <c r="K77" s="141">
        <f ca="1">IF(G4="","",K74/G4)</f>
        <v>10.89415340909091</v>
      </c>
      <c r="L77" s="110"/>
    </row>
    <row r="78" spans="2:12" x14ac:dyDescent="0.2">
      <c r="D78" s="103" t="s">
        <v>900</v>
      </c>
      <c r="G78" s="105"/>
      <c r="H78" s="105"/>
      <c r="I78" s="105"/>
      <c r="J78" s="105"/>
      <c r="K78" s="355" t="s">
        <v>901</v>
      </c>
      <c r="L78"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03" t="s">
        <v>681</v>
      </c>
    </row>
    <row r="115" spans="2:11" x14ac:dyDescent="0.2">
      <c r="B115" s="105"/>
      <c r="C115" s="105"/>
      <c r="D115" s="105"/>
      <c r="H115" s="103" t="e">
        <f>'General Variables'!#REF!</f>
        <v>#REF!</v>
      </c>
      <c r="K115" s="103"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7">
    <mergeCell ref="C72:E72"/>
    <mergeCell ref="G72:H72"/>
    <mergeCell ref="G73:H73"/>
    <mergeCell ref="C50:E50"/>
    <mergeCell ref="C51:E51"/>
    <mergeCell ref="C52:E52"/>
    <mergeCell ref="C53:E53"/>
    <mergeCell ref="C54:E54"/>
    <mergeCell ref="C55:E55"/>
    <mergeCell ref="C56:E56"/>
    <mergeCell ref="C62:E62"/>
    <mergeCell ref="F68:G68"/>
    <mergeCell ref="C57:E57"/>
    <mergeCell ref="C58:E58"/>
    <mergeCell ref="C59:E59"/>
    <mergeCell ref="C61:E61"/>
    <mergeCell ref="G10:H10"/>
    <mergeCell ref="C43:E43"/>
    <mergeCell ref="K10:K11"/>
    <mergeCell ref="L10:L11"/>
    <mergeCell ref="F36:F37"/>
    <mergeCell ref="G36:G37"/>
    <mergeCell ref="H36:I36"/>
    <mergeCell ref="J36:J37"/>
    <mergeCell ref="L36:L37"/>
    <mergeCell ref="I10:J10"/>
    <mergeCell ref="C38:E38"/>
    <mergeCell ref="C39:E39"/>
    <mergeCell ref="C40:E40"/>
    <mergeCell ref="C41:E41"/>
    <mergeCell ref="C42:E42"/>
    <mergeCell ref="C60:E60"/>
    <mergeCell ref="K2:L2"/>
    <mergeCell ref="G2:H2"/>
    <mergeCell ref="C4:E4"/>
    <mergeCell ref="B7:L7"/>
    <mergeCell ref="C3:E3"/>
    <mergeCell ref="A6:M6"/>
    <mergeCell ref="B10:B11"/>
    <mergeCell ref="C10:C11"/>
    <mergeCell ref="E10:E11"/>
    <mergeCell ref="F10:F11"/>
    <mergeCell ref="C49:E49"/>
    <mergeCell ref="C45:E45"/>
    <mergeCell ref="C46:E46"/>
    <mergeCell ref="C47:E47"/>
    <mergeCell ref="C48:E48"/>
  </mergeCells>
  <dataValidations count="9">
    <dataValidation type="list" allowBlank="1" showInputMessage="1" showErrorMessage="1" sqref="B33" xr:uid="{00000000-0002-0000-3900-000000000000}">
      <formula1>$B$113:$B$210</formula1>
    </dataValidation>
    <dataValidation type="list" allowBlank="1" showInputMessage="1" showErrorMessage="1" sqref="B63" xr:uid="{00000000-0002-0000-3900-000001000000}">
      <formula1>$C$113:$C$231</formula1>
    </dataValidation>
    <dataValidation type="list" allowBlank="1" showInputMessage="1" showErrorMessage="1" sqref="K4" xr:uid="{00000000-0002-0000-3900-000002000000}">
      <formula1>$K$113:$K$115</formula1>
    </dataValidation>
    <dataValidation type="list" allowBlank="1" showInputMessage="1" showErrorMessage="1" sqref="C72:E72" xr:uid="{00000000-0002-0000-3900-000004000000}">
      <formula1>RealEstateList</formula1>
    </dataValidation>
    <dataValidation type="list" allowBlank="1" showInputMessage="1" showErrorMessage="1" sqref="B12:B32" xr:uid="{00000000-0002-0000-3900-000005000000}">
      <formula1>OperationList</formula1>
    </dataValidation>
    <dataValidation type="list" allowBlank="1" showInputMessage="1" showErrorMessage="1" sqref="D12:D33" xr:uid="{00000000-0002-0000-3900-000006000000}">
      <formula1>#REF!</formula1>
    </dataValidation>
    <dataValidation type="list" allowBlank="1" showInputMessage="1" showErrorMessage="1" sqref="K2" xr:uid="{00000000-0002-0000-3900-000007000000}">
      <formula1>watersource</formula1>
    </dataValidation>
    <dataValidation type="list" allowBlank="1" showInputMessage="1" showErrorMessage="1" sqref="C3" xr:uid="{00000000-0002-0000-3900-000008000000}">
      <formula1>TillageSystem</formula1>
    </dataValidation>
    <dataValidation type="list" allowBlank="1" showInputMessage="1" showErrorMessage="1" sqref="B38:B61" xr:uid="{00000000-0002-0000-3900-000003000000}">
      <formula1>MaterialList</formula1>
    </dataValidation>
  </dataValidations>
  <pageMargins left="0.7" right="0.7" top="0.75" bottom="0.75" header="0.3" footer="0.3"/>
  <pageSetup scale="7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F95"/>
  <sheetViews>
    <sheetView zoomScale="142" zoomScaleNormal="142" workbookViewId="0">
      <selection activeCell="E45" sqref="E45"/>
    </sheetView>
  </sheetViews>
  <sheetFormatPr defaultRowHeight="12.75" x14ac:dyDescent="0.2"/>
  <cols>
    <col min="1" max="1" width="20" customWidth="1"/>
    <col min="2" max="2" width="32.42578125" customWidth="1"/>
    <col min="3" max="3" width="15.85546875" customWidth="1"/>
    <col min="4" max="4" width="12.5703125" customWidth="1"/>
    <col min="5" max="5" width="11.28515625" customWidth="1"/>
    <col min="6" max="6" width="14" customWidth="1"/>
  </cols>
  <sheetData>
    <row r="1" spans="1:6" x14ac:dyDescent="0.2">
      <c r="A1" s="240" t="s">
        <v>568</v>
      </c>
    </row>
    <row r="2" spans="1:6" ht="18.75" x14ac:dyDescent="0.3">
      <c r="A2" s="239" t="s">
        <v>969</v>
      </c>
      <c r="B2" s="228"/>
    </row>
    <row r="3" spans="1:6" ht="19.5" thickBot="1" x14ac:dyDescent="0.35">
      <c r="A3" s="239" t="s">
        <v>904</v>
      </c>
      <c r="B3" s="228"/>
    </row>
    <row r="4" spans="1:6" ht="26.25" thickBot="1" x14ac:dyDescent="0.25">
      <c r="A4" s="319" t="s">
        <v>569</v>
      </c>
      <c r="B4" s="229" t="s">
        <v>570</v>
      </c>
      <c r="C4" s="320" t="s">
        <v>571</v>
      </c>
      <c r="D4" s="320" t="s">
        <v>572</v>
      </c>
      <c r="E4" s="229" t="s">
        <v>573</v>
      </c>
      <c r="F4" s="230" t="s">
        <v>574</v>
      </c>
    </row>
    <row r="5" spans="1:6" x14ac:dyDescent="0.2">
      <c r="A5" s="20" t="s">
        <v>575</v>
      </c>
      <c r="B5" s="231" t="str">
        <f ca="1">INDIRECT(CONCATENATE("'",$A5,"'!")&amp;"K2")</f>
        <v>Dryland</v>
      </c>
      <c r="C5" s="231" t="str">
        <f t="shared" ref="C5:C68" ca="1" si="0">IF(INDIRECT(CONCATENATE("'",$A5,"'!")&amp;"C2")=0,"State",INDIRECT(CONCATENATE("'",$A5,"'!")&amp;"C2"))</f>
        <v>State</v>
      </c>
      <c r="D5" s="231" t="str">
        <f t="shared" ref="D5:D68" ca="1" si="1">IF(INDIRECT(CONCATENATE("'",$A5,"'!")&amp;"H3")=0,"N/A",INDIRECT(CONCATENATE("'",$A5,"'!")&amp;"H3"))</f>
        <v>N/A</v>
      </c>
      <c r="E5" s="233" t="s">
        <v>576</v>
      </c>
      <c r="F5" s="20"/>
    </row>
    <row r="6" spans="1:6" x14ac:dyDescent="0.2">
      <c r="A6" s="20" t="s">
        <v>577</v>
      </c>
      <c r="B6" s="231" t="str">
        <f t="shared" ref="B6:B55" ca="1" si="2">INDIRECT(CONCATENATE("'",A6,"'!")&amp;"K2")</f>
        <v>Dryland</v>
      </c>
      <c r="C6" s="231" t="str">
        <f t="shared" ca="1" si="0"/>
        <v>State</v>
      </c>
      <c r="D6" s="231" t="str">
        <f t="shared" ca="1" si="1"/>
        <v>N/A</v>
      </c>
      <c r="E6" s="233" t="s">
        <v>576</v>
      </c>
      <c r="F6" s="20"/>
    </row>
    <row r="7" spans="1:6" x14ac:dyDescent="0.2">
      <c r="A7" s="20" t="s">
        <v>578</v>
      </c>
      <c r="B7" s="231" t="str">
        <f t="shared" ca="1" si="2"/>
        <v>Dryland</v>
      </c>
      <c r="C7" s="231" t="str">
        <f t="shared" ca="1" si="0"/>
        <v>State</v>
      </c>
      <c r="D7" s="231" t="str">
        <f t="shared" ca="1" si="1"/>
        <v>N/A</v>
      </c>
      <c r="E7" s="233" t="s">
        <v>576</v>
      </c>
      <c r="F7" s="20"/>
    </row>
    <row r="8" spans="1:6" x14ac:dyDescent="0.2">
      <c r="A8" s="250" t="s">
        <v>579</v>
      </c>
      <c r="B8" s="251" t="str">
        <f t="shared" ca="1" si="2"/>
        <v>Dryland</v>
      </c>
      <c r="C8" s="251" t="str">
        <f t="shared" ca="1" si="0"/>
        <v>State</v>
      </c>
      <c r="D8" s="251" t="str">
        <f t="shared" ca="1" si="1"/>
        <v>2.8 ton</v>
      </c>
      <c r="E8" s="252" t="s">
        <v>576</v>
      </c>
      <c r="F8" s="250"/>
    </row>
    <row r="9" spans="1:6" x14ac:dyDescent="0.2">
      <c r="A9" s="20" t="s">
        <v>580</v>
      </c>
      <c r="B9" s="231" t="str">
        <f t="shared" ca="1" si="2"/>
        <v>Dryland</v>
      </c>
      <c r="C9" s="231" t="str">
        <f t="shared" ca="1" si="0"/>
        <v>State</v>
      </c>
      <c r="D9" s="231" t="str">
        <f t="shared" ca="1" si="1"/>
        <v>2.8 ton</v>
      </c>
      <c r="E9" s="233" t="s">
        <v>576</v>
      </c>
      <c r="F9" s="20"/>
    </row>
    <row r="10" spans="1:6" x14ac:dyDescent="0.2">
      <c r="A10" s="20" t="s">
        <v>581</v>
      </c>
      <c r="B10" s="231" t="str">
        <f t="shared" ca="1" si="2"/>
        <v>Pivot Irrigated Diesel</v>
      </c>
      <c r="C10" s="231" t="str">
        <f t="shared" ca="1" si="0"/>
        <v>State</v>
      </c>
      <c r="D10" s="231" t="str">
        <f t="shared" ca="1" si="1"/>
        <v>3.8 ton</v>
      </c>
      <c r="E10" s="233" t="s">
        <v>576</v>
      </c>
      <c r="F10" s="20"/>
    </row>
    <row r="11" spans="1:6" x14ac:dyDescent="0.2">
      <c r="A11" s="20" t="s">
        <v>582</v>
      </c>
      <c r="B11" s="231" t="str">
        <f t="shared" ca="1" si="2"/>
        <v>Pivot Irrigated Diesel</v>
      </c>
      <c r="C11" s="231" t="str">
        <f t="shared" ca="1" si="0"/>
        <v>State</v>
      </c>
      <c r="D11" s="231" t="str">
        <f t="shared" ca="1" si="1"/>
        <v>4 ton</v>
      </c>
      <c r="E11" s="233" t="s">
        <v>576</v>
      </c>
      <c r="F11" s="20"/>
    </row>
    <row r="12" spans="1:6" x14ac:dyDescent="0.2">
      <c r="A12" s="250" t="s">
        <v>583</v>
      </c>
      <c r="B12" s="251" t="str">
        <f t="shared" ca="1" si="2"/>
        <v>Gravity Irrigated, fed by canal</v>
      </c>
      <c r="C12" s="251" t="str">
        <f t="shared" ca="1" si="0"/>
        <v>Panhandle</v>
      </c>
      <c r="D12" s="251" t="str">
        <f t="shared" ca="1" si="1"/>
        <v>2.5 ton</v>
      </c>
      <c r="E12" s="252" t="s">
        <v>576</v>
      </c>
      <c r="F12" s="250"/>
    </row>
    <row r="13" spans="1:6" x14ac:dyDescent="0.2">
      <c r="A13" s="20" t="s">
        <v>584</v>
      </c>
      <c r="B13" s="20" t="str">
        <f t="shared" ca="1" si="2"/>
        <v>Dryland</v>
      </c>
      <c r="C13" s="20" t="str">
        <f t="shared" ca="1" si="0"/>
        <v>State</v>
      </c>
      <c r="D13" s="20" t="str">
        <f t="shared" ca="1" si="1"/>
        <v>4.4 ton</v>
      </c>
      <c r="E13" s="233" t="s">
        <v>576</v>
      </c>
      <c r="F13" s="20"/>
    </row>
    <row r="14" spans="1:6" x14ac:dyDescent="0.2">
      <c r="A14" s="231" t="s">
        <v>585</v>
      </c>
      <c r="B14" s="231" t="str">
        <f t="shared" ca="1" si="2"/>
        <v>Pivot Irrigated Electric</v>
      </c>
      <c r="C14" s="231" t="str">
        <f t="shared" ca="1" si="0"/>
        <v>State</v>
      </c>
      <c r="D14" s="231" t="str">
        <f t="shared" ca="1" si="1"/>
        <v>6.7 ton</v>
      </c>
      <c r="E14" s="232" t="s">
        <v>576</v>
      </c>
      <c r="F14" s="231"/>
    </row>
    <row r="15" spans="1:6" x14ac:dyDescent="0.2">
      <c r="A15" s="20" t="s">
        <v>586</v>
      </c>
      <c r="B15" s="231" t="str">
        <f t="shared" ca="1" si="2"/>
        <v>Pivot Irrigated Electric</v>
      </c>
      <c r="C15" s="231" t="str">
        <f t="shared" ca="1" si="0"/>
        <v>State</v>
      </c>
      <c r="D15" s="231" t="str">
        <f t="shared" ca="1" si="1"/>
        <v>6.8 ton</v>
      </c>
      <c r="E15" s="233" t="s">
        <v>576</v>
      </c>
      <c r="F15" s="20"/>
    </row>
    <row r="16" spans="1:6" x14ac:dyDescent="0.2">
      <c r="A16" s="250" t="s">
        <v>587</v>
      </c>
      <c r="B16" s="251" t="str">
        <f t="shared" ca="1" si="2"/>
        <v>Pivot Irrigated Electric</v>
      </c>
      <c r="C16" s="251" t="str">
        <f t="shared" ca="1" si="0"/>
        <v>Panhandle</v>
      </c>
      <c r="D16" s="251" t="str">
        <f t="shared" ca="1" si="1"/>
        <v>6.6 ton</v>
      </c>
      <c r="E16" s="252" t="s">
        <v>576</v>
      </c>
      <c r="F16" s="250"/>
    </row>
    <row r="17" spans="1:6" x14ac:dyDescent="0.2">
      <c r="A17" s="20" t="s">
        <v>588</v>
      </c>
      <c r="B17" s="231" t="str">
        <f t="shared" ca="1" si="2"/>
        <v>Gravity Irrigated, fed by canal</v>
      </c>
      <c r="C17" s="231" t="str">
        <f t="shared" ca="1" si="0"/>
        <v>State</v>
      </c>
      <c r="D17" s="231" t="str">
        <f t="shared" ca="1" si="1"/>
        <v>6.6 ton</v>
      </c>
      <c r="E17" s="233" t="s">
        <v>576</v>
      </c>
      <c r="F17" s="20"/>
    </row>
    <row r="18" spans="1:6" x14ac:dyDescent="0.2">
      <c r="A18" s="20" t="s">
        <v>589</v>
      </c>
      <c r="B18" s="231" t="str">
        <f t="shared" ca="1" si="2"/>
        <v>Gravity Irrigated, fed by canal</v>
      </c>
      <c r="C18" s="231" t="str">
        <f t="shared" ca="1" si="0"/>
        <v>State</v>
      </c>
      <c r="D18" s="231" t="str">
        <f t="shared" ca="1" si="1"/>
        <v>6.8 ton</v>
      </c>
      <c r="E18" s="233" t="s">
        <v>576</v>
      </c>
      <c r="F18" s="20"/>
    </row>
    <row r="19" spans="1:6" x14ac:dyDescent="0.2">
      <c r="A19" s="20" t="s">
        <v>590</v>
      </c>
      <c r="B19" s="231" t="str">
        <f t="shared" ca="1" si="2"/>
        <v>Dryland</v>
      </c>
      <c r="C19" s="231" t="str">
        <f t="shared" ca="1" si="0"/>
        <v>State</v>
      </c>
      <c r="D19" s="231" t="str">
        <f t="shared" ca="1" si="1"/>
        <v>100 bushel</v>
      </c>
      <c r="E19" s="234">
        <v>6</v>
      </c>
      <c r="F19" s="234"/>
    </row>
    <row r="20" spans="1:6" x14ac:dyDescent="0.2">
      <c r="A20" s="250" t="s">
        <v>591</v>
      </c>
      <c r="B20" s="251" t="str">
        <f t="shared" ca="1" si="2"/>
        <v>Dryland</v>
      </c>
      <c r="C20" s="251" t="str">
        <f t="shared" ca="1" si="0"/>
        <v>State</v>
      </c>
      <c r="D20" s="251" t="str">
        <f t="shared" ca="1" si="1"/>
        <v>110 bushel</v>
      </c>
      <c r="E20" s="253">
        <v>6</v>
      </c>
      <c r="F20" s="234"/>
    </row>
    <row r="21" spans="1:6" x14ac:dyDescent="0.2">
      <c r="A21" s="20" t="s">
        <v>592</v>
      </c>
      <c r="B21" s="231" t="str">
        <f t="shared" ca="1" si="2"/>
        <v>Dryland</v>
      </c>
      <c r="C21" s="231" t="str">
        <f t="shared" ca="1" si="0"/>
        <v>Eastern Nebraska</v>
      </c>
      <c r="D21" s="231" t="str">
        <f t="shared" ca="1" si="1"/>
        <v>160 bushel</v>
      </c>
      <c r="E21" s="234">
        <v>8</v>
      </c>
      <c r="F21" s="234"/>
    </row>
    <row r="22" spans="1:6" x14ac:dyDescent="0.2">
      <c r="A22" s="20" t="s">
        <v>593</v>
      </c>
      <c r="B22" s="231" t="str">
        <f t="shared" ca="1" si="2"/>
        <v>Dryland</v>
      </c>
      <c r="C22" s="231" t="str">
        <f t="shared" ca="1" si="0"/>
        <v>Eastern Nebraska</v>
      </c>
      <c r="D22" s="231" t="str">
        <f t="shared" ca="1" si="1"/>
        <v>170 bushel</v>
      </c>
      <c r="E22" s="234">
        <v>8</v>
      </c>
      <c r="F22" s="234"/>
    </row>
    <row r="23" spans="1:6" x14ac:dyDescent="0.2">
      <c r="A23" s="20" t="s">
        <v>594</v>
      </c>
      <c r="B23" s="231" t="str">
        <f t="shared" ca="1" si="2"/>
        <v>Dryland</v>
      </c>
      <c r="C23" s="231" t="str">
        <f t="shared" ca="1" si="0"/>
        <v>State</v>
      </c>
      <c r="D23" s="231" t="str">
        <f t="shared" ca="1" si="1"/>
        <v>135 bushel</v>
      </c>
      <c r="E23" s="234">
        <v>13</v>
      </c>
      <c r="F23" s="234"/>
    </row>
    <row r="24" spans="1:6" x14ac:dyDescent="0.2">
      <c r="A24" s="250" t="s">
        <v>595</v>
      </c>
      <c r="B24" s="251" t="str">
        <f t="shared" ca="1" si="2"/>
        <v>Dryland</v>
      </c>
      <c r="C24" s="251" t="str">
        <f t="shared" ca="1" si="0"/>
        <v>Eastern Nebraska</v>
      </c>
      <c r="D24" s="251" t="str">
        <f t="shared" ca="1" si="1"/>
        <v>180 bushel</v>
      </c>
      <c r="E24" s="253">
        <v>8</v>
      </c>
      <c r="F24" s="234"/>
    </row>
    <row r="25" spans="1:6" x14ac:dyDescent="0.2">
      <c r="A25" s="20" t="s">
        <v>596</v>
      </c>
      <c r="B25" s="231" t="str">
        <f t="shared" ca="1" si="2"/>
        <v>Dryland</v>
      </c>
      <c r="C25" s="231" t="str">
        <f t="shared" ca="1" si="0"/>
        <v>State</v>
      </c>
      <c r="D25" s="231" t="str">
        <f t="shared" ca="1" si="1"/>
        <v>140 bushel</v>
      </c>
      <c r="E25" s="234">
        <v>13</v>
      </c>
      <c r="F25" s="234"/>
    </row>
    <row r="26" spans="1:6" x14ac:dyDescent="0.2">
      <c r="A26" s="20" t="s">
        <v>597</v>
      </c>
      <c r="B26" s="231" t="str">
        <f t="shared" ca="1" si="2"/>
        <v>Dryland</v>
      </c>
      <c r="C26" s="231" t="str">
        <f t="shared" ca="1" si="0"/>
        <v>Eastern Nebraska</v>
      </c>
      <c r="D26" s="231" t="str">
        <f t="shared" ca="1" si="1"/>
        <v>185 bushel</v>
      </c>
      <c r="E26" s="234">
        <v>8</v>
      </c>
      <c r="F26" s="234"/>
    </row>
    <row r="27" spans="1:6" x14ac:dyDescent="0.2">
      <c r="A27" s="20" t="s">
        <v>598</v>
      </c>
      <c r="B27" s="231" t="str">
        <f t="shared" ca="1" si="2"/>
        <v>Dryland</v>
      </c>
      <c r="C27" s="231" t="str">
        <f t="shared" ca="1" si="0"/>
        <v>State</v>
      </c>
      <c r="D27" s="231" t="str">
        <f t="shared" ca="1" si="1"/>
        <v>145 bushel</v>
      </c>
      <c r="E27" s="234">
        <v>13</v>
      </c>
      <c r="F27" s="234"/>
    </row>
    <row r="28" spans="1:6" x14ac:dyDescent="0.2">
      <c r="A28" s="250" t="s">
        <v>599</v>
      </c>
      <c r="B28" s="251" t="str">
        <f t="shared" ca="1" si="2"/>
        <v>Dryland</v>
      </c>
      <c r="C28" s="251" t="str">
        <f t="shared" ca="1" si="0"/>
        <v>Eastern Nebraska</v>
      </c>
      <c r="D28" s="251" t="str">
        <f t="shared" ca="1" si="1"/>
        <v>195 bushel</v>
      </c>
      <c r="E28" s="253">
        <v>9</v>
      </c>
      <c r="F28" s="234"/>
    </row>
    <row r="29" spans="1:6" x14ac:dyDescent="0.2">
      <c r="A29" s="20" t="s">
        <v>600</v>
      </c>
      <c r="B29" s="231" t="str">
        <f t="shared" ca="1" si="2"/>
        <v>Dryland</v>
      </c>
      <c r="C29" s="231" t="str">
        <f t="shared" ca="1" si="0"/>
        <v>Southwest</v>
      </c>
      <c r="D29" s="231" t="str">
        <f t="shared" ca="1" si="1"/>
        <v>130 bushel</v>
      </c>
      <c r="E29" s="235">
        <v>6</v>
      </c>
      <c r="F29" s="234"/>
    </row>
    <row r="30" spans="1:6" x14ac:dyDescent="0.2">
      <c r="A30" s="20" t="s">
        <v>601</v>
      </c>
      <c r="B30" s="231" t="str">
        <f t="shared" ca="1" si="2"/>
        <v>Gravity Irrigated Diesel, fed by a well</v>
      </c>
      <c r="C30" s="231" t="str">
        <f t="shared" ca="1" si="0"/>
        <v>State</v>
      </c>
      <c r="D30" s="231" t="str">
        <f t="shared" ca="1" si="1"/>
        <v>245 bushel</v>
      </c>
      <c r="E30" s="235">
        <v>5</v>
      </c>
      <c r="F30" s="234"/>
    </row>
    <row r="31" spans="1:6" x14ac:dyDescent="0.2">
      <c r="A31" s="20" t="s">
        <v>602</v>
      </c>
      <c r="B31" s="231" t="str">
        <f t="shared" ca="1" si="2"/>
        <v>Gravity Irrigated Diesel, fed by a well</v>
      </c>
      <c r="C31" s="231" t="str">
        <f t="shared" ca="1" si="0"/>
        <v>State</v>
      </c>
      <c r="D31" s="231" t="str">
        <f t="shared" ca="1" si="1"/>
        <v>255 bushel</v>
      </c>
      <c r="E31" s="235">
        <v>5</v>
      </c>
      <c r="F31" s="234"/>
    </row>
    <row r="32" spans="1:6" x14ac:dyDescent="0.2">
      <c r="A32" s="250" t="s">
        <v>603</v>
      </c>
      <c r="B32" s="251" t="str">
        <f t="shared" ca="1" si="2"/>
        <v>Gravity Irrigated Diesel, fed by a well</v>
      </c>
      <c r="C32" s="251" t="str">
        <f t="shared" ca="1" si="0"/>
        <v>State</v>
      </c>
      <c r="D32" s="251" t="str">
        <f t="shared" ca="1" si="1"/>
        <v>250 bushel</v>
      </c>
      <c r="E32" s="253">
        <v>5</v>
      </c>
      <c r="F32" s="234"/>
    </row>
    <row r="33" spans="1:6" x14ac:dyDescent="0.2">
      <c r="A33" s="20" t="s">
        <v>604</v>
      </c>
      <c r="B33" s="231" t="str">
        <f t="shared" ca="1" si="2"/>
        <v>Gravity Irrigated, fed by canal</v>
      </c>
      <c r="C33" s="231" t="str">
        <f t="shared" ca="1" si="0"/>
        <v>Panhandle</v>
      </c>
      <c r="D33" s="231" t="str">
        <f t="shared" ca="1" si="1"/>
        <v>175 bushel</v>
      </c>
      <c r="E33" s="235">
        <v>8</v>
      </c>
      <c r="F33" s="234"/>
    </row>
    <row r="34" spans="1:6" x14ac:dyDescent="0.2">
      <c r="A34" s="20" t="s">
        <v>605</v>
      </c>
      <c r="B34" s="231" t="str">
        <f t="shared" ca="1" si="2"/>
        <v>Pivot Irrigated Electric</v>
      </c>
      <c r="C34" s="231" t="str">
        <f t="shared" ca="1" si="0"/>
        <v>State</v>
      </c>
      <c r="D34" s="231" t="str">
        <f t="shared" ca="1" si="1"/>
        <v>245 bushel</v>
      </c>
      <c r="E34" s="235">
        <v>5</v>
      </c>
      <c r="F34" s="234"/>
    </row>
    <row r="35" spans="1:6" x14ac:dyDescent="0.2">
      <c r="A35" s="20" t="s">
        <v>606</v>
      </c>
      <c r="B35" s="231" t="str">
        <f t="shared" ca="1" si="2"/>
        <v>Pivot Irrigated Electric</v>
      </c>
      <c r="C35" s="231" t="str">
        <f t="shared" ca="1" si="0"/>
        <v>State</v>
      </c>
      <c r="D35" s="231" t="str">
        <f t="shared" ca="1" si="1"/>
        <v>250 bushel</v>
      </c>
      <c r="E35" s="235">
        <v>5</v>
      </c>
      <c r="F35" s="234"/>
    </row>
    <row r="36" spans="1:6" x14ac:dyDescent="0.2">
      <c r="A36" s="20" t="s">
        <v>607</v>
      </c>
      <c r="B36" s="231" t="str">
        <f t="shared" ca="1" si="2"/>
        <v>Pivot Irrigated Electric</v>
      </c>
      <c r="C36" s="231" t="str">
        <f t="shared" ca="1" si="0"/>
        <v>State</v>
      </c>
      <c r="D36" s="231" t="str">
        <f t="shared" ca="1" si="1"/>
        <v>260 bushel</v>
      </c>
      <c r="E36" s="235">
        <v>5</v>
      </c>
      <c r="F36" s="234"/>
    </row>
    <row r="37" spans="1:6" x14ac:dyDescent="0.2">
      <c r="A37" s="250" t="s">
        <v>608</v>
      </c>
      <c r="B37" s="251" t="str">
        <f t="shared" ca="1" si="2"/>
        <v>Pivot Irrigated Electric</v>
      </c>
      <c r="C37" s="251" t="str">
        <f t="shared" ca="1" si="0"/>
        <v>State</v>
      </c>
      <c r="D37" s="251" t="str">
        <f t="shared" ca="1" si="1"/>
        <v>275 bushel</v>
      </c>
      <c r="E37" s="253">
        <v>4</v>
      </c>
      <c r="F37" s="234"/>
    </row>
    <row r="38" spans="1:6" x14ac:dyDescent="0.2">
      <c r="A38" s="20" t="s">
        <v>609</v>
      </c>
      <c r="B38" s="231" t="str">
        <f t="shared" ca="1" si="2"/>
        <v>Pivot Irrigated Electric</v>
      </c>
      <c r="C38" s="231" t="str">
        <f t="shared" ca="1" si="0"/>
        <v>State</v>
      </c>
      <c r="D38" s="231" t="str">
        <f t="shared" ca="1" si="1"/>
        <v>275 bushel</v>
      </c>
      <c r="E38" s="235">
        <v>4</v>
      </c>
      <c r="F38" s="234"/>
    </row>
    <row r="39" spans="1:6" x14ac:dyDescent="0.2">
      <c r="A39" s="20" t="s">
        <v>610</v>
      </c>
      <c r="B39" s="231" t="str">
        <f t="shared" ca="1" si="2"/>
        <v>Pivot Irrigated Electric</v>
      </c>
      <c r="C39" s="231" t="str">
        <f t="shared" ca="1" si="0"/>
        <v>State</v>
      </c>
      <c r="D39" s="231" t="str">
        <f t="shared" ca="1" si="1"/>
        <v>275 bushel</v>
      </c>
      <c r="E39" s="235">
        <v>4</v>
      </c>
      <c r="F39" s="234"/>
    </row>
    <row r="40" spans="1:6" x14ac:dyDescent="0.2">
      <c r="A40" s="20" t="s">
        <v>611</v>
      </c>
      <c r="B40" s="231" t="str">
        <f t="shared" ca="1" si="2"/>
        <v>Pivot Irrigated Diesel</v>
      </c>
      <c r="C40" s="231" t="str">
        <f t="shared" ca="1" si="0"/>
        <v>State</v>
      </c>
      <c r="D40" s="231" t="str">
        <f t="shared" ca="1" si="1"/>
        <v>235 bushel</v>
      </c>
      <c r="E40" s="235">
        <v>4</v>
      </c>
      <c r="F40" s="234"/>
    </row>
    <row r="41" spans="1:6" x14ac:dyDescent="0.2">
      <c r="A41" s="250" t="s">
        <v>612</v>
      </c>
      <c r="B41" s="251" t="str">
        <f t="shared" ca="1" si="2"/>
        <v>Pivot Irrigated Diesel</v>
      </c>
      <c r="C41" s="251" t="str">
        <f t="shared" ca="1" si="0"/>
        <v>State</v>
      </c>
      <c r="D41" s="251" t="str">
        <f t="shared" ca="1" si="1"/>
        <v>245 bushel</v>
      </c>
      <c r="E41" s="253">
        <v>4</v>
      </c>
      <c r="F41" s="234"/>
    </row>
    <row r="42" spans="1:6" x14ac:dyDescent="0.2">
      <c r="A42" s="20" t="s">
        <v>613</v>
      </c>
      <c r="B42" s="231" t="str">
        <f t="shared" ca="1" si="2"/>
        <v>Pivot Irrigated Electric</v>
      </c>
      <c r="C42" s="231" t="str">
        <f t="shared" ca="1" si="0"/>
        <v>Panhandle</v>
      </c>
      <c r="D42" s="231" t="str">
        <f t="shared" ca="1" si="1"/>
        <v>175 bushel</v>
      </c>
      <c r="E42" s="235">
        <v>8</v>
      </c>
      <c r="F42" s="234"/>
    </row>
    <row r="43" spans="1:6" x14ac:dyDescent="0.2">
      <c r="A43" s="20" t="s">
        <v>614</v>
      </c>
      <c r="B43" s="231" t="str">
        <f t="shared" ca="1" si="2"/>
        <v>Pivot Irrigated Electric</v>
      </c>
      <c r="C43" s="231" t="str">
        <f t="shared" ca="1" si="0"/>
        <v>Panhandle</v>
      </c>
      <c r="D43" s="231" t="str">
        <f t="shared" ca="1" si="1"/>
        <v>185 bushel</v>
      </c>
      <c r="E43" s="235">
        <v>9</v>
      </c>
      <c r="F43" s="234"/>
    </row>
    <row r="44" spans="1:6" x14ac:dyDescent="0.2">
      <c r="A44" s="20" t="s">
        <v>615</v>
      </c>
      <c r="B44" s="231" t="str">
        <f t="shared" ca="1" si="2"/>
        <v>Pivot Irrigated Electric</v>
      </c>
      <c r="C44" s="231" t="str">
        <f t="shared" ca="1" si="0"/>
        <v>State</v>
      </c>
      <c r="D44" s="231" t="str">
        <f t="shared" ca="1" si="1"/>
        <v>240 bushel</v>
      </c>
      <c r="E44" s="236">
        <v>5</v>
      </c>
      <c r="F44" s="234"/>
    </row>
    <row r="45" spans="1:6" x14ac:dyDescent="0.2">
      <c r="A45" s="250" t="s">
        <v>616</v>
      </c>
      <c r="B45" s="251" t="str">
        <f t="shared" ca="1" si="2"/>
        <v>Pivot Irrigated Diesel</v>
      </c>
      <c r="C45" s="251" t="str">
        <f t="shared" ca="1" si="0"/>
        <v>State</v>
      </c>
      <c r="D45" s="251" t="str">
        <f t="shared" ca="1" si="1"/>
        <v>28 ton</v>
      </c>
      <c r="E45" s="253">
        <v>5</v>
      </c>
      <c r="F45" s="234"/>
    </row>
    <row r="46" spans="1:6" x14ac:dyDescent="0.2">
      <c r="A46" s="32" t="s">
        <v>952</v>
      </c>
      <c r="B46" s="375" t="str">
        <f t="shared" ca="1" si="2"/>
        <v>Pivot Irrigated Electric</v>
      </c>
      <c r="C46" s="375" t="str">
        <f t="shared" ca="1" si="0"/>
        <v>State</v>
      </c>
      <c r="D46" s="375" t="str">
        <f t="shared" ca="1" si="1"/>
        <v>8000 Lbs.</v>
      </c>
      <c r="E46" s="376">
        <v>5</v>
      </c>
      <c r="F46" s="234"/>
    </row>
    <row r="47" spans="1:6" x14ac:dyDescent="0.2">
      <c r="A47" s="20" t="s">
        <v>617</v>
      </c>
      <c r="B47" s="231" t="str">
        <f t="shared" ca="1" si="2"/>
        <v>Pivot Irrigated Electric</v>
      </c>
      <c r="C47" s="231" t="str">
        <f t="shared" ca="1" si="0"/>
        <v>Panhandle</v>
      </c>
      <c r="D47" s="231" t="str">
        <f t="shared" ca="1" si="1"/>
        <v>27 cwt</v>
      </c>
      <c r="E47" s="236">
        <v>18</v>
      </c>
      <c r="F47" s="234"/>
    </row>
    <row r="48" spans="1:6" x14ac:dyDescent="0.2">
      <c r="A48" s="20" t="s">
        <v>618</v>
      </c>
      <c r="B48" s="231" t="str">
        <f t="shared" ca="1" si="2"/>
        <v>Gravity Irrigated, fed by canal</v>
      </c>
      <c r="C48" s="231" t="str">
        <f t="shared" ca="1" si="0"/>
        <v>Panhandle</v>
      </c>
      <c r="D48" s="231" t="str">
        <f t="shared" ca="1" si="1"/>
        <v>27 cwt</v>
      </c>
      <c r="E48" s="236">
        <v>18</v>
      </c>
      <c r="F48" s="234"/>
    </row>
    <row r="49" spans="1:6" x14ac:dyDescent="0.2">
      <c r="A49" s="20" t="s">
        <v>619</v>
      </c>
      <c r="B49" s="231" t="str">
        <f t="shared" ca="1" si="2"/>
        <v>Pivot Irrigated Electric</v>
      </c>
      <c r="C49" s="231" t="str">
        <f t="shared" ca="1" si="0"/>
        <v>Panhandle</v>
      </c>
      <c r="D49" s="231" t="str">
        <f t="shared" ca="1" si="1"/>
        <v>27 cwt</v>
      </c>
      <c r="E49" s="236">
        <v>18</v>
      </c>
      <c r="F49" s="234"/>
    </row>
    <row r="50" spans="1:6" x14ac:dyDescent="0.2">
      <c r="A50" s="250" t="s">
        <v>959</v>
      </c>
      <c r="B50" s="231" t="str">
        <f t="shared" ca="1" si="2"/>
        <v>Pivot Irrigated Electric</v>
      </c>
      <c r="C50" s="251" t="str">
        <f t="shared" ca="1" si="0"/>
        <v>Panhandle</v>
      </c>
      <c r="D50" s="251" t="str">
        <f t="shared" ca="1" si="1"/>
        <v>27 cwt</v>
      </c>
      <c r="E50" s="253">
        <v>18</v>
      </c>
      <c r="F50" s="234"/>
    </row>
    <row r="51" spans="1:6" x14ac:dyDescent="0.2">
      <c r="A51" s="20" t="s">
        <v>620</v>
      </c>
      <c r="B51" s="231" t="str">
        <f t="shared" ca="1" si="2"/>
        <v>Dryland</v>
      </c>
      <c r="C51" s="231" t="str">
        <f t="shared" ca="1" si="0"/>
        <v>Southwest</v>
      </c>
      <c r="D51" s="231" t="str">
        <f t="shared" ca="1" si="1"/>
        <v>85 bushel</v>
      </c>
      <c r="E51" s="236">
        <v>14</v>
      </c>
      <c r="F51" s="234"/>
    </row>
    <row r="52" spans="1:6" x14ac:dyDescent="0.2">
      <c r="A52" s="20" t="s">
        <v>621</v>
      </c>
      <c r="B52" s="231" t="str">
        <f t="shared" ca="1" si="2"/>
        <v>Dryland</v>
      </c>
      <c r="C52" s="231" t="str">
        <f t="shared" ca="1" si="0"/>
        <v>State</v>
      </c>
      <c r="D52" s="231" t="str">
        <f t="shared" ca="1" si="1"/>
        <v>135 bushel</v>
      </c>
      <c r="E52" s="236">
        <v>11</v>
      </c>
      <c r="F52" s="234"/>
    </row>
    <row r="53" spans="1:6" x14ac:dyDescent="0.2">
      <c r="A53" s="20" t="s">
        <v>622</v>
      </c>
      <c r="B53" s="231" t="str">
        <f t="shared" ca="1" si="2"/>
        <v>Dryland</v>
      </c>
      <c r="C53" s="231" t="str">
        <f t="shared" ca="1" si="0"/>
        <v>Southwest</v>
      </c>
      <c r="D53" s="231" t="str">
        <f t="shared" ca="1" si="1"/>
        <v>120 bushel</v>
      </c>
      <c r="E53" s="237">
        <v>12</v>
      </c>
      <c r="F53" s="234"/>
    </row>
    <row r="54" spans="1:6" x14ac:dyDescent="0.2">
      <c r="A54" s="250" t="s">
        <v>960</v>
      </c>
      <c r="B54" s="231" t="str">
        <f t="shared" ca="1" si="2"/>
        <v>Pivot Irrigated Diesel</v>
      </c>
      <c r="C54" s="250" t="s">
        <v>953</v>
      </c>
      <c r="D54" s="20" t="str">
        <f t="shared" ca="1" si="1"/>
        <v>170 bushel</v>
      </c>
      <c r="E54" s="253">
        <v>9</v>
      </c>
      <c r="F54" s="234"/>
    </row>
    <row r="55" spans="1:6" x14ac:dyDescent="0.2">
      <c r="A55" s="20" t="s">
        <v>961</v>
      </c>
      <c r="B55" s="231" t="str">
        <f t="shared" ca="1" si="2"/>
        <v>Pivot Irrigated Diesel</v>
      </c>
      <c r="C55" s="231" t="s">
        <v>953</v>
      </c>
      <c r="D55" s="231" t="str">
        <f t="shared" ca="1" si="1"/>
        <v>N/A</v>
      </c>
      <c r="E55" s="237" t="s">
        <v>576</v>
      </c>
      <c r="F55" s="234"/>
    </row>
    <row r="56" spans="1:6" x14ac:dyDescent="0.2">
      <c r="A56" s="20" t="s">
        <v>962</v>
      </c>
      <c r="B56" s="231" t="s">
        <v>74</v>
      </c>
      <c r="C56" s="231" t="s">
        <v>953</v>
      </c>
      <c r="D56" s="231" t="str">
        <f t="shared" ca="1" si="1"/>
        <v>3.3 ton</v>
      </c>
      <c r="E56" s="237" t="s">
        <v>576</v>
      </c>
      <c r="F56" s="234"/>
    </row>
    <row r="57" spans="1:6" x14ac:dyDescent="0.2">
      <c r="A57" s="20" t="s">
        <v>624</v>
      </c>
      <c r="B57" s="231" t="str">
        <f t="shared" ref="B57:B85" ca="1" si="3">INDIRECT(CONCATENATE("'",A57,"'!")&amp;"K2")</f>
        <v>Dryland</v>
      </c>
      <c r="C57" s="231" t="str">
        <f t="shared" ca="1" si="0"/>
        <v>Panhandle</v>
      </c>
      <c r="D57" s="231" t="str">
        <f t="shared" ca="1" si="1"/>
        <v>22 cwt</v>
      </c>
      <c r="E57" s="322">
        <v>9</v>
      </c>
      <c r="F57" s="234"/>
    </row>
    <row r="58" spans="1:6" x14ac:dyDescent="0.2">
      <c r="A58" s="250" t="s">
        <v>963</v>
      </c>
      <c r="B58" s="251" t="str">
        <f t="shared" ca="1" si="3"/>
        <v>Dryland</v>
      </c>
      <c r="C58" s="251" t="str">
        <f t="shared" ca="1" si="0"/>
        <v>Panhandle</v>
      </c>
      <c r="D58" s="251" t="str">
        <f t="shared" ca="1" si="1"/>
        <v>22 cwt</v>
      </c>
      <c r="E58" s="323">
        <v>9</v>
      </c>
      <c r="F58" s="234"/>
    </row>
    <row r="59" spans="1:6" x14ac:dyDescent="0.2">
      <c r="A59" s="32" t="s">
        <v>964</v>
      </c>
      <c r="B59" s="375" t="str">
        <f t="shared" ca="1" si="3"/>
        <v>Dryland</v>
      </c>
      <c r="C59" s="375" t="str">
        <f t="shared" ca="1" si="0"/>
        <v>State</v>
      </c>
      <c r="D59" s="375" t="str">
        <f t="shared" ca="1" si="1"/>
        <v>85 bushel</v>
      </c>
      <c r="E59" s="377">
        <v>13</v>
      </c>
      <c r="F59" s="235"/>
    </row>
    <row r="60" spans="1:6" x14ac:dyDescent="0.2">
      <c r="A60" s="32" t="s">
        <v>965</v>
      </c>
      <c r="B60" s="375" t="str">
        <f t="shared" ca="1" si="3"/>
        <v>Pivot Irrigated Diesel</v>
      </c>
      <c r="C60" s="375" t="str">
        <f t="shared" ca="1" si="0"/>
        <v>State</v>
      </c>
      <c r="D60" s="375" t="str">
        <f t="shared" ca="1" si="1"/>
        <v>11 AUM</v>
      </c>
      <c r="E60" s="378" t="s">
        <v>576</v>
      </c>
      <c r="F60" s="235"/>
    </row>
    <row r="61" spans="1:6" x14ac:dyDescent="0.2">
      <c r="A61" s="20" t="s">
        <v>966</v>
      </c>
      <c r="B61" s="231" t="str">
        <f t="shared" ca="1" si="3"/>
        <v>Dryland</v>
      </c>
      <c r="C61" s="231" t="str">
        <f t="shared" ca="1" si="0"/>
        <v>Panhandle</v>
      </c>
      <c r="D61" s="231" t="str">
        <f t="shared" ca="1" si="1"/>
        <v>35 bushel</v>
      </c>
      <c r="E61" s="322">
        <v>14</v>
      </c>
      <c r="F61" s="234"/>
    </row>
    <row r="62" spans="1:6" x14ac:dyDescent="0.2">
      <c r="A62" s="250" t="s">
        <v>972</v>
      </c>
      <c r="B62" s="251" t="str">
        <f t="shared" ca="1" si="3"/>
        <v>Dryland</v>
      </c>
      <c r="C62" s="251" t="s">
        <v>696</v>
      </c>
      <c r="D62" s="251" t="s">
        <v>757</v>
      </c>
      <c r="E62" s="378" t="s">
        <v>576</v>
      </c>
      <c r="F62" s="234"/>
    </row>
    <row r="63" spans="1:6" x14ac:dyDescent="0.2">
      <c r="A63" s="20" t="s">
        <v>625</v>
      </c>
      <c r="B63" s="231" t="str">
        <f t="shared" ca="1" si="3"/>
        <v>Dryland</v>
      </c>
      <c r="C63" s="231" t="str">
        <f t="shared" ca="1" si="0"/>
        <v>State</v>
      </c>
      <c r="D63" s="231" t="str">
        <f t="shared" ca="1" si="1"/>
        <v>45 bushel</v>
      </c>
      <c r="E63" s="322">
        <v>10</v>
      </c>
      <c r="F63" s="234"/>
    </row>
    <row r="64" spans="1:6" x14ac:dyDescent="0.2">
      <c r="A64" s="20" t="s">
        <v>626</v>
      </c>
      <c r="B64" s="231" t="str">
        <f t="shared" ca="1" si="3"/>
        <v>Dryland</v>
      </c>
      <c r="C64" s="231" t="str">
        <f t="shared" ca="1" si="0"/>
        <v>State</v>
      </c>
      <c r="D64" s="231" t="str">
        <f t="shared" ca="1" si="1"/>
        <v>50 bushel</v>
      </c>
      <c r="E64" s="322">
        <v>10</v>
      </c>
      <c r="F64" s="234"/>
    </row>
    <row r="65" spans="1:6" x14ac:dyDescent="0.2">
      <c r="A65" s="20" t="s">
        <v>627</v>
      </c>
      <c r="B65" s="231" t="str">
        <f t="shared" ca="1" si="3"/>
        <v>Dryland</v>
      </c>
      <c r="C65" s="231" t="str">
        <f t="shared" ca="1" si="0"/>
        <v>State</v>
      </c>
      <c r="D65" s="231" t="str">
        <f t="shared" ca="1" si="1"/>
        <v>45 bushel</v>
      </c>
      <c r="E65" s="322">
        <v>10</v>
      </c>
      <c r="F65" s="234"/>
    </row>
    <row r="66" spans="1:6" x14ac:dyDescent="0.2">
      <c r="A66" s="250" t="s">
        <v>628</v>
      </c>
      <c r="B66" s="251" t="str">
        <f t="shared" ca="1" si="3"/>
        <v>Pivot Irrigated Diesel</v>
      </c>
      <c r="C66" s="251" t="str">
        <f t="shared" ca="1" si="0"/>
        <v>State</v>
      </c>
      <c r="D66" s="251" t="str">
        <f t="shared" ca="1" si="1"/>
        <v>67 bushel</v>
      </c>
      <c r="E66" s="323">
        <v>4</v>
      </c>
      <c r="F66" s="234"/>
    </row>
    <row r="67" spans="1:6" x14ac:dyDescent="0.2">
      <c r="A67" s="20" t="s">
        <v>629</v>
      </c>
      <c r="B67" s="231" t="str">
        <f t="shared" ca="1" si="3"/>
        <v>Gravity Irrigated Diesel, fed by a well</v>
      </c>
      <c r="C67" s="231" t="str">
        <f t="shared" ca="1" si="0"/>
        <v>State</v>
      </c>
      <c r="D67" s="231" t="str">
        <f t="shared" ca="1" si="1"/>
        <v>70 bushel</v>
      </c>
      <c r="E67" s="322">
        <v>4</v>
      </c>
      <c r="F67" s="234"/>
    </row>
    <row r="68" spans="1:6" x14ac:dyDescent="0.2">
      <c r="A68" s="20" t="s">
        <v>630</v>
      </c>
      <c r="B68" s="231" t="str">
        <f t="shared" ca="1" si="3"/>
        <v>Pivot Irrigated Diesel</v>
      </c>
      <c r="C68" s="231" t="str">
        <f t="shared" ca="1" si="0"/>
        <v>State</v>
      </c>
      <c r="D68" s="231" t="str">
        <f t="shared" ca="1" si="1"/>
        <v>64 bushel</v>
      </c>
      <c r="E68" s="322">
        <v>4</v>
      </c>
      <c r="F68" s="234"/>
    </row>
    <row r="69" spans="1:6" x14ac:dyDescent="0.2">
      <c r="A69" s="250" t="s">
        <v>631</v>
      </c>
      <c r="B69" s="251" t="str">
        <f t="shared" ca="1" si="3"/>
        <v>Pivot Irrigated Diesel</v>
      </c>
      <c r="C69" s="251" t="str">
        <f t="shared" ref="C69:C87" ca="1" si="4">IF(INDIRECT(CONCATENATE("'",$A69,"'!")&amp;"C2")=0,"State",INDIRECT(CONCATENATE("'",$A69,"'!")&amp;"C2"))</f>
        <v>State</v>
      </c>
      <c r="D69" s="251" t="str">
        <f t="shared" ref="D69:D87" ca="1" si="5">IF(INDIRECT(CONCATENATE("'",$A69,"'!")&amp;"H3")=0,"N/A",INDIRECT(CONCATENATE("'",$A69,"'!")&amp;"H3"))</f>
        <v>78 bushel</v>
      </c>
      <c r="E69" s="323">
        <v>4</v>
      </c>
      <c r="F69" s="234"/>
    </row>
    <row r="70" spans="1:6" x14ac:dyDescent="0.2">
      <c r="A70" s="32" t="s">
        <v>632</v>
      </c>
      <c r="B70" s="231" t="str">
        <f t="shared" ca="1" si="3"/>
        <v>Pivot Irrigated Diesel</v>
      </c>
      <c r="C70" s="231" t="str">
        <f t="shared" ca="1" si="4"/>
        <v>State</v>
      </c>
      <c r="D70" s="231" t="str">
        <f t="shared" ca="1" si="5"/>
        <v>78 bushel</v>
      </c>
      <c r="E70" s="322">
        <v>4</v>
      </c>
      <c r="F70" s="234"/>
    </row>
    <row r="71" spans="1:6" x14ac:dyDescent="0.2">
      <c r="A71" s="32" t="s">
        <v>973</v>
      </c>
      <c r="B71" s="231" t="str">
        <f t="shared" ca="1" si="3"/>
        <v>Gravity Irrigated, fed by canal</v>
      </c>
      <c r="C71" s="231" t="str">
        <f t="shared" ca="1" si="4"/>
        <v>Panhandle</v>
      </c>
      <c r="D71" s="231" t="str">
        <f t="shared" ca="1" si="5"/>
        <v>30 ton</v>
      </c>
      <c r="E71" s="322">
        <v>19</v>
      </c>
      <c r="F71" s="234"/>
    </row>
    <row r="72" spans="1:6" x14ac:dyDescent="0.2">
      <c r="A72" s="250" t="s">
        <v>633</v>
      </c>
      <c r="B72" s="251" t="str">
        <f t="shared" ca="1" si="3"/>
        <v>Gravity Irrigated, fed by canal</v>
      </c>
      <c r="C72" s="251" t="str">
        <f t="shared" ca="1" si="4"/>
        <v>Panhandle</v>
      </c>
      <c r="D72" s="251" t="str">
        <f t="shared" ca="1" si="5"/>
        <v>30 ton</v>
      </c>
      <c r="E72" s="323">
        <v>19</v>
      </c>
      <c r="F72" s="234"/>
    </row>
    <row r="73" spans="1:6" x14ac:dyDescent="0.2">
      <c r="A73" s="32" t="s">
        <v>634</v>
      </c>
      <c r="B73" s="231" t="str">
        <f t="shared" ca="1" si="3"/>
        <v>Pivot Irrigated Diesel</v>
      </c>
      <c r="C73" s="231" t="str">
        <f t="shared" ca="1" si="4"/>
        <v>Panhandle</v>
      </c>
      <c r="D73" s="231" t="str">
        <f t="shared" ca="1" si="5"/>
        <v>30 ton</v>
      </c>
      <c r="E73" s="322">
        <v>19</v>
      </c>
      <c r="F73" s="234"/>
    </row>
    <row r="74" spans="1:6" x14ac:dyDescent="0.2">
      <c r="A74" s="32" t="s">
        <v>635</v>
      </c>
      <c r="B74" s="231" t="str">
        <f t="shared" ca="1" si="3"/>
        <v>Pivot Irrigated Diesel</v>
      </c>
      <c r="C74" s="231" t="str">
        <f t="shared" ca="1" si="4"/>
        <v>Panhandle</v>
      </c>
      <c r="D74" s="231" t="str">
        <f t="shared" ca="1" si="5"/>
        <v>30 ton</v>
      </c>
      <c r="E74" s="322">
        <v>19</v>
      </c>
      <c r="F74" s="234"/>
    </row>
    <row r="75" spans="1:6" x14ac:dyDescent="0.2">
      <c r="A75" s="32" t="s">
        <v>974</v>
      </c>
      <c r="B75" s="231" t="str">
        <f t="shared" ca="1" si="3"/>
        <v>Dryland</v>
      </c>
      <c r="C75" s="231" t="str">
        <f t="shared" ca="1" si="4"/>
        <v>Panhandle</v>
      </c>
      <c r="D75" s="231" t="str">
        <f t="shared" ca="1" si="5"/>
        <v>13 cwt</v>
      </c>
      <c r="E75" s="322">
        <v>10</v>
      </c>
      <c r="F75" s="234"/>
    </row>
    <row r="76" spans="1:6" x14ac:dyDescent="0.2">
      <c r="A76" s="250" t="s">
        <v>636</v>
      </c>
      <c r="B76" s="251" t="str">
        <f t="shared" ca="1" si="3"/>
        <v>Dryland</v>
      </c>
      <c r="C76" s="251" t="str">
        <f t="shared" ca="1" si="4"/>
        <v>Panhandle</v>
      </c>
      <c r="D76" s="251" t="str">
        <f t="shared" ca="1" si="5"/>
        <v>16 cwt</v>
      </c>
      <c r="E76" s="323">
        <v>10</v>
      </c>
      <c r="F76" s="234"/>
    </row>
    <row r="77" spans="1:6" x14ac:dyDescent="0.2">
      <c r="A77" s="32" t="s">
        <v>637</v>
      </c>
      <c r="B77" s="231" t="str">
        <f t="shared" ca="1" si="3"/>
        <v>Pivot Irrigated Electric</v>
      </c>
      <c r="C77" s="231" t="str">
        <f t="shared" ca="1" si="4"/>
        <v>Panhandle</v>
      </c>
      <c r="D77" s="231" t="str">
        <f t="shared" ca="1" si="5"/>
        <v>30 cwt</v>
      </c>
      <c r="E77" s="322">
        <v>11</v>
      </c>
      <c r="F77" s="234"/>
    </row>
    <row r="78" spans="1:6" x14ac:dyDescent="0.2">
      <c r="A78" s="32" t="s">
        <v>975</v>
      </c>
      <c r="B78" s="231" t="str">
        <f t="shared" ca="1" si="3"/>
        <v>Dryland</v>
      </c>
      <c r="C78" s="231" t="str">
        <f t="shared" ca="1" si="4"/>
        <v>Southwest</v>
      </c>
      <c r="D78" s="231" t="str">
        <f t="shared" ca="1" si="5"/>
        <v>40 bushel</v>
      </c>
      <c r="E78" s="321">
        <v>7</v>
      </c>
      <c r="F78" s="32" t="s">
        <v>638</v>
      </c>
    </row>
    <row r="79" spans="1:6" x14ac:dyDescent="0.2">
      <c r="A79" s="32" t="s">
        <v>976</v>
      </c>
      <c r="B79" s="231" t="str">
        <f t="shared" ca="1" si="3"/>
        <v>Dryland</v>
      </c>
      <c r="C79" s="231" t="str">
        <f t="shared" ca="1" si="4"/>
        <v>Southwest</v>
      </c>
      <c r="D79" s="231" t="str">
        <f t="shared" ca="1" si="5"/>
        <v>55 bushel</v>
      </c>
      <c r="E79" s="322">
        <v>7</v>
      </c>
      <c r="F79" s="32"/>
    </row>
    <row r="80" spans="1:6" x14ac:dyDescent="0.2">
      <c r="A80" s="32" t="s">
        <v>639</v>
      </c>
      <c r="B80" s="231" t="str">
        <f t="shared" ca="1" si="3"/>
        <v>Dryland</v>
      </c>
      <c r="C80" s="231" t="str">
        <f t="shared" ca="1" si="4"/>
        <v>Panhandle</v>
      </c>
      <c r="D80" s="231" t="str">
        <f t="shared" ca="1" si="5"/>
        <v>70 bushel</v>
      </c>
      <c r="E80" s="322">
        <v>8</v>
      </c>
      <c r="F80" s="32"/>
    </row>
    <row r="81" spans="1:6" x14ac:dyDescent="0.2">
      <c r="A81" s="250" t="s">
        <v>640</v>
      </c>
      <c r="B81" s="251" t="str">
        <f t="shared" ca="1" si="3"/>
        <v>Dryland</v>
      </c>
      <c r="C81" s="251" t="str">
        <f t="shared" ca="1" si="4"/>
        <v>Panhandle</v>
      </c>
      <c r="D81" s="251" t="str">
        <f t="shared" ca="1" si="5"/>
        <v>65 bushel</v>
      </c>
      <c r="E81" s="323">
        <v>8</v>
      </c>
      <c r="F81" s="250"/>
    </row>
    <row r="82" spans="1:6" x14ac:dyDescent="0.2">
      <c r="A82" s="32" t="s">
        <v>641</v>
      </c>
      <c r="B82" s="231" t="str">
        <f t="shared" ca="1" si="3"/>
        <v>Dryland</v>
      </c>
      <c r="C82" s="231" t="str">
        <f t="shared" ca="1" si="4"/>
        <v>Panhandle</v>
      </c>
      <c r="D82" s="231" t="str">
        <f t="shared" ca="1" si="5"/>
        <v>60 bushel</v>
      </c>
      <c r="E82" s="322">
        <v>7</v>
      </c>
      <c r="F82" s="32"/>
    </row>
    <row r="83" spans="1:6" x14ac:dyDescent="0.2">
      <c r="A83" s="32" t="s">
        <v>642</v>
      </c>
      <c r="B83" s="231" t="str">
        <f t="shared" ca="1" si="3"/>
        <v>Dryland</v>
      </c>
      <c r="C83" s="231" t="str">
        <f t="shared" ca="1" si="4"/>
        <v>Southwest</v>
      </c>
      <c r="D83" s="231" t="str">
        <f t="shared" ca="1" si="5"/>
        <v>80 bushel</v>
      </c>
      <c r="E83" s="322">
        <v>10</v>
      </c>
      <c r="F83" s="32"/>
    </row>
    <row r="84" spans="1:6" x14ac:dyDescent="0.2">
      <c r="A84" s="32" t="s">
        <v>643</v>
      </c>
      <c r="B84" s="231" t="str">
        <f t="shared" ca="1" si="3"/>
        <v>Pivot Irrigated Diesel</v>
      </c>
      <c r="C84" s="231" t="str">
        <f t="shared" ca="1" si="4"/>
        <v>Panhandle</v>
      </c>
      <c r="D84" s="231" t="str">
        <f t="shared" ca="1" si="5"/>
        <v>105 bushel</v>
      </c>
      <c r="E84" s="322">
        <v>9</v>
      </c>
      <c r="F84" s="32"/>
    </row>
    <row r="85" spans="1:6" x14ac:dyDescent="0.2">
      <c r="A85" s="250" t="s">
        <v>644</v>
      </c>
      <c r="B85" s="251" t="str">
        <f t="shared" ca="1" si="3"/>
        <v>Pivot Irrigated Electric</v>
      </c>
      <c r="C85" s="251" t="str">
        <f t="shared" ca="1" si="4"/>
        <v>Panhandle</v>
      </c>
      <c r="D85" s="251" t="str">
        <f t="shared" ca="1" si="5"/>
        <v>90 bushel</v>
      </c>
      <c r="E85" s="323">
        <v>9</v>
      </c>
      <c r="F85" s="250"/>
    </row>
    <row r="86" spans="1:6" x14ac:dyDescent="0.2">
      <c r="A86" s="32" t="s">
        <v>977</v>
      </c>
      <c r="B86" s="20" t="s">
        <v>74</v>
      </c>
      <c r="C86" s="20" t="str">
        <f t="shared" ca="1" si="4"/>
        <v>State</v>
      </c>
      <c r="D86" s="20" t="str">
        <f t="shared" ca="1" si="5"/>
        <v>N/A</v>
      </c>
      <c r="E86" s="237" t="s">
        <v>576</v>
      </c>
      <c r="F86" s="32"/>
    </row>
    <row r="87" spans="1:6" x14ac:dyDescent="0.2">
      <c r="A87" s="32" t="s">
        <v>978</v>
      </c>
      <c r="B87" s="20" t="s">
        <v>74</v>
      </c>
      <c r="C87" s="20" t="str">
        <f t="shared" ca="1" si="4"/>
        <v>State</v>
      </c>
      <c r="D87" s="20" t="str">
        <f t="shared" ca="1" si="5"/>
        <v>N/A</v>
      </c>
      <c r="E87" s="237" t="s">
        <v>576</v>
      </c>
      <c r="F87" s="32"/>
    </row>
    <row r="88" spans="1:6" x14ac:dyDescent="0.2">
      <c r="B88" s="17"/>
      <c r="C88" s="17"/>
      <c r="D88" s="17"/>
      <c r="E88" s="325"/>
    </row>
    <row r="89" spans="1:6" x14ac:dyDescent="0.2">
      <c r="A89" s="241" t="s">
        <v>645</v>
      </c>
      <c r="B89" s="241"/>
      <c r="C89" s="241"/>
      <c r="D89" s="241"/>
      <c r="E89" s="241"/>
      <c r="F89" s="241"/>
    </row>
    <row r="90" spans="1:6" x14ac:dyDescent="0.2">
      <c r="A90" s="241" t="s">
        <v>967</v>
      </c>
      <c r="B90" s="241"/>
      <c r="C90" s="241"/>
      <c r="D90" s="241"/>
      <c r="E90" s="241"/>
      <c r="F90" s="241"/>
    </row>
    <row r="91" spans="1:6" x14ac:dyDescent="0.2">
      <c r="A91" s="241" t="s">
        <v>968</v>
      </c>
      <c r="B91" s="241"/>
      <c r="C91" s="241"/>
      <c r="D91" s="241"/>
      <c r="E91" s="241"/>
      <c r="F91" s="241"/>
    </row>
    <row r="92" spans="1:6" x14ac:dyDescent="0.2">
      <c r="A92" t="s">
        <v>646</v>
      </c>
    </row>
    <row r="94" spans="1:6" x14ac:dyDescent="0.2">
      <c r="A94" s="241" t="s">
        <v>926</v>
      </c>
      <c r="B94" s="241"/>
      <c r="C94" s="241"/>
      <c r="D94" s="241"/>
      <c r="E94" s="241"/>
      <c r="F94" s="241"/>
    </row>
    <row r="95" spans="1:6" x14ac:dyDescent="0.2">
      <c r="A95" s="241" t="s">
        <v>647</v>
      </c>
      <c r="B95" s="241"/>
      <c r="C95" s="241"/>
      <c r="D95" s="241"/>
      <c r="E95" s="241"/>
      <c r="F95" s="241"/>
    </row>
  </sheetData>
  <sortState xmlns:xlrd2="http://schemas.microsoft.com/office/spreadsheetml/2017/richdata2" ref="A14:F87">
    <sortCondition ref="A14:A87"/>
  </sortState>
  <pageMargins left="0.7" right="0.7" top="0.75" bottom="0.75" header="0.3" footer="0.3"/>
  <pageSetup scale="87" fitToHeight="2"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0">
    <pageSetUpPr fitToPage="1"/>
  </sheetPr>
  <dimension ref="A2:M257"/>
  <sheetViews>
    <sheetView zoomScaleNormal="100" workbookViewId="0">
      <selection activeCell="N35" sqref="N3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46</v>
      </c>
      <c r="D3" s="391"/>
      <c r="E3" s="391"/>
      <c r="G3" s="128" t="s">
        <v>650</v>
      </c>
      <c r="H3" s="187" t="s">
        <v>754</v>
      </c>
      <c r="J3" s="128" t="s">
        <v>651</v>
      </c>
      <c r="K3" s="187"/>
    </row>
    <row r="4" spans="1:13" hidden="1" x14ac:dyDescent="0.2">
      <c r="B4" s="103" t="s">
        <v>652</v>
      </c>
      <c r="C4" s="392"/>
      <c r="D4" s="392"/>
      <c r="E4" s="392"/>
      <c r="G4" s="103">
        <f>IFERROR(VALUE(LEFT($H$3,FIND(" ",$H$3))),"")</f>
        <v>22</v>
      </c>
      <c r="H4" s="103" t="str">
        <f>IFERROR(RIGHT(H3,LEN(H3)-LEN(G4)-1),"")</f>
        <v>cwt</v>
      </c>
      <c r="J4" s="128" t="s">
        <v>653</v>
      </c>
      <c r="K4" s="188" t="s">
        <v>654</v>
      </c>
    </row>
    <row r="5" spans="1:13" ht="15.75" hidden="1" customHeight="1" x14ac:dyDescent="0.2">
      <c r="B5" s="103" t="s">
        <v>655</v>
      </c>
      <c r="C5" s="103" t="str">
        <f ca="1">MID(CELL("filename",C5),FIND("]",CELL("filename",C5))+1,255)</f>
        <v>54-Millet-Proso</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54-Millet-Proso, Panhandle, No Till, 22 cwt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54-Millet-Proso, Panhandle, No Till, 22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2" si="0">IF(C13&gt;9999,"",ROUND(SUM(E13:J13),2))</f>
        <v>7.15</v>
      </c>
      <c r="L13" s="110"/>
    </row>
    <row r="14" spans="1:13" x14ac:dyDescent="0.2">
      <c r="A14" s="170">
        <v>3</v>
      </c>
      <c r="B14" s="180" t="s">
        <v>488</v>
      </c>
      <c r="C14" s="174">
        <v>1</v>
      </c>
      <c r="D14" s="174"/>
      <c r="E14" s="109">
        <f>IF(B14=0,"",IF(C14&gt;9999,"",ROUND('General Variables'!$B$4*VLOOKUP(B14,Operations!$A$2:$U$79,10,FALSE)/VLOOKUP(B14,Operations!$A$2:$U$79,9,FALSE)*C14,2)))</f>
        <v>2.38</v>
      </c>
      <c r="F14" s="109">
        <f>IF(B14=0,0,IF(C14&gt;9999,"",ROUND(IF(VLOOKUP(B14,Operations!$A$2:$U$79,12,FALSE)=0,VLOOKUP(B14,Operations!$A$2:$U$79,13,FALSE)*'General Variables'!$B$8,VLOOKUP(B14,Operations!$A$2:$U$79,12,FALSE)*'General Variables'!$B$7)/VLOOKUP(B14,Operations!$A$2:$U$79,9,FALSE)*C14,2)))</f>
        <v>1.28</v>
      </c>
      <c r="G14" s="109">
        <f>IF(B14=0,0,IF(C14&gt;9999,"",ROUND(VLOOKUP(VLOOKUP(B14,Operations!$A$2:$U$79,11,FALSE),PowerUnits[],10,FALSE)/VLOOKUP(B14,Operations!$A$2:$U$79,9,FALSE)*C14,2)))</f>
        <v>7.0000000000000007E-2</v>
      </c>
      <c r="H14" s="109">
        <f>IF(B14=0,"",IF(C14&gt;9999,"",ROUND(VLOOKUP($B14,Operations!$A$2:$U$79,15,FALSE)*C14,2)))</f>
        <v>7.18</v>
      </c>
      <c r="I14" s="109">
        <f>IF(B14=0,0,IF(C14&gt;9999,"",ROUND(VLOOKUP(VLOOKUP(B14,Operations!$A$2:$U$79,11,FALSE),PowerUnits[],16,FALSE)/VLOOKUP(B14,Operations!$A$2:$U$79,9,FALSE)*C14,2)))</f>
        <v>3.46</v>
      </c>
      <c r="J14" s="109">
        <f>IF(B14=0,"",IF(C14&gt;9999,"",ROUND(VLOOKUP($B14,Operations!$A$2:$U$79,21,FALSE)*$C14,2)))</f>
        <v>2.4500000000000002</v>
      </c>
      <c r="K14" s="109">
        <f t="shared" si="0"/>
        <v>16.82</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ref="K16" si="1">IF(C16&gt;9999,"",ROUND(SUM(E16:J16),2))</f>
        <v>5.75</v>
      </c>
      <c r="L16" s="110"/>
    </row>
    <row r="17" spans="1:12" x14ac:dyDescent="0.2">
      <c r="A17" s="170">
        <v>6</v>
      </c>
      <c r="B17" s="180" t="s">
        <v>567</v>
      </c>
      <c r="C17" s="174">
        <v>1</v>
      </c>
      <c r="D17" s="174"/>
      <c r="E17" s="109">
        <f>IF(B17=0,"",IF(C17&gt;9999,"",ROUND('General Variables'!$B$4*VLOOKUP(B17,Operations!$A$2:$U$79,10,FALSE)/VLOOKUP(B17,Operations!$A$2:$U$79,9,FALSE)*C17,2)))</f>
        <v>2.7</v>
      </c>
      <c r="F17" s="109">
        <f>IF(B17=0,0,IF(C17&gt;9999,"",ROUND(IF(VLOOKUP(B17,Operations!$A$2:$U$79,12,FALSE)=0,VLOOKUP(B17,Operations!$A$2:$U$79,13,FALSE)*'General Variables'!$B$8,VLOOKUP(B17,Operations!$A$2:$U$79,12,FALSE)*'General Variables'!$B$7)/VLOOKUP(B17,Operations!$A$2:$U$79,9,FALSE)*C17,2)))</f>
        <v>1.6</v>
      </c>
      <c r="G17" s="109">
        <f>IF(B17=0,0,IF(C17&gt;9999,"",ROUND(VLOOKUP(VLOOKUP(B17,Operations!$A$2:$U$79,11,FALSE),PowerUnits[],10,FALSE)/VLOOKUP(B17,Operations!$A$2:$U$79,9,FALSE)*C17,2)))</f>
        <v>1.02</v>
      </c>
      <c r="H17" s="109">
        <f>IF(B17=0,"",IF(C17&gt;9999,"",ROUND(VLOOKUP($B17,Operations!$A$2:$U$79,15,FALSE)*C17,2)))</f>
        <v>1.1599999999999999</v>
      </c>
      <c r="I17" s="109">
        <f>IF(B17=0,0,IF(C17&gt;9999,"",ROUND(VLOOKUP(VLOOKUP(B17,Operations!$A$2:$U$79,11,FALSE),PowerUnits[],16,FALSE)/VLOOKUP(B17,Operations!$A$2:$U$79,9,FALSE)*C17,2)))</f>
        <v>3.74</v>
      </c>
      <c r="J17" s="109">
        <f>IF(B17=0,"",IF(C17&gt;9999,"",ROUND(VLOOKUP($B17,Operations!$A$2:$U$79,21,FALSE)*$C17,2)))</f>
        <v>1.2</v>
      </c>
      <c r="K17" s="109">
        <f t="shared" si="0"/>
        <v>11.42</v>
      </c>
      <c r="L17" s="110"/>
    </row>
    <row r="18" spans="1:12" x14ac:dyDescent="0.2">
      <c r="A18" s="170" t="s">
        <v>910</v>
      </c>
      <c r="B18" s="180" t="s">
        <v>942</v>
      </c>
      <c r="C18" s="295">
        <v>75</v>
      </c>
      <c r="D18" s="174"/>
      <c r="E18" s="109">
        <f>IF(B18=0,"",IF(C18&gt;9999,"",ROUND('General Variables'!$B$4*VLOOKUP(B18,Operations!$A$2:$U$79,10,FALSE)/VLOOKUP(B18,Operations!$A$2:$U$79,9,FALSE)*C18,2))/100)</f>
        <v>1.7135</v>
      </c>
      <c r="F18" s="109">
        <f>IF(B18=0,0,IF(C18&gt;9999,"",ROUND(IF(VLOOKUP(B18,Operations!$A$2:$U$79,12,FALSE)=0,VLOOKUP(B18,Operations!$A$2:$U$79,13,FALSE)*'General Variables'!$B$8,VLOOKUP(B18,Operations!$A$2:$U$79,12,FALSE)*'General Variables'!$B$7)/VLOOKUP(B18,Operations!$A$2:$U$79,9,FALSE)*C18,2))/100)</f>
        <v>1.9306999999999999</v>
      </c>
      <c r="G18" s="109">
        <f>IF(B18=0,0,IF(C18&gt;9999,"",ROUND(VLOOKUP(VLOOKUP(B18,Operations!$A$2:$U$79,11,FALSE),PowerUnits[],10,FALSE)/VLOOKUP(B18,Operations!$A$2:$U$79,9,FALSE)*C18,2))/100)</f>
        <v>2.9774000000000003</v>
      </c>
      <c r="H18" s="109">
        <f>IF(B18=0,"",IF(C18&gt;9999,"",ROUND(VLOOKUP($B18,Operations!$A$2:$U$79,15,FALSE)*C18,2))/100)</f>
        <v>0.29899999999999999</v>
      </c>
      <c r="I18" s="109">
        <f>IF(B18=0,0,IF(C18&gt;9999,"",ROUND(VLOOKUP(VLOOKUP(B18,Operations!$A$2:$U$79,11,FALSE),PowerUnits[],16,FALSE)/VLOOKUP(B18,Operations!$A$2:$U$79,9,FALSE)*C18,2))/85)</f>
        <v>8.4356470588235286</v>
      </c>
      <c r="J18" s="109">
        <f>IF(B18=0,"",IF(C18&gt;9999,"",ROUND(VLOOKUP($B18,Operations!$A$2:$U$79,21,FALSE)*$C18,2))/85)</f>
        <v>2.7184705882352942</v>
      </c>
      <c r="K18" s="109">
        <f>IF(C18&gt;9999,"",ROUND(SUM(E18:J18),2))</f>
        <v>18.07</v>
      </c>
      <c r="L18" s="110"/>
    </row>
    <row r="19" spans="1:12" x14ac:dyDescent="0.2">
      <c r="A19" s="170">
        <v>8</v>
      </c>
      <c r="B19" s="180" t="s">
        <v>565</v>
      </c>
      <c r="C19" s="174" t="s">
        <v>184</v>
      </c>
      <c r="D19" s="174"/>
      <c r="E19" s="109" t="str">
        <f>IF(B19=0,"",IF(C19&gt;9999,"",ROUND('General Variables'!$B$4*VLOOKUP(B19,Operations!$A$2:$U$79,10,FALSE)/VLOOKUP(B19,Operations!$A$2:$U$79,9,FALSE)*C19,2)))</f>
        <v/>
      </c>
      <c r="F19" s="109" t="str">
        <f>IF(B19=0,0,IF(C19&gt;9999,"",ROUND(IF(VLOOKUP(B19,Operations!$A$2:$U$79,12,FALSE)=0,VLOOKUP(B19,Operations!$A$2:$U$79,13,FALSE)*'General Variables'!$B$8,VLOOKUP(B19,Operations!$A$2:$U$79,12,FALSE)*'General Variables'!$B$7)/VLOOKUP(B19,Operations!$A$2:$U$79,9,FALSE)*C19,2)))</f>
        <v/>
      </c>
      <c r="G19" s="109" t="str">
        <f>IF(B19=0,0,IF(C19&gt;9999,"",ROUND(VLOOKUP(VLOOKUP(B19,Operations!$A$2:$U$79,11,FALSE),PowerUnits[],10,FALSE)/VLOOKUP(B19,Operations!$A$2:$U$79,9,FALSE)*C19,2)))</f>
        <v/>
      </c>
      <c r="H19" s="109" t="str">
        <f>IF(B19=0,"",IF(C19&gt;9999,"",ROUND(VLOOKUP($B19,Operations!$A$2:$U$79,15,FALSE)*C19,2)))</f>
        <v/>
      </c>
      <c r="I19" s="109" t="str">
        <f>IF(B19=0,0,IF(C19&gt;9999,"",ROUND(VLOOKUP(VLOOKUP(B19,Operations!$A$2:$U$79,11,FALSE),PowerUnits[],16,FALSE)/VLOOKUP(B19,Operations!$A$2:$U$79,9,FALSE)*C19,2)))</f>
        <v/>
      </c>
      <c r="J19" s="109" t="str">
        <f>IF(B19=0,"",IF(C19&gt;9999,"",ROUND(VLOOKUP($B19,Operations!$A$2:$U$79,21,FALSE)*$C19,2)))</f>
        <v/>
      </c>
      <c r="K19" s="109" t="str">
        <f t="shared" si="0"/>
        <v/>
      </c>
      <c r="L19" s="110"/>
    </row>
    <row r="20" spans="1:12" hidden="1" x14ac:dyDescent="0.2">
      <c r="A20" s="170">
        <v>8</v>
      </c>
      <c r="B20" s="213"/>
      <c r="C20" s="214"/>
      <c r="D20" s="214"/>
      <c r="E20" s="215" t="str">
        <f>IF(B20=0,"",IF(C20&gt;9999,"",ROUND('General Variables'!$B$4*VLOOKUP(B20,Operations!$A$2:$U$79,10,FALSE)/VLOOKUP(B20,Operations!$A$2:$U$79,9,FALSE)*C20,2)))</f>
        <v/>
      </c>
      <c r="F20" s="215">
        <f>IF(B20=0,0,IF(C20&gt;9999,"",ROUND(IF(VLOOKUP(B20,Operations!$A$2:$U$79,12,FALSE)=0,VLOOKUP(B20,Operations!$A$2:$U$79,13,FALSE)*'General Variables'!$B$8,VLOOKUP(B20,Operations!$A$2:$U$79,12,FALSE)*'General Variables'!$B$7)/VLOOKUP(B20,Operations!$A$2:$U$79,9,FALSE)*C20,2)))</f>
        <v>0</v>
      </c>
      <c r="G20" s="215">
        <f>IF(B20=0,0,IF(C20&gt;9999,"",ROUND(VLOOKUP(VLOOKUP(B20,Operations!$A$2:$U$79,11,FALSE),PowerUnits[],10,FALSE)/VLOOKUP(B20,Operations!$A$2:$U$79,9,FALSE)*C20,2)))</f>
        <v>0</v>
      </c>
      <c r="H20" s="215" t="str">
        <f>IF(B20=0,"",IF(C20&gt;9999,"",ROUND(VLOOKUP($B20,Operations!$A$2:$U$79,15,FALSE)*C20,2)))</f>
        <v/>
      </c>
      <c r="I20" s="215">
        <f>IF(B20=0,0,IF(C20&gt;9999,"",ROUND(VLOOKUP(VLOOKUP(B20,Operations!$A$2:$U$79,11,FALSE),PowerUnits[],16,FALSE)/VLOOKUP(B20,Operations!$A$2:$U$79,9,FALSE)*C20,2)))</f>
        <v>0</v>
      </c>
      <c r="J20" s="215" t="str">
        <f>IF(B20=0,"",IF(C20&gt;9999,"",ROUND(VLOOKUP($B20,Operations!$A$2:$U$79,21,FALSE)*$C20,2)))</f>
        <v/>
      </c>
      <c r="K20" s="215">
        <f>IF(C20&gt;9999,"",ROUND(SUM(E20:J20),2))</f>
        <v>0</v>
      </c>
      <c r="L20" s="216"/>
    </row>
    <row r="21" spans="1:12" hidden="1" x14ac:dyDescent="0.2">
      <c r="A21" s="170">
        <v>9</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10</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11</v>
      </c>
      <c r="B23" s="180"/>
      <c r="C23" s="174"/>
      <c r="D23" s="174"/>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idden="1" x14ac:dyDescent="0.2">
      <c r="A24" s="170">
        <v>12</v>
      </c>
      <c r="B24" s="213"/>
      <c r="C24" s="214"/>
      <c r="D24" s="214"/>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idden="1" x14ac:dyDescent="0.2">
      <c r="A25" s="170">
        <v>13</v>
      </c>
      <c r="B25" s="180"/>
      <c r="C25" s="174"/>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14</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15</v>
      </c>
      <c r="B27" s="111"/>
      <c r="C27" s="112"/>
      <c r="D27" s="174"/>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16</v>
      </c>
      <c r="B28" s="217"/>
      <c r="C28" s="218"/>
      <c r="D28" s="214"/>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74"/>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4"/>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10.8735</v>
      </c>
      <c r="F34" s="109">
        <f t="shared" ref="F34:K34" si="2">SUM(F12:F32)</f>
        <v>5.8506999999999998</v>
      </c>
      <c r="G34" s="109">
        <f t="shared" si="2"/>
        <v>4.1874000000000002</v>
      </c>
      <c r="H34" s="109">
        <f t="shared" si="2"/>
        <v>12.298999999999998</v>
      </c>
      <c r="I34" s="109">
        <f t="shared" si="2"/>
        <v>20.875647058823532</v>
      </c>
      <c r="J34" s="109">
        <f t="shared" si="2"/>
        <v>16.628470588235295</v>
      </c>
      <c r="K34" s="109">
        <f t="shared" si="2"/>
        <v>70.710000000000008</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259</v>
      </c>
      <c r="C38" s="388" t="str">
        <f>IF(B38=0,"",VLOOKUP($B38,Table2[],2,FALSE))</f>
        <v>Herbicide</v>
      </c>
      <c r="D38" s="388"/>
      <c r="E38" s="388"/>
      <c r="F38" s="174">
        <v>1</v>
      </c>
      <c r="G38" s="175">
        <v>1</v>
      </c>
      <c r="H38" s="176">
        <v>32</v>
      </c>
      <c r="I38" s="120" t="str">
        <f>IF($B38=0,"",VLOOKUP($B38,Table2[],5,FALSE))</f>
        <v>ounce</v>
      </c>
      <c r="J38" s="109">
        <f>IF($B38=0,"",VLOOKUP($B38,Table2[],7,FALSE))</f>
        <v>0.1328125</v>
      </c>
      <c r="K38" s="109">
        <f>IF(B38=0,0,ROUND(G38*H38*J38,2))</f>
        <v>4.25</v>
      </c>
      <c r="L38" s="110"/>
    </row>
    <row r="39" spans="1:12" x14ac:dyDescent="0.2">
      <c r="A39" s="105"/>
      <c r="B39" s="180" t="s">
        <v>229</v>
      </c>
      <c r="C39" s="170"/>
      <c r="D39" s="170" t="s">
        <v>228</v>
      </c>
      <c r="E39" s="170"/>
      <c r="F39" s="174">
        <v>1</v>
      </c>
      <c r="G39" s="175">
        <v>1</v>
      </c>
      <c r="H39" s="176">
        <v>1.5</v>
      </c>
      <c r="I39" s="120" t="s">
        <v>254</v>
      </c>
      <c r="J39" s="109">
        <f>IF($B39=0,"",VLOOKUP($B39,Table2[],7,FALSE))</f>
        <v>2.5</v>
      </c>
      <c r="K39" s="109">
        <f>IF(B39=0,0,ROUND(G39*H39*J39,2))</f>
        <v>3.75</v>
      </c>
      <c r="L39" s="110"/>
    </row>
    <row r="40" spans="1:12" x14ac:dyDescent="0.2">
      <c r="A40" s="105"/>
      <c r="B40" s="180" t="s">
        <v>170</v>
      </c>
      <c r="C40" s="388" t="str">
        <f>IF(B40=0,"",VLOOKUP($B40,Table2[],2,FALSE))</f>
        <v>Additive</v>
      </c>
      <c r="D40" s="388"/>
      <c r="E40" s="388"/>
      <c r="F40" s="174">
        <v>1</v>
      </c>
      <c r="G40" s="175">
        <v>1</v>
      </c>
      <c r="H40" s="176">
        <v>1.7</v>
      </c>
      <c r="I40" s="120" t="str">
        <f>IF($B40=0,"",VLOOKUP($B40,Table2[],5,FALSE))</f>
        <v>pound</v>
      </c>
      <c r="J40" s="109">
        <f>IF($B40=0,"",VLOOKUP($B40,Table2[],7,FALSE))</f>
        <v>0.4</v>
      </c>
      <c r="K40" s="109">
        <f t="shared" ref="K40:K55" si="3">IF(B40=0,0,ROUND(G40*H40*J40,2))</f>
        <v>0.68</v>
      </c>
      <c r="L40" s="110"/>
    </row>
    <row r="41" spans="1:12" x14ac:dyDescent="0.2">
      <c r="A41" s="105"/>
      <c r="B41" s="213" t="s">
        <v>205</v>
      </c>
      <c r="C41" s="387" t="str">
        <f>IF(B41=0,"",VLOOKUP($B41,Table2[],2,FALSE))</f>
        <v>Fertilizer</v>
      </c>
      <c r="D41" s="387"/>
      <c r="E41" s="387"/>
      <c r="F41" s="214">
        <v>2</v>
      </c>
      <c r="G41" s="221">
        <v>1</v>
      </c>
      <c r="H41" s="222">
        <v>45</v>
      </c>
      <c r="I41" s="223" t="str">
        <f>IF($B41=0,"",VLOOKUP($B41,Table2[],5,FALSE))</f>
        <v>lbs N</v>
      </c>
      <c r="J41" s="215">
        <f>IF($B41=0,"",VLOOKUP($B41,Table2[],7,FALSE))</f>
        <v>0.5</v>
      </c>
      <c r="K41" s="215">
        <f t="shared" si="3"/>
        <v>22.5</v>
      </c>
      <c r="L41" s="216"/>
    </row>
    <row r="42" spans="1:12" x14ac:dyDescent="0.2">
      <c r="A42" s="105"/>
      <c r="B42" s="180" t="s">
        <v>334</v>
      </c>
      <c r="C42" s="179"/>
      <c r="D42" s="103" t="s">
        <v>318</v>
      </c>
      <c r="E42" s="170"/>
      <c r="F42" s="174">
        <v>3</v>
      </c>
      <c r="G42" s="175">
        <v>1</v>
      </c>
      <c r="H42" s="176">
        <v>15</v>
      </c>
      <c r="I42" s="120" t="str">
        <f>IF($B42=0,"",VLOOKUP($B42,Table2[],5,FALSE))</f>
        <v>pound</v>
      </c>
      <c r="J42" s="109">
        <f>IF($B42=0,"",VLOOKUP($B42,Table2[],7,FALSE))</f>
        <v>0.55000000000000004</v>
      </c>
      <c r="K42" s="109">
        <f t="shared" ref="K42" si="4">IF(B42=0,0,ROUND(G42*H42*J42,2))</f>
        <v>8.25</v>
      </c>
      <c r="L42" s="110"/>
    </row>
    <row r="43" spans="1:12" x14ac:dyDescent="0.2">
      <c r="A43" s="105"/>
      <c r="B43" s="180" t="s">
        <v>271</v>
      </c>
      <c r="D43" s="170" t="s">
        <v>228</v>
      </c>
      <c r="E43" s="170"/>
      <c r="F43" s="174">
        <v>4</v>
      </c>
      <c r="G43" s="175">
        <v>1</v>
      </c>
      <c r="H43" s="176">
        <v>1</v>
      </c>
      <c r="I43" s="120" t="s">
        <v>254</v>
      </c>
      <c r="J43" s="109">
        <f>IF($B43=0,"",VLOOKUP($B43,Table2[],7,FALSE))</f>
        <v>8.75</v>
      </c>
      <c r="K43" s="109">
        <f t="shared" ref="K43:K44" si="5">IF(B43=0,0,ROUND(G43*H43*J43,2))</f>
        <v>8.75</v>
      </c>
      <c r="L43" s="257"/>
    </row>
    <row r="44" spans="1:12" x14ac:dyDescent="0.2">
      <c r="A44" s="105"/>
      <c r="B44" s="180" t="s">
        <v>259</v>
      </c>
      <c r="D44" s="170" t="s">
        <v>228</v>
      </c>
      <c r="E44" s="170"/>
      <c r="F44" s="174">
        <v>5</v>
      </c>
      <c r="G44" s="175">
        <v>1</v>
      </c>
      <c r="H44" s="176">
        <v>32</v>
      </c>
      <c r="I44" s="120" t="s">
        <v>174</v>
      </c>
      <c r="J44" s="109">
        <f>IF($B44=0,"",VLOOKUP($B44,Table2[],7,FALSE))</f>
        <v>0.1328125</v>
      </c>
      <c r="K44" s="109">
        <f t="shared" si="5"/>
        <v>4.25</v>
      </c>
      <c r="L44" s="110"/>
    </row>
    <row r="45" spans="1:12" x14ac:dyDescent="0.2">
      <c r="A45" s="143"/>
      <c r="B45" s="213" t="s">
        <v>196</v>
      </c>
      <c r="C45" s="247"/>
      <c r="D45" s="247" t="s">
        <v>184</v>
      </c>
      <c r="E45" s="247"/>
      <c r="F45" s="214">
        <v>8</v>
      </c>
      <c r="G45" s="221">
        <v>1</v>
      </c>
      <c r="H45" s="222">
        <f>$G$4</f>
        <v>22</v>
      </c>
      <c r="I45" s="223" t="str">
        <f>IF($B45=0,"",VLOOKUP($B45,Table2[],5,FALSE))</f>
        <v>cwt</v>
      </c>
      <c r="J45" s="215">
        <f>IF($B45=0,"",VLOOKUP($B45,Table2[],7,FALSE))</f>
        <v>0.28000000000000003</v>
      </c>
      <c r="K45" s="215">
        <f t="shared" si="3"/>
        <v>6.16</v>
      </c>
      <c r="L45" s="216"/>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3"/>
        <v>0</v>
      </c>
      <c r="L46" s="110"/>
    </row>
    <row r="47" spans="1:12" ht="12.75" hidden="1" customHeight="1" x14ac:dyDescent="0.2">
      <c r="A47" s="143"/>
      <c r="B47" s="180"/>
      <c r="C47" s="170" t="str">
        <f>IF(B47=0,"",VLOOKUP($B47,Table2[],2,FALSE))</f>
        <v/>
      </c>
      <c r="D47" s="170"/>
      <c r="E47" s="170"/>
      <c r="F47" s="174"/>
      <c r="G47" s="175"/>
      <c r="H47" s="176"/>
      <c r="I47" s="120" t="str">
        <f>IF($B47=0,"",VLOOKUP($B47,Table2[],5,FALSE))</f>
        <v/>
      </c>
      <c r="J47" s="109" t="str">
        <f>IF($B47=0,"",VLOOKUP($B47,Table2[],7,FALSE))</f>
        <v/>
      </c>
      <c r="K47" s="109">
        <f t="shared" si="3"/>
        <v>0</v>
      </c>
      <c r="L47" s="110"/>
    </row>
    <row r="48" spans="1:12" ht="12.75" hidden="1" customHeight="1" x14ac:dyDescent="0.2">
      <c r="A48" s="105"/>
      <c r="B48" s="180"/>
      <c r="C48" s="388" t="str">
        <f>IF(B48=0,"",VLOOKUP($B48,Table2[],2,FALSE))</f>
        <v/>
      </c>
      <c r="D48" s="388"/>
      <c r="E48" s="388"/>
      <c r="F48" s="174"/>
      <c r="G48" s="175"/>
      <c r="H48" s="176"/>
      <c r="I48" s="120" t="str">
        <f>IF($B48=0,"",VLOOKUP($B48,Table2[],5,FALSE))</f>
        <v/>
      </c>
      <c r="J48" s="109" t="str">
        <f>IF($B48=0,"",VLOOKUP($B48,Table2[],7,FALSE))</f>
        <v/>
      </c>
      <c r="K48" s="109">
        <f t="shared" si="3"/>
        <v>0</v>
      </c>
      <c r="L48" s="216"/>
    </row>
    <row r="49" spans="1:12" ht="12.75" hidden="1" customHeight="1" x14ac:dyDescent="0.2">
      <c r="A49" s="105"/>
      <c r="B49" s="180"/>
      <c r="C49" s="170" t="str">
        <f>IF(B49=0,"",VLOOKUP($B49,Table2[],2,FALSE))</f>
        <v/>
      </c>
      <c r="D49" s="170"/>
      <c r="E49" s="170"/>
      <c r="F49" s="174"/>
      <c r="G49" s="175"/>
      <c r="H49" s="176"/>
      <c r="I49" s="120" t="str">
        <f>IF($B49=0,"",VLOOKUP($B49,Table2[],5,FALSE))</f>
        <v/>
      </c>
      <c r="J49" s="109" t="str">
        <f>IF($B49=0,"",VLOOKUP($B49,Table2[],7,FALSE))</f>
        <v/>
      </c>
      <c r="K49" s="109">
        <f t="shared" si="3"/>
        <v>0</v>
      </c>
      <c r="L49" s="110"/>
    </row>
    <row r="50" spans="1:12" ht="12.75" hidden="1" customHeight="1" x14ac:dyDescent="0.2">
      <c r="B50" s="180"/>
      <c r="C50" s="388" t="str">
        <f>IF(B50=0,"",VLOOKUP($B50,Table2[],2,FALSE))</f>
        <v/>
      </c>
      <c r="D50" s="388"/>
      <c r="E50" s="388"/>
      <c r="F50" s="174"/>
      <c r="G50" s="175"/>
      <c r="H50" s="176"/>
      <c r="I50" s="120" t="str">
        <f>IF($B50=0,"",VLOOKUP($B50,Table2[],5,FALSE))</f>
        <v/>
      </c>
      <c r="J50" s="109" t="str">
        <f>IF($B50=0,"",VLOOKUP($B50,Table2[],7,FALSE))</f>
        <v/>
      </c>
      <c r="K50" s="109">
        <f t="shared" si="3"/>
        <v>0</v>
      </c>
      <c r="L50" s="110"/>
    </row>
    <row r="51" spans="1:12" ht="12.75" hidden="1" customHeight="1" x14ac:dyDescent="0.2">
      <c r="B51" s="180"/>
      <c r="C51" s="170" t="str">
        <f>IF(B51=0,"",VLOOKUP($B51,Table2[],2,FALSE))</f>
        <v/>
      </c>
      <c r="D51" s="170"/>
      <c r="E51" s="170"/>
      <c r="F51" s="174"/>
      <c r="G51" s="175"/>
      <c r="H51" s="176"/>
      <c r="I51" s="120" t="str">
        <f>IF($B51=0,"",VLOOKUP($B51,Table2[],5,FALSE))</f>
        <v/>
      </c>
      <c r="J51" s="109" t="str">
        <f>IF($B51=0,"",VLOOKUP($B51,Table2[],7,FALSE))</f>
        <v/>
      </c>
      <c r="K51" s="109">
        <f t="shared" si="3"/>
        <v>0</v>
      </c>
      <c r="L51" s="110"/>
    </row>
    <row r="52" spans="1:12" ht="12.75" hidden="1" customHeight="1" x14ac:dyDescent="0.2">
      <c r="B52" s="180"/>
      <c r="C52" s="388" t="str">
        <f>IF(B52=0,"",VLOOKUP($B52,Table2[],2,FALSE))</f>
        <v/>
      </c>
      <c r="D52" s="388"/>
      <c r="E52" s="388"/>
      <c r="F52" s="174"/>
      <c r="G52" s="175">
        <v>0.1</v>
      </c>
      <c r="H52" s="176"/>
      <c r="I52" s="120" t="str">
        <f>IF($B52=0,"",VLOOKUP($B52,Table2[],5,FALSE))</f>
        <v/>
      </c>
      <c r="J52" s="109" t="str">
        <f>IF($B52=0,"",VLOOKUP($B52,Table2[],7,FALSE))</f>
        <v/>
      </c>
      <c r="K52" s="109">
        <f t="shared" si="3"/>
        <v>0</v>
      </c>
      <c r="L52" s="216"/>
    </row>
    <row r="53" spans="1:12" ht="12.75" hidden="1" customHeight="1" x14ac:dyDescent="0.2">
      <c r="B53" s="180"/>
      <c r="C53" s="170" t="str">
        <f>IF(B53=0,"",VLOOKUP($B53,Table2[],2,FALSE))</f>
        <v/>
      </c>
      <c r="D53" s="170"/>
      <c r="E53" s="170"/>
      <c r="F53" s="174"/>
      <c r="G53" s="175">
        <v>0.2</v>
      </c>
      <c r="H53" s="176"/>
      <c r="I53" s="120" t="str">
        <f>IF($B53=0,"",VLOOKUP($B53,Table2[],5,FALSE))</f>
        <v/>
      </c>
      <c r="J53" s="109" t="str">
        <f>IF($B53=0,"",VLOOKUP($B53,Table2[],7,FALSE))</f>
        <v/>
      </c>
      <c r="K53" s="109">
        <f t="shared" si="3"/>
        <v>0</v>
      </c>
      <c r="L53" s="110"/>
    </row>
    <row r="54" spans="1:12" ht="12.75" hidden="1" customHeight="1" x14ac:dyDescent="0.2">
      <c r="B54" s="180"/>
      <c r="C54" s="388" t="str">
        <f>IF(B54=0,"",VLOOKUP($B54,Table2[],2,FALSE))</f>
        <v/>
      </c>
      <c r="D54" s="388"/>
      <c r="E54" s="388"/>
      <c r="F54" s="174"/>
      <c r="G54" s="175">
        <v>0.3</v>
      </c>
      <c r="H54" s="176"/>
      <c r="I54" s="120" t="str">
        <f>IF($B54=0,"",VLOOKUP($B54,Table2[],5,FALSE))</f>
        <v/>
      </c>
      <c r="J54" s="109" t="str">
        <f>IF($B54=0,"",VLOOKUP($B54,Table2[],7,FALSE))</f>
        <v/>
      </c>
      <c r="K54" s="109">
        <f t="shared" si="3"/>
        <v>0</v>
      </c>
      <c r="L54" s="110"/>
    </row>
    <row r="55" spans="1:12" ht="12.75" hidden="1" customHeight="1" x14ac:dyDescent="0.2">
      <c r="B55" s="180"/>
      <c r="C55" s="170" t="str">
        <f>IF(B55=0,"",VLOOKUP($B55,Table2[],2,FALSE))</f>
        <v/>
      </c>
      <c r="D55" s="170"/>
      <c r="E55" s="170"/>
      <c r="F55" s="174"/>
      <c r="G55" s="175"/>
      <c r="H55" s="176"/>
      <c r="I55" s="120" t="str">
        <f>IF($B55=0,"",VLOOKUP($B55,Table2[],5,FALSE))</f>
        <v/>
      </c>
      <c r="J55" s="109" t="str">
        <f>IF($B55=0,"",VLOOKUP($B55,Table2[],7,FALSE))</f>
        <v/>
      </c>
      <c r="K55" s="109">
        <f t="shared" si="3"/>
        <v>0</v>
      </c>
      <c r="L55" s="113"/>
    </row>
    <row r="56" spans="1:12" ht="12.75" hidden="1" customHeight="1" x14ac:dyDescent="0.2">
      <c r="B56" s="180"/>
      <c r="C56" s="388" t="str">
        <f>IF(B56=0,"",VLOOKUP($B56,Table2[],2,FALSE))</f>
        <v/>
      </c>
      <c r="D56" s="388"/>
      <c r="E56" s="388"/>
      <c r="F56" s="174"/>
      <c r="G56" s="175"/>
      <c r="H56" s="176"/>
      <c r="I56" s="120" t="str">
        <f>IF($B56=0,"",VLOOKUP($B56,Table2[],5,FALSE))</f>
        <v/>
      </c>
      <c r="J56" s="109" t="str">
        <f>IF($B56=0,"",VLOOKUP($B56,Table2[],7,FALSE))</f>
        <v/>
      </c>
      <c r="K56" s="109">
        <f>IF(B56=0,0,ROUND(G56*H56*J56,2))</f>
        <v>0</v>
      </c>
      <c r="L56" s="227"/>
    </row>
    <row r="57" spans="1:12" ht="12.75" hidden="1" customHeight="1" x14ac:dyDescent="0.2">
      <c r="B57" s="180"/>
      <c r="C57" s="170" t="str">
        <f>IF(B57=0,"",VLOOKUP($B57,Table2[],2,FALSE))</f>
        <v/>
      </c>
      <c r="D57" s="170"/>
      <c r="E57" s="170"/>
      <c r="F57" s="174"/>
      <c r="G57" s="175"/>
      <c r="H57" s="176"/>
      <c r="I57" s="120" t="str">
        <f>IF($B57=0,"",VLOOKUP($B57,Table2[],5,FALSE))</f>
        <v/>
      </c>
      <c r="J57" s="109" t="str">
        <f>IF($B57=0,"",VLOOKUP($B57,Table2[],7,FALSE))</f>
        <v/>
      </c>
      <c r="K57" s="109">
        <f>IF(B57=0,0,ROUND(G57*H57*J57,2))</f>
        <v>0</v>
      </c>
      <c r="L57" s="113"/>
    </row>
    <row r="58" spans="1:12" ht="12.75" hidden="1" customHeight="1" x14ac:dyDescent="0.2">
      <c r="B58" s="180"/>
      <c r="C58" s="388" t="str">
        <f>IF(B58=0,"",VLOOKUP($B58,Table2[],2,FALSE))</f>
        <v/>
      </c>
      <c r="D58" s="388"/>
      <c r="E58" s="388"/>
      <c r="F58" s="174"/>
      <c r="G58" s="175"/>
      <c r="H58" s="176"/>
      <c r="I58" s="120" t="str">
        <f>IF($B58=0,"",VLOOKUP($B58,Table2[],5,FALSE))</f>
        <v/>
      </c>
      <c r="J58" s="109" t="str">
        <f>IF($B58=0,"",VLOOKUP($B58,Table2[],7,FALSE))</f>
        <v/>
      </c>
      <c r="K58" s="109">
        <f>IF(B58=0,0,ROUND(G58*H58*J58,2))</f>
        <v>0</v>
      </c>
      <c r="L58" s="113"/>
    </row>
    <row r="59" spans="1:12" ht="12.75" hidden="1" customHeight="1" x14ac:dyDescent="0.2">
      <c r="B59" s="180"/>
      <c r="C59" s="170" t="str">
        <f>IF(B59=0,"",VLOOKUP($B59,Table2[],2,FALSE))</f>
        <v/>
      </c>
      <c r="D59" s="170"/>
      <c r="E59" s="170"/>
      <c r="F59" s="174"/>
      <c r="G59" s="175"/>
      <c r="H59" s="176"/>
      <c r="I59" s="120" t="str">
        <f>IF($B59=0,"",VLOOKUP($B59,Table2[],5,FALSE))</f>
        <v/>
      </c>
      <c r="J59" s="109" t="str">
        <f>IF($B59=0,"",VLOOKUP($B59,Table2[],7,FALSE))</f>
        <v/>
      </c>
      <c r="K59" s="109">
        <f>IF(B59=0,0,ROUND(G59*H59*J59,2))</f>
        <v>0</v>
      </c>
      <c r="L59" s="113"/>
    </row>
    <row r="60" spans="1:12" ht="12.75" hidden="1" customHeight="1" x14ac:dyDescent="0.2">
      <c r="B60" s="180"/>
      <c r="C60" s="388" t="str">
        <f>IF(B60=0,"",VLOOKUP($B60,Table2[],2,FALSE))</f>
        <v/>
      </c>
      <c r="D60" s="388"/>
      <c r="E60" s="388"/>
      <c r="F60" s="174"/>
      <c r="G60" s="175"/>
      <c r="H60" s="176"/>
      <c r="I60" s="120" t="str">
        <f>IF($B60=0,"",VLOOKUP($B60,Table2[],5,FALSE))</f>
        <v/>
      </c>
      <c r="J60" s="109" t="str">
        <f>IF($B60=0,"",VLOOKUP($B60,Table2[],7,FALSE))</f>
        <v/>
      </c>
      <c r="K60" s="109">
        <f>IF(B60=0,0,ROUND(G60*H60*J60,2))</f>
        <v>0</v>
      </c>
      <c r="L60" s="227"/>
    </row>
    <row r="61" spans="1:12" x14ac:dyDescent="0.2">
      <c r="B61" s="254" t="s">
        <v>430</v>
      </c>
      <c r="C61" s="341"/>
      <c r="D61" s="341" t="s">
        <v>655</v>
      </c>
      <c r="E61" s="341"/>
      <c r="F61" s="255"/>
      <c r="G61" s="337"/>
      <c r="H61" s="338"/>
      <c r="I61" s="339"/>
      <c r="J61" s="256">
        <f ca="1">IF(F5=0,E5,F5)</f>
        <v>9</v>
      </c>
      <c r="K61" s="256">
        <f ca="1">IF(B61=0,0,J61)</f>
        <v>9</v>
      </c>
      <c r="L61" s="35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41">
        <f ca="1">SUM(K38:K61)</f>
        <v>67.59</v>
      </c>
      <c r="L63" s="110"/>
    </row>
    <row r="64" spans="1:12" x14ac:dyDescent="0.2">
      <c r="B64" s="358" t="s">
        <v>909</v>
      </c>
      <c r="K64" s="128"/>
    </row>
    <row r="65" spans="2:12" x14ac:dyDescent="0.2">
      <c r="B65" s="144"/>
      <c r="K65" s="128"/>
    </row>
    <row r="66" spans="2:12" x14ac:dyDescent="0.2">
      <c r="B66" s="107" t="s">
        <v>672</v>
      </c>
      <c r="K66" s="141">
        <f ca="1">K34+K63</f>
        <v>138.30000000000001</v>
      </c>
      <c r="L66" s="110"/>
    </row>
    <row r="67" spans="2:12" ht="13.5" thickBot="1" x14ac:dyDescent="0.25">
      <c r="D67" s="128" t="s">
        <v>673</v>
      </c>
      <c r="E67" s="129">
        <f ca="1">ROUND(SUM($E$34:$H$34)+$K$63,2)</f>
        <v>100.8</v>
      </c>
      <c r="F67" s="388" t="s">
        <v>674</v>
      </c>
      <c r="G67" s="388"/>
      <c r="H67" s="130">
        <f>'General Variables'!$B$11</f>
        <v>7.4999999999999997E-2</v>
      </c>
      <c r="I67" s="131" t="str">
        <f>CONCATENATE("for ",TEXT('General Variables'!$B$12,"0.0")," mo.")</f>
        <v>for 6.0 mo.</v>
      </c>
      <c r="K67" s="145">
        <f ca="1">E67*H67*'General Variables'!$B$12/12</f>
        <v>3.78</v>
      </c>
      <c r="L67" s="133"/>
    </row>
    <row r="68" spans="2:12" ht="13.5" thickTop="1" x14ac:dyDescent="0.2">
      <c r="B68" s="107" t="s">
        <v>675</v>
      </c>
      <c r="K68" s="141">
        <f ca="1">SUM(K66:K67)</f>
        <v>142.08000000000001</v>
      </c>
      <c r="L68" s="110"/>
    </row>
    <row r="69" spans="2:12" x14ac:dyDescent="0.2">
      <c r="K69" s="128"/>
    </row>
    <row r="70" spans="2:12" x14ac:dyDescent="0.2">
      <c r="B70" s="104" t="s">
        <v>676</v>
      </c>
      <c r="C70" s="134"/>
      <c r="D70" s="134"/>
      <c r="E70" s="134"/>
      <c r="F70" s="134"/>
      <c r="G70" s="134"/>
      <c r="H70" s="134"/>
      <c r="I70" s="134"/>
      <c r="J70" s="134"/>
      <c r="K70" s="142">
        <f>'General Variables'!B15</f>
        <v>27</v>
      </c>
      <c r="L70" s="110"/>
    </row>
    <row r="71" spans="2:12" x14ac:dyDescent="0.2">
      <c r="B71" s="103" t="s">
        <v>687</v>
      </c>
      <c r="C71" s="402" t="s">
        <v>32</v>
      </c>
      <c r="D71" s="403"/>
      <c r="E71" s="404"/>
      <c r="F71" s="136">
        <f>IF(C71=0,0,VLOOKUP(C71,RETable,2,FALSE))</f>
        <v>920</v>
      </c>
      <c r="G71" s="388" t="s">
        <v>678</v>
      </c>
      <c r="H71" s="388"/>
      <c r="I71" s="130">
        <f>'General Variables'!$B$10</f>
        <v>0.03</v>
      </c>
      <c r="K71" s="146">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7">
        <f>ROUND(F72*I72,2)</f>
        <v>11.96</v>
      </c>
      <c r="L72" s="133"/>
    </row>
    <row r="73" spans="2:12" ht="13.5" thickTop="1" x14ac:dyDescent="0.2">
      <c r="B73" s="107" t="s">
        <v>680</v>
      </c>
      <c r="K73" s="141">
        <f ca="1">SUM(K68:K72)</f>
        <v>208.64000000000001</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6.5245454545454544</v>
      </c>
      <c r="L75" s="148"/>
    </row>
    <row r="76" spans="2:12" x14ac:dyDescent="0.2">
      <c r="B76" s="107" t="str">
        <f>IF(G4="","","Cost of production per "&amp;H4)</f>
        <v>Cost of production per cwt</v>
      </c>
      <c r="K76" s="141">
        <f ca="1">IF(G4="","",K73/G4)</f>
        <v>9.4836363636363643</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34">
    <mergeCell ref="C40:E40"/>
    <mergeCell ref="G72:H72"/>
    <mergeCell ref="C46:E46"/>
    <mergeCell ref="C48:E48"/>
    <mergeCell ref="C50:E50"/>
    <mergeCell ref="C52:E52"/>
    <mergeCell ref="C54:E54"/>
    <mergeCell ref="C60:E60"/>
    <mergeCell ref="C58:E58"/>
    <mergeCell ref="C56:E56"/>
    <mergeCell ref="F67:G67"/>
    <mergeCell ref="C71:E71"/>
    <mergeCell ref="G71:H71"/>
    <mergeCell ref="F10:F11"/>
    <mergeCell ref="F36:F37"/>
    <mergeCell ref="G36:G37"/>
    <mergeCell ref="H36:I36"/>
    <mergeCell ref="J36:J37"/>
    <mergeCell ref="C3:E3"/>
    <mergeCell ref="C41:E41"/>
    <mergeCell ref="C38:E38"/>
    <mergeCell ref="K2:L2"/>
    <mergeCell ref="G2:H2"/>
    <mergeCell ref="C4:E4"/>
    <mergeCell ref="L36:L37"/>
    <mergeCell ref="G10:H10"/>
    <mergeCell ref="I10:J10"/>
    <mergeCell ref="K10:K11"/>
    <mergeCell ref="L10:L11"/>
    <mergeCell ref="B7:L7"/>
    <mergeCell ref="A6:M6"/>
    <mergeCell ref="B10:B11"/>
    <mergeCell ref="C10:C11"/>
    <mergeCell ref="E10:E11"/>
  </mergeCells>
  <dataValidations count="9">
    <dataValidation type="list" allowBlank="1" showInputMessage="1" showErrorMessage="1" sqref="B33" xr:uid="{00000000-0002-0000-3A00-000000000000}">
      <formula1>$B$112:$B$209</formula1>
    </dataValidation>
    <dataValidation type="list" allowBlank="1" showInputMessage="1" showErrorMessage="1" sqref="B62" xr:uid="{00000000-0002-0000-3A00-000001000000}">
      <formula1>$C$112:$C$230</formula1>
    </dataValidation>
    <dataValidation type="list" allowBlank="1" showInputMessage="1" showErrorMessage="1" sqref="K4" xr:uid="{00000000-0002-0000-3A00-000002000000}">
      <formula1>$K$112:$K$114</formula1>
    </dataValidation>
    <dataValidation type="list" allowBlank="1" showInputMessage="1" showErrorMessage="1" sqref="C71:E71" xr:uid="{00000000-0002-0000-3A00-000004000000}">
      <formula1>RealEstateList</formula1>
    </dataValidation>
    <dataValidation type="list" allowBlank="1" showInputMessage="1" showErrorMessage="1" sqref="B12:B32" xr:uid="{00000000-0002-0000-3A00-000005000000}">
      <formula1>OperationList</formula1>
    </dataValidation>
    <dataValidation type="list" allowBlank="1" showInputMessage="1" showErrorMessage="1" sqref="D12:D33" xr:uid="{00000000-0002-0000-3A00-000006000000}">
      <formula1>#REF!</formula1>
    </dataValidation>
    <dataValidation type="list" allowBlank="1" showInputMessage="1" showErrorMessage="1" sqref="K2" xr:uid="{00000000-0002-0000-3A00-000007000000}">
      <formula1>watersource</formula1>
    </dataValidation>
    <dataValidation type="list" allowBlank="1" showInputMessage="1" showErrorMessage="1" sqref="C3" xr:uid="{00000000-0002-0000-3A00-000008000000}">
      <formula1>TillageSystem</formula1>
    </dataValidation>
    <dataValidation type="list" allowBlank="1" showInputMessage="1" showErrorMessage="1" sqref="B38:B60" xr:uid="{00000000-0002-0000-3A00-000003000000}">
      <formula1>MaterialList</formula1>
    </dataValidation>
  </dataValidations>
  <pageMargins left="0.7" right="0.7" top="0.75" bottom="0.75" header="0.3" footer="0.3"/>
  <pageSetup scale="7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41">
    <pageSetUpPr fitToPage="1"/>
  </sheetPr>
  <dimension ref="A1:M257"/>
  <sheetViews>
    <sheetView topLeftCell="A7" zoomScaleNormal="100" workbookViewId="0">
      <selection activeCell="G16" sqref="G1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1" spans="1:13" hidden="1" x14ac:dyDescent="0.2"/>
    <row r="2" spans="1:13" ht="14.25" hidden="1" customHeight="1" x14ac:dyDescent="0.2">
      <c r="B2" s="103" t="s">
        <v>20</v>
      </c>
      <c r="C2" s="187"/>
      <c r="D2" s="187"/>
      <c r="E2" s="187"/>
      <c r="F2" s="128" t="s">
        <v>648</v>
      </c>
      <c r="G2" s="392"/>
      <c r="H2" s="392"/>
      <c r="J2" s="128" t="s">
        <v>649</v>
      </c>
      <c r="K2" s="401" t="s">
        <v>74</v>
      </c>
      <c r="L2" s="401"/>
    </row>
    <row r="3" spans="1:13" hidden="1" x14ac:dyDescent="0.2">
      <c r="B3" s="103" t="s">
        <v>38</v>
      </c>
      <c r="C3" s="391" t="s">
        <v>46</v>
      </c>
      <c r="D3" s="391"/>
      <c r="E3" s="391"/>
      <c r="G3" s="128" t="s">
        <v>650</v>
      </c>
      <c r="H3" s="187" t="s">
        <v>756</v>
      </c>
      <c r="J3" s="128" t="s">
        <v>651</v>
      </c>
      <c r="K3" s="187"/>
    </row>
    <row r="4" spans="1:13" hidden="1" x14ac:dyDescent="0.2">
      <c r="B4" s="103" t="s">
        <v>652</v>
      </c>
      <c r="C4" s="392"/>
      <c r="D4" s="392"/>
      <c r="E4" s="392"/>
      <c r="G4" s="103">
        <f>IFERROR(VALUE(LEFT($H$3,FIND(" ",$H$3))),"")</f>
        <v>85</v>
      </c>
      <c r="H4" s="103" t="str">
        <f>IFERROR(RIGHT(H3,LEN(H3)-LEN(G4)-1),"")</f>
        <v>bushel</v>
      </c>
      <c r="J4" s="128" t="s">
        <v>653</v>
      </c>
      <c r="K4" s="188" t="s">
        <v>654</v>
      </c>
    </row>
    <row r="5" spans="1:13" ht="15.75" hidden="1" customHeight="1" x14ac:dyDescent="0.2">
      <c r="B5" s="103" t="s">
        <v>655</v>
      </c>
      <c r="C5" s="103" t="str">
        <f ca="1">MID(CELL("filename",C5),FIND("]",CELL("filename",C5))+1,255)</f>
        <v>55-Oats</v>
      </c>
      <c r="E5" s="103">
        <f ca="1">VLOOKUP($C$5,CropInsurance,5,FALSE)</f>
        <v>13</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55-Oats, No Till, 85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55-Oats, No Till, 85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548</v>
      </c>
      <c r="C12" s="112">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0.33</v>
      </c>
      <c r="I12" s="109">
        <f>IF(B12=0,0,IF(C12&gt;9999,"",ROUND(VLOOKUP(VLOOKUP(B12,Operations!$A$2:$U$79,11,FALSE),PowerUnits[],16,FALSE)/VLOOKUP(B12,Operations!$A$2:$U$79,9,FALSE)*C12,2)))</f>
        <v>1.31</v>
      </c>
      <c r="J12" s="109">
        <f>IF(B12=0,"",IF(C12&gt;9999,"",ROUND(VLOOKUP($B12,Operations!$A$2:$U$79,21,FALSE)*$C12,2)))</f>
        <v>4.2</v>
      </c>
      <c r="K12" s="109">
        <f>IF(C12&gt;9999,"",ROUND(SUM(E12:J12),2))</f>
        <v>7.15</v>
      </c>
      <c r="L12" s="110"/>
    </row>
    <row r="13" spans="1:13" x14ac:dyDescent="0.2">
      <c r="A13" s="170">
        <v>2</v>
      </c>
      <c r="B13" s="111" t="s">
        <v>488</v>
      </c>
      <c r="C13" s="112">
        <v>1</v>
      </c>
      <c r="D13" s="174"/>
      <c r="E13" s="109">
        <f>IF(B13=0,"",IF(C13&gt;9999,"",ROUND('General Variables'!$B$4*VLOOKUP(B13,Operations!$A$2:$U$79,10,FALSE)/VLOOKUP(B13,Operations!$A$2:$U$79,9,FALSE)*C13,2)))</f>
        <v>2.38</v>
      </c>
      <c r="F13" s="109">
        <f>IF(B13=0,0,IF(C13&gt;9999,"",ROUND(IF(VLOOKUP(B13,Operations!$A$2:$U$79,12,FALSE)=0,VLOOKUP(B13,Operations!$A$2:$U$79,13,FALSE)*'General Variables'!$B$8,VLOOKUP(B13,Operations!$A$2:$U$79,12,FALSE)*'General Variables'!$B$7)/VLOOKUP(B13,Operations!$A$2:$U$79,9,FALSE)*C13,2)))</f>
        <v>1.28</v>
      </c>
      <c r="G13" s="109">
        <f>IF(B13=0,0,IF(C13&gt;9999,"",ROUND(VLOOKUP(VLOOKUP(B13,Operations!$A$2:$U$79,11,FALSE),PowerUnits[],10,FALSE)/VLOOKUP(B13,Operations!$A$2:$U$79,9,FALSE)*C13,2)))</f>
        <v>7.0000000000000007E-2</v>
      </c>
      <c r="H13" s="109">
        <f>IF(B13=0,"",IF(C13&gt;9999,"",ROUND(VLOOKUP($B13,Operations!$A$2:$U$79,15,FALSE)*C13,2)))</f>
        <v>7.18</v>
      </c>
      <c r="I13" s="109">
        <f>IF(B13=0,0,IF(C13&gt;9999,"",ROUND(VLOOKUP(VLOOKUP(B13,Operations!$A$2:$U$79,11,FALSE),PowerUnits[],16,FALSE)/VLOOKUP(B13,Operations!$A$2:$U$79,9,FALSE)*C13,2)))</f>
        <v>3.46</v>
      </c>
      <c r="J13" s="109">
        <f>IF(B13=0,"",IF(C13&gt;9999,"",ROUND(VLOOKUP($B13,Operations!$A$2:$U$79,21,FALSE)*$C13,2)))</f>
        <v>2.4500000000000002</v>
      </c>
      <c r="K13" s="109">
        <f t="shared" ref="K13:K31" si="0">IF(C13&gt;9999,"",ROUND(SUM(E13:J13),2))</f>
        <v>16.82</v>
      </c>
      <c r="L13" s="110"/>
    </row>
    <row r="14" spans="1:13" x14ac:dyDescent="0.2">
      <c r="A14" s="170">
        <v>3</v>
      </c>
      <c r="B14" s="111" t="s">
        <v>551</v>
      </c>
      <c r="C14" s="112">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t="s">
        <v>915</v>
      </c>
      <c r="B15" s="217" t="s">
        <v>942</v>
      </c>
      <c r="C15" s="214">
        <v>85</v>
      </c>
      <c r="D15" s="214"/>
      <c r="E15" s="215">
        <f>IF(B15=0,"",IF(C15&gt;9999,"",ROUND('General Variables'!$B$4*VLOOKUP(B15,Operations!$A$2:$U$79,10,FALSE)/VLOOKUP(B15,Operations!$A$2:$U$79,9,FALSE)*C15,2))/100)</f>
        <v>1.9419</v>
      </c>
      <c r="F15" s="215">
        <f>IF(B15=0,0,IF(C15&gt;9999,"",ROUND(IF(VLOOKUP(B15,Operations!$A$2:$U$79,12,FALSE)=0,VLOOKUP(B15,Operations!$A$2:$U$79,13,FALSE)*'General Variables'!$B$8,VLOOKUP(B15,Operations!$A$2:$U$79,12,FALSE)*'General Variables'!$B$7)/VLOOKUP(B15,Operations!$A$2:$U$79,9,FALSE)*C15,2))/100)</f>
        <v>2.1882000000000001</v>
      </c>
      <c r="G15" s="215">
        <f>IF(B15=0,0,IF(C15&gt;9999,"",ROUND(VLOOKUP(VLOOKUP(B15,Operations!$A$2:$U$79,11,FALSE),PowerUnits[],10,FALSE)/VLOOKUP(B15,Operations!$A$2:$U$79,9,FALSE)*C15,2))/80)</f>
        <v>4.218</v>
      </c>
      <c r="H15" s="215">
        <f>IF(B15=0,"",IF(C15&gt;9999,"",ROUND(VLOOKUP($B15,Operations!$A$2:$U$79,15,FALSE)*C15,2))/100)</f>
        <v>0.33880000000000005</v>
      </c>
      <c r="I15" s="215">
        <f>IF(B15=0,0,IF(C15&gt;9999,"",ROUND(VLOOKUP(VLOOKUP(B15,Operations!$A$2:$U$79,11,FALSE),PowerUnits[],16,FALSE)/VLOOKUP(B15,Operations!$A$2:$U$79,9,FALSE)*C15,2))/80)</f>
        <v>10.157999999999999</v>
      </c>
      <c r="J15" s="215">
        <f>IF(B15=0,"",IF(C15&gt;9999,"",ROUND(VLOOKUP($B15,Operations!$A$2:$U$79,21,FALSE)*$C15,2))/80)</f>
        <v>3.2734999999999999</v>
      </c>
      <c r="K15" s="215">
        <f>IF(C15&gt;9999,"",ROUND(SUM(E15:J15),2))</f>
        <v>22.12</v>
      </c>
      <c r="L15" s="216"/>
    </row>
    <row r="16" spans="1:13" x14ac:dyDescent="0.2">
      <c r="A16" s="170">
        <v>5</v>
      </c>
      <c r="B16" s="111" t="s">
        <v>565</v>
      </c>
      <c r="C16" s="112"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hidden="1" x14ac:dyDescent="0.2">
      <c r="A17" s="170">
        <v>6</v>
      </c>
      <c r="B17" s="111"/>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IF(C17&gt;9999,"",ROUND(SUM(E17:J17),2))</f>
        <v>0</v>
      </c>
      <c r="L17" s="110"/>
    </row>
    <row r="18" spans="1:12" hidden="1" x14ac:dyDescent="0.2">
      <c r="A18" s="170">
        <v>7</v>
      </c>
      <c r="B18" s="111"/>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IF(C18&gt;9999,"",ROUND(SUM(E18:J18),2))</f>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6.3619000000000003</v>
      </c>
      <c r="F33" s="109">
        <f t="shared" ref="F33:K33" si="1">SUM(F12:F31)</f>
        <v>3.9882</v>
      </c>
      <c r="G33" s="109">
        <f t="shared" si="1"/>
        <v>4.3479999999999999</v>
      </c>
      <c r="H33" s="109">
        <f t="shared" si="1"/>
        <v>8.9588000000000001</v>
      </c>
      <c r="I33" s="109">
        <f t="shared" si="1"/>
        <v>16.238</v>
      </c>
      <c r="J33" s="109">
        <f t="shared" si="1"/>
        <v>11.9435</v>
      </c>
      <c r="K33" s="109">
        <f t="shared" si="1"/>
        <v>51.84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11" t="s">
        <v>205</v>
      </c>
      <c r="C37" s="388" t="str">
        <f>IF(B37=0,"",VLOOKUP($B37,Table2[],2,FALSE))</f>
        <v>Fertilizer</v>
      </c>
      <c r="D37" s="388"/>
      <c r="E37" s="388"/>
      <c r="F37" s="112">
        <v>1</v>
      </c>
      <c r="G37" s="177">
        <v>1</v>
      </c>
      <c r="H37" s="178">
        <v>100</v>
      </c>
      <c r="I37" s="120" t="str">
        <f>IF($B37=0,"",VLOOKUP($B37,Table2[],5,FALSE))</f>
        <v>lbs N</v>
      </c>
      <c r="J37" s="109">
        <f>IF($B37=0,"",VLOOKUP($B37,Table2[],7,FALSE))</f>
        <v>0.5</v>
      </c>
      <c r="K37" s="109">
        <f>IF(B37=0,0,ROUND(G37*H37*J37,2))</f>
        <v>50</v>
      </c>
      <c r="L37" s="110"/>
    </row>
    <row r="38" spans="1:12" x14ac:dyDescent="0.2">
      <c r="A38" s="105"/>
      <c r="B38" s="111" t="s">
        <v>335</v>
      </c>
      <c r="C38" s="388" t="str">
        <f>IF(B38=0,"",VLOOKUP($B38,Table2[],2,FALSE))</f>
        <v>Seed</v>
      </c>
      <c r="D38" s="388"/>
      <c r="E38" s="388"/>
      <c r="F38" s="112">
        <v>2</v>
      </c>
      <c r="G38" s="177">
        <v>1</v>
      </c>
      <c r="H38" s="178">
        <v>2</v>
      </c>
      <c r="I38" s="120" t="str">
        <f>IF($B38=0,"",VLOOKUP($B38,Table2[],5,FALSE))</f>
        <v>bushel</v>
      </c>
      <c r="J38" s="109">
        <f>IF($B38=0,"",VLOOKUP($B38,Table2[],7,FALSE))</f>
        <v>12</v>
      </c>
      <c r="K38" s="109">
        <f t="shared" ref="K38:K55" si="2">IF(B38=0,0,ROUND(G38*H38*J38,2))</f>
        <v>24</v>
      </c>
      <c r="L38" s="110"/>
    </row>
    <row r="39" spans="1:12" x14ac:dyDescent="0.2">
      <c r="A39" s="105"/>
      <c r="B39" s="111" t="s">
        <v>201</v>
      </c>
      <c r="C39" s="388" t="str">
        <f>IF(B39=0,"",VLOOKUP($B39,Table2[],2,FALSE))</f>
        <v>Fertilizer</v>
      </c>
      <c r="D39" s="388"/>
      <c r="E39" s="388"/>
      <c r="F39" s="112">
        <v>2</v>
      </c>
      <c r="G39" s="177">
        <v>1</v>
      </c>
      <c r="H39" s="178">
        <v>6</v>
      </c>
      <c r="I39" s="120" t="str">
        <f>IF($B39=0,"",VLOOKUP($B39,Table2[],5,FALSE))</f>
        <v>gallon</v>
      </c>
      <c r="J39" s="109">
        <f>IF($B39=0,"",VLOOKUP($B39,Table2[],7,FALSE))</f>
        <v>3.1</v>
      </c>
      <c r="K39" s="109">
        <f t="shared" si="2"/>
        <v>18.600000000000001</v>
      </c>
      <c r="L39" s="110"/>
    </row>
    <row r="40" spans="1:12" x14ac:dyDescent="0.2">
      <c r="A40" s="105"/>
      <c r="B40" s="217" t="s">
        <v>233</v>
      </c>
      <c r="C40" s="387" t="str">
        <f>IF(B40=0,"",VLOOKUP($B40,Table2[],2,FALSE))</f>
        <v>Herbicide</v>
      </c>
      <c r="D40" s="387"/>
      <c r="E40" s="387"/>
      <c r="F40" s="218">
        <v>3</v>
      </c>
      <c r="G40" s="224">
        <v>1</v>
      </c>
      <c r="H40" s="225">
        <v>0.5</v>
      </c>
      <c r="I40" s="223" t="str">
        <f>IF($B40=0,"",VLOOKUP($B40,Table2[],5,FALSE))</f>
        <v>ounce</v>
      </c>
      <c r="J40" s="215">
        <f>IF($B40=0,"",VLOOKUP($B40,Table2[],7,FALSE))</f>
        <v>7.5</v>
      </c>
      <c r="K40" s="215">
        <f t="shared" si="2"/>
        <v>3.75</v>
      </c>
      <c r="L40" s="216"/>
    </row>
    <row r="41" spans="1:12" x14ac:dyDescent="0.2">
      <c r="A41" s="105"/>
      <c r="B41" s="111" t="s">
        <v>181</v>
      </c>
      <c r="C41" s="388" t="s">
        <v>171</v>
      </c>
      <c r="D41" s="388"/>
      <c r="E41" s="388"/>
      <c r="F41" s="112">
        <v>3</v>
      </c>
      <c r="G41" s="177">
        <v>1</v>
      </c>
      <c r="H41" s="178">
        <v>6</v>
      </c>
      <c r="I41" s="120" t="s">
        <v>174</v>
      </c>
      <c r="J41" s="109">
        <f>IF($B41=0,"",VLOOKUP($B41,Table2[],7,FALSE))</f>
        <v>0.203125</v>
      </c>
      <c r="K41" s="109">
        <f t="shared" ref="K41" si="3">IF(B41=0,0,ROUND(G41*H41*J41,2))</f>
        <v>1.22</v>
      </c>
      <c r="L41" s="110"/>
    </row>
    <row r="42" spans="1:12" x14ac:dyDescent="0.2">
      <c r="A42" s="105"/>
      <c r="B42" s="111" t="s">
        <v>227</v>
      </c>
      <c r="C42" s="388" t="str">
        <f>IF(B42=0,"",VLOOKUP($B42,Table2[],2,FALSE))</f>
        <v>Herbicide</v>
      </c>
      <c r="D42" s="388"/>
      <c r="E42" s="388"/>
      <c r="F42" s="112">
        <v>3</v>
      </c>
      <c r="G42" s="177">
        <v>1</v>
      </c>
      <c r="H42" s="178">
        <v>1</v>
      </c>
      <c r="I42" s="120" t="str">
        <f>IF($B42=0,"",VLOOKUP($B42,Table2[],5,FALSE))</f>
        <v>pint</v>
      </c>
      <c r="J42" s="109">
        <f>IF($B42=0,"",VLOOKUP($B42,Table2[],7,FALSE))</f>
        <v>2.5</v>
      </c>
      <c r="K42" s="109">
        <f t="shared" si="2"/>
        <v>2.5</v>
      </c>
      <c r="L42" s="110"/>
    </row>
    <row r="43" spans="1:12" x14ac:dyDescent="0.2">
      <c r="A43" s="143"/>
      <c r="B43" s="111" t="s">
        <v>198</v>
      </c>
      <c r="C43" s="388" t="str">
        <f>IF(B43=0,"",VLOOKUP($B43,Table2[],2,FALSE))</f>
        <v>Custom</v>
      </c>
      <c r="D43" s="388"/>
      <c r="E43" s="388"/>
      <c r="F43" s="112">
        <v>5</v>
      </c>
      <c r="G43" s="177">
        <v>1</v>
      </c>
      <c r="H43" s="178">
        <f>$G$4</f>
        <v>85</v>
      </c>
      <c r="I43" s="120" t="str">
        <f>IF($B43=0,"",VLOOKUP($B43,Table2[],5,FALSE))</f>
        <v>bushel</v>
      </c>
      <c r="J43" s="109">
        <f>IF($B43=0,"",VLOOKUP($B43,Table2[],7,FALSE))</f>
        <v>0.15</v>
      </c>
      <c r="K43" s="109">
        <f t="shared" si="2"/>
        <v>12.75</v>
      </c>
      <c r="L43" s="110"/>
    </row>
    <row r="44" spans="1:12" ht="12.75" hidden="1" customHeight="1" x14ac:dyDescent="0.2">
      <c r="A44" s="143"/>
      <c r="B44" s="217"/>
      <c r="C44" s="387" t="str">
        <f>IF(B44=0,"",VLOOKUP($B44,Table2[],2,FALSE))</f>
        <v/>
      </c>
      <c r="D44" s="387"/>
      <c r="E44" s="387"/>
      <c r="F44" s="218"/>
      <c r="G44" s="224"/>
      <c r="H44" s="225"/>
      <c r="I44" s="223" t="str">
        <f>IF($B44=0,"",VLOOKUP($B44,Table2[],5,FALSE))</f>
        <v/>
      </c>
      <c r="J44" s="215" t="str">
        <f>IF($B44=0,"",VLOOKUP($B44,Table2[],7,FALSE))</f>
        <v/>
      </c>
      <c r="K44" s="215">
        <f t="shared" si="2"/>
        <v>0</v>
      </c>
      <c r="L44" s="216"/>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260" t="s">
        <v>430</v>
      </c>
      <c r="C61" s="387" t="s">
        <v>655</v>
      </c>
      <c r="D61" s="387"/>
      <c r="E61" s="387"/>
      <c r="F61" s="218"/>
      <c r="G61" s="224"/>
      <c r="H61" s="225"/>
      <c r="I61" s="247"/>
      <c r="J61" s="215">
        <f ca="1">IF(F5=0,E5,F5)</f>
        <v>13</v>
      </c>
      <c r="K61" s="215">
        <f ca="1">IF(B61=0,0,J61)</f>
        <v>13</v>
      </c>
      <c r="L61" s="227"/>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125.82</v>
      </c>
      <c r="L63" s="110"/>
    </row>
    <row r="64" spans="1:12" x14ac:dyDescent="0.2">
      <c r="B64" s="358" t="s">
        <v>909</v>
      </c>
      <c r="K64" s="127"/>
    </row>
    <row r="65" spans="2:12" x14ac:dyDescent="0.2">
      <c r="B65" s="358"/>
      <c r="K65" s="127"/>
    </row>
    <row r="66" spans="2:12" x14ac:dyDescent="0.2">
      <c r="B66" s="107" t="s">
        <v>672</v>
      </c>
      <c r="K66" s="127">
        <f ca="1">K33+K63</f>
        <v>177.66</v>
      </c>
      <c r="L66" s="110"/>
    </row>
    <row r="67" spans="2:12" ht="13.5" thickBot="1" x14ac:dyDescent="0.25">
      <c r="D67" s="128" t="s">
        <v>673</v>
      </c>
      <c r="E67" s="129">
        <f ca="1">ROUND(SUM($E$33:$H$33)+$K$63,2)</f>
        <v>149.47999999999999</v>
      </c>
      <c r="F67" s="388" t="s">
        <v>674</v>
      </c>
      <c r="G67" s="388"/>
      <c r="H67" s="130">
        <f>'General Variables'!$B$11</f>
        <v>7.4999999999999997E-2</v>
      </c>
      <c r="I67" s="131" t="str">
        <f>CONCATENATE("for ",TEXT('General Variables'!$B$12,"0.0")," mo.")</f>
        <v>for 6.0 mo.</v>
      </c>
      <c r="K67" s="132">
        <f ca="1">E67*H67*'General Variables'!$B$12/12</f>
        <v>5.6054999999999993</v>
      </c>
      <c r="L67" s="133"/>
    </row>
    <row r="68" spans="2:12" ht="13.5" thickTop="1" x14ac:dyDescent="0.2">
      <c r="B68" s="107" t="s">
        <v>675</v>
      </c>
      <c r="K68" s="127">
        <f ca="1">SUM(K66:K67)</f>
        <v>183.2655</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30</v>
      </c>
      <c r="D71" s="399"/>
      <c r="E71" s="400"/>
      <c r="F71" s="136">
        <f>IF(C71=0,0,VLOOKUP(C71,RETable,2,FALSE))</f>
        <v>4530</v>
      </c>
      <c r="G71" s="388" t="s">
        <v>678</v>
      </c>
      <c r="H71" s="388"/>
      <c r="I71" s="130">
        <f>'General Variables'!$B$10</f>
        <v>0.03</v>
      </c>
      <c r="K71" s="137">
        <f>ROUND(F71*I71,2)</f>
        <v>135.9</v>
      </c>
      <c r="L71" s="110"/>
    </row>
    <row r="72" spans="2:12" ht="13.5" thickBot="1" x14ac:dyDescent="0.25">
      <c r="B72" s="103" t="s">
        <v>679</v>
      </c>
      <c r="F72" s="138">
        <f>IF(C71=0,0,VLOOKUP(C71,RETable,2,FALSE))</f>
        <v>4530</v>
      </c>
      <c r="G72" s="397" t="s">
        <v>678</v>
      </c>
      <c r="H72" s="397"/>
      <c r="I72" s="139">
        <f>'General Variables'!$B$13</f>
        <v>1.2999999999999999E-2</v>
      </c>
      <c r="J72" s="105"/>
      <c r="K72" s="140">
        <f>ROUND(F72*I72,2)</f>
        <v>58.89</v>
      </c>
      <c r="L72" s="133"/>
    </row>
    <row r="73" spans="2:12" ht="13.5" thickTop="1" x14ac:dyDescent="0.2">
      <c r="B73" s="107" t="s">
        <v>680</v>
      </c>
      <c r="K73" s="127">
        <f ca="1">SUM(K68:K72)</f>
        <v>396.05549999999999</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2.7291235294117646</v>
      </c>
      <c r="L75" s="148"/>
    </row>
    <row r="76" spans="2:12" x14ac:dyDescent="0.2">
      <c r="B76" s="107" t="str">
        <f>IF(G4="","","Cost of production per "&amp;H4)</f>
        <v>Cost of production per bushel</v>
      </c>
      <c r="K76" s="141">
        <f ca="1">IF(G4="","",K73/G4)</f>
        <v>4.6594764705882357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58:E58"/>
    <mergeCell ref="C60:E60"/>
    <mergeCell ref="C47:E47"/>
    <mergeCell ref="G10:H10"/>
    <mergeCell ref="K10:K11"/>
    <mergeCell ref="L10:L11"/>
    <mergeCell ref="F35:F36"/>
    <mergeCell ref="G35:G36"/>
    <mergeCell ref="H35:I35"/>
    <mergeCell ref="J35:J36"/>
    <mergeCell ref="L35:L36"/>
    <mergeCell ref="I10:J10"/>
    <mergeCell ref="C37:E37"/>
    <mergeCell ref="C38:E38"/>
    <mergeCell ref="C39:E39"/>
    <mergeCell ref="C40:E40"/>
    <mergeCell ref="C42:E42"/>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B00-000000000000}">
      <formula1>$B$112:$B$209</formula1>
    </dataValidation>
    <dataValidation type="list" allowBlank="1" showInputMessage="1" showErrorMessage="1" sqref="B62" xr:uid="{00000000-0002-0000-3B00-000001000000}">
      <formula1>$C$112:$C$230</formula1>
    </dataValidation>
    <dataValidation type="list" allowBlank="1" showInputMessage="1" showErrorMessage="1" sqref="K4" xr:uid="{00000000-0002-0000-3B00-000002000000}">
      <formula1>$K$112:$K$114</formula1>
    </dataValidation>
    <dataValidation type="list" allowBlank="1" showInputMessage="1" showErrorMessage="1" sqref="C71:E71" xr:uid="{00000000-0002-0000-3B00-000003000000}">
      <formula1>RealEstateList</formula1>
    </dataValidation>
    <dataValidation type="list" allowBlank="1" showInputMessage="1" showErrorMessage="1" sqref="B12:B31" xr:uid="{00000000-0002-0000-3B00-000004000000}">
      <formula1>OperationList</formula1>
    </dataValidation>
    <dataValidation type="list" allowBlank="1" showInputMessage="1" showErrorMessage="1" sqref="D12:D32" xr:uid="{00000000-0002-0000-3B00-000005000000}">
      <formula1>#REF!</formula1>
    </dataValidation>
    <dataValidation type="list" allowBlank="1" showInputMessage="1" showErrorMessage="1" sqref="K2" xr:uid="{00000000-0002-0000-3B00-000006000000}">
      <formula1>watersource</formula1>
    </dataValidation>
    <dataValidation type="list" allowBlank="1" showInputMessage="1" showErrorMessage="1" sqref="C3" xr:uid="{00000000-0002-0000-3B00-000007000000}">
      <formula1>TillageSystem</formula1>
    </dataValidation>
    <dataValidation type="list" allowBlank="1" showInputMessage="1" showErrorMessage="1" sqref="B37:B60" xr:uid="{00000000-0002-0000-3B00-000008000000}">
      <formula1>MaterialList</formula1>
    </dataValidation>
  </dataValidations>
  <pageMargins left="0.7" right="0.7" top="0.75" bottom="0.75" header="0.3" footer="0.3"/>
  <pageSetup scale="7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2">
    <pageSetUpPr fitToPage="1"/>
  </sheetPr>
  <dimension ref="A2:M256"/>
  <sheetViews>
    <sheetView zoomScaleNormal="100" workbookViewId="0">
      <selection activeCell="B8" sqref="B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t="s">
        <v>69</v>
      </c>
      <c r="L2" s="401"/>
    </row>
    <row r="3" spans="1:13" hidden="1" x14ac:dyDescent="0.2">
      <c r="B3" s="103" t="s">
        <v>38</v>
      </c>
      <c r="C3" s="391"/>
      <c r="D3" s="391"/>
      <c r="E3" s="391"/>
      <c r="G3" s="128" t="s">
        <v>650</v>
      </c>
      <c r="H3" s="187" t="s">
        <v>757</v>
      </c>
      <c r="J3" s="128" t="s">
        <v>651</v>
      </c>
      <c r="K3" s="187">
        <v>18</v>
      </c>
    </row>
    <row r="4" spans="1:13" hidden="1" x14ac:dyDescent="0.2">
      <c r="B4" s="103" t="s">
        <v>652</v>
      </c>
      <c r="C4" s="392" t="s">
        <v>758</v>
      </c>
      <c r="D4" s="392"/>
      <c r="E4" s="392"/>
      <c r="G4" s="103">
        <f>IFERROR(VALUE(LEFT($H$3,FIND(" ",$H$3))),"")</f>
        <v>11</v>
      </c>
      <c r="H4" s="103" t="str">
        <f>IFERROR(RIGHT(H3,LEN(H3)-LEN(G4)-1),"")</f>
        <v>AUM</v>
      </c>
      <c r="J4" s="128" t="s">
        <v>653</v>
      </c>
      <c r="K4" s="188" t="s">
        <v>654</v>
      </c>
    </row>
    <row r="5" spans="1:13" ht="15.75" hidden="1" customHeight="1" x14ac:dyDescent="0.2">
      <c r="B5" s="103" t="s">
        <v>655</v>
      </c>
      <c r="C5" s="103" t="str">
        <f ca="1">MID(CELL("filename",C5),FIND("]",CELL("filename",C5))+1,255)</f>
        <v>56-Pasture</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56-Pasture, Grazing, 11 AUM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56-Pasture, Grazing, 11 AUM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523</v>
      </c>
      <c r="C12" s="174">
        <f>$K$3</f>
        <v>18</v>
      </c>
      <c r="D12" s="174" t="s">
        <v>693</v>
      </c>
      <c r="E12" s="159">
        <f>IF(B12=0,"",IF(C12&gt;9999,"",ROUND('General Variables'!$B$4*VLOOKUP(B12,Operations!$A$2:$U$79,10,FALSE)/VLOOKUP(B12,Operations!$A$2:$U$79,9,FALSE)*C12,2)))</f>
        <v>22.5</v>
      </c>
      <c r="F12" s="159">
        <f>IF(B12=0,0,ROUND(IF(VLOOKUP(B12,Operations!$A$2:$U$79,12,FALSE)=0,VLOOKUP(B12,Operations!$A$2:$U$79,13,FALSE)*'General Variables'!$B$8,VLOOKUP(B12,Operations!$A$2:$U$79,12,FALSE)*'General Variables'!$B$7)/VLOOKUP(B12,Operations!$A$2:$U$79,9,FALSE)*LEFT(C12,3),2))</f>
        <v>106.78</v>
      </c>
      <c r="G12" s="159">
        <f>IF(B12=0,0,ROUND(VLOOKUP(VLOOKUP(B12,Operations!$A$2:$U$79,11,FALSE),PowerUnits[],10,FALSE)/VLOOKUP(B12,Operations!$A$2:$U$79,9,FALSE)*LEFT(C12,3),2))</f>
        <v>9.8000000000000007</v>
      </c>
      <c r="H12" s="159">
        <v>8</v>
      </c>
      <c r="I12" s="159">
        <f>IF(B12=0,0,ROUND(VLOOKUP(VLOOKUP(B12,Operations!$A$2:$U$79,11,FALSE),PowerUnits[],16,FALSE)/VLOOKUP(B12,Operations!$A$2:$U$79,9,FALSE)*LEFT(C12,3),2))</f>
        <v>18.61</v>
      </c>
      <c r="J12" s="159">
        <f>IF(B12=0,"",ROUND(VLOOKUP($B12,Operations!$A$2:$U$79,21,FALSE)*LEFT(C12,3),2))</f>
        <v>28.48</v>
      </c>
      <c r="K12" s="159">
        <f>SUM(E12:J12)</f>
        <v>194.17</v>
      </c>
    </row>
    <row r="13" spans="1:13" hidden="1" x14ac:dyDescent="0.2">
      <c r="A13" s="170">
        <v>2</v>
      </c>
      <c r="B13" s="180"/>
      <c r="C13" s="174"/>
      <c r="D13" s="174"/>
      <c r="E13" s="109" t="str">
        <f>IF(B13=0,"",IF(C13&gt;9999,"",ROUND('General Variables'!$B$4*VLOOKUP(B13,Operations!$A$2:$U$79,10,FALSE)/VLOOKUP(B13,Operations!$A$2:$U$79,9,FALSE)*C13,2)))</f>
        <v/>
      </c>
      <c r="F13" s="109">
        <f>IF(B13=0,0,IF(C13&gt;9999,"",ROUND(IF(VLOOKUP(B13,Operations!$A$2:$U$79,12,FALSE)=0,VLOOKUP(B13,Operations!$A$2:$U$79,13,FALSE)*'General Variables'!$B$8,VLOOKUP(B13,Operations!$A$2:$U$79,12,FALSE)*'General Variables'!$B$7)/VLOOKUP(B13,Operations!$A$2:$U$79,9,FALSE)*C13,2)))</f>
        <v>0</v>
      </c>
      <c r="G13" s="109">
        <f>IF(B13=0,0,IF(C13&gt;9999,"",ROUND(VLOOKUP(VLOOKUP(B13,Operations!$A$2:$U$79,11,FALSE),PowerUnits[],10,FALSE)/VLOOKUP(B13,Operations!$A$2:$U$79,9,FALSE)*C13,2)))</f>
        <v>0</v>
      </c>
      <c r="H13" s="109" t="str">
        <f>IF(B13=0,"",IF(C13&gt;9999,"",ROUND(VLOOKUP($B13,Operations!$A$2:$U$79,15,FALSE)*C13,2)))</f>
        <v/>
      </c>
      <c r="I13" s="109">
        <f>IF(B13=0,0,IF(C13&gt;9999,"",ROUND(VLOOKUP(VLOOKUP(B13,Operations!$A$2:$U$79,11,FALSE),PowerUnits[],16,FALSE)/VLOOKUP(B13,Operations!$A$2:$U$79,9,FALSE)*C13,2)))</f>
        <v>0</v>
      </c>
      <c r="J13" s="109" t="str">
        <f>IF(B13=0,"",IF(C13&gt;9999,"",ROUND(VLOOKUP($B13,Operations!$A$2:$U$79,21,FALSE)*$C13,2)))</f>
        <v/>
      </c>
      <c r="K13" s="109">
        <f t="shared" ref="K13:K31" si="0">IF(C13&gt;9999,"",ROUND(SUM(E13:J13),2))</f>
        <v>0</v>
      </c>
      <c r="L13" s="110"/>
    </row>
    <row r="14" spans="1:13" hidden="1" x14ac:dyDescent="0.2">
      <c r="A14" s="170">
        <v>3</v>
      </c>
      <c r="B14" s="180"/>
      <c r="C14" s="174"/>
      <c r="D14" s="174"/>
      <c r="E14" s="109" t="str">
        <f>IF(B14=0,"",IF(C14&gt;9999,"",ROUND('General Variables'!$B$4*VLOOKUP(B14,Operations!$A$2:$U$79,10,FALSE)/VLOOKUP(B14,Operations!$A$2:$U$79,9,FALSE)*C14,2)))</f>
        <v/>
      </c>
      <c r="F14" s="109">
        <f>IF(B14=0,0,IF(C14&gt;9999,"",ROUND(IF(VLOOKUP(B14,Operations!$A$2:$U$79,12,FALSE)=0,VLOOKUP(B14,Operations!$A$2:$U$79,13,FALSE)*'General Variables'!$B$8,VLOOKUP(B14,Operations!$A$2:$U$79,12,FALSE)*'General Variables'!$B$7)/VLOOKUP(B14,Operations!$A$2:$U$79,9,FALSE)*C14,2)))</f>
        <v>0</v>
      </c>
      <c r="G14" s="109">
        <f>IF(B14=0,0,IF(C14&gt;9999,"",ROUND(VLOOKUP(VLOOKUP(B14,Operations!$A$2:$U$79,11,FALSE),PowerUnits[],10,FALSE)/VLOOKUP(B14,Operations!$A$2:$U$79,9,FALSE)*C14,2)))</f>
        <v>0</v>
      </c>
      <c r="H14" s="109" t="str">
        <f>IF(B14=0,"",IF(C14&gt;9999,"",ROUND(VLOOKUP($B14,Operations!$A$2:$U$79,15,FALSE)*C14,2)))</f>
        <v/>
      </c>
      <c r="I14" s="109">
        <f>IF(B14=0,0,IF(C14&gt;9999,"",ROUND(VLOOKUP(VLOOKUP(B14,Operations!$A$2:$U$79,11,FALSE),PowerUnits[],16,FALSE)/VLOOKUP(B14,Operations!$A$2:$U$79,9,FALSE)*C14,2)))</f>
        <v>0</v>
      </c>
      <c r="J14" s="109" t="str">
        <f>IF(B14=0,"",IF(C14&gt;9999,"",ROUND(VLOOKUP($B14,Operations!$A$2:$U$79,21,FALSE)*$C14,2)))</f>
        <v/>
      </c>
      <c r="K14" s="109">
        <f t="shared" si="0"/>
        <v>0</v>
      </c>
      <c r="L14" s="110"/>
    </row>
    <row r="15" spans="1:13" hidden="1" x14ac:dyDescent="0.2">
      <c r="A15" s="170">
        <v>4</v>
      </c>
      <c r="B15" s="213"/>
      <c r="C15" s="214"/>
      <c r="D15" s="214"/>
      <c r="E15" s="215" t="str">
        <f>IF(B15=0,"",IF(C15&gt;9999,"",ROUND('General Variables'!$B$4*VLOOKUP(B15,Operations!$A$2:$U$79,10,FALSE)/VLOOKUP(B15,Operations!$A$2:$U$79,9,FALSE)*C15,2)))</f>
        <v/>
      </c>
      <c r="F15" s="215">
        <f>IF(B15=0,0,IF(C15&gt;9999,"",ROUND(IF(VLOOKUP(B15,Operations!$A$2:$U$79,12,FALSE)=0,VLOOKUP(B15,Operations!$A$2:$U$79,13,FALSE)*'General Variables'!$B$8,VLOOKUP(B15,Operations!$A$2:$U$79,12,FALSE)*'General Variables'!$B$7)/VLOOKUP(B15,Operations!$A$2:$U$79,9,FALSE)*C15,2)))</f>
        <v>0</v>
      </c>
      <c r="G15" s="215">
        <f>IF(B15=0,0,IF(C15&gt;9999,"",ROUND(VLOOKUP(VLOOKUP(B15,Operations!$A$2:$U$79,11,FALSE),PowerUnits[],10,FALSE)/VLOOKUP(B15,Operations!$A$2:$U$79,9,FALSE)*C15,2)))</f>
        <v>0</v>
      </c>
      <c r="H15" s="215" t="str">
        <f>IF(B15=0,"",IF(C15&gt;9999,"",ROUND(VLOOKUP($B15,Operations!$A$2:$U$79,15,FALSE)*C15,2)))</f>
        <v/>
      </c>
      <c r="I15" s="215">
        <f>IF(B15=0,0,IF(C15&gt;9999,"",ROUND(VLOOKUP(VLOOKUP(B15,Operations!$A$2:$U$79,11,FALSE),PowerUnits[],16,FALSE)/VLOOKUP(B15,Operations!$A$2:$U$79,9,FALSE)*C15,2)))</f>
        <v>0</v>
      </c>
      <c r="J15" s="215" t="str">
        <f>IF(B15=0,"",IF(C15&gt;9999,"",ROUND(VLOOKUP($B15,Operations!$A$2:$U$79,21,FALSE)*$C15,2)))</f>
        <v/>
      </c>
      <c r="K15" s="215">
        <f t="shared" si="0"/>
        <v>0</v>
      </c>
      <c r="L15" s="216"/>
    </row>
    <row r="16" spans="1:13" hidden="1" x14ac:dyDescent="0.2">
      <c r="A16" s="170">
        <v>5</v>
      </c>
      <c r="B16" s="180"/>
      <c r="C16" s="174"/>
      <c r="D16" s="174"/>
      <c r="E16" s="109" t="str">
        <f>IF(B16=0,"",IF(C16&gt;9999,"",ROUND('General Variables'!$B$4*VLOOKUP(B16,Operations!$A$2:$U$79,10,FALSE)/VLOOKUP(B16,Operations!$A$2:$U$79,9,FALSE)*C16,2)))</f>
        <v/>
      </c>
      <c r="F16" s="109">
        <f>IF(B16=0,0,IF(C16&gt;9999,"",ROUND(IF(VLOOKUP(B16,Operations!$A$2:$U$79,12,FALSE)=0,VLOOKUP(B16,Operations!$A$2:$U$79,13,FALSE)*'General Variables'!$B$8,VLOOKUP(B16,Operations!$A$2:$U$79,12,FALSE)*'General Variables'!$B$7)/VLOOKUP(B16,Operations!$A$2:$U$79,9,FALSE)*C16,2)))</f>
        <v>0</v>
      </c>
      <c r="G16" s="109">
        <f>IF(B16=0,0,IF(C16&gt;9999,"",ROUND(VLOOKUP(VLOOKUP(B16,Operations!$A$2:$U$79,11,FALSE),PowerUnits[],10,FALSE)/VLOOKUP(B16,Operations!$A$2:$U$79,9,FALSE)*C16,2)))</f>
        <v>0</v>
      </c>
      <c r="H16" s="109" t="str">
        <f>IF(B16=0,"",IF(C16&gt;9999,"",ROUND(VLOOKUP($B16,Operations!$A$2:$U$79,15,FALSE)*C16,2)))</f>
        <v/>
      </c>
      <c r="I16" s="109">
        <f>IF(B16=0,0,IF(C16&gt;9999,"",ROUND(VLOOKUP(VLOOKUP(B16,Operations!$A$2:$U$79,11,FALSE),PowerUnits[],16,FALSE)/VLOOKUP(B16,Operations!$A$2:$U$79,9,FALSE)*C16,2)))</f>
        <v>0</v>
      </c>
      <c r="J16" s="109" t="str">
        <f>IF(B16=0,"",IF(C16&gt;9999,"",ROUND(VLOOKUP($B16,Operations!$A$2:$U$79,21,FALSE)*$C16,2)))</f>
        <v/>
      </c>
      <c r="K16" s="109">
        <f t="shared" si="0"/>
        <v>0</v>
      </c>
      <c r="L16" s="110"/>
    </row>
    <row r="17" spans="1:12" hidden="1" x14ac:dyDescent="0.2">
      <c r="A17" s="170">
        <v>6</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22.5</v>
      </c>
      <c r="F33" s="109">
        <f t="shared" ref="F33:K33" si="1">SUM(F12:F31)</f>
        <v>106.78</v>
      </c>
      <c r="G33" s="109">
        <f t="shared" si="1"/>
        <v>9.8000000000000007</v>
      </c>
      <c r="H33" s="109">
        <f t="shared" si="1"/>
        <v>8</v>
      </c>
      <c r="I33" s="109">
        <f t="shared" si="1"/>
        <v>18.61</v>
      </c>
      <c r="J33" s="109">
        <f t="shared" si="1"/>
        <v>28.48</v>
      </c>
      <c r="K33" s="109">
        <f t="shared" si="1"/>
        <v>194.17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217" t="s">
        <v>205</v>
      </c>
      <c r="C37" s="387" t="str">
        <f>IF(B37=0,"",VLOOKUP($B37,Table2[],2,FALSE))</f>
        <v>Fertilizer</v>
      </c>
      <c r="D37" s="387"/>
      <c r="E37" s="387"/>
      <c r="F37" s="218">
        <v>1</v>
      </c>
      <c r="G37" s="224">
        <v>1</v>
      </c>
      <c r="H37" s="225">
        <v>220</v>
      </c>
      <c r="I37" s="223" t="str">
        <f>IF($B37=0,"",VLOOKUP($B37,Table2[],5,FALSE))</f>
        <v>lbs N</v>
      </c>
      <c r="J37" s="215">
        <f>IF($B37=0,"",VLOOKUP($B37,Table2[],7,FALSE))</f>
        <v>0.5</v>
      </c>
      <c r="K37" s="215">
        <f>IF(B37=0,0,ROUND(G37*H37*J37,2))</f>
        <v>110</v>
      </c>
      <c r="L37" s="216"/>
    </row>
    <row r="38" spans="1:12" x14ac:dyDescent="0.2">
      <c r="A38" s="105"/>
      <c r="B38" s="111" t="s">
        <v>295</v>
      </c>
      <c r="C38" s="388" t="str">
        <f>IF(B38=0,"",VLOOKUP($B38,Table2[],2,FALSE))</f>
        <v>Other</v>
      </c>
      <c r="D38" s="388"/>
      <c r="E38" s="388"/>
      <c r="F38" s="112"/>
      <c r="G38" s="177">
        <v>1</v>
      </c>
      <c r="H38" s="178">
        <v>1</v>
      </c>
      <c r="I38" s="120" t="str">
        <f>IF($B38=0,"",VLOOKUP($B38,Table2[],5,FALSE))</f>
        <v>acre</v>
      </c>
      <c r="J38" s="109">
        <f>IF($B38=0,"",VLOOKUP($B38,Table2[],7,FALSE))</f>
        <v>2.3076923076923075</v>
      </c>
      <c r="K38" s="109">
        <f t="shared" ref="K38:K55" si="2">IF(B38=0,0,ROUND(G38*H38*J38,2))</f>
        <v>2.31</v>
      </c>
      <c r="L38" s="110"/>
    </row>
    <row r="39" spans="1:12" x14ac:dyDescent="0.2">
      <c r="A39" s="105"/>
      <c r="B39" s="103" t="s">
        <v>295</v>
      </c>
      <c r="D39" s="103" t="s">
        <v>292</v>
      </c>
      <c r="G39" s="170">
        <v>1</v>
      </c>
      <c r="H39" s="103">
        <v>1</v>
      </c>
      <c r="I39" s="103" t="str">
        <f>IF($B39=0,"",VLOOKUP($B39,Table2[],5,FALSE))</f>
        <v>acre</v>
      </c>
      <c r="J39" s="109">
        <f>IF($B39=0,"",VLOOKUP($B39,Table2[],7,FALSE))</f>
        <v>2.3076923076923075</v>
      </c>
      <c r="K39" s="109">
        <f t="shared" si="2"/>
        <v>2.31</v>
      </c>
      <c r="L39" s="110"/>
    </row>
    <row r="40" spans="1:12" x14ac:dyDescent="0.2">
      <c r="A40" s="105"/>
      <c r="B40" s="103" t="s">
        <v>298</v>
      </c>
      <c r="D40" s="103" t="s">
        <v>292</v>
      </c>
      <c r="G40" s="170">
        <v>1</v>
      </c>
      <c r="H40" s="103">
        <v>1</v>
      </c>
      <c r="I40" s="103" t="str">
        <f>IF($B40=0,"",VLOOKUP($B40,Table2[],5,FALSE))</f>
        <v>hour</v>
      </c>
      <c r="J40" s="109">
        <f>IF($B40=0,"",VLOOKUP($B40,Table2[],7,FALSE))</f>
        <v>40</v>
      </c>
      <c r="K40" s="109">
        <f t="shared" si="2"/>
        <v>40</v>
      </c>
      <c r="L40" s="257"/>
    </row>
    <row r="41" spans="1:12" ht="12.75" customHeight="1" x14ac:dyDescent="0.2">
      <c r="A41" s="105"/>
      <c r="B41" s="213" t="s">
        <v>303</v>
      </c>
      <c r="C41" s="387" t="str">
        <f>IF(B41=0,"",VLOOKUP($B41,Table2[],2,FALSE))</f>
        <v>Other</v>
      </c>
      <c r="D41" s="387"/>
      <c r="E41" s="387"/>
      <c r="F41" s="214"/>
      <c r="G41" s="221">
        <v>1</v>
      </c>
      <c r="H41" s="304">
        <v>1</v>
      </c>
      <c r="I41" s="223" t="str">
        <f>IF($B41=0,"",VLOOKUP($B41,Table2[],5,FALSE))</f>
        <v>acre</v>
      </c>
      <c r="J41" s="215">
        <f>IF($B41=0,"",VLOOKUP($B41,Table2[],7,FALSE))</f>
        <v>1</v>
      </c>
      <c r="K41" s="215">
        <f t="shared" si="2"/>
        <v>1</v>
      </c>
      <c r="L41" s="216"/>
    </row>
    <row r="42" spans="1:12" ht="12.75" hidden="1" customHeight="1" x14ac:dyDescent="0.2">
      <c r="A42" s="105"/>
      <c r="B42" s="180"/>
      <c r="C42" s="388" t="str">
        <f>IF(B42=0,"",VLOOKUP($B42,Table2[],2,FALSE))</f>
        <v/>
      </c>
      <c r="D42" s="388"/>
      <c r="E42" s="388"/>
      <c r="F42" s="174"/>
      <c r="G42" s="175"/>
      <c r="H42" s="181"/>
      <c r="I42" s="120" t="str">
        <f>IF($B42=0,"",VLOOKUP($B42,Table2[],5,FALSE))</f>
        <v/>
      </c>
      <c r="J42" s="109" t="str">
        <f>IF($B42=0,"",VLOOKUP($B42,Table2[],7,FALSE))</f>
        <v/>
      </c>
      <c r="K42" s="109">
        <f t="shared" si="2"/>
        <v>0</v>
      </c>
      <c r="L42" s="110"/>
    </row>
    <row r="43" spans="1:12" ht="12.75" hidden="1" customHeight="1" x14ac:dyDescent="0.2">
      <c r="A43" s="143"/>
      <c r="B43" s="180"/>
      <c r="C43" s="388" t="str">
        <f>IF(B43=0,"",VLOOKUP($B43,Table2[],2,FALSE))</f>
        <v/>
      </c>
      <c r="D43" s="388"/>
      <c r="E43" s="388"/>
      <c r="F43" s="174"/>
      <c r="G43" s="175"/>
      <c r="H43" s="176"/>
      <c r="I43" s="120" t="str">
        <f>IF($B43=0,"",VLOOKUP($B43,Table2[],5,FALSE))</f>
        <v/>
      </c>
      <c r="J43" s="109" t="str">
        <f>IF($B43=0,"",VLOOKUP($B43,Table2[],7,FALSE))</f>
        <v/>
      </c>
      <c r="K43" s="109">
        <f t="shared" si="2"/>
        <v>0</v>
      </c>
      <c r="L43" s="110"/>
    </row>
    <row r="44" spans="1:12" ht="12.75" hidden="1" customHeight="1" x14ac:dyDescent="0.2">
      <c r="A44" s="143"/>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idden="1" x14ac:dyDescent="0.2">
      <c r="B61" s="185" t="s">
        <v>430</v>
      </c>
      <c r="C61" s="388" t="s">
        <v>655</v>
      </c>
      <c r="D61" s="388"/>
      <c r="E61" s="388"/>
      <c r="F61" s="112"/>
      <c r="G61" s="177"/>
      <c r="H61" s="178"/>
      <c r="I61" s="170"/>
      <c r="J61" s="109" t="str">
        <f ca="1">IF(F5=0,E5,F5)</f>
        <v>N/A</v>
      </c>
      <c r="K61" s="109" t="str">
        <f ca="1">IF(B61=0,0,J61)</f>
        <v>N/A</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155.62</v>
      </c>
      <c r="L63" s="110"/>
    </row>
    <row r="64" spans="1:12" x14ac:dyDescent="0.2">
      <c r="B64" s="144"/>
      <c r="K64" s="127"/>
    </row>
    <row r="65" spans="2:12" x14ac:dyDescent="0.2">
      <c r="B65" s="107" t="s">
        <v>672</v>
      </c>
      <c r="K65" s="127">
        <f ca="1">K33+K63</f>
        <v>349.78999999999996</v>
      </c>
      <c r="L65" s="110"/>
    </row>
    <row r="66" spans="2:12" ht="13.5" thickBot="1" x14ac:dyDescent="0.25">
      <c r="D66" s="128" t="s">
        <v>673</v>
      </c>
      <c r="E66" s="129">
        <f ca="1">ROUND(SUM($E$33:$H$33)+$K$63,2)</f>
        <v>302.7</v>
      </c>
      <c r="F66" s="388" t="s">
        <v>674</v>
      </c>
      <c r="G66" s="388"/>
      <c r="H66" s="130">
        <f>'General Variables'!$B$11</f>
        <v>7.4999999999999997E-2</v>
      </c>
      <c r="I66" s="131" t="str">
        <f>CONCATENATE("for ",TEXT('General Variables'!$B$12,"0.0")," mo.")</f>
        <v>for 6.0 mo.</v>
      </c>
      <c r="K66" s="132">
        <f ca="1">E66*H66*'General Variables'!$B$12/12</f>
        <v>11.351249999999999</v>
      </c>
      <c r="L66" s="133"/>
    </row>
    <row r="67" spans="2:12" ht="13.5" thickTop="1" x14ac:dyDescent="0.2">
      <c r="B67" s="107" t="s">
        <v>675</v>
      </c>
      <c r="K67" s="127">
        <f ca="1">SUM(K65:K66)</f>
        <v>361.14124999999996</v>
      </c>
      <c r="L67" s="110"/>
    </row>
    <row r="68" spans="2:12" x14ac:dyDescent="0.2">
      <c r="K68" s="127"/>
    </row>
    <row r="69" spans="2:12" x14ac:dyDescent="0.2">
      <c r="B69" s="104" t="s">
        <v>676</v>
      </c>
      <c r="C69" s="134"/>
      <c r="D69" s="134"/>
      <c r="E69" s="134"/>
      <c r="F69" s="134"/>
      <c r="G69" s="134"/>
      <c r="H69" s="134"/>
      <c r="I69" s="134"/>
      <c r="J69" s="134"/>
      <c r="K69" s="135">
        <f>'General Variables'!B14</f>
        <v>35</v>
      </c>
      <c r="L69" s="110"/>
    </row>
    <row r="70" spans="2:12" x14ac:dyDescent="0.2">
      <c r="B70" s="103" t="s">
        <v>687</v>
      </c>
      <c r="C70" s="398" t="s">
        <v>52</v>
      </c>
      <c r="D70" s="399"/>
      <c r="E70" s="400"/>
      <c r="F70" s="136">
        <f>IF(C70=0,0,VLOOKUP(C70,RETable,2,FALSE))</f>
        <v>6390</v>
      </c>
      <c r="G70" s="388" t="s">
        <v>678</v>
      </c>
      <c r="H70" s="388"/>
      <c r="I70" s="130">
        <f>'General Variables'!$B$10</f>
        <v>0.03</v>
      </c>
      <c r="K70" s="137">
        <f>ROUND(F70*I70,2)</f>
        <v>191.7</v>
      </c>
      <c r="L70" s="110"/>
    </row>
    <row r="71" spans="2:12" ht="13.5" thickBot="1" x14ac:dyDescent="0.25">
      <c r="B71" s="103" t="s">
        <v>679</v>
      </c>
      <c r="F71" s="138">
        <f>IF(C70=0,0,VLOOKUP(C70,RETable,2,FALSE))</f>
        <v>6390</v>
      </c>
      <c r="G71" s="397" t="s">
        <v>678</v>
      </c>
      <c r="H71" s="397"/>
      <c r="I71" s="139">
        <f>'General Variables'!$B$13</f>
        <v>1.2999999999999999E-2</v>
      </c>
      <c r="J71" s="105"/>
      <c r="K71" s="140">
        <f>ROUND(F71*I71,2)</f>
        <v>83.07</v>
      </c>
      <c r="L71" s="133"/>
    </row>
    <row r="72" spans="2:12" ht="13.5" thickTop="1" x14ac:dyDescent="0.2">
      <c r="B72" s="107" t="s">
        <v>680</v>
      </c>
      <c r="K72" s="127">
        <f ca="1">SUM(K67:K71)</f>
        <v>670.91124999999988</v>
      </c>
      <c r="L72" s="110"/>
    </row>
    <row r="73" spans="2:12" x14ac:dyDescent="0.2">
      <c r="K73" s="128"/>
    </row>
    <row r="74" spans="2:12" x14ac:dyDescent="0.2">
      <c r="B74" s="104" t="str">
        <f>IF(G4="","","Cash Cost per "&amp;H4)</f>
        <v>Cash Cost per AUM</v>
      </c>
      <c r="C74" s="261" t="s">
        <v>688</v>
      </c>
      <c r="D74" s="105"/>
      <c r="E74" s="105"/>
      <c r="F74" s="105"/>
      <c r="G74" s="105"/>
      <c r="H74" s="105"/>
      <c r="I74" s="105"/>
      <c r="J74" s="105"/>
      <c r="K74" s="142">
        <f ca="1">IF(G4=0,0,(E66+K66+K69+K71)/G4)</f>
        <v>39.283749999999998</v>
      </c>
      <c r="L74" s="148"/>
    </row>
    <row r="75" spans="2:12" x14ac:dyDescent="0.2">
      <c r="B75" s="107" t="str">
        <f>IF(G4="","","Cost of production per "&amp;H4)</f>
        <v>Cost of production per AUM</v>
      </c>
      <c r="K75" s="141">
        <f ca="1">IF(G4="","",K72/G4)</f>
        <v>60.991931818181804</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6">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C00-000000000000}">
      <formula1>$B$111:$B$208</formula1>
    </dataValidation>
    <dataValidation type="list" allowBlank="1" showInputMessage="1" showErrorMessage="1" sqref="B62" xr:uid="{00000000-0002-0000-3C00-000001000000}">
      <formula1>$C$111:$C$229</formula1>
    </dataValidation>
    <dataValidation type="list" allowBlank="1" showInputMessage="1" showErrorMessage="1" sqref="K4" xr:uid="{00000000-0002-0000-3C00-000002000000}">
      <formula1>$K$111:$K$113</formula1>
    </dataValidation>
    <dataValidation type="list" allowBlank="1" showInputMessage="1" showErrorMessage="1" sqref="B37:B60" xr:uid="{00000000-0002-0000-3C00-000003000000}">
      <formula1>MaterialList</formula1>
    </dataValidation>
    <dataValidation type="list" allowBlank="1" showInputMessage="1" showErrorMessage="1" sqref="C70:E70" xr:uid="{00000000-0002-0000-3C00-000004000000}">
      <formula1>RealEstateList</formula1>
    </dataValidation>
    <dataValidation type="list" allowBlank="1" showInputMessage="1" showErrorMessage="1" sqref="B12:B31" xr:uid="{00000000-0002-0000-3C00-000005000000}">
      <formula1>OperationList</formula1>
    </dataValidation>
    <dataValidation type="list" allowBlank="1" showInputMessage="1" showErrorMessage="1" sqref="D12:D32" xr:uid="{00000000-0002-0000-3C00-000006000000}">
      <formula1>#REF!</formula1>
    </dataValidation>
    <dataValidation type="list" allowBlank="1" showInputMessage="1" showErrorMessage="1" sqref="K2" xr:uid="{00000000-0002-0000-3C00-000007000000}">
      <formula1>watersource</formula1>
    </dataValidation>
    <dataValidation type="list" allowBlank="1" showInputMessage="1" showErrorMessage="1" sqref="C3" xr:uid="{00000000-0002-0000-3C00-000008000000}">
      <formula1>TillageSystem</formula1>
    </dataValidation>
  </dataValidations>
  <pageMargins left="0.7" right="0.7" top="0.75" bottom="0.75" header="0.3" footer="0.3"/>
  <pageSetup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3">
    <pageSetUpPr fitToPage="1"/>
  </sheetPr>
  <dimension ref="A2:M256"/>
  <sheetViews>
    <sheetView topLeftCell="A7" zoomScaleNormal="100" workbookViewId="0">
      <selection activeCell="E14" sqref="E14"/>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46</v>
      </c>
      <c r="D3" s="391"/>
      <c r="E3" s="391"/>
      <c r="G3" s="128" t="s">
        <v>650</v>
      </c>
      <c r="H3" s="187" t="s">
        <v>759</v>
      </c>
      <c r="J3" s="128" t="s">
        <v>651</v>
      </c>
      <c r="K3" s="187"/>
    </row>
    <row r="4" spans="1:13" hidden="1" x14ac:dyDescent="0.2">
      <c r="B4" s="103" t="s">
        <v>652</v>
      </c>
      <c r="C4" s="392"/>
      <c r="D4" s="392"/>
      <c r="E4" s="392"/>
      <c r="G4" s="103">
        <f>IFERROR(VALUE(LEFT($H$3,FIND(" ",$H$3))),"")</f>
        <v>35</v>
      </c>
      <c r="H4" s="103" t="str">
        <f>IFERROR(RIGHT(H3,LEN(H3)-LEN(G4)-1),"")</f>
        <v>bushel</v>
      </c>
      <c r="J4" s="128" t="s">
        <v>653</v>
      </c>
      <c r="K4" s="188"/>
    </row>
    <row r="5" spans="1:13" ht="15.75" hidden="1" customHeight="1" x14ac:dyDescent="0.2">
      <c r="B5" s="103" t="s">
        <v>655</v>
      </c>
      <c r="C5" s="103" t="str">
        <f ca="1">MID(CELL("filename",C5),FIND("]",CELL("filename",C5))+1,255)</f>
        <v>57-Peas</v>
      </c>
      <c r="E5" s="103">
        <f ca="1">VLOOKUP($C$5,CropInsurance,5,FALSE)</f>
        <v>14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57-Peas, Panhandle, No Till, 35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57-Peas, Panhandle, No Till, 35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488</v>
      </c>
      <c r="C12" s="174">
        <v>1</v>
      </c>
      <c r="D12" s="174"/>
      <c r="E12" s="109">
        <f>IF(B12=0,"",IF(C12&gt;9999,"",ROUND('General Variables'!$B$4*VLOOKUP(B12,Operations!$A$2:$U$79,10,FALSE)/VLOOKUP(B12,Operations!$A$2:$U$79,9,FALSE)*C12,2)))</f>
        <v>2.38</v>
      </c>
      <c r="F12" s="109">
        <f>IF(B12=0,0,IF(C12&gt;9999,"",ROUND(IF(VLOOKUP(B12,Operations!$A$2:$U$79,12,FALSE)=0,VLOOKUP(B12,Operations!$A$2:$U$79,13,FALSE)*'General Variables'!$B$8,VLOOKUP(B12,Operations!$A$2:$U$79,12,FALSE)*'General Variables'!$B$7)/VLOOKUP(B12,Operations!$A$2:$U$79,9,FALSE)*C12,2)))</f>
        <v>1.28</v>
      </c>
      <c r="G12" s="109">
        <f>IF(B12=0,0,IF(C12&gt;9999,"",ROUND(VLOOKUP(VLOOKUP(B12,Operations!$A$2:$U$79,11,FALSE),PowerUnits[],10,FALSE)/VLOOKUP(B12,Operations!$A$2:$U$79,9,FALSE)*C12,2)))</f>
        <v>7.0000000000000007E-2</v>
      </c>
      <c r="H12" s="109">
        <f>IF(B12=0,"",IF(C12&gt;9999,"",ROUND(VLOOKUP($B12,Operations!$A$2:$U$79,15,FALSE)*C12,2)))</f>
        <v>7.18</v>
      </c>
      <c r="I12" s="109">
        <f>IF(B12=0,0,IF(C12&gt;9999,"",ROUND(VLOOKUP(VLOOKUP(B12,Operations!$A$2:$U$79,11,FALSE),PowerUnits[],16,FALSE)/VLOOKUP(B12,Operations!$A$2:$U$79,9,FALSE)*C12,2)))</f>
        <v>3.46</v>
      </c>
      <c r="J12" s="109">
        <f>IF(B12=0,"",IF(C12&gt;9999,"",ROUND(VLOOKUP($B12,Operations!$A$2:$U$79,21,FALSE)*$C12,2)))</f>
        <v>2.4500000000000002</v>
      </c>
      <c r="K12" s="109">
        <f>IF(C12&gt;9999,"",ROUND(SUM(E12:J12),2))</f>
        <v>16.82</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t="s">
        <v>914</v>
      </c>
      <c r="B14" s="180" t="s">
        <v>942</v>
      </c>
      <c r="C14" s="174">
        <v>80</v>
      </c>
      <c r="D14" s="174"/>
      <c r="E14" s="109">
        <f>IF(B14=0,"",IF(C14&gt;9999,"",ROUND('General Variables'!$B$4*VLOOKUP(B14,Operations!$A$2:$U$79,10,FALSE)/VLOOKUP(B14,Operations!$A$2:$U$79,9,FALSE)*C14,2))/80)</f>
        <v>2.2846250000000001</v>
      </c>
      <c r="F14" s="109">
        <f>IF(B14=0,0,IF(C14&gt;9999,"",ROUND(IF(VLOOKUP(B14,Operations!$A$2:$U$79,12,FALSE)=0,VLOOKUP(B14,Operations!$A$2:$U$79,13,FALSE)*'General Variables'!$B$8,VLOOKUP(B14,Operations!$A$2:$U$79,12,FALSE)*'General Variables'!$B$7)/VLOOKUP(B14,Operations!$A$2:$U$79,9,FALSE)*C14,2))/80)</f>
        <v>2.5743749999999999</v>
      </c>
      <c r="G14" s="109">
        <f>IF(B14=0,0,IF(C14&gt;9999,"",ROUND(VLOOKUP(VLOOKUP(B14,Operations!$A$2:$U$79,11,FALSE),PowerUnits[],10,FALSE)/VLOOKUP(B14,Operations!$A$2:$U$79,9,FALSE)*C14,2))/80)</f>
        <v>3.9698749999999996</v>
      </c>
      <c r="H14" s="109">
        <f>IF(B14=0,"",IF(C14&gt;9999,"",ROUND(VLOOKUP($B14,Operations!$A$2:$U$79,15,FALSE)*C14,2))/80)</f>
        <v>0.39862500000000001</v>
      </c>
      <c r="I14" s="109">
        <f>IF(B14=0,0,IF(C14&gt;9999,"",ROUND(VLOOKUP(VLOOKUP(B14,Operations!$A$2:$U$79,11,FALSE),PowerUnits[],16,FALSE)/VLOOKUP(B14,Operations!$A$2:$U$79,9,FALSE)*C14,2))/80)</f>
        <v>9.5605000000000011</v>
      </c>
      <c r="J14" s="109">
        <f>IF(B14=0,"",IF(C14&gt;9999,"",ROUND(VLOOKUP($B14,Operations!$A$2:$U$79,21,FALSE)*$C14,2))/80)</f>
        <v>3.0808749999999998</v>
      </c>
      <c r="K14" s="109">
        <f>IF(C14&gt;9999,"",ROUND(SUM(E14:J14),2))</f>
        <v>21.87</v>
      </c>
      <c r="L14" s="110"/>
    </row>
    <row r="15" spans="1:13" x14ac:dyDescent="0.2">
      <c r="A15" s="170">
        <v>4</v>
      </c>
      <c r="B15" s="213" t="s">
        <v>565</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hidden="1" x14ac:dyDescent="0.2">
      <c r="A16" s="170">
        <v>5</v>
      </c>
      <c r="B16" s="180"/>
      <c r="C16" s="174"/>
      <c r="D16" s="174"/>
      <c r="E16" s="109" t="str">
        <f>IF(B16=0,"",IF(C16&gt;9999,"",ROUND('General Variables'!$B$4*VLOOKUP(B16,Operations!$A$2:$U$79,10,FALSE)/VLOOKUP(B16,Operations!$A$2:$U$79,9,FALSE)*C16,2)))</f>
        <v/>
      </c>
      <c r="F16" s="109">
        <f>IF(B16=0,0,IF(C16&gt;9999,"",ROUND(IF(VLOOKUP(B16,Operations!$A$2:$U$79,12,FALSE)=0,VLOOKUP(B16,Operations!$A$2:$U$79,13,FALSE)*'General Variables'!$B$8,VLOOKUP(B16,Operations!$A$2:$U$79,12,FALSE)*'General Variables'!$B$7)/VLOOKUP(B16,Operations!$A$2:$U$79,9,FALSE)*C16,2)))</f>
        <v>0</v>
      </c>
      <c r="G16" s="109">
        <f>IF(B16=0,0,IF(C16&gt;9999,"",ROUND(VLOOKUP(VLOOKUP(B16,Operations!$A$2:$U$79,11,FALSE),PowerUnits[],10,FALSE)/VLOOKUP(B16,Operations!$A$2:$U$79,9,FALSE)*C16,2)))</f>
        <v>0</v>
      </c>
      <c r="H16" s="109" t="str">
        <f>IF(B16=0,"",IF(C16&gt;9999,"",ROUND(VLOOKUP($B16,Operations!$A$2:$U$79,15,FALSE)*C16,2)))</f>
        <v/>
      </c>
      <c r="I16" s="109">
        <f>IF(B16=0,0,IF(C16&gt;9999,"",ROUND(VLOOKUP(VLOOKUP(B16,Operations!$A$2:$U$79,11,FALSE),PowerUnits[],16,FALSE)/VLOOKUP(B16,Operations!$A$2:$U$79,9,FALSE)*C16,2)))</f>
        <v>0</v>
      </c>
      <c r="J16" s="109" t="str">
        <f>IF(B16=0,"",IF(C16&gt;9999,"",ROUND(VLOOKUP($B16,Operations!$A$2:$U$79,21,FALSE)*$C16,2)))</f>
        <v/>
      </c>
      <c r="K16" s="109">
        <f t="shared" si="0"/>
        <v>0</v>
      </c>
      <c r="L16" s="110"/>
    </row>
    <row r="17" spans="1:12" hidden="1" x14ac:dyDescent="0.2">
      <c r="A17" s="170">
        <v>6</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IF(C19&gt;9999,"",ROUND(SUM(E19:J19),2))</f>
        <v>0</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5.6846250000000005</v>
      </c>
      <c r="F33" s="109">
        <f t="shared" ref="F33:K33" si="1">SUM(F12:F31)</f>
        <v>4.1143749999999999</v>
      </c>
      <c r="G33" s="109">
        <f t="shared" si="1"/>
        <v>4.0698749999999997</v>
      </c>
      <c r="H33" s="109">
        <f t="shared" si="1"/>
        <v>8.6886249999999983</v>
      </c>
      <c r="I33" s="109">
        <f t="shared" si="1"/>
        <v>14.330500000000001</v>
      </c>
      <c r="J33" s="109">
        <f t="shared" si="1"/>
        <v>7.5508750000000004</v>
      </c>
      <c r="K33" s="109">
        <f t="shared" si="1"/>
        <v>44.44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883</v>
      </c>
      <c r="C37" s="388" t="str">
        <f>IF(B37=0,"",VLOOKUP($B37,Table2[],2,FALSE))</f>
        <v>Seed</v>
      </c>
      <c r="D37" s="388"/>
      <c r="E37" s="388"/>
      <c r="F37" s="174">
        <v>1</v>
      </c>
      <c r="G37" s="175">
        <v>1</v>
      </c>
      <c r="H37" s="176">
        <v>3</v>
      </c>
      <c r="I37" s="120" t="str">
        <f>IF($B37=0,"",VLOOKUP($B37,Table2[],5,FALSE))</f>
        <v>bushel</v>
      </c>
      <c r="J37" s="109">
        <f>IF($B37=0,"",VLOOKUP($B37,Table2[],7,FALSE))</f>
        <v>28</v>
      </c>
      <c r="K37" s="109">
        <f>IF(B37=0,0,ROUND(G37*H37*J37,2))</f>
        <v>84</v>
      </c>
      <c r="L37" s="110"/>
    </row>
    <row r="38" spans="1:12" x14ac:dyDescent="0.2">
      <c r="A38" s="105"/>
      <c r="B38" s="180" t="s">
        <v>274</v>
      </c>
      <c r="C38" s="388" t="str">
        <f>IF(B38=0,"",VLOOKUP($B38,Table2[],2,FALSE))</f>
        <v>Herbicide</v>
      </c>
      <c r="D38" s="388"/>
      <c r="E38" s="388"/>
      <c r="F38" s="174">
        <v>2</v>
      </c>
      <c r="G38" s="175">
        <v>1</v>
      </c>
      <c r="H38" s="176">
        <v>2</v>
      </c>
      <c r="I38" s="120" t="str">
        <f>IF($B38=0,"",VLOOKUP($B38,Table2[],5,FALSE))</f>
        <v>ounce</v>
      </c>
      <c r="J38" s="109">
        <f>IF($B38=0,"",VLOOKUP($B38,Table2[],7,FALSE))</f>
        <v>8.515625</v>
      </c>
      <c r="K38" s="109">
        <f t="shared" ref="K38:K54" si="2">IF(B38=0,0,ROUND(G38*H38*J38,2))</f>
        <v>17.03</v>
      </c>
      <c r="L38" s="110"/>
    </row>
    <row r="39" spans="1:12" x14ac:dyDescent="0.2">
      <c r="A39" s="105"/>
      <c r="B39" s="213" t="s">
        <v>259</v>
      </c>
      <c r="C39" s="387" t="str">
        <f>IF(B39=0,"",VLOOKUP($B39,Table2[],2,FALSE))</f>
        <v>Herbicide</v>
      </c>
      <c r="D39" s="387"/>
      <c r="E39" s="387"/>
      <c r="F39" s="214">
        <v>2</v>
      </c>
      <c r="G39" s="221">
        <v>1</v>
      </c>
      <c r="H39" s="222">
        <v>32</v>
      </c>
      <c r="I39" s="223" t="str">
        <f>IF($B39=0,"",VLOOKUP($B39,Table2[],5,FALSE))</f>
        <v>ounce</v>
      </c>
      <c r="J39" s="215">
        <f>IF($B39=0,"",VLOOKUP($B39,Table2[],7,FALSE))</f>
        <v>0.1328125</v>
      </c>
      <c r="K39" s="215">
        <f t="shared" si="2"/>
        <v>4.25</v>
      </c>
      <c r="L39" s="216"/>
    </row>
    <row r="40" spans="1:12" x14ac:dyDescent="0.2">
      <c r="A40" s="105"/>
      <c r="B40" s="180" t="s">
        <v>170</v>
      </c>
      <c r="C40" s="388" t="str">
        <f>IF(B40=0,"",VLOOKUP($B40,Table2[],2,FALSE))</f>
        <v>Additive</v>
      </c>
      <c r="D40" s="388"/>
      <c r="E40" s="388"/>
      <c r="F40" s="174">
        <v>2</v>
      </c>
      <c r="G40" s="175">
        <v>1</v>
      </c>
      <c r="H40" s="181">
        <v>1.7</v>
      </c>
      <c r="I40" s="120" t="str">
        <f>IF($B40=0,"",VLOOKUP($B40,Table2[],5,FALSE))</f>
        <v>pound</v>
      </c>
      <c r="J40" s="109">
        <f>IF($B40=0,"",VLOOKUP($B40,Table2[],7,FALSE))</f>
        <v>0.4</v>
      </c>
      <c r="K40" s="109">
        <f t="shared" si="2"/>
        <v>0.68</v>
      </c>
      <c r="L40" s="110"/>
    </row>
    <row r="41" spans="1:12" x14ac:dyDescent="0.2">
      <c r="A41" s="105"/>
      <c r="B41" s="180" t="s">
        <v>198</v>
      </c>
      <c r="C41" s="388" t="str">
        <f>IF(B41=0,"",VLOOKUP($B41,Table2[],2,FALSE))</f>
        <v>Custom</v>
      </c>
      <c r="D41" s="388"/>
      <c r="E41" s="388"/>
      <c r="F41" s="174">
        <v>4</v>
      </c>
      <c r="G41" s="175">
        <v>1</v>
      </c>
      <c r="H41" s="181">
        <f>$G$4</f>
        <v>35</v>
      </c>
      <c r="I41" s="120" t="str">
        <f>IF($B41=0,"",VLOOKUP($B41,Table2[],5,FALSE))</f>
        <v>bushel</v>
      </c>
      <c r="J41" s="109">
        <f>IF($B41=0,"",VLOOKUP($B41,Table2[],7,FALSE))</f>
        <v>0.15</v>
      </c>
      <c r="K41" s="109">
        <f t="shared" si="2"/>
        <v>5.25</v>
      </c>
      <c r="L41" s="110"/>
    </row>
    <row r="42" spans="1:12" ht="12.75" hidden="1" customHeight="1" x14ac:dyDescent="0.2">
      <c r="A42" s="143"/>
      <c r="B42" s="180"/>
      <c r="C42" s="388" t="str">
        <f>IF(B42=0,"",VLOOKUP($B42,Table2[],2,FALSE))</f>
        <v/>
      </c>
      <c r="D42" s="388"/>
      <c r="E42" s="388"/>
      <c r="F42" s="174"/>
      <c r="G42" s="175"/>
      <c r="H42" s="176"/>
      <c r="I42" s="120" t="str">
        <f>IF($B42=0,"",VLOOKUP($B42,Table2[],5,FALSE))</f>
        <v/>
      </c>
      <c r="J42" s="109" t="str">
        <f>IF($B42=0,"",VLOOKUP($B42,Table2[],7,FALSE))</f>
        <v/>
      </c>
      <c r="K42" s="109">
        <f t="shared" si="2"/>
        <v>0</v>
      </c>
      <c r="L42" s="110"/>
    </row>
    <row r="43" spans="1:12" ht="12.75" hidden="1" customHeight="1" x14ac:dyDescent="0.2">
      <c r="A43" s="143"/>
      <c r="B43" s="213"/>
      <c r="C43" s="387" t="str">
        <f>IF(B43=0,"",VLOOKUP($B43,Table2[],2,FALSE))</f>
        <v/>
      </c>
      <c r="D43" s="387"/>
      <c r="E43" s="387"/>
      <c r="F43" s="214"/>
      <c r="G43" s="221"/>
      <c r="H43" s="222"/>
      <c r="I43" s="223" t="str">
        <f>IF($B43=0,"",VLOOKUP($B43,Table2[],5,FALSE))</f>
        <v/>
      </c>
      <c r="J43" s="215" t="str">
        <f>IF($B43=0,"",VLOOKUP($B43,Table2[],7,FALSE))</f>
        <v/>
      </c>
      <c r="K43" s="215">
        <f t="shared" si="2"/>
        <v>0</v>
      </c>
      <c r="L43" s="216"/>
    </row>
    <row r="44" spans="1:12" ht="12.75" hidden="1" customHeight="1" x14ac:dyDescent="0.2">
      <c r="A44" s="143"/>
      <c r="B44" s="180"/>
      <c r="C44" s="388" t="str">
        <f>IF(B44=0,"",VLOOKUP($B44,Table2[],2,FALSE))</f>
        <v/>
      </c>
      <c r="D44" s="388"/>
      <c r="E44" s="388"/>
      <c r="F44" s="174"/>
      <c r="G44" s="175"/>
      <c r="H44" s="176"/>
      <c r="I44" s="120" t="str">
        <f>IF($B44=0,"",VLOOKUP($B44,Table2[],5,FALSE))</f>
        <v/>
      </c>
      <c r="J44" s="109" t="str">
        <f>IF($B44=0,"",VLOOKUP($B44,Table2[],7,FALSE))</f>
        <v/>
      </c>
      <c r="K44" s="109">
        <f t="shared" si="2"/>
        <v>0</v>
      </c>
      <c r="L44" s="110"/>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05"/>
      <c r="B47" s="213"/>
      <c r="C47" s="387" t="str">
        <f>IF(B47=0,"",VLOOKUP($B47,Table2[],2,FALSE))</f>
        <v/>
      </c>
      <c r="D47" s="387"/>
      <c r="E47" s="387"/>
      <c r="F47" s="214"/>
      <c r="G47" s="221"/>
      <c r="H47" s="222"/>
      <c r="I47" s="223" t="str">
        <f>IF($B47=0,"",VLOOKUP($B47,Table2[],5,FALSE))</f>
        <v/>
      </c>
      <c r="J47" s="215" t="str">
        <f>IF($B47=0,"",VLOOKUP($B47,Table2[],7,FALSE))</f>
        <v/>
      </c>
      <c r="K47" s="215">
        <f t="shared" si="2"/>
        <v>0</v>
      </c>
      <c r="L47" s="216"/>
    </row>
    <row r="48" spans="1:12" ht="12.75" hidden="1" customHeight="1" x14ac:dyDescent="0.2">
      <c r="A48" s="105"/>
      <c r="B48" s="180"/>
      <c r="C48" s="388" t="str">
        <f>IF(B48=0,"",VLOOKUP($B48,Table2[],2,FALSE))</f>
        <v/>
      </c>
      <c r="D48" s="388"/>
      <c r="E48" s="388"/>
      <c r="F48" s="174"/>
      <c r="G48" s="175"/>
      <c r="H48" s="176"/>
      <c r="I48" s="120" t="str">
        <f>IF($B48=0,"",VLOOKUP($B48,Table2[],5,FALSE))</f>
        <v/>
      </c>
      <c r="J48" s="109" t="str">
        <f>IF($B48=0,"",VLOOKUP($B48,Table2[],7,FALSE))</f>
        <v/>
      </c>
      <c r="K48" s="109">
        <f t="shared" si="2"/>
        <v>0</v>
      </c>
      <c r="L48" s="110"/>
    </row>
    <row r="49" spans="2:12" ht="12.75" hidden="1" customHeight="1" x14ac:dyDescent="0.2">
      <c r="B49" s="111"/>
      <c r="C49" s="388" t="str">
        <f>IF(B49=0,"",VLOOKUP($B49,Table2[],2,FALSE))</f>
        <v/>
      </c>
      <c r="D49" s="388"/>
      <c r="E49" s="388"/>
      <c r="F49" s="112"/>
      <c r="G49" s="175"/>
      <c r="H49" s="178"/>
      <c r="I49" s="120" t="str">
        <f>IF($B49=0,"",VLOOKUP($B49,Table2[],5,FALSE))</f>
        <v/>
      </c>
      <c r="J49" s="109" t="str">
        <f>IF($B49=0,"",VLOOKUP($B49,Table2[],7,FALSE))</f>
        <v/>
      </c>
      <c r="K49" s="109">
        <f t="shared" si="2"/>
        <v>0</v>
      </c>
      <c r="L49" s="110"/>
    </row>
    <row r="50" spans="2: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2:12" ht="12.75" hidden="1" customHeight="1" x14ac:dyDescent="0.2">
      <c r="B51" s="217"/>
      <c r="C51" s="387" t="str">
        <f>IF(B51=0,"",VLOOKUP($B51,Table2[],2,FALSE))</f>
        <v/>
      </c>
      <c r="D51" s="387"/>
      <c r="E51" s="387"/>
      <c r="F51" s="218"/>
      <c r="G51" s="224">
        <v>0.1</v>
      </c>
      <c r="H51" s="225"/>
      <c r="I51" s="223" t="str">
        <f>IF($B51=0,"",VLOOKUP($B51,Table2[],5,FALSE))</f>
        <v/>
      </c>
      <c r="J51" s="215" t="str">
        <f>IF($B51=0,"",VLOOKUP($B51,Table2[],7,FALSE))</f>
        <v/>
      </c>
      <c r="K51" s="215">
        <f t="shared" si="2"/>
        <v>0</v>
      </c>
      <c r="L51" s="216"/>
    </row>
    <row r="52" spans="2:12" ht="12.75" hidden="1" customHeight="1" x14ac:dyDescent="0.2">
      <c r="B52" s="111"/>
      <c r="C52" s="388" t="str">
        <f>IF(B52=0,"",VLOOKUP($B52,Table2[],2,FALSE))</f>
        <v/>
      </c>
      <c r="D52" s="388"/>
      <c r="E52" s="388"/>
      <c r="F52" s="112"/>
      <c r="G52" s="177">
        <v>0.2</v>
      </c>
      <c r="H52" s="178"/>
      <c r="I52" s="120" t="str">
        <f>IF($B52=0,"",VLOOKUP($B52,Table2[],5,FALSE))</f>
        <v/>
      </c>
      <c r="J52" s="109" t="str">
        <f>IF($B52=0,"",VLOOKUP($B52,Table2[],7,FALSE))</f>
        <v/>
      </c>
      <c r="K52" s="109">
        <f t="shared" si="2"/>
        <v>0</v>
      </c>
      <c r="L52" s="110"/>
    </row>
    <row r="53" spans="2:12" ht="12.75" hidden="1" customHeight="1" x14ac:dyDescent="0.2">
      <c r="B53" s="111"/>
      <c r="C53" s="388" t="str">
        <f>IF(B53=0,"",VLOOKUP($B53,Table2[],2,FALSE))</f>
        <v/>
      </c>
      <c r="D53" s="388"/>
      <c r="E53" s="388"/>
      <c r="F53" s="112"/>
      <c r="G53" s="177">
        <v>0.3</v>
      </c>
      <c r="H53" s="178"/>
      <c r="I53" s="120" t="str">
        <f>IF($B53=0,"",VLOOKUP($B53,Table2[],5,FALSE))</f>
        <v/>
      </c>
      <c r="J53" s="109" t="str">
        <f>IF($B53=0,"",VLOOKUP($B53,Table2[],7,FALSE))</f>
        <v/>
      </c>
      <c r="K53" s="109">
        <f t="shared" si="2"/>
        <v>0</v>
      </c>
      <c r="L53" s="110"/>
    </row>
    <row r="54" spans="2:12" ht="12.75" hidden="1" customHeight="1" x14ac:dyDescent="0.2">
      <c r="B54" s="111"/>
      <c r="C54" s="388" t="str">
        <f>IF(B54=0,"",VLOOKUP($B54,Table2[],2,FALSE))</f>
        <v/>
      </c>
      <c r="D54" s="388"/>
      <c r="E54" s="388"/>
      <c r="F54" s="112"/>
      <c r="G54" s="177"/>
      <c r="H54" s="178"/>
      <c r="I54" s="120" t="str">
        <f>IF($B54=0,"",VLOOKUP($B54,Table2[],5,FALSE))</f>
        <v/>
      </c>
      <c r="J54" s="109" t="str">
        <f>IF($B54=0,"",VLOOKUP($B54,Table2[],7,FALSE))</f>
        <v/>
      </c>
      <c r="K54" s="109">
        <f t="shared" si="2"/>
        <v>0</v>
      </c>
      <c r="L54" s="113"/>
    </row>
    <row r="55" spans="2:12" ht="12.75" hidden="1" customHeight="1" x14ac:dyDescent="0.2">
      <c r="B55" s="217"/>
      <c r="C55" s="387" t="str">
        <f>IF(B55=0,"",VLOOKUP($B55,Table2[],2,FALSE))</f>
        <v/>
      </c>
      <c r="D55" s="387"/>
      <c r="E55" s="387"/>
      <c r="F55" s="218"/>
      <c r="G55" s="224"/>
      <c r="H55" s="225"/>
      <c r="I55" s="223" t="str">
        <f>IF($B55=0,"",VLOOKUP($B55,Table2[],5,FALSE))</f>
        <v/>
      </c>
      <c r="J55" s="215" t="str">
        <f>IF($B55=0,"",VLOOKUP($B55,Table2[],7,FALSE))</f>
        <v/>
      </c>
      <c r="K55" s="215">
        <f>IF(B55=0,0,ROUND(G55*H55*J55,2))</f>
        <v>0</v>
      </c>
      <c r="L55" s="227"/>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IF(B56=0,0,ROUND(G56*H56*J56,2))</f>
        <v>0</v>
      </c>
      <c r="L56" s="113"/>
    </row>
    <row r="57" spans="2: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217"/>
      <c r="C59" s="387" t="str">
        <f>IF(B59=0,"",VLOOKUP($B59,Table2[],2,FALSE))</f>
        <v/>
      </c>
      <c r="D59" s="387"/>
      <c r="E59" s="387"/>
      <c r="F59" s="218"/>
      <c r="G59" s="224"/>
      <c r="H59" s="225"/>
      <c r="I59" s="223" t="str">
        <f>IF($B59=0,"",VLOOKUP($B59,Table2[],5,FALSE))</f>
        <v/>
      </c>
      <c r="J59" s="215" t="str">
        <f>IF($B59=0,"",VLOOKUP($B59,Table2[],7,FALSE))</f>
        <v/>
      </c>
      <c r="K59" s="215">
        <f>IF(B59=0,0,ROUND(G59*H59*J59,2))</f>
        <v>0</v>
      </c>
      <c r="L59" s="227"/>
    </row>
    <row r="60" spans="2:12" x14ac:dyDescent="0.2">
      <c r="B60" s="185" t="s">
        <v>430</v>
      </c>
      <c r="C60" s="388" t="s">
        <v>655</v>
      </c>
      <c r="D60" s="388"/>
      <c r="E60" s="388"/>
      <c r="F60" s="112"/>
      <c r="G60" s="177"/>
      <c r="H60" s="178"/>
      <c r="I60" s="170"/>
      <c r="J60" s="109">
        <f ca="1">IF(F5=0,E5,F5)</f>
        <v>14</v>
      </c>
      <c r="K60" s="109">
        <f ca="1">IF(B60=0,0,J60)</f>
        <v>14</v>
      </c>
      <c r="L60" s="113"/>
    </row>
    <row r="61" spans="2:12" ht="3.75" customHeight="1" thickBot="1" x14ac:dyDescent="0.25">
      <c r="B61" s="114"/>
      <c r="C61" s="121"/>
      <c r="D61" s="121"/>
      <c r="E61" s="121"/>
      <c r="F61" s="115"/>
      <c r="G61" s="122"/>
      <c r="H61" s="114"/>
      <c r="I61" s="123"/>
      <c r="J61" s="124"/>
      <c r="K61" s="125"/>
      <c r="L61" s="117"/>
    </row>
    <row r="62" spans="2:12" ht="13.5" thickTop="1" x14ac:dyDescent="0.2">
      <c r="C62" s="108" t="s">
        <v>671</v>
      </c>
      <c r="D62" s="108"/>
      <c r="J62" s="126"/>
      <c r="K62" s="141">
        <f ca="1">SUM(K37:K60)</f>
        <v>125.21000000000001</v>
      </c>
      <c r="L62" s="110"/>
    </row>
    <row r="63" spans="2:12" x14ac:dyDescent="0.2">
      <c r="B63" s="358" t="s">
        <v>909</v>
      </c>
      <c r="K63" s="128"/>
    </row>
    <row r="64" spans="2:12" x14ac:dyDescent="0.2">
      <c r="B64" s="358"/>
      <c r="K64" s="128"/>
    </row>
    <row r="65" spans="2:12" x14ac:dyDescent="0.2">
      <c r="B65" s="107" t="s">
        <v>672</v>
      </c>
      <c r="K65" s="141">
        <f ca="1">K33+K62</f>
        <v>169.65</v>
      </c>
      <c r="L65" s="110"/>
    </row>
    <row r="66" spans="2:12" ht="13.5" thickBot="1" x14ac:dyDescent="0.25">
      <c r="D66" s="128" t="s">
        <v>673</v>
      </c>
      <c r="E66" s="129">
        <f ca="1">ROUND(SUM($E$33:$H$33)+$K$62,2)</f>
        <v>147.77000000000001</v>
      </c>
      <c r="F66" s="388" t="s">
        <v>674</v>
      </c>
      <c r="G66" s="388"/>
      <c r="H66" s="130">
        <f>'General Variables'!$B$11</f>
        <v>7.4999999999999997E-2</v>
      </c>
      <c r="I66" s="131" t="str">
        <f>CONCATENATE("for ",TEXT('General Variables'!$B$12,"0.0")," mo.")</f>
        <v>for 6.0 mo.</v>
      </c>
      <c r="K66" s="145">
        <f ca="1">E66*H66*'General Variables'!$B$12/12</f>
        <v>5.5413749999999995</v>
      </c>
      <c r="L66" s="133"/>
    </row>
    <row r="67" spans="2:12" ht="13.5" thickTop="1" x14ac:dyDescent="0.2">
      <c r="B67" s="107" t="s">
        <v>675</v>
      </c>
      <c r="K67" s="141">
        <f ca="1">SUM(K65:K66)</f>
        <v>175.19137499999999</v>
      </c>
      <c r="L67" s="110"/>
    </row>
    <row r="68" spans="2:12" x14ac:dyDescent="0.2">
      <c r="K68" s="128"/>
    </row>
    <row r="69" spans="2:12" x14ac:dyDescent="0.2">
      <c r="B69" s="104" t="s">
        <v>676</v>
      </c>
      <c r="C69" s="134"/>
      <c r="D69" s="134"/>
      <c r="E69" s="134"/>
      <c r="F69" s="134"/>
      <c r="G69" s="134"/>
      <c r="H69" s="134"/>
      <c r="I69" s="134"/>
      <c r="J69" s="134"/>
      <c r="K69" s="142">
        <f>'General Variables'!B15</f>
        <v>27</v>
      </c>
      <c r="L69" s="110"/>
    </row>
    <row r="70" spans="2:12" x14ac:dyDescent="0.2">
      <c r="B70" s="103" t="s">
        <v>687</v>
      </c>
      <c r="C70" s="402" t="s">
        <v>32</v>
      </c>
      <c r="D70" s="403"/>
      <c r="E70" s="404"/>
      <c r="F70" s="136">
        <f>IF(C70=0,0,VLOOKUP(C70,RETable,2,FALSE))</f>
        <v>920</v>
      </c>
      <c r="G70" s="388" t="s">
        <v>678</v>
      </c>
      <c r="H70" s="388"/>
      <c r="I70" s="130">
        <f>'General Variables'!$B$10</f>
        <v>0.03</v>
      </c>
      <c r="K70" s="146">
        <f>ROUND(F70*I70,2)</f>
        <v>27.6</v>
      </c>
      <c r="L70" s="110"/>
    </row>
    <row r="71" spans="2:12" ht="13.5" thickBot="1" x14ac:dyDescent="0.25">
      <c r="B71" s="103" t="s">
        <v>679</v>
      </c>
      <c r="F71" s="138">
        <f>IF(C70=0,0,VLOOKUP(C70,RETable,2,FALSE))</f>
        <v>920</v>
      </c>
      <c r="G71" s="397" t="s">
        <v>678</v>
      </c>
      <c r="H71" s="397"/>
      <c r="I71" s="139">
        <f>'General Variables'!$B$13</f>
        <v>1.2999999999999999E-2</v>
      </c>
      <c r="J71" s="105"/>
      <c r="K71" s="147">
        <f>ROUND(F71*I71,2)</f>
        <v>11.96</v>
      </c>
      <c r="L71" s="133"/>
    </row>
    <row r="72" spans="2:12" ht="13.5" thickTop="1" x14ac:dyDescent="0.2">
      <c r="B72" s="107" t="s">
        <v>680</v>
      </c>
      <c r="K72" s="141">
        <f ca="1">SUM(K67:K71)</f>
        <v>241.751375</v>
      </c>
      <c r="L72" s="110"/>
    </row>
    <row r="73" spans="2:12" x14ac:dyDescent="0.2">
      <c r="K73" s="128"/>
    </row>
    <row r="74" spans="2:12" x14ac:dyDescent="0.2">
      <c r="B74" s="104" t="str">
        <f>IF(G4="","","Cash Cost per "&amp;H4)</f>
        <v>Cash Cost per bushel</v>
      </c>
      <c r="C74" s="261" t="s">
        <v>688</v>
      </c>
      <c r="D74" s="105"/>
      <c r="E74" s="105"/>
      <c r="F74" s="105"/>
      <c r="G74" s="105"/>
      <c r="H74" s="105"/>
      <c r="I74" s="105"/>
      <c r="J74" s="105"/>
      <c r="K74" s="142">
        <f ca="1">IF(G4=0,0,(E66+K66+K69+K71)/G4)</f>
        <v>5.493467857142857</v>
      </c>
      <c r="L74" s="148"/>
    </row>
    <row r="75" spans="2:12" x14ac:dyDescent="0.2">
      <c r="B75" s="107" t="str">
        <f>IF(G4="","","Cost of production per "&amp;H4)</f>
        <v>Cost of production per bushel</v>
      </c>
      <c r="K75" s="141">
        <f ca="1">IF(G4="","",K72/G4)</f>
        <v>6.9071821428571427</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7">
    <mergeCell ref="F66:G66"/>
    <mergeCell ref="C70:E70"/>
    <mergeCell ref="G70:H70"/>
    <mergeCell ref="G71:H71"/>
    <mergeCell ref="C55:E55"/>
    <mergeCell ref="C56:E56"/>
    <mergeCell ref="C57:E57"/>
    <mergeCell ref="C58:E58"/>
    <mergeCell ref="C59:E59"/>
    <mergeCell ref="C60:E60"/>
    <mergeCell ref="C54:E54"/>
    <mergeCell ref="C43:E43"/>
    <mergeCell ref="C44:E44"/>
    <mergeCell ref="C45:E45"/>
    <mergeCell ref="C46:E46"/>
    <mergeCell ref="C47:E47"/>
    <mergeCell ref="C48:E48"/>
    <mergeCell ref="C49:E49"/>
    <mergeCell ref="C50:E50"/>
    <mergeCell ref="C51:E51"/>
    <mergeCell ref="C52:E52"/>
    <mergeCell ref="C53:E53"/>
    <mergeCell ref="C42:E42"/>
    <mergeCell ref="F35:F36"/>
    <mergeCell ref="G35:G36"/>
    <mergeCell ref="H35:I35"/>
    <mergeCell ref="J35:J36"/>
    <mergeCell ref="C38:E38"/>
    <mergeCell ref="C39:E39"/>
    <mergeCell ref="C40:E40"/>
    <mergeCell ref="C41:E41"/>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3D00-000000000000}">
      <formula1>$B$111:$B$208</formula1>
    </dataValidation>
    <dataValidation type="list" allowBlank="1" showInputMessage="1" showErrorMessage="1" sqref="B61" xr:uid="{00000000-0002-0000-3D00-000001000000}">
      <formula1>$C$111:$C$229</formula1>
    </dataValidation>
    <dataValidation type="list" allowBlank="1" showInputMessage="1" showErrorMessage="1" sqref="K4" xr:uid="{00000000-0002-0000-3D00-000002000000}">
      <formula1>$K$111:$K$113</formula1>
    </dataValidation>
    <dataValidation type="list" allowBlank="1" showInputMessage="1" showErrorMessage="1" sqref="C70:E70" xr:uid="{00000000-0002-0000-3D00-000004000000}">
      <formula1>RealEstateList</formula1>
    </dataValidation>
    <dataValidation type="list" allowBlank="1" showInputMessage="1" showErrorMessage="1" sqref="B12:B31" xr:uid="{00000000-0002-0000-3D00-000005000000}">
      <formula1>OperationList</formula1>
    </dataValidation>
    <dataValidation type="list" allowBlank="1" showInputMessage="1" showErrorMessage="1" sqref="D12:D32" xr:uid="{00000000-0002-0000-3D00-000006000000}">
      <formula1>#REF!</formula1>
    </dataValidation>
    <dataValidation type="list" allowBlank="1" showInputMessage="1" showErrorMessage="1" sqref="K2" xr:uid="{00000000-0002-0000-3D00-000007000000}">
      <formula1>watersource</formula1>
    </dataValidation>
    <dataValidation type="list" allowBlank="1" showInputMessage="1" showErrorMessage="1" sqref="C3" xr:uid="{00000000-0002-0000-3D00-000008000000}">
      <formula1>TillageSystem</formula1>
    </dataValidation>
    <dataValidation type="list" allowBlank="1" showInputMessage="1" showErrorMessage="1" sqref="B37:B59" xr:uid="{00000000-0002-0000-3D00-000003000000}">
      <formula1>MaterialList</formula1>
    </dataValidation>
  </dataValidations>
  <pageMargins left="0.7" right="0.7" top="0.75" bottom="0.75" header="0.3" footer="0.3"/>
  <pageSetup scale="7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4">
    <pageSetUpPr fitToPage="1"/>
  </sheetPr>
  <dimension ref="A2:M256"/>
  <sheetViews>
    <sheetView zoomScaleNormal="100" workbookViewId="0">
      <selection activeCell="K70" sqref="K7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760</v>
      </c>
      <c r="H2" s="392"/>
      <c r="J2" s="128" t="s">
        <v>649</v>
      </c>
      <c r="K2" s="401" t="s">
        <v>74</v>
      </c>
      <c r="L2" s="401"/>
    </row>
    <row r="3" spans="1:13" hidden="1" x14ac:dyDescent="0.2">
      <c r="B3" s="103" t="s">
        <v>38</v>
      </c>
      <c r="C3" s="391" t="s">
        <v>43</v>
      </c>
      <c r="D3" s="391"/>
      <c r="E3" s="391"/>
      <c r="G3" s="128" t="s">
        <v>650</v>
      </c>
      <c r="H3" s="187" t="s">
        <v>761</v>
      </c>
      <c r="J3" s="128" t="s">
        <v>651</v>
      </c>
      <c r="K3" s="187"/>
    </row>
    <row r="4" spans="1:13" hidden="1" x14ac:dyDescent="0.2">
      <c r="B4" s="103" t="s">
        <v>652</v>
      </c>
      <c r="C4" s="392" t="s">
        <v>697</v>
      </c>
      <c r="D4" s="392"/>
      <c r="E4" s="392"/>
      <c r="G4" s="103">
        <f>IFERROR(VALUE(LEFT($H$3,FIND(" ",$H$3))),"")</f>
        <v>5</v>
      </c>
      <c r="H4" s="103" t="str">
        <f>IFERROR(RIGHT(H3,LEN(H3)-LEN(G4)-1),"")</f>
        <v>ton</v>
      </c>
      <c r="J4" s="128" t="s">
        <v>653</v>
      </c>
      <c r="K4" s="188"/>
    </row>
    <row r="5" spans="1:13" ht="15.75" hidden="1" customHeight="1" x14ac:dyDescent="0.2">
      <c r="B5" s="103" t="s">
        <v>655</v>
      </c>
      <c r="C5" s="103" t="str">
        <f ca="1">MID(CELL("filename",C5),FIND("]",CELL("filename",C5))+1,255)</f>
        <v>58-Sorghum-Sudan</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58-Sorghum-Sudan, Annually Planted, Conventional Tillage, Large Round Bales, 5 ton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58-Sorghum-Sudan, Annually Planted, Conventional Tillage, Large Round Bales, 5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11" t="s">
        <v>478</v>
      </c>
      <c r="C12" s="112">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11" t="s">
        <v>548</v>
      </c>
      <c r="C13" s="112">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11" t="s">
        <v>498</v>
      </c>
      <c r="C14" s="112">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7" t="s">
        <v>488</v>
      </c>
      <c r="C15" s="218">
        <v>1</v>
      </c>
      <c r="D15" s="214"/>
      <c r="E15" s="215">
        <f>IF(B15=0,"",IF(C15&gt;9999,"",ROUND('General Variables'!$B$4*VLOOKUP(B15,Operations!$A$2:$U$79,10,FALSE)/VLOOKUP(B15,Operations!$A$2:$U$79,9,FALSE)*C15,2)))</f>
        <v>2.38</v>
      </c>
      <c r="F15" s="215">
        <f>IF(B15=0,0,IF(C15&gt;9999,"",ROUND(IF(VLOOKUP(B15,Operations!$A$2:$U$79,12,FALSE)=0,VLOOKUP(B15,Operations!$A$2:$U$79,13,FALSE)*'General Variables'!$B$8,VLOOKUP(B15,Operations!$A$2:$U$79,12,FALSE)*'General Variables'!$B$7)/VLOOKUP(B15,Operations!$A$2:$U$79,9,FALSE)*C15,2)))</f>
        <v>1.28</v>
      </c>
      <c r="G15" s="215">
        <f>IF(B15=0,0,IF(C15&gt;9999,"",ROUND(VLOOKUP(VLOOKUP(B15,Operations!$A$2:$U$79,11,FALSE),PowerUnits[],10,FALSE)/VLOOKUP(B15,Operations!$A$2:$U$79,9,FALSE)*C15,2)))</f>
        <v>7.0000000000000007E-2</v>
      </c>
      <c r="H15" s="215">
        <f>IF(B15=0,"",IF(C15&gt;9999,"",ROUND(VLOOKUP($B15,Operations!$A$2:$U$79,15,FALSE)*C15,2)))</f>
        <v>7.18</v>
      </c>
      <c r="I15" s="215">
        <f>IF(B15=0,0,IF(C15&gt;9999,"",ROUND(VLOOKUP(VLOOKUP(B15,Operations!$A$2:$U$79,11,FALSE),PowerUnits[],16,FALSE)/VLOOKUP(B15,Operations!$A$2:$U$79,9,FALSE)*C15,2)))</f>
        <v>3.46</v>
      </c>
      <c r="J15" s="215">
        <f>IF(B15=0,"",IF(C15&gt;9999,"",ROUND(VLOOKUP($B15,Operations!$A$2:$U$79,21,FALSE)*$C15,2)))</f>
        <v>2.4500000000000002</v>
      </c>
      <c r="K15" s="215">
        <f t="shared" si="0"/>
        <v>16.82</v>
      </c>
      <c r="L15" s="216"/>
    </row>
    <row r="16" spans="1:13" x14ac:dyDescent="0.2">
      <c r="A16" s="170">
        <v>5</v>
      </c>
      <c r="B16" s="111" t="s">
        <v>559</v>
      </c>
      <c r="C16" s="112">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1.6</v>
      </c>
      <c r="G16" s="109">
        <f>IF(B16=0,0,IF(C16&gt;9999,"",ROUND(VLOOKUP(VLOOKUP(B16,Operations!$A$2:$U$79,11,FALSE),PowerUnits[],10,FALSE)/VLOOKUP(B16,Operations!$A$2:$U$79,9,FALSE)*C16,2)))</f>
        <v>1.02</v>
      </c>
      <c r="H16" s="109">
        <f>IF(B16=0,"",IF(C16&gt;9999,"",ROUND(VLOOKUP($B16,Operations!$A$2:$U$79,15,FALSE)*C16,2)))</f>
        <v>1.02</v>
      </c>
      <c r="I16" s="109">
        <f>IF(B16=0,0,IF(C16&gt;9999,"",ROUND(VLOOKUP(VLOOKUP(B16,Operations!$A$2:$U$79,11,FALSE),PowerUnits[],16,FALSE)/VLOOKUP(B16,Operations!$A$2:$U$79,9,FALSE)*C16,2)))</f>
        <v>3.74</v>
      </c>
      <c r="J16" s="109">
        <f>IF(B16=0,"",IF(C16&gt;9999,"",ROUND(VLOOKUP($B16,Operations!$A$2:$U$79,21,FALSE)*$C16,2)))</f>
        <v>5.07</v>
      </c>
      <c r="K16" s="109">
        <f t="shared" si="0"/>
        <v>15.15</v>
      </c>
      <c r="L16" s="110"/>
    </row>
    <row r="17" spans="1:12" x14ac:dyDescent="0.2">
      <c r="A17" s="170">
        <v>6</v>
      </c>
      <c r="B17" s="111" t="s">
        <v>387</v>
      </c>
      <c r="C17" s="174">
        <f>$G$4</f>
        <v>5</v>
      </c>
      <c r="D17" s="174" t="s">
        <v>187</v>
      </c>
      <c r="E17" s="109">
        <f>IF(B17=0,"",IF(C17&gt;9999,"",ROUND('General Variables'!$B$4*VLOOKUP(B17,Operations!$A$2:$U$79,10,FALSE)/VLOOKUP(B17,Operations!$A$2:$U$79,9,FALSE)*C17,2)))</f>
        <v>12.38</v>
      </c>
      <c r="F17" s="109">
        <f>IF(B17=0,0,IF(C17&gt;9999,"",ROUND(IF(VLOOKUP(B17,Operations!$A$2:$U$79,12,FALSE)=0,VLOOKUP(B17,Operations!$A$2:$U$79,13,FALSE)*'General Variables'!$B$8,VLOOKUP(B17,Operations!$A$2:$U$79,12,FALSE)*'General Variables'!$B$7)/VLOOKUP(B17,Operations!$A$2:$U$79,9,FALSE)*C17,2)))</f>
        <v>3.83</v>
      </c>
      <c r="G17" s="109">
        <f>IF(B17=0,0,IF(C17&gt;9999,"",ROUND(VLOOKUP(VLOOKUP(B17,Operations!$A$2:$U$79,11,FALSE),PowerUnits[],10,FALSE)/VLOOKUP(B17,Operations!$A$2:$U$79,9,FALSE)*C17,2)))</f>
        <v>0.35</v>
      </c>
      <c r="H17" s="109">
        <f>IF(B17=0,"",IF(C17&gt;9999,"",ROUND(VLOOKUP($B17,Operations!$A$2:$U$79,15,FALSE)*C17,2)))</f>
        <v>14.5</v>
      </c>
      <c r="I17" s="109">
        <f>IF(B17=0,0,IF(C17&gt;9999,"",ROUND(VLOOKUP(VLOOKUP(B17,Operations!$A$2:$U$79,11,FALSE),PowerUnits[],16,FALSE)/VLOOKUP(B17,Operations!$A$2:$U$79,9,FALSE)*C17,2)))</f>
        <v>18.03</v>
      </c>
      <c r="J17" s="109">
        <f>IF(B17=0,"",IF(C17&gt;9999,"",ROUND(VLOOKUP($B17,Operations!$A$2:$U$79,21,FALSE)*$C17,2)))</f>
        <v>19.36</v>
      </c>
      <c r="K17" s="109">
        <f>IF(C17&gt;9999,"",ROUND(SUM(E17:J17),2))</f>
        <v>68.45</v>
      </c>
      <c r="L17" s="110"/>
    </row>
    <row r="18" spans="1:12" x14ac:dyDescent="0.2">
      <c r="A18" s="170">
        <v>7</v>
      </c>
      <c r="B18" s="111" t="s">
        <v>514</v>
      </c>
      <c r="C18" s="174">
        <f>$G$4</f>
        <v>5</v>
      </c>
      <c r="D18" s="174" t="s">
        <v>187</v>
      </c>
      <c r="E18" s="109">
        <f>IF(B18=0,"",IF(C18&gt;9999,"",ROUND('General Variables'!$B$4*VLOOKUP(B18,Operations!$A$2:$U$79,10,FALSE)/VLOOKUP(B18,Operations!$A$2:$U$79,9,FALSE)*C18,2)))</f>
        <v>7.07</v>
      </c>
      <c r="F18" s="109">
        <f>IF(B18=0,0,IF(C18&gt;9999,"",ROUND(IF(VLOOKUP(B18,Operations!$A$2:$U$79,12,FALSE)=0,VLOOKUP(B18,Operations!$A$2:$U$79,13,FALSE)*'General Variables'!$B$8,VLOOKUP(B18,Operations!$A$2:$U$79,12,FALSE)*'General Variables'!$B$7)/VLOOKUP(B18,Operations!$A$2:$U$79,9,FALSE)*C18,2)))</f>
        <v>3.04</v>
      </c>
      <c r="G18" s="109">
        <f>IF(B18=0,0,IF(C18&gt;9999,"",ROUND(VLOOKUP(VLOOKUP(B18,Operations!$A$2:$U$79,11,FALSE),PowerUnits[],10,FALSE)/VLOOKUP(B18,Operations!$A$2:$U$79,9,FALSE)*C18,2)))</f>
        <v>0.2</v>
      </c>
      <c r="H18" s="109">
        <f>IF(B18=0,"",IF(C18&gt;9999,"",ROUND(VLOOKUP($B18,Operations!$A$2:$U$79,15,FALSE)*C18,2)))</f>
        <v>0</v>
      </c>
      <c r="I18" s="109">
        <f>IF(B18=0,0,IF(C18&gt;9999,"",ROUND(VLOOKUP(VLOOKUP(B18,Operations!$A$2:$U$79,11,FALSE),PowerUnits[],16,FALSE)/VLOOKUP(B18,Operations!$A$2:$U$79,9,FALSE)*C18,2)))</f>
        <v>10.31</v>
      </c>
      <c r="J18" s="109">
        <f>IF(B18=0,"",IF(C18&gt;9999,"",ROUND(VLOOKUP($B18,Operations!$A$2:$U$79,21,FALSE)*$C18,2)))</f>
        <v>0.93</v>
      </c>
      <c r="K18" s="109">
        <f>IF(C18&gt;9999,"",ROUND(SUM(E18:J18),2))</f>
        <v>21.55</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30.25</v>
      </c>
      <c r="F33" s="109">
        <f t="shared" ref="F33:K33" si="1">SUM(F12:F31)</f>
        <v>14.190000000000001</v>
      </c>
      <c r="G33" s="109">
        <f t="shared" si="1"/>
        <v>2.21</v>
      </c>
      <c r="H33" s="109">
        <f t="shared" si="1"/>
        <v>26.85</v>
      </c>
      <c r="I33" s="109">
        <f t="shared" si="1"/>
        <v>51.460000000000008</v>
      </c>
      <c r="J33" s="109">
        <f t="shared" si="1"/>
        <v>36.9</v>
      </c>
      <c r="K33" s="109">
        <f t="shared" si="1"/>
        <v>161.86000000000001</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11" t="s">
        <v>205</v>
      </c>
      <c r="C37" s="388" t="str">
        <f>IF(B37=0,"",VLOOKUP($B37,Table2[],2,FALSE))</f>
        <v>Fertilizer</v>
      </c>
      <c r="D37" s="388"/>
      <c r="E37" s="388"/>
      <c r="F37" s="112">
        <v>2</v>
      </c>
      <c r="G37" s="177">
        <v>1</v>
      </c>
      <c r="H37" s="178">
        <v>60</v>
      </c>
      <c r="I37" s="120" t="str">
        <f>IF($B37=0,"",VLOOKUP($B37,Table2[],5,FALSE))</f>
        <v>lbs N</v>
      </c>
      <c r="J37" s="109">
        <f>IF($B37=0,"",VLOOKUP($B37,Table2[],7,FALSE))</f>
        <v>0.5</v>
      </c>
      <c r="K37" s="109">
        <f>IF(B37=0,0,ROUND(G37*H37*J37,2))</f>
        <v>30</v>
      </c>
      <c r="L37" s="110"/>
    </row>
    <row r="38" spans="1:12" x14ac:dyDescent="0.2">
      <c r="A38" s="105"/>
      <c r="B38" s="111" t="s">
        <v>344</v>
      </c>
      <c r="C38" s="388" t="str">
        <f>IF(B38=0,"",VLOOKUP($B38,Table2[],2,FALSE))</f>
        <v>Seed</v>
      </c>
      <c r="D38" s="388"/>
      <c r="E38" s="388"/>
      <c r="F38" s="112">
        <v>4</v>
      </c>
      <c r="G38" s="177">
        <v>1</v>
      </c>
      <c r="H38" s="178">
        <v>10</v>
      </c>
      <c r="I38" s="120" t="str">
        <f>IF($B38=0,"",VLOOKUP($B38,Table2[],5,FALSE))</f>
        <v>pound</v>
      </c>
      <c r="J38" s="109">
        <f>IF($B38=0,"",VLOOKUP($B38,Table2[],7,FALSE))</f>
        <v>1.1000000000000001</v>
      </c>
      <c r="K38" s="109">
        <f t="shared" ref="K38:K55" si="2">IF(B38=0,0,ROUND(G38*H38*J38,2))</f>
        <v>11</v>
      </c>
      <c r="L38" s="110"/>
    </row>
    <row r="39" spans="1:12" x14ac:dyDescent="0.2">
      <c r="A39" s="105"/>
      <c r="B39" s="111" t="s">
        <v>300</v>
      </c>
      <c r="C39" s="388" t="str">
        <f>IF(B39=0,"",VLOOKUP($B39,Table2[],2,FALSE))</f>
        <v>Other</v>
      </c>
      <c r="D39" s="388"/>
      <c r="E39" s="388"/>
      <c r="F39" s="112">
        <v>6</v>
      </c>
      <c r="G39" s="177">
        <v>1</v>
      </c>
      <c r="H39" s="178">
        <f>$G$4</f>
        <v>5</v>
      </c>
      <c r="I39" s="120" t="str">
        <f>IF($B39=0,"",VLOOKUP($B39,Table2[],5,FALSE))</f>
        <v>ton</v>
      </c>
      <c r="J39" s="109">
        <f>IF($B39=0,"",VLOOKUP($B39,Table2[],7,FALSE))</f>
        <v>2.2092267706302793</v>
      </c>
      <c r="K39" s="109">
        <f t="shared" si="2"/>
        <v>11.05</v>
      </c>
      <c r="L39" s="110"/>
    </row>
    <row r="40" spans="1:12" ht="12.75" hidden="1" customHeight="1" x14ac:dyDescent="0.2">
      <c r="A40" s="105"/>
      <c r="B40" s="213"/>
      <c r="C40" s="387" t="str">
        <f>IF(B40=0,"",VLOOKUP($B40,Table2[],2,FALSE))</f>
        <v/>
      </c>
      <c r="D40" s="387"/>
      <c r="E40" s="387"/>
      <c r="F40" s="214"/>
      <c r="G40" s="221"/>
      <c r="H40" s="222"/>
      <c r="I40" s="223" t="str">
        <f>IF($B40=0,"",VLOOKUP($B40,Table2[],5,FALSE))</f>
        <v/>
      </c>
      <c r="J40" s="215" t="str">
        <f>IF($B40=0,"",VLOOKUP($B40,Table2[],7,FALSE))</f>
        <v/>
      </c>
      <c r="K40" s="215">
        <f t="shared" si="2"/>
        <v>0</v>
      </c>
      <c r="L40" s="216"/>
    </row>
    <row r="41" spans="1:12" ht="12.75" hidden="1" customHeight="1" x14ac:dyDescent="0.2">
      <c r="A41" s="105"/>
      <c r="B41" s="180"/>
      <c r="C41" s="388" t="str">
        <f>IF(B41=0,"",VLOOKUP($B41,Table2[],2,FALSE))</f>
        <v/>
      </c>
      <c r="D41" s="388"/>
      <c r="E41" s="388"/>
      <c r="F41" s="174"/>
      <c r="G41" s="175"/>
      <c r="H41" s="181"/>
      <c r="I41" s="120" t="str">
        <f>IF($B41=0,"",VLOOKUP($B41,Table2[],5,FALSE))</f>
        <v/>
      </c>
      <c r="J41" s="109" t="str">
        <f>IF($B41=0,"",VLOOKUP($B41,Table2[],7,FALSE))</f>
        <v/>
      </c>
      <c r="K41" s="109">
        <f t="shared" si="2"/>
        <v>0</v>
      </c>
      <c r="L41" s="110"/>
    </row>
    <row r="42" spans="1:12" ht="12.75" hidden="1" customHeight="1" x14ac:dyDescent="0.2">
      <c r="A42" s="105"/>
      <c r="B42" s="180"/>
      <c r="C42" s="388" t="str">
        <f>IF(B42=0,"",VLOOKUP($B42,Table2[],2,FALSE))</f>
        <v/>
      </c>
      <c r="D42" s="388"/>
      <c r="E42" s="388"/>
      <c r="F42" s="174"/>
      <c r="G42" s="175"/>
      <c r="H42" s="181"/>
      <c r="I42" s="120" t="str">
        <f>IF($B42=0,"",VLOOKUP($B42,Table2[],5,FALSE))</f>
        <v/>
      </c>
      <c r="J42" s="109" t="str">
        <f>IF($B42=0,"",VLOOKUP($B42,Table2[],7,FALSE))</f>
        <v/>
      </c>
      <c r="K42" s="109">
        <f t="shared" si="2"/>
        <v>0</v>
      </c>
      <c r="L42" s="110"/>
    </row>
    <row r="43" spans="1:12" ht="12.75" hidden="1" customHeight="1" x14ac:dyDescent="0.2">
      <c r="A43" s="143"/>
      <c r="B43" s="180"/>
      <c r="C43" s="388" t="str">
        <f>IF(B43=0,"",VLOOKUP($B43,Table2[],2,FALSE))</f>
        <v/>
      </c>
      <c r="D43" s="388"/>
      <c r="E43" s="388"/>
      <c r="F43" s="174"/>
      <c r="G43" s="175"/>
      <c r="H43" s="176"/>
      <c r="I43" s="120" t="str">
        <f>IF($B43=0,"",VLOOKUP($B43,Table2[],5,FALSE))</f>
        <v/>
      </c>
      <c r="J43" s="109" t="str">
        <f>IF($B43=0,"",VLOOKUP($B43,Table2[],7,FALSE))</f>
        <v/>
      </c>
      <c r="K43" s="109">
        <f t="shared" si="2"/>
        <v>0</v>
      </c>
      <c r="L43" s="110"/>
    </row>
    <row r="44" spans="1:12" ht="12.75" hidden="1" customHeight="1" x14ac:dyDescent="0.2">
      <c r="A44" s="143"/>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43"/>
      <c r="B45" s="180"/>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180"/>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05"/>
      <c r="B48" s="213"/>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05"/>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idden="1" x14ac:dyDescent="0.2">
      <c r="B61" s="185" t="s">
        <v>430</v>
      </c>
      <c r="C61" s="388" t="s">
        <v>655</v>
      </c>
      <c r="D61" s="388"/>
      <c r="E61" s="388"/>
      <c r="F61" s="112"/>
      <c r="G61" s="177"/>
      <c r="H61" s="178"/>
      <c r="I61" s="170"/>
      <c r="J61" s="109" t="str">
        <f ca="1">IF(F5=0,E5,F5)</f>
        <v>N/A</v>
      </c>
      <c r="K61" s="109" t="str">
        <f ca="1">IF(B61=0,0,J61)</f>
        <v>N/A</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52.05</v>
      </c>
      <c r="L63" s="110"/>
    </row>
    <row r="64" spans="1:12" x14ac:dyDescent="0.2">
      <c r="B64" s="144"/>
      <c r="K64" s="127"/>
    </row>
    <row r="65" spans="2:12" x14ac:dyDescent="0.2">
      <c r="B65" s="107" t="s">
        <v>672</v>
      </c>
      <c r="K65" s="127">
        <f ca="1">K33+K63</f>
        <v>213.91000000000003</v>
      </c>
      <c r="L65" s="110"/>
    </row>
    <row r="66" spans="2:12" ht="13.5" thickBot="1" x14ac:dyDescent="0.25">
      <c r="D66" s="128" t="s">
        <v>673</v>
      </c>
      <c r="E66" s="129">
        <f ca="1">ROUND(SUM($E$33:$H$33)+$K$63,2)</f>
        <v>125.55</v>
      </c>
      <c r="F66" s="388" t="s">
        <v>674</v>
      </c>
      <c r="G66" s="388"/>
      <c r="H66" s="130">
        <f>'General Variables'!$B$11</f>
        <v>7.4999999999999997E-2</v>
      </c>
      <c r="I66" s="131" t="str">
        <f>CONCATENATE("for ",TEXT('General Variables'!$B$12,"0.0")," mo.")</f>
        <v>for 6.0 mo.</v>
      </c>
      <c r="K66" s="132">
        <f ca="1">E66*H66*'General Variables'!$B$12/12</f>
        <v>4.7081249999999999</v>
      </c>
      <c r="L66" s="133"/>
    </row>
    <row r="67" spans="2:12" ht="13.5" thickTop="1" x14ac:dyDescent="0.2">
      <c r="B67" s="107" t="s">
        <v>675</v>
      </c>
      <c r="K67" s="127">
        <f ca="1">SUM(K65:K66)</f>
        <v>218.61812500000002</v>
      </c>
      <c r="L67" s="110"/>
    </row>
    <row r="68" spans="2:12" x14ac:dyDescent="0.2">
      <c r="K68" s="127"/>
    </row>
    <row r="69" spans="2:12" x14ac:dyDescent="0.2">
      <c r="B69" s="104" t="s">
        <v>676</v>
      </c>
      <c r="C69" s="134"/>
      <c r="D69" s="134"/>
      <c r="E69" s="134"/>
      <c r="F69" s="134"/>
      <c r="G69" s="134"/>
      <c r="H69" s="134"/>
      <c r="I69" s="134"/>
      <c r="J69" s="134"/>
      <c r="K69" s="135">
        <f>'General Variables'!B15</f>
        <v>27</v>
      </c>
      <c r="L69" s="110"/>
    </row>
    <row r="70" spans="2:12" x14ac:dyDescent="0.2">
      <c r="B70" s="103" t="s">
        <v>687</v>
      </c>
      <c r="C70" s="398" t="s">
        <v>30</v>
      </c>
      <c r="D70" s="399"/>
      <c r="E70" s="400"/>
      <c r="F70" s="136">
        <f>IF(C70=0,0,VLOOKUP(C70,RETable,2,FALSE))</f>
        <v>4530</v>
      </c>
      <c r="G70" s="388" t="s">
        <v>678</v>
      </c>
      <c r="H70" s="388"/>
      <c r="I70" s="130">
        <f>'General Variables'!$B$10</f>
        <v>0.03</v>
      </c>
      <c r="K70" s="137">
        <f>ROUND(F70*I70,2)</f>
        <v>135.9</v>
      </c>
      <c r="L70" s="110"/>
    </row>
    <row r="71" spans="2:12" ht="13.5" thickBot="1" x14ac:dyDescent="0.25">
      <c r="B71" s="103" t="s">
        <v>679</v>
      </c>
      <c r="F71" s="138">
        <f>IF(C70=0,0,VLOOKUP(C70,RETable,2,FALSE))</f>
        <v>4530</v>
      </c>
      <c r="G71" s="397" t="s">
        <v>678</v>
      </c>
      <c r="H71" s="397"/>
      <c r="I71" s="139">
        <f>'General Variables'!$B$13</f>
        <v>1.2999999999999999E-2</v>
      </c>
      <c r="J71" s="105"/>
      <c r="K71" s="140">
        <f>ROUND(F71*I71,2)</f>
        <v>58.89</v>
      </c>
      <c r="L71" s="133"/>
    </row>
    <row r="72" spans="2:12" ht="13.5" thickTop="1" x14ac:dyDescent="0.2">
      <c r="B72" s="107" t="s">
        <v>680</v>
      </c>
      <c r="K72" s="127">
        <f ca="1">SUM(K67:K71)</f>
        <v>440.40812500000004</v>
      </c>
      <c r="L72" s="110"/>
    </row>
    <row r="73" spans="2:12" x14ac:dyDescent="0.2">
      <c r="K73" s="128"/>
    </row>
    <row r="74" spans="2:12" x14ac:dyDescent="0.2">
      <c r="B74" s="104" t="str">
        <f>IF(G4="","","Cash Cost per "&amp;H4)</f>
        <v>Cash Cost per ton</v>
      </c>
      <c r="C74" s="261" t="s">
        <v>688</v>
      </c>
      <c r="D74" s="105"/>
      <c r="E74" s="105"/>
      <c r="F74" s="105"/>
      <c r="G74" s="105"/>
      <c r="H74" s="105"/>
      <c r="I74" s="105"/>
      <c r="J74" s="105"/>
      <c r="K74" s="142">
        <f ca="1">IF(G4=0,0,(E66+K66+K69+K71)/G4)</f>
        <v>43.229624999999999</v>
      </c>
      <c r="L74" s="148"/>
    </row>
    <row r="75" spans="2:12" x14ac:dyDescent="0.2">
      <c r="B75" s="107" t="str">
        <f>IF(G4="","","Cost of production per "&amp;H4)</f>
        <v>Cost of production per ton</v>
      </c>
      <c r="K75" s="141">
        <f ca="1">IF(G4="","",K72/G4)</f>
        <v>88.081625000000003</v>
      </c>
      <c r="L75" s="110"/>
    </row>
    <row r="77" spans="2:12" x14ac:dyDescent="0.2">
      <c r="D77" s="103" t="s">
        <v>900</v>
      </c>
      <c r="G77" s="105"/>
      <c r="H77" s="105"/>
      <c r="I77" s="105"/>
      <c r="J77" s="105"/>
      <c r="K77" s="355" t="s">
        <v>901</v>
      </c>
      <c r="L77" s="105"/>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8">
    <mergeCell ref="C70:E70"/>
    <mergeCell ref="G70:H70"/>
    <mergeCell ref="G71:H71"/>
    <mergeCell ref="C49:E49"/>
    <mergeCell ref="C50:E50"/>
    <mergeCell ref="C51:E51"/>
    <mergeCell ref="C52:E52"/>
    <mergeCell ref="C53:E53"/>
    <mergeCell ref="C54:E54"/>
    <mergeCell ref="C55:E55"/>
    <mergeCell ref="C61:E61"/>
    <mergeCell ref="F66:G66"/>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3E00-000000000000}">
      <formula1>$B$111:$B$208</formula1>
    </dataValidation>
    <dataValidation type="list" allowBlank="1" showInputMessage="1" showErrorMessage="1" sqref="B62" xr:uid="{00000000-0002-0000-3E00-000001000000}">
      <formula1>$C$111:$C$229</formula1>
    </dataValidation>
    <dataValidation type="list" allowBlank="1" showInputMessage="1" showErrorMessage="1" sqref="K4" xr:uid="{00000000-0002-0000-3E00-000002000000}">
      <formula1>$K$111:$K$113</formula1>
    </dataValidation>
    <dataValidation type="list" allowBlank="1" showInputMessage="1" showErrorMessage="1" sqref="B37:B60" xr:uid="{00000000-0002-0000-3E00-000003000000}">
      <formula1>MaterialList</formula1>
    </dataValidation>
    <dataValidation type="list" allowBlank="1" showInputMessage="1" showErrorMessage="1" sqref="C70:E70" xr:uid="{00000000-0002-0000-3E00-000004000000}">
      <formula1>RealEstateList</formula1>
    </dataValidation>
    <dataValidation type="list" allowBlank="1" showInputMessage="1" showErrorMessage="1" sqref="B12:B31" xr:uid="{00000000-0002-0000-3E00-000005000000}">
      <formula1>OperationList</formula1>
    </dataValidation>
    <dataValidation type="list" allowBlank="1" showInputMessage="1" showErrorMessage="1" sqref="D12:D32" xr:uid="{00000000-0002-0000-3E00-000006000000}">
      <formula1>#REF!</formula1>
    </dataValidation>
    <dataValidation type="list" allowBlank="1" showInputMessage="1" showErrorMessage="1" sqref="K2" xr:uid="{00000000-0002-0000-3E00-000007000000}">
      <formula1>watersource</formula1>
    </dataValidation>
    <dataValidation type="list" allowBlank="1" showInputMessage="1" showErrorMessage="1" sqref="C3" xr:uid="{00000000-0002-0000-3E00-000008000000}">
      <formula1>TillageSystem</formula1>
    </dataValidation>
  </dataValidations>
  <pageMargins left="0.7" right="0.7" top="0.75" bottom="0.75" header="0.3" footer="0.3"/>
  <pageSetup scale="71" orientation="portrait" r:id="rId1"/>
  <ignoredErrors>
    <ignoredError sqref="C17:C18" unlocked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5">
    <pageSetUpPr fitToPage="1"/>
  </sheetPr>
  <dimension ref="A2:M261"/>
  <sheetViews>
    <sheetView zoomScaleNormal="100" workbookViewId="0">
      <selection activeCell="J20" sqref="J2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762</v>
      </c>
      <c r="H2" s="392"/>
      <c r="J2" s="128" t="s">
        <v>649</v>
      </c>
      <c r="K2" s="401" t="s">
        <v>74</v>
      </c>
      <c r="L2" s="401"/>
    </row>
    <row r="3" spans="1:13" hidden="1" x14ac:dyDescent="0.2">
      <c r="B3" s="103" t="s">
        <v>38</v>
      </c>
      <c r="C3" s="391" t="s">
        <v>43</v>
      </c>
      <c r="D3" s="391"/>
      <c r="E3" s="391"/>
      <c r="G3" s="128" t="s">
        <v>650</v>
      </c>
      <c r="H3" s="187" t="s">
        <v>763</v>
      </c>
      <c r="J3" s="128" t="s">
        <v>651</v>
      </c>
      <c r="K3" s="187"/>
    </row>
    <row r="4" spans="1:13" hidden="1" x14ac:dyDescent="0.2">
      <c r="B4" s="103" t="s">
        <v>652</v>
      </c>
      <c r="C4" s="392" t="s">
        <v>764</v>
      </c>
      <c r="D4" s="392"/>
      <c r="E4" s="392"/>
      <c r="G4" s="103">
        <f>IFERROR(VALUE(LEFT($H$3,FIND(" ",$H$3))),"")</f>
        <v>45</v>
      </c>
      <c r="H4" s="103" t="str">
        <f>IFERROR(RIGHT(H3,LEN(H3)-LEN(G4)-1),"")</f>
        <v>bushel</v>
      </c>
      <c r="J4" s="128" t="s">
        <v>653</v>
      </c>
      <c r="K4" s="188"/>
    </row>
    <row r="5" spans="1:13" ht="15.75" hidden="1" customHeight="1" x14ac:dyDescent="0.2">
      <c r="B5" s="103" t="s">
        <v>655</v>
      </c>
      <c r="C5" s="103" t="str">
        <f ca="1">MID(CELL("filename",C5),FIND("]",CELL("filename",C5))+1,255)</f>
        <v>59-Soybeans</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59-Soybeans, Roundup Ready 2 Yield®, Conventional Tillage, after Corn, 45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59-Soybeans, Roundup Ready 2 Yield®, Conventional Tillage, after Corn, 45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2"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183</v>
      </c>
      <c r="C18" s="174" t="s">
        <v>184</v>
      </c>
      <c r="D18" s="174"/>
      <c r="E18" s="109"/>
      <c r="F18" s="109"/>
      <c r="G18" s="109"/>
      <c r="H18" s="109"/>
      <c r="I18" s="109"/>
      <c r="J18" s="109"/>
      <c r="K18" s="109"/>
      <c r="L18" s="110"/>
    </row>
    <row r="19" spans="1:12" x14ac:dyDescent="0.2">
      <c r="A19" s="170" t="s">
        <v>908</v>
      </c>
      <c r="B19" s="213" t="s">
        <v>936</v>
      </c>
      <c r="C19" s="214">
        <v>100</v>
      </c>
      <c r="D19" s="214"/>
      <c r="E19" s="215">
        <f>IF(B19=0,"",IF(C19&gt;9999,"",ROUND('General Variables'!$B$4*VLOOKUP(B19,Operations!$A$2:$U$79,10,FALSE)/VLOOKUP(B19,Operations!$A$2:$U$79,9,FALSE)*C19,2))/90)</f>
        <v>2.5384444444444445</v>
      </c>
      <c r="F19" s="215">
        <f>IF(B19=0,0,IF(C19&gt;9999,"",ROUND(IF(VLOOKUP(B19,Operations!$A$2:$U$79,12,FALSE)=0,VLOOKUP(B19,Operations!$A$2:$U$79,13,FALSE)*'General Variables'!$B$8,VLOOKUP(B19,Operations!$A$2:$U$79,12,FALSE)*'General Variables'!$B$7)/VLOOKUP(B19,Operations!$A$2:$U$79,9,FALSE)*C19,2))/90)</f>
        <v>2.8691111111111116</v>
      </c>
      <c r="G19" s="215">
        <f>IF(B19=0,0,IF(C19&gt;9999,"",ROUND(VLOOKUP(VLOOKUP(B19,Operations!$A$2:$U$79,11,FALSE),PowerUnits[],10,FALSE)/VLOOKUP(B19,Operations!$A$2:$U$79,9,FALSE)*C19,2))/100)</f>
        <v>3.9699</v>
      </c>
      <c r="H19" s="215">
        <f>IF(B19=0,"",IF(C19&gt;9999,"",ROUND(VLOOKUP($B19,Operations!$A$2:$U$79,15,FALSE)*C19,2))/100)</f>
        <v>0.61649999999999994</v>
      </c>
      <c r="I19" s="215">
        <f>IF(B19=0,0,IF(C19&gt;9999,"",ROUND(VLOOKUP(VLOOKUP(B19,Operations!$A$2:$U$79,11,FALSE),PowerUnits[],16,FALSE)/VLOOKUP(B19,Operations!$A$2:$U$79,9,FALSE)*C19,2))/80)</f>
        <v>11.9505</v>
      </c>
      <c r="J19" s="215">
        <f>IF(B19=0,"",IF(C19&gt;9999,"",ROUND(VLOOKUP($B19,Operations!$A$2:$U$79,21,FALSE)*$C19,2))/80)</f>
        <v>5.9561250000000001</v>
      </c>
      <c r="K19" s="215">
        <f>IF(C19&gt;9999,"",ROUND(SUM(E19:J19),2))</f>
        <v>27.9</v>
      </c>
      <c r="L19" s="216"/>
    </row>
    <row r="20" spans="1:12" x14ac:dyDescent="0.2">
      <c r="A20" s="170">
        <v>9</v>
      </c>
      <c r="B20" s="254" t="s">
        <v>565</v>
      </c>
      <c r="C20" s="255" t="s">
        <v>184</v>
      </c>
      <c r="D20" s="255"/>
      <c r="E20" s="256" t="str">
        <f>IF(B20=0,"",IF(C20&gt;9999,"",ROUND('General Variables'!$B$4*VLOOKUP(B20,Operations!$A$2:$U$79,10,FALSE)/VLOOKUP(B20,Operations!$A$2:$U$79,9,FALSE)*C20,2)))</f>
        <v/>
      </c>
      <c r="F20" s="256" t="str">
        <f>IF(B20=0,0,IF(C20&gt;9999,"",ROUND(IF(VLOOKUP(B20,Operations!$A$2:$U$79,12,FALSE)=0,VLOOKUP(B20,Operations!$A$2:$U$79,13,FALSE)*'General Variables'!$B$8,VLOOKUP(B20,Operations!$A$2:$U$79,12,FALSE)*'General Variables'!$B$7)/VLOOKUP(B20,Operations!$A$2:$U$79,9,FALSE)*C20,2)))</f>
        <v/>
      </c>
      <c r="G20" s="256" t="str">
        <f>IF(B20=0,0,IF(C20&gt;9999,"",ROUND(VLOOKUP(VLOOKUP(B20,Operations!$A$2:$U$79,11,FALSE),PowerUnits[],10,FALSE)/VLOOKUP(B20,Operations!$A$2:$U$79,9,FALSE)*C20,2)))</f>
        <v/>
      </c>
      <c r="H20" s="256" t="str">
        <f>IF(B20=0,"",IF(C20&gt;9999,"",ROUND(VLOOKUP($B20,Operations!$A$2:$U$79,15,FALSE)*C20,2)))</f>
        <v/>
      </c>
      <c r="I20" s="256" t="str">
        <f>IF(B20=0,0,IF(C20&gt;9999,"",ROUND(VLOOKUP(VLOOKUP(B20,Operations!$A$2:$U$79,11,FALSE),PowerUnits[],16,FALSE)/VLOOKUP(B20,Operations!$A$2:$U$79,9,FALSE)*C20,2)))</f>
        <v/>
      </c>
      <c r="J20" s="256" t="str">
        <f>IF(B20=0,"",IF(C20&gt;9999,"",ROUND(VLOOKUP($B20,Operations!$A$2:$U$79,21,FALSE)*$C20,2)))</f>
        <v/>
      </c>
      <c r="K20" s="256" t="str">
        <f t="shared" si="0"/>
        <v/>
      </c>
      <c r="L20" s="257"/>
    </row>
    <row r="21" spans="1:12" hidden="1" x14ac:dyDescent="0.2">
      <c r="A21" s="170">
        <v>9</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10</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11</v>
      </c>
      <c r="B23" s="180"/>
      <c r="C23" s="174"/>
      <c r="D23" s="112"/>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idden="1" x14ac:dyDescent="0.2">
      <c r="A24" s="170">
        <v>12</v>
      </c>
      <c r="B24" s="213"/>
      <c r="C24" s="214"/>
      <c r="D24" s="218"/>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idden="1" x14ac:dyDescent="0.2">
      <c r="A25" s="170">
        <v>13</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14</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15</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16</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12.518444444444444</v>
      </c>
      <c r="F34" s="109">
        <f t="shared" ref="F34:K34" si="1">SUM(F12:F32)</f>
        <v>8.4391111111111101</v>
      </c>
      <c r="G34" s="109">
        <f t="shared" si="1"/>
        <v>4.6498999999999997</v>
      </c>
      <c r="H34" s="109">
        <f t="shared" si="1"/>
        <v>13.6265</v>
      </c>
      <c r="I34" s="109">
        <f t="shared" si="1"/>
        <v>33.5105</v>
      </c>
      <c r="J34" s="109">
        <f t="shared" si="1"/>
        <v>21.496124999999999</v>
      </c>
      <c r="K34" s="109">
        <f t="shared" si="1"/>
        <v>94.240000000000009</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282</v>
      </c>
      <c r="C38" s="388" t="str">
        <f>IF(B38=0,"",VLOOKUP($B38,Table2[],2,FALSE))</f>
        <v>Herbicide</v>
      </c>
      <c r="D38" s="388"/>
      <c r="E38" s="388"/>
      <c r="F38" s="174">
        <v>3</v>
      </c>
      <c r="G38" s="175">
        <v>1</v>
      </c>
      <c r="H38" s="176">
        <v>5.25</v>
      </c>
      <c r="I38" s="120" t="str">
        <f>IF($B38=0,"",VLOOKUP($B38,Table2[],5,FALSE))</f>
        <v>ounce</v>
      </c>
      <c r="J38" s="109">
        <f>IF($B38=0,"",VLOOKUP($B38,Table2[],7,FALSE))</f>
        <v>5</v>
      </c>
      <c r="K38" s="109">
        <f>IF(B38=0,0,ROUND(G38*H38*J38,2))</f>
        <v>26.25</v>
      </c>
      <c r="L38" s="110"/>
    </row>
    <row r="39" spans="1:12" x14ac:dyDescent="0.2">
      <c r="A39" s="105"/>
      <c r="B39" s="180" t="s">
        <v>337</v>
      </c>
      <c r="C39" s="388" t="str">
        <f>IF(B39=0,"",VLOOKUP($B39,Table2[],2,FALSE))</f>
        <v>Seed</v>
      </c>
      <c r="D39" s="388"/>
      <c r="E39" s="388"/>
      <c r="F39" s="174">
        <v>4</v>
      </c>
      <c r="G39" s="175">
        <v>1</v>
      </c>
      <c r="H39" s="176">
        <v>1</v>
      </c>
      <c r="I39" s="120" t="str">
        <f>IF($B39=0,"",VLOOKUP($B39,Table2[],5,FALSE))</f>
        <v>bag</v>
      </c>
      <c r="J39" s="109">
        <f>IF($B39=0,"",VLOOKUP($B39,Table2[],7,FALSE))</f>
        <v>70</v>
      </c>
      <c r="K39" s="109">
        <f t="shared" ref="K39:K59" si="2">IF(B39=0,0,ROUND(G39*H39*J39,2))</f>
        <v>70</v>
      </c>
      <c r="L39" s="110"/>
    </row>
    <row r="40" spans="1:12" x14ac:dyDescent="0.2">
      <c r="A40" s="105"/>
      <c r="B40" s="180" t="s">
        <v>342</v>
      </c>
      <c r="C40" s="388" t="str">
        <f>IF(B40=0,"",VLOOKUP($B40,Table2[],2,FALSE))</f>
        <v>Inoculant</v>
      </c>
      <c r="D40" s="388"/>
      <c r="E40" s="388"/>
      <c r="F40" s="174">
        <v>4</v>
      </c>
      <c r="G40" s="175">
        <v>1</v>
      </c>
      <c r="H40" s="176">
        <v>1</v>
      </c>
      <c r="I40" s="120" t="str">
        <f>IF($B40=0,"",VLOOKUP($B40,Table2[],5,FALSE))</f>
        <v>acre</v>
      </c>
      <c r="J40" s="109">
        <f>IF($B40=0,"",VLOOKUP($B40,Table2[],7,FALSE))</f>
        <v>7</v>
      </c>
      <c r="K40" s="109">
        <f t="shared" si="2"/>
        <v>7</v>
      </c>
      <c r="L40" s="110"/>
    </row>
    <row r="41" spans="1:12" x14ac:dyDescent="0.2">
      <c r="A41" s="105"/>
      <c r="B41" s="213" t="s">
        <v>259</v>
      </c>
      <c r="C41" s="387" t="str">
        <f>IF(B41=0,"",VLOOKUP($B41,Table2[],2,FALSE))</f>
        <v>Herbicide</v>
      </c>
      <c r="D41" s="387"/>
      <c r="E41" s="387"/>
      <c r="F41" s="214">
        <v>5</v>
      </c>
      <c r="G41" s="221">
        <v>1</v>
      </c>
      <c r="H41" s="222">
        <v>32</v>
      </c>
      <c r="I41" s="223" t="str">
        <f>IF($B41=0,"",VLOOKUP($B41,Table2[],5,FALSE))</f>
        <v>ounce</v>
      </c>
      <c r="J41" s="215">
        <f>IF($B41=0,"",VLOOKUP($B41,Table2[],7,FALSE))</f>
        <v>0.1328125</v>
      </c>
      <c r="K41" s="215">
        <f t="shared" si="2"/>
        <v>4.25</v>
      </c>
      <c r="L41" s="216"/>
    </row>
    <row r="42" spans="1:12" x14ac:dyDescent="0.2">
      <c r="A42" s="105"/>
      <c r="B42" s="180" t="s">
        <v>273</v>
      </c>
      <c r="C42" s="388" t="str">
        <f>IF(B42=0,"",VLOOKUP($B42,Table2[],2,FALSE))</f>
        <v>Herbicide</v>
      </c>
      <c r="D42" s="388"/>
      <c r="E42" s="388"/>
      <c r="F42" s="174">
        <v>5</v>
      </c>
      <c r="G42" s="175">
        <v>1</v>
      </c>
      <c r="H42" s="176">
        <v>6</v>
      </c>
      <c r="I42" s="120" t="str">
        <f>IF($B42=0,"",VLOOKUP($B42,Table2[],5,FALSE))</f>
        <v>ounce</v>
      </c>
      <c r="J42" s="109">
        <f>IF($B42=0,"",VLOOKUP($B42,Table2[],7,FALSE))</f>
        <v>1.015625</v>
      </c>
      <c r="K42" s="109">
        <f t="shared" si="2"/>
        <v>6.09</v>
      </c>
      <c r="L42" s="110"/>
    </row>
    <row r="43" spans="1:12" x14ac:dyDescent="0.2">
      <c r="A43" s="105"/>
      <c r="B43" s="180" t="s">
        <v>258</v>
      </c>
      <c r="C43" s="388" t="str">
        <f>IF(B43=0,"",VLOOKUP($B43,Table2[],2,FALSE))</f>
        <v>Herbicide</v>
      </c>
      <c r="D43" s="388"/>
      <c r="E43" s="388"/>
      <c r="F43" s="174">
        <v>5</v>
      </c>
      <c r="G43" s="175">
        <v>1</v>
      </c>
      <c r="H43" s="176">
        <v>3</v>
      </c>
      <c r="I43" s="120" t="s">
        <v>272</v>
      </c>
      <c r="J43" s="109">
        <f>IF($B43=0,"",VLOOKUP($B43,Table2[],7,FALSE))</f>
        <v>6.875</v>
      </c>
      <c r="K43" s="109">
        <f t="shared" si="2"/>
        <v>20.63</v>
      </c>
      <c r="L43" s="110"/>
    </row>
    <row r="44" spans="1:12" x14ac:dyDescent="0.2">
      <c r="B44" s="180" t="s">
        <v>170</v>
      </c>
      <c r="C44" s="388" t="str">
        <f>IF(B44=0,"",VLOOKUP($B44,Table2[],2,FALSE))</f>
        <v>Additive</v>
      </c>
      <c r="D44" s="388"/>
      <c r="E44" s="388"/>
      <c r="F44" s="174">
        <v>5</v>
      </c>
      <c r="G44" s="175">
        <v>1</v>
      </c>
      <c r="H44" s="176">
        <v>1.7</v>
      </c>
      <c r="I44" s="120" t="str">
        <f>IF($B44=0,"",VLOOKUP($B44,Table2[],5,FALSE))</f>
        <v>pound</v>
      </c>
      <c r="J44" s="109">
        <f>IF($B44=0,"",VLOOKUP($B44,Table2[],7,FALSE))</f>
        <v>0.4</v>
      </c>
      <c r="K44" s="109">
        <f t="shared" ref="K44:K50" si="3">IF(B44=0,0,ROUND(G44*H44*J44,2))</f>
        <v>0.68</v>
      </c>
      <c r="L44" s="110"/>
    </row>
    <row r="45" spans="1:12" x14ac:dyDescent="0.2">
      <c r="A45" s="143"/>
      <c r="B45" s="213" t="s">
        <v>183</v>
      </c>
      <c r="C45" s="387" t="s">
        <v>184</v>
      </c>
      <c r="D45" s="387"/>
      <c r="E45" s="387"/>
      <c r="F45" s="247">
        <v>6</v>
      </c>
      <c r="G45" s="221">
        <v>0.2</v>
      </c>
      <c r="H45" s="222">
        <v>1</v>
      </c>
      <c r="I45" s="223" t="str">
        <f>IF($B45=0,"",VLOOKUP($B45,Table2[],5,FALSE))</f>
        <v>acre</v>
      </c>
      <c r="J45" s="215">
        <f>IF($B45=0,"",VLOOKUP($B45,Table2[],7,FALSE))</f>
        <v>11</v>
      </c>
      <c r="K45" s="215">
        <f t="shared" si="3"/>
        <v>2.2000000000000002</v>
      </c>
      <c r="L45" s="216"/>
    </row>
    <row r="46" spans="1:12" x14ac:dyDescent="0.2">
      <c r="A46" s="360" t="s">
        <v>750</v>
      </c>
      <c r="B46" s="180" t="s">
        <v>290</v>
      </c>
      <c r="C46" s="388" t="str">
        <f>IF(B46=0,"",VLOOKUP($B46,Table2[],2,FALSE))</f>
        <v>Insecticide</v>
      </c>
      <c r="D46" s="388"/>
      <c r="E46" s="388"/>
      <c r="F46" s="174">
        <v>6</v>
      </c>
      <c r="G46" s="175">
        <v>0.2</v>
      </c>
      <c r="H46" s="176">
        <v>1.6</v>
      </c>
      <c r="I46" s="120" t="str">
        <f>IF($B46=0,"",VLOOKUP($B46,Table2[],5,FALSE))</f>
        <v>ounce</v>
      </c>
      <c r="J46" s="109">
        <f>IF($B46=0,"",VLOOKUP($B46,Table2[],7,FALSE))</f>
        <v>3.203125</v>
      </c>
      <c r="K46" s="109">
        <f t="shared" si="3"/>
        <v>1.03</v>
      </c>
      <c r="L46" s="110"/>
    </row>
    <row r="47" spans="1:12" x14ac:dyDescent="0.2">
      <c r="A47" s="143"/>
      <c r="B47" s="180" t="s">
        <v>183</v>
      </c>
      <c r="C47" s="388" t="s">
        <v>184</v>
      </c>
      <c r="D47" s="388"/>
      <c r="E47" s="388"/>
      <c r="F47" s="174">
        <v>7</v>
      </c>
      <c r="G47" s="175">
        <v>0.1</v>
      </c>
      <c r="H47" s="176">
        <v>1</v>
      </c>
      <c r="I47" s="120" t="str">
        <f>IF($B47=0,"",VLOOKUP($B47,Table2[],5,FALSE))</f>
        <v>acre</v>
      </c>
      <c r="J47" s="109">
        <f>IF($B47=0,"",VLOOKUP($B47,Table2[],7,FALSE))</f>
        <v>11</v>
      </c>
      <c r="K47" s="109">
        <f t="shared" ref="K47:K48" si="4">IF(B47=0,0,ROUND(G47*H47*J47,2))</f>
        <v>1.1000000000000001</v>
      </c>
      <c r="L47" s="110"/>
    </row>
    <row r="48" spans="1:12" x14ac:dyDescent="0.2">
      <c r="A48" s="143"/>
      <c r="B48" s="180" t="s">
        <v>223</v>
      </c>
      <c r="C48" s="388" t="s">
        <v>214</v>
      </c>
      <c r="D48" s="388" t="s">
        <v>214</v>
      </c>
      <c r="E48" s="388"/>
      <c r="F48" s="174">
        <v>7</v>
      </c>
      <c r="G48" s="175">
        <v>0.1</v>
      </c>
      <c r="H48" s="176">
        <v>10.5</v>
      </c>
      <c r="I48" s="120" t="s">
        <v>174</v>
      </c>
      <c r="J48" s="109">
        <f>IF($B48=0,"",VLOOKUP($B48,Table2[],7,FALSE))</f>
        <v>1.875</v>
      </c>
      <c r="K48" s="109">
        <f t="shared" si="4"/>
        <v>1.97</v>
      </c>
      <c r="L48" s="110"/>
    </row>
    <row r="49" spans="1:12" x14ac:dyDescent="0.2">
      <c r="A49" s="143"/>
      <c r="B49" s="213" t="s">
        <v>198</v>
      </c>
      <c r="C49" s="387" t="str">
        <f>IF(B49=0,"",VLOOKUP($B49,Table2[],2,FALSE))</f>
        <v>Custom</v>
      </c>
      <c r="D49" s="387"/>
      <c r="E49" s="387"/>
      <c r="F49" s="214">
        <v>9</v>
      </c>
      <c r="G49" s="221">
        <v>1</v>
      </c>
      <c r="H49" s="222">
        <f>$G$4</f>
        <v>45</v>
      </c>
      <c r="I49" s="223" t="str">
        <f>IF($B49=0,"",VLOOKUP($B49,Table2[],5,FALSE))</f>
        <v>bushel</v>
      </c>
      <c r="J49" s="215">
        <f>IF($B49=0,"",VLOOKUP($B49,Table2[],7,FALSE))</f>
        <v>0.15</v>
      </c>
      <c r="K49" s="215">
        <f t="shared" si="3"/>
        <v>6.75</v>
      </c>
      <c r="L49" s="216"/>
    </row>
    <row r="50" spans="1:12" ht="12.75" customHeight="1" x14ac:dyDescent="0.2">
      <c r="A50" s="143"/>
      <c r="B50" s="180" t="s">
        <v>310</v>
      </c>
      <c r="C50" s="388" t="str">
        <f>IF(B50=0,"",VLOOKUP($B50,Table2[],2,FALSE))</f>
        <v>Scouting</v>
      </c>
      <c r="D50" s="388"/>
      <c r="E50" s="388"/>
      <c r="F50" s="174"/>
      <c r="G50" s="175">
        <v>1</v>
      </c>
      <c r="H50" s="176">
        <v>1</v>
      </c>
      <c r="I50" s="120" t="str">
        <f>IF($B50=0,"",VLOOKUP($B50,Table2[],5,FALSE))</f>
        <v>acre</v>
      </c>
      <c r="J50" s="109">
        <f>IF($B50=0,"",VLOOKUP($B50,Table2[],7,FALSE))</f>
        <v>10</v>
      </c>
      <c r="K50" s="109">
        <f t="shared" si="3"/>
        <v>10</v>
      </c>
      <c r="L50" s="110"/>
    </row>
    <row r="51" spans="1:12" ht="12.75" hidden="1" customHeight="1" x14ac:dyDescent="0.2">
      <c r="A51" s="143"/>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A52" s="105"/>
      <c r="B52" s="180"/>
      <c r="C52" s="388" t="str">
        <f>IF(B52=0,"",VLOOKUP($B52,Table2[],2,FALSE))</f>
        <v/>
      </c>
      <c r="D52" s="388"/>
      <c r="E52" s="388"/>
      <c r="F52" s="174"/>
      <c r="G52" s="175"/>
      <c r="H52" s="176"/>
      <c r="I52" s="120" t="str">
        <f>IF($B52=0,"",VLOOKUP($B52,Table2[],5,FALSE))</f>
        <v/>
      </c>
      <c r="J52" s="109" t="str">
        <f>IF($B52=0,"",VLOOKUP($B52,Table2[],7,FALSE))</f>
        <v/>
      </c>
      <c r="K52" s="109">
        <f t="shared" si="2"/>
        <v>0</v>
      </c>
      <c r="L52" s="216"/>
    </row>
    <row r="53" spans="1:12" ht="12.75" hidden="1" customHeight="1" x14ac:dyDescent="0.2">
      <c r="A53" s="105"/>
      <c r="B53" s="180"/>
      <c r="C53" s="388" t="str">
        <f>IF(B53=0,"",VLOOKUP($B53,Table2[],2,FALSE))</f>
        <v/>
      </c>
      <c r="D53" s="388"/>
      <c r="E53" s="388"/>
      <c r="F53" s="174"/>
      <c r="G53" s="175"/>
      <c r="H53" s="176"/>
      <c r="I53" s="120" t="str">
        <f>IF($B53=0,"",VLOOKUP($B53,Table2[],5,FALSE))</f>
        <v/>
      </c>
      <c r="J53" s="109" t="str">
        <f>IF($B53=0,"",VLOOKUP($B53,Table2[],7,FALSE))</f>
        <v/>
      </c>
      <c r="K53" s="109">
        <f t="shared" si="2"/>
        <v>0</v>
      </c>
      <c r="L53" s="110"/>
    </row>
    <row r="54" spans="1:12" ht="12.75" hidden="1" customHeight="1" x14ac:dyDescent="0.2">
      <c r="B54" s="180"/>
      <c r="C54" s="388" t="str">
        <f>IF(B54=0,"",VLOOKUP($B54,Table2[],2,FALSE))</f>
        <v/>
      </c>
      <c r="D54" s="388"/>
      <c r="E54" s="388"/>
      <c r="F54" s="174"/>
      <c r="G54" s="175"/>
      <c r="H54" s="176"/>
      <c r="I54" s="120" t="str">
        <f>IF($B54=0,"",VLOOKUP($B54,Table2[],5,FALSE))</f>
        <v/>
      </c>
      <c r="J54" s="109" t="str">
        <f>IF($B54=0,"",VLOOKUP($B54,Table2[],7,FALSE))</f>
        <v/>
      </c>
      <c r="K54" s="109">
        <f t="shared" si="2"/>
        <v>0</v>
      </c>
      <c r="L54" s="110"/>
    </row>
    <row r="55" spans="1:12" ht="12.75" hidden="1" customHeight="1" x14ac:dyDescent="0.2">
      <c r="B55" s="180"/>
      <c r="C55" s="388" t="str">
        <f>IF(B55=0,"",VLOOKUP($B55,Table2[],2,FALSE))</f>
        <v/>
      </c>
      <c r="D55" s="388"/>
      <c r="E55" s="388"/>
      <c r="F55" s="174"/>
      <c r="G55" s="175"/>
      <c r="H55" s="176"/>
      <c r="I55" s="120" t="str">
        <f>IF($B55=0,"",VLOOKUP($B55,Table2[],5,FALSE))</f>
        <v/>
      </c>
      <c r="J55" s="109" t="str">
        <f>IF($B55=0,"",VLOOKUP($B55,Table2[],7,FALSE))</f>
        <v/>
      </c>
      <c r="K55" s="109">
        <f t="shared" si="2"/>
        <v>0</v>
      </c>
      <c r="L55" s="110"/>
    </row>
    <row r="56" spans="1:12" ht="12.75" hidden="1" customHeight="1" x14ac:dyDescent="0.2">
      <c r="B56" s="180"/>
      <c r="C56" s="388" t="str">
        <f>IF(B56=0,"",VLOOKUP($B56,Table2[],2,FALSE))</f>
        <v/>
      </c>
      <c r="D56" s="388"/>
      <c r="E56" s="388"/>
      <c r="F56" s="174"/>
      <c r="G56" s="175">
        <v>0.1</v>
      </c>
      <c r="H56" s="176"/>
      <c r="I56" s="120" t="str">
        <f>IF($B56=0,"",VLOOKUP($B56,Table2[],5,FALSE))</f>
        <v/>
      </c>
      <c r="J56" s="109" t="str">
        <f>IF($B56=0,"",VLOOKUP($B56,Table2[],7,FALSE))</f>
        <v/>
      </c>
      <c r="K56" s="109">
        <f t="shared" si="2"/>
        <v>0</v>
      </c>
      <c r="L56" s="216"/>
    </row>
    <row r="57" spans="1:12" ht="12.75" hidden="1" customHeight="1" x14ac:dyDescent="0.2">
      <c r="B57" s="180"/>
      <c r="C57" s="388" t="str">
        <f>IF(B57=0,"",VLOOKUP($B57,Table2[],2,FALSE))</f>
        <v/>
      </c>
      <c r="D57" s="388"/>
      <c r="E57" s="388"/>
      <c r="F57" s="174"/>
      <c r="G57" s="175">
        <v>0.2</v>
      </c>
      <c r="H57" s="176"/>
      <c r="I57" s="120" t="str">
        <f>IF($B57=0,"",VLOOKUP($B57,Table2[],5,FALSE))</f>
        <v/>
      </c>
      <c r="J57" s="109" t="str">
        <f>IF($B57=0,"",VLOOKUP($B57,Table2[],7,FALSE))</f>
        <v/>
      </c>
      <c r="K57" s="109">
        <f t="shared" si="2"/>
        <v>0</v>
      </c>
      <c r="L57" s="110"/>
    </row>
    <row r="58" spans="1:12" ht="12.75" hidden="1" customHeight="1" x14ac:dyDescent="0.2">
      <c r="B58" s="180"/>
      <c r="C58" s="388" t="str">
        <f>IF(B58=0,"",VLOOKUP($B58,Table2[],2,FALSE))</f>
        <v/>
      </c>
      <c r="D58" s="388"/>
      <c r="E58" s="388"/>
      <c r="F58" s="174"/>
      <c r="G58" s="175">
        <v>0.3</v>
      </c>
      <c r="H58" s="176"/>
      <c r="I58" s="120" t="str">
        <f>IF($B58=0,"",VLOOKUP($B58,Table2[],5,FALSE))</f>
        <v/>
      </c>
      <c r="J58" s="109" t="str">
        <f>IF($B58=0,"",VLOOKUP($B58,Table2[],7,FALSE))</f>
        <v/>
      </c>
      <c r="K58" s="109">
        <f t="shared" si="2"/>
        <v>0</v>
      </c>
      <c r="L58" s="110"/>
    </row>
    <row r="59" spans="1:12" ht="12.75" hidden="1" customHeight="1" x14ac:dyDescent="0.2">
      <c r="B59" s="180"/>
      <c r="C59" s="388" t="str">
        <f>IF(B59=0,"",VLOOKUP($B59,Table2[],2,FALSE))</f>
        <v/>
      </c>
      <c r="D59" s="388"/>
      <c r="E59" s="388"/>
      <c r="F59" s="174"/>
      <c r="G59" s="175"/>
      <c r="H59" s="176"/>
      <c r="I59" s="120" t="str">
        <f>IF($B59=0,"",VLOOKUP($B59,Table2[],5,FALSE))</f>
        <v/>
      </c>
      <c r="J59" s="109" t="str">
        <f>IF($B59=0,"",VLOOKUP($B59,Table2[],7,FALSE))</f>
        <v/>
      </c>
      <c r="K59" s="109">
        <f t="shared" si="2"/>
        <v>0</v>
      </c>
      <c r="L59" s="113"/>
    </row>
    <row r="60" spans="1:12" ht="12.75" hidden="1" customHeight="1" x14ac:dyDescent="0.2">
      <c r="B60" s="180"/>
      <c r="C60" s="388" t="str">
        <f>IF(B60=0,"",VLOOKUP($B60,Table2[],2,FALSE))</f>
        <v/>
      </c>
      <c r="D60" s="388"/>
      <c r="E60" s="388"/>
      <c r="F60" s="174"/>
      <c r="G60" s="175"/>
      <c r="H60" s="176"/>
      <c r="I60" s="120" t="str">
        <f>IF($B60=0,"",VLOOKUP($B60,Table2[],5,FALSE))</f>
        <v/>
      </c>
      <c r="J60" s="109" t="str">
        <f>IF($B60=0,"",VLOOKUP($B60,Table2[],7,FALSE))</f>
        <v/>
      </c>
      <c r="K60" s="109">
        <f>IF(B60=0,0,ROUND(G60*H60*J60,2))</f>
        <v>0</v>
      </c>
      <c r="L60" s="227"/>
    </row>
    <row r="61" spans="1:12" ht="12.75" hidden="1" customHeight="1" x14ac:dyDescent="0.2">
      <c r="B61" s="180"/>
      <c r="C61" s="388" t="str">
        <f>IF(B61=0,"",VLOOKUP($B61,Table2[],2,FALSE))</f>
        <v/>
      </c>
      <c r="D61" s="388"/>
      <c r="E61" s="388"/>
      <c r="F61" s="174"/>
      <c r="G61" s="175"/>
      <c r="H61" s="176"/>
      <c r="I61" s="120" t="str">
        <f>IF($B61=0,"",VLOOKUP($B61,Table2[],5,FALSE))</f>
        <v/>
      </c>
      <c r="J61" s="109" t="str">
        <f>IF($B61=0,"",VLOOKUP($B61,Table2[],7,FALSE))</f>
        <v/>
      </c>
      <c r="K61" s="109">
        <f>IF(B61=0,0,ROUND(G61*H61*J61,2))</f>
        <v>0</v>
      </c>
      <c r="L61" s="113"/>
    </row>
    <row r="62" spans="1:12" ht="12.75" hidden="1" customHeight="1" x14ac:dyDescent="0.2">
      <c r="B62" s="180"/>
      <c r="C62" s="388" t="str">
        <f>IF(B62=0,"",VLOOKUP($B62,Table2[],2,FALSE))</f>
        <v/>
      </c>
      <c r="D62" s="388"/>
      <c r="E62" s="388"/>
      <c r="F62" s="174"/>
      <c r="G62" s="175"/>
      <c r="H62" s="176"/>
      <c r="I62" s="120" t="str">
        <f>IF($B62=0,"",VLOOKUP($B62,Table2[],5,FALSE))</f>
        <v/>
      </c>
      <c r="J62" s="109" t="str">
        <f>IF($B62=0,"",VLOOKUP($B62,Table2[],7,FALSE))</f>
        <v/>
      </c>
      <c r="K62" s="109">
        <f>IF(B62=0,0,ROUND(G62*H62*J62,2))</f>
        <v>0</v>
      </c>
      <c r="L62" s="113"/>
    </row>
    <row r="63" spans="1:12" ht="12.75" hidden="1" customHeight="1" x14ac:dyDescent="0.2">
      <c r="B63" s="180"/>
      <c r="C63" s="388" t="str">
        <f>IF(B63=0,"",VLOOKUP($B63,Table2[],2,FALSE))</f>
        <v/>
      </c>
      <c r="D63" s="388"/>
      <c r="E63" s="388"/>
      <c r="F63" s="174"/>
      <c r="G63" s="175"/>
      <c r="H63" s="176"/>
      <c r="I63" s="120" t="str">
        <f>IF($B63=0,"",VLOOKUP($B63,Table2[],5,FALSE))</f>
        <v/>
      </c>
      <c r="J63" s="109" t="str">
        <f>IF($B63=0,"",VLOOKUP($B63,Table2[],7,FALSE))</f>
        <v/>
      </c>
      <c r="K63" s="109">
        <f>IF(B63=0,0,ROUND(G63*H63*J63,2))</f>
        <v>0</v>
      </c>
      <c r="L63" s="113"/>
    </row>
    <row r="64" spans="1:12" ht="12.75" hidden="1" customHeight="1" x14ac:dyDescent="0.2">
      <c r="B64" s="180"/>
      <c r="C64" s="388" t="str">
        <f>IF(B64=0,"",VLOOKUP($B64,Table2[],2,FALSE))</f>
        <v/>
      </c>
      <c r="D64" s="388"/>
      <c r="E64" s="388"/>
      <c r="F64" s="174"/>
      <c r="G64" s="175"/>
      <c r="H64" s="176"/>
      <c r="I64" s="120" t="str">
        <f>IF($B64=0,"",VLOOKUP($B64,Table2[],5,FALSE))</f>
        <v/>
      </c>
      <c r="J64" s="109" t="str">
        <f>IF($B64=0,"",VLOOKUP($B64,Table2[],7,FALSE))</f>
        <v/>
      </c>
      <c r="K64" s="109">
        <f>IF(B64=0,0,ROUND(G64*H64*J64,2))</f>
        <v>0</v>
      </c>
      <c r="L64" s="227"/>
    </row>
    <row r="65" spans="2:12" x14ac:dyDescent="0.2">
      <c r="B65" s="180" t="s">
        <v>430</v>
      </c>
      <c r="C65" s="388" t="s">
        <v>655</v>
      </c>
      <c r="D65" s="388"/>
      <c r="E65" s="388"/>
      <c r="F65" s="174"/>
      <c r="G65" s="175"/>
      <c r="H65" s="176"/>
      <c r="I65" s="120"/>
      <c r="J65" s="109">
        <f ca="1">IF(F5=0,E5,F5)</f>
        <v>10</v>
      </c>
      <c r="K65" s="109">
        <f ca="1">IF(B65=0,0,J65)</f>
        <v>10</v>
      </c>
      <c r="L65" s="353"/>
    </row>
    <row r="66" spans="2:12" ht="3.75" customHeight="1" thickBot="1" x14ac:dyDescent="0.25">
      <c r="B66" s="114"/>
      <c r="C66" s="121"/>
      <c r="D66" s="121"/>
      <c r="E66" s="121"/>
      <c r="F66" s="115"/>
      <c r="G66" s="122"/>
      <c r="H66" s="114"/>
      <c r="I66" s="123"/>
      <c r="J66" s="124"/>
      <c r="K66" s="125"/>
      <c r="L66" s="117"/>
    </row>
    <row r="67" spans="2:12" ht="13.5" thickTop="1" x14ac:dyDescent="0.2">
      <c r="C67" s="108" t="s">
        <v>671</v>
      </c>
      <c r="D67" s="108"/>
      <c r="J67" s="126"/>
      <c r="K67" s="127">
        <f ca="1">SUM(K38:K65)</f>
        <v>167.95</v>
      </c>
      <c r="L67" s="110"/>
    </row>
    <row r="68" spans="2:12" x14ac:dyDescent="0.2">
      <c r="B68" s="358" t="s">
        <v>909</v>
      </c>
      <c r="C68" s="362"/>
      <c r="D68" s="362"/>
      <c r="E68" s="352" t="s">
        <v>768</v>
      </c>
      <c r="F68" s="358"/>
      <c r="G68" s="358"/>
      <c r="J68" s="126"/>
      <c r="K68" s="127"/>
    </row>
    <row r="69" spans="2:12" x14ac:dyDescent="0.2">
      <c r="K69" s="127"/>
    </row>
    <row r="70" spans="2:12" x14ac:dyDescent="0.2">
      <c r="B70" s="107" t="s">
        <v>672</v>
      </c>
      <c r="K70" s="127">
        <f ca="1">K34+K67</f>
        <v>262.19</v>
      </c>
      <c r="L70" s="110"/>
    </row>
    <row r="71" spans="2:12" ht="13.5" thickBot="1" x14ac:dyDescent="0.25">
      <c r="D71" s="128" t="s">
        <v>673</v>
      </c>
      <c r="E71" s="129">
        <f ca="1">ROUND(SUM($E$34:$H$34)+$K$67,2)</f>
        <v>207.18</v>
      </c>
      <c r="F71" s="388" t="s">
        <v>674</v>
      </c>
      <c r="G71" s="388"/>
      <c r="H71" s="130">
        <f>'General Variables'!$B$11</f>
        <v>7.4999999999999997E-2</v>
      </c>
      <c r="I71" s="131" t="str">
        <f>CONCATENATE("for ",TEXT('General Variables'!$B$12,"0.0")," mo.")</f>
        <v>for 6.0 mo.</v>
      </c>
      <c r="K71" s="132">
        <f ca="1">E71*H71*'General Variables'!$B$12/12</f>
        <v>7.7692499999999995</v>
      </c>
      <c r="L71" s="133"/>
    </row>
    <row r="72" spans="2:12" ht="13.5" thickTop="1" x14ac:dyDescent="0.2">
      <c r="B72" s="107" t="s">
        <v>675</v>
      </c>
      <c r="K72" s="127">
        <f ca="1">SUM(K70:K71)</f>
        <v>269.95925</v>
      </c>
      <c r="L72" s="110"/>
    </row>
    <row r="73" spans="2:12" x14ac:dyDescent="0.2">
      <c r="K73" s="127"/>
    </row>
    <row r="74" spans="2:12" x14ac:dyDescent="0.2">
      <c r="B74" s="104" t="s">
        <v>676</v>
      </c>
      <c r="C74" s="134"/>
      <c r="D74" s="134"/>
      <c r="E74" s="134"/>
      <c r="F74" s="134"/>
      <c r="G74" s="134"/>
      <c r="H74" s="134"/>
      <c r="I74" s="134"/>
      <c r="J74" s="134"/>
      <c r="K74" s="135">
        <f>'General Variables'!B15</f>
        <v>27</v>
      </c>
      <c r="L74" s="110"/>
    </row>
    <row r="75" spans="2:12" x14ac:dyDescent="0.2">
      <c r="B75" s="103" t="s">
        <v>687</v>
      </c>
      <c r="C75" s="398" t="s">
        <v>30</v>
      </c>
      <c r="D75" s="399"/>
      <c r="E75" s="400"/>
      <c r="F75" s="136">
        <f>IF(C75=0,0,VLOOKUP(C75,RETable,2,FALSE))</f>
        <v>4530</v>
      </c>
      <c r="G75" s="388" t="s">
        <v>678</v>
      </c>
      <c r="H75" s="388"/>
      <c r="I75" s="130">
        <f>'General Variables'!$B$10</f>
        <v>0.03</v>
      </c>
      <c r="K75" s="137">
        <f>ROUND(F75*I75,2)</f>
        <v>135.9</v>
      </c>
      <c r="L75" s="110"/>
    </row>
    <row r="76" spans="2:12" ht="13.5" thickBot="1" x14ac:dyDescent="0.25">
      <c r="B76" s="103" t="s">
        <v>679</v>
      </c>
      <c r="F76" s="138">
        <f>IF(C75=0,0,VLOOKUP(C75,RETable,2,FALSE))</f>
        <v>4530</v>
      </c>
      <c r="G76" s="397" t="s">
        <v>678</v>
      </c>
      <c r="H76" s="397"/>
      <c r="I76" s="139">
        <f>'General Variables'!$B$13</f>
        <v>1.2999999999999999E-2</v>
      </c>
      <c r="J76" s="105"/>
      <c r="K76" s="140">
        <f>ROUND(F76*I76,2)</f>
        <v>58.89</v>
      </c>
      <c r="L76" s="133"/>
    </row>
    <row r="77" spans="2:12" ht="13.5" thickTop="1" x14ac:dyDescent="0.2">
      <c r="B77" s="107" t="s">
        <v>680</v>
      </c>
      <c r="K77" s="127">
        <f ca="1">SUM(K72:K76)</f>
        <v>491.74924999999996</v>
      </c>
      <c r="L77" s="110"/>
    </row>
    <row r="78" spans="2:12" x14ac:dyDescent="0.2">
      <c r="K78" s="128"/>
    </row>
    <row r="79" spans="2:12" x14ac:dyDescent="0.2">
      <c r="B79" s="104" t="str">
        <f>IF(G4="","","Cash Cost per "&amp;H4)</f>
        <v>Cash Cost per bushel</v>
      </c>
      <c r="C79" s="261" t="s">
        <v>688</v>
      </c>
      <c r="D79" s="105"/>
      <c r="E79" s="105"/>
      <c r="F79" s="105"/>
      <c r="G79" s="105"/>
      <c r="H79" s="105"/>
      <c r="I79" s="105"/>
      <c r="J79" s="105"/>
      <c r="K79" s="142">
        <f ca="1">IF(G4=0,0,(E71+K71+K74+K76)/G4)</f>
        <v>6.6853166666666661</v>
      </c>
      <c r="L79" s="148"/>
    </row>
    <row r="80" spans="2:12" x14ac:dyDescent="0.2">
      <c r="B80" s="107" t="str">
        <f>IF(G4="","","Cost of production per "&amp;H4)</f>
        <v>Cost of production per bushel</v>
      </c>
      <c r="K80" s="141">
        <f ca="1">IF(G4="","",K77/G4)</f>
        <v>10.92776111111111</v>
      </c>
      <c r="L80" s="110"/>
    </row>
    <row r="81" spans="2:12" x14ac:dyDescent="0.2">
      <c r="B81" s="107"/>
      <c r="K81" s="141"/>
    </row>
    <row r="82" spans="2:12" x14ac:dyDescent="0.2">
      <c r="B82" s="103" t="s">
        <v>765</v>
      </c>
    </row>
    <row r="83" spans="2:12" x14ac:dyDescent="0.2">
      <c r="D83" s="103" t="s">
        <v>900</v>
      </c>
      <c r="G83" s="105"/>
      <c r="H83" s="105"/>
      <c r="I83" s="105"/>
      <c r="J83" s="105"/>
      <c r="K83" s="355" t="s">
        <v>901</v>
      </c>
      <c r="L83" s="105"/>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6"/>
      <c r="C115" s="106"/>
      <c r="D115" s="106"/>
    </row>
    <row r="116" spans="2:11" x14ac:dyDescent="0.2">
      <c r="B116" s="105"/>
      <c r="C116" s="105"/>
      <c r="D116" s="105"/>
      <c r="H116" s="103" t="e">
        <f>'General Variables'!#REF!</f>
        <v>#REF!</v>
      </c>
    </row>
    <row r="117" spans="2:11" x14ac:dyDescent="0.2">
      <c r="B117" s="105"/>
      <c r="C117" s="105"/>
      <c r="D117" s="105"/>
      <c r="H117" s="103" t="e">
        <f>'General Variables'!#REF!</f>
        <v>#REF!</v>
      </c>
      <c r="K117" s="103" t="s">
        <v>681</v>
      </c>
    </row>
    <row r="118" spans="2:11" x14ac:dyDescent="0.2">
      <c r="B118" s="105"/>
      <c r="C118" s="105"/>
      <c r="D118" s="105"/>
      <c r="H118" s="103" t="e">
        <f>'General Variables'!#REF!</f>
        <v>#REF!</v>
      </c>
      <c r="K118" s="103" t="s">
        <v>654</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c r="H131" s="103" t="e">
        <f>'General Variables'!#REF!</f>
        <v>#REF!</v>
      </c>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c r="D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c r="C245" s="105"/>
    </row>
    <row r="246" spans="2:3" x14ac:dyDescent="0.2">
      <c r="B246" s="105" t="str">
        <f>IF(Operations!A96="","",Operations!A96)</f>
        <v/>
      </c>
      <c r="C246" s="105" t="str">
        <f>IF(Materials!B140="","",Materials!B140)</f>
        <v>Alfalfa w/Inoculant</v>
      </c>
    </row>
    <row r="247" spans="2:3" x14ac:dyDescent="0.2">
      <c r="B247" s="105" t="str">
        <f>IF(Operations!A97="","",Operations!A97)</f>
        <v/>
      </c>
      <c r="C247" s="105" t="str">
        <f>IF(Materials!B141="","",Materials!B141)</f>
        <v>Corn</v>
      </c>
    </row>
    <row r="248" spans="2:3" x14ac:dyDescent="0.2">
      <c r="B248" s="105" t="str">
        <f>IF(Operations!A98="","",Operations!A98)</f>
        <v/>
      </c>
      <c r="C248" s="105" t="str">
        <f>IF(Materials!B142="","",Materials!B142)</f>
        <v>Corn Bt, ECB, &amp; RIB</v>
      </c>
    </row>
    <row r="249" spans="2:3" x14ac:dyDescent="0.2">
      <c r="B249" s="105" t="str">
        <f>IF(Operations!A99="","",Operations!A99)</f>
        <v/>
      </c>
      <c r="C249" s="105" t="str">
        <f>IF(Materials!B143="","",Materials!B143)</f>
        <v>Corn Bt, ECB, RR2, LL, &amp; RIB</v>
      </c>
    </row>
    <row r="250" spans="2:3" x14ac:dyDescent="0.2">
      <c r="B250" s="105" t="str">
        <f>IF(Operations!A100="","",Operations!A100)</f>
        <v/>
      </c>
      <c r="C250" s="105" t="str">
        <f>IF(Materials!B144="","",Materials!B144)</f>
        <v>Corn Bt, ECB, RW, &amp; RIB</v>
      </c>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c r="C259" s="105"/>
    </row>
    <row r="260" spans="2:3" x14ac:dyDescent="0.2">
      <c r="B260" s="105"/>
    </row>
    <row r="261" spans="2:3" x14ac:dyDescent="0.2">
      <c r="B261" s="105"/>
    </row>
  </sheetData>
  <mergeCells count="51">
    <mergeCell ref="C75:E75"/>
    <mergeCell ref="G75:H75"/>
    <mergeCell ref="G76:H76"/>
    <mergeCell ref="C53:E53"/>
    <mergeCell ref="C54:E54"/>
    <mergeCell ref="C55:E55"/>
    <mergeCell ref="C56:E56"/>
    <mergeCell ref="C57:E57"/>
    <mergeCell ref="C58:E58"/>
    <mergeCell ref="C59:E59"/>
    <mergeCell ref="C65:E65"/>
    <mergeCell ref="F71:G71"/>
    <mergeCell ref="C60:E60"/>
    <mergeCell ref="C61:E61"/>
    <mergeCell ref="C62:E62"/>
    <mergeCell ref="C64:E64"/>
    <mergeCell ref="L10:L11"/>
    <mergeCell ref="F36:F37"/>
    <mergeCell ref="G36:G37"/>
    <mergeCell ref="H36:I36"/>
    <mergeCell ref="J36:J37"/>
    <mergeCell ref="L36:L37"/>
    <mergeCell ref="I10:J10"/>
    <mergeCell ref="C51:E51"/>
    <mergeCell ref="G10:H10"/>
    <mergeCell ref="C44:E44"/>
    <mergeCell ref="K10:K11"/>
    <mergeCell ref="C38:E38"/>
    <mergeCell ref="C39:E39"/>
    <mergeCell ref="C41:E41"/>
    <mergeCell ref="C42:E42"/>
    <mergeCell ref="C43:E43"/>
    <mergeCell ref="C40:E40"/>
    <mergeCell ref="C47:E47"/>
    <mergeCell ref="C48:E48"/>
    <mergeCell ref="C63:E63"/>
    <mergeCell ref="K2:L2"/>
    <mergeCell ref="G2:H2"/>
    <mergeCell ref="C4:E4"/>
    <mergeCell ref="B7:L7"/>
    <mergeCell ref="C3:E3"/>
    <mergeCell ref="A6:M6"/>
    <mergeCell ref="B10:B11"/>
    <mergeCell ref="C10:C11"/>
    <mergeCell ref="E10:E11"/>
    <mergeCell ref="F10:F11"/>
    <mergeCell ref="C52:E52"/>
    <mergeCell ref="C45:E45"/>
    <mergeCell ref="C46:E46"/>
    <mergeCell ref="C49:E49"/>
    <mergeCell ref="C50:E50"/>
  </mergeCells>
  <dataValidations count="9">
    <dataValidation type="list" allowBlank="1" showInputMessage="1" showErrorMessage="1" sqref="B33" xr:uid="{00000000-0002-0000-3F00-000000000000}">
      <formula1>$B$116:$B$213</formula1>
    </dataValidation>
    <dataValidation type="list" allowBlank="1" showInputMessage="1" showErrorMessage="1" sqref="B66" xr:uid="{00000000-0002-0000-3F00-000001000000}">
      <formula1>$C$116:$C$234</formula1>
    </dataValidation>
    <dataValidation type="list" allowBlank="1" showInputMessage="1" showErrorMessage="1" sqref="K4" xr:uid="{00000000-0002-0000-3F00-000002000000}">
      <formula1>$K$116:$K$118</formula1>
    </dataValidation>
    <dataValidation type="list" allowBlank="1" showInputMessage="1" showErrorMessage="1" sqref="B38:B64" xr:uid="{00000000-0002-0000-3F00-000003000000}">
      <formula1>MaterialList</formula1>
    </dataValidation>
    <dataValidation type="list" allowBlank="1" showInputMessage="1" showErrorMessage="1" sqref="C75:E75" xr:uid="{00000000-0002-0000-3F00-000004000000}">
      <formula1>RealEstateList</formula1>
    </dataValidation>
    <dataValidation type="list" allowBlank="1" showInputMessage="1" showErrorMessage="1" sqref="B12:B32" xr:uid="{00000000-0002-0000-3F00-000005000000}">
      <formula1>OperationList</formula1>
    </dataValidation>
    <dataValidation type="list" allowBlank="1" showInputMessage="1" showErrorMessage="1" sqref="D12:D33" xr:uid="{00000000-0002-0000-3F00-000006000000}">
      <formula1>#REF!</formula1>
    </dataValidation>
    <dataValidation type="list" allowBlank="1" showInputMessage="1" showErrorMessage="1" sqref="K2" xr:uid="{00000000-0002-0000-3F00-000007000000}">
      <formula1>watersource</formula1>
    </dataValidation>
    <dataValidation type="list" allowBlank="1" showInputMessage="1" showErrorMessage="1" sqref="C3" xr:uid="{00000000-0002-0000-3F00-000008000000}">
      <formula1>TillageSystem</formula1>
    </dataValidation>
  </dataValidations>
  <pageMargins left="0.7" right="0.7" top="0.75" bottom="0.75" header="0.3" footer="0.3"/>
  <pageSetup scale="7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6">
    <pageSetUpPr fitToPage="1"/>
  </sheetPr>
  <dimension ref="A2:M259"/>
  <sheetViews>
    <sheetView zoomScaleNormal="100" workbookViewId="0">
      <selection activeCell="J19" sqref="J19"/>
    </sheetView>
  </sheetViews>
  <sheetFormatPr defaultColWidth="8.57031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ustomWidth="1"/>
    <col min="6" max="6" width="11.5703125" style="103" customWidth="1"/>
    <col min="7" max="7" width="9.42578125" style="103" customWidth="1"/>
    <col min="8" max="8" width="7.7109375" style="103" customWidth="1"/>
    <col min="9" max="10" width="9.140625" style="103" customWidth="1"/>
    <col min="11" max="11" width="10.140625" style="103" customWidth="1"/>
    <col min="12" max="12" width="9.140625" style="103" customWidth="1"/>
    <col min="13" max="16384" width="8.5703125" style="103"/>
  </cols>
  <sheetData>
    <row r="2" spans="1:13" ht="14.25" hidden="1" customHeight="1" x14ac:dyDescent="0.2">
      <c r="B2" s="103" t="s">
        <v>20</v>
      </c>
      <c r="C2" s="187"/>
      <c r="D2" s="187"/>
      <c r="E2" s="187"/>
      <c r="F2" s="128" t="s">
        <v>648</v>
      </c>
      <c r="G2" s="392" t="s">
        <v>762</v>
      </c>
      <c r="H2" s="392"/>
      <c r="J2" s="128" t="s">
        <v>649</v>
      </c>
      <c r="K2" s="401" t="s">
        <v>74</v>
      </c>
      <c r="L2" s="401"/>
    </row>
    <row r="3" spans="1:13" hidden="1" x14ac:dyDescent="0.2">
      <c r="B3" s="103" t="s">
        <v>38</v>
      </c>
      <c r="C3" s="391" t="s">
        <v>46</v>
      </c>
      <c r="D3" s="391"/>
      <c r="E3" s="391"/>
      <c r="G3" s="128" t="s">
        <v>650</v>
      </c>
      <c r="H3" s="187" t="s">
        <v>766</v>
      </c>
      <c r="J3" s="128" t="s">
        <v>651</v>
      </c>
      <c r="K3" s="187"/>
    </row>
    <row r="4" spans="1:13" hidden="1" x14ac:dyDescent="0.2">
      <c r="B4" s="103" t="s">
        <v>652</v>
      </c>
      <c r="C4" s="392" t="s">
        <v>767</v>
      </c>
      <c r="D4" s="392"/>
      <c r="E4" s="392"/>
      <c r="G4" s="103">
        <f>IFERROR(VALUE(LEFT($H$3,FIND(" ",$H$3))),"")</f>
        <v>50</v>
      </c>
      <c r="H4" s="103" t="str">
        <f>IFERROR(RIGHT(H3,LEN(H3)-LEN(G4)-1),"")</f>
        <v>bushel</v>
      </c>
      <c r="J4" s="128" t="s">
        <v>653</v>
      </c>
      <c r="K4" s="188"/>
    </row>
    <row r="5" spans="1:13" hidden="1" x14ac:dyDescent="0.2">
      <c r="B5" s="103" t="s">
        <v>655</v>
      </c>
      <c r="C5" s="103" t="str">
        <f ca="1">MID(CELL("filename",C5),FIND("]",CELL("filename",C5))+1,255)</f>
        <v>60-Soybeans</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60-Soybeans, Roundup Ready 2 Yield®, No Till,  after Corn, 50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60-Soybeans, Roundup Ready 2 Yield®, No Till,  after Corn, 50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0.8</v>
      </c>
      <c r="D12" s="174"/>
      <c r="E12" s="109">
        <f>IF(B12=0,"",IF(C12&gt;9999,"",ROUND('General Variables'!$B$4*VLOOKUP(B12,Operations!$A$2:$U$79,10,FALSE)/VLOOKUP(B12,Operations!$A$2:$U$79,9,FALSE)*C12,2)))</f>
        <v>0.82</v>
      </c>
      <c r="F12" s="109">
        <f>IF(B12=0,0,IF(C12&gt;9999,"",ROUND(IF(VLOOKUP(B12,Operations!$A$2:$U$79,12,FALSE)=0,VLOOKUP(B12,Operations!$A$2:$U$79,13,FALSE)*'General Variables'!$B$8,VLOOKUP(B12,Operations!$A$2:$U$79,12,FALSE)*'General Variables'!$B$7)/VLOOKUP(B12,Operations!$A$2:$U$79,9,FALSE)*C12,2)))</f>
        <v>0.2</v>
      </c>
      <c r="G12" s="109">
        <f>IF(B12=0,0,IF(C12&gt;9999,"",ROUND(VLOOKUP(VLOOKUP(B12,Operations!$A$2:$U$79,11,FALSE),PowerUnits[],10,FALSE)/VLOOKUP(B12,Operations!$A$2:$U$79,9,FALSE)*C12,2)))</f>
        <v>0.02</v>
      </c>
      <c r="H12" s="109">
        <f>IF(B12=0,"",IF(C12&gt;9999,"",ROUND(VLOOKUP($B12,Operations!$A$2:$U$79,15,FALSE)*C12,2)))</f>
        <v>0.89</v>
      </c>
      <c r="I12" s="109">
        <f>IF(B12=0,0,IF(C12&gt;9999,"",ROUND(VLOOKUP(VLOOKUP(B12,Operations!$A$2:$U$79,11,FALSE),PowerUnits[],16,FALSE)/VLOOKUP(B12,Operations!$A$2:$U$79,9,FALSE)*C12,2)))</f>
        <v>1.05</v>
      </c>
      <c r="J12" s="109">
        <f>IF(B12=0,"",IF(C12&gt;9999,"",ROUND(VLOOKUP($B12,Operations!$A$2:$U$79,21,FALSE)*$C12,2)))</f>
        <v>1.61</v>
      </c>
      <c r="K12" s="109">
        <f>IF(C12&gt;9999,"",ROUND(SUM(E12:J12),2))</f>
        <v>4.59</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2" si="0">IF(C13&gt;9999,"",ROUND(SUM(E13:J13),2))</f>
        <v>5.75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183</v>
      </c>
      <c r="C17" s="174" t="s">
        <v>184</v>
      </c>
      <c r="D17" s="174"/>
      <c r="E17" s="109"/>
      <c r="F17" s="109"/>
      <c r="G17" s="109"/>
      <c r="H17" s="109"/>
      <c r="I17" s="109"/>
      <c r="J17" s="109"/>
      <c r="K17" s="109"/>
      <c r="L17" s="110"/>
    </row>
    <row r="18" spans="1:12" x14ac:dyDescent="0.2">
      <c r="A18" s="170" t="s">
        <v>910</v>
      </c>
      <c r="B18" s="180" t="s">
        <v>936</v>
      </c>
      <c r="C18" s="255">
        <f>$G$4*2</f>
        <v>100</v>
      </c>
      <c r="D18" s="174"/>
      <c r="E18" s="109">
        <f>IF(B18=0,"",IF(C18&gt;9999,"",ROUND('General Variables'!$B$4*VLOOKUP(B18,Operations!$A$2:$U$79,10,FALSE)/VLOOKUP(B18,Operations!$A$2:$U$79,9,FALSE)*C18,2))/90)</f>
        <v>2.5384444444444445</v>
      </c>
      <c r="F18" s="109">
        <f>IF(B18=0,0,IF(C18&gt;9999,"",ROUND(IF(VLOOKUP(B18,Operations!$A$2:$U$79,12,FALSE)=0,VLOOKUP(B18,Operations!$A$2:$U$79,13,FALSE)*'General Variables'!$B$8,VLOOKUP(B18,Operations!$A$2:$U$79,12,FALSE)*'General Variables'!$B$7)/VLOOKUP(B18,Operations!$A$2:$U$79,9,FALSE)*C18,2))/90)</f>
        <v>2.8691111111111116</v>
      </c>
      <c r="G18" s="109">
        <f>IF(B18=0,0,IF(C18&gt;9999,"",ROUND(VLOOKUP(VLOOKUP(B18,Operations!$A$2:$U$79,11,FALSE),PowerUnits[],10,FALSE)/VLOOKUP(B18,Operations!$A$2:$U$79,9,FALSE)*C18,2))/90)</f>
        <v>4.4110000000000005</v>
      </c>
      <c r="H18" s="109">
        <f>IF(B18=0,"",IF(C18&gt;9999,"",ROUND(VLOOKUP($B18,Operations!$A$2:$U$79,15,FALSE)*C18,2))/90)</f>
        <v>0.68499999999999994</v>
      </c>
      <c r="I18" s="109">
        <f>IF(B18=0,0,IF(C18&gt;9999,"",ROUND(VLOOKUP(VLOOKUP(B18,Operations!$A$2:$U$79,11,FALSE),PowerUnits[],16,FALSE)/VLOOKUP(B18,Operations!$A$2:$U$79,9,FALSE)*C18,2))/80)</f>
        <v>11.9505</v>
      </c>
      <c r="J18" s="109">
        <f>IF(B18=0,"",IF(C18&gt;9999,"",ROUND(VLOOKUP($B18,Operations!$A$2:$U$79,21,FALSE)*$C18,2))/80)</f>
        <v>5.9561250000000001</v>
      </c>
      <c r="K18" s="109">
        <f>IF(C18&gt;9999,"",ROUND(SUM(E18:J18),2))</f>
        <v>28.41</v>
      </c>
      <c r="L18" s="110"/>
    </row>
    <row r="19" spans="1:12" ht="14.25" customHeight="1" x14ac:dyDescent="0.2">
      <c r="A19" s="170">
        <v>8</v>
      </c>
      <c r="B19" s="180" t="s">
        <v>565</v>
      </c>
      <c r="C19" s="174" t="s">
        <v>184</v>
      </c>
      <c r="D19" s="174"/>
      <c r="E19" s="109"/>
      <c r="F19" s="109"/>
      <c r="G19" s="109"/>
      <c r="H19" s="109"/>
      <c r="I19" s="109"/>
      <c r="J19" s="109"/>
      <c r="K19" s="109"/>
      <c r="L19" s="110"/>
    </row>
    <row r="20" spans="1:12" ht="14.25" hidden="1" customHeight="1" x14ac:dyDescent="0.2">
      <c r="A20" s="170">
        <v>8</v>
      </c>
      <c r="B20" s="213"/>
      <c r="C20" s="214"/>
      <c r="D20" s="214"/>
      <c r="E20" s="215" t="str">
        <f>IF(B20=0,"",IF(C20&gt;9999,"",ROUND('General Variables'!$B$4*VLOOKUP(B20,Operations!$A$2:$U$79,10,FALSE)/VLOOKUP(B20,Operations!$A$2:$U$79,9,FALSE)*C20,2)))</f>
        <v/>
      </c>
      <c r="F20" s="215">
        <f>IF(B20=0,0,IF(C20&gt;9999,"",ROUND(IF(VLOOKUP(B20,Operations!$A$2:$U$79,12,FALSE)=0,VLOOKUP(B20,Operations!$A$2:$U$79,13,FALSE)*'General Variables'!$B$8,VLOOKUP(B20,Operations!$A$2:$U$79,12,FALSE)*'General Variables'!$B$7)/VLOOKUP(B20,Operations!$A$2:$U$79,9,FALSE)*C20,2)))</f>
        <v>0</v>
      </c>
      <c r="G20" s="215">
        <f>IF(B20=0,0,IF(C20&gt;9999,"",ROUND(VLOOKUP(VLOOKUP(B20,Operations!$A$2:$U$79,11,FALSE),PowerUnits[],10,FALSE)/VLOOKUP(B20,Operations!$A$2:$U$79,9,FALSE)*C20,2)))</f>
        <v>0</v>
      </c>
      <c r="H20" s="215" t="str">
        <f>IF(B20=0,"",IF(C20&gt;9999,"",ROUND(VLOOKUP($B20,Operations!$A$2:$U$79,15,FALSE)*C20,2)))</f>
        <v/>
      </c>
      <c r="I20" s="215">
        <f>IF(B20=0,0,IF(C20&gt;9999,"",ROUND(VLOOKUP(VLOOKUP(B20,Operations!$A$2:$U$79,11,FALSE),PowerUnits[],16,FALSE)/VLOOKUP(B20,Operations!$A$2:$U$79,9,FALSE)*C20,2)))</f>
        <v>0</v>
      </c>
      <c r="J20" s="215" t="str">
        <f>IF(B20=0,"",IF(C20&gt;9999,"",ROUND(VLOOKUP($B20,Operations!$A$2:$U$79,21,FALSE)*$C20,2)))</f>
        <v/>
      </c>
      <c r="K20" s="215">
        <f t="shared" si="0"/>
        <v>0</v>
      </c>
      <c r="L20" s="216"/>
    </row>
    <row r="21" spans="1:12" ht="14.25" hidden="1" customHeight="1" x14ac:dyDescent="0.2">
      <c r="A21" s="170">
        <v>9</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t="14.25" hidden="1" customHeight="1" x14ac:dyDescent="0.2">
      <c r="A22" s="170">
        <v>10</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t="14.25" hidden="1" customHeight="1" x14ac:dyDescent="0.2">
      <c r="A23" s="170">
        <v>11</v>
      </c>
      <c r="B23" s="180"/>
      <c r="C23" s="174"/>
      <c r="D23" s="112"/>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t="14.25" hidden="1" customHeight="1" x14ac:dyDescent="0.2">
      <c r="A24" s="170">
        <v>12</v>
      </c>
      <c r="B24" s="213"/>
      <c r="C24" s="214"/>
      <c r="D24" s="218"/>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t="14.25" hidden="1" customHeight="1" x14ac:dyDescent="0.2">
      <c r="A25" s="170">
        <v>13</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t="14.25" hidden="1" customHeight="1" x14ac:dyDescent="0.2">
      <c r="A26" s="170">
        <v>14</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t="14.25" hidden="1" customHeight="1" x14ac:dyDescent="0.2">
      <c r="A27" s="170">
        <v>15</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t="14.25" hidden="1" customHeight="1" x14ac:dyDescent="0.2">
      <c r="A28" s="170">
        <v>16</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t="14.25" hidden="1" customHeight="1" x14ac:dyDescent="0.2">
      <c r="A29" s="170">
        <v>17</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t="14.25" hidden="1" customHeight="1" x14ac:dyDescent="0.2">
      <c r="A30" s="170">
        <v>18</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t="14.25" hidden="1" customHeight="1" x14ac:dyDescent="0.2">
      <c r="A31" s="170">
        <v>19</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t="14.25" hidden="1" customHeight="1" x14ac:dyDescent="0.2">
      <c r="A32" s="170">
        <v>20</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25"/>
      <c r="F33" s="124"/>
      <c r="G33" s="116"/>
      <c r="H33" s="145"/>
      <c r="I33" s="150"/>
      <c r="J33" s="116"/>
      <c r="K33" s="116"/>
      <c r="L33" s="117"/>
    </row>
    <row r="34" spans="1:12" ht="13.5" thickTop="1" x14ac:dyDescent="0.2">
      <c r="C34" s="108" t="s">
        <v>664</v>
      </c>
      <c r="D34" s="108"/>
      <c r="E34" s="109">
        <f t="shared" ref="E34:K34" si="1">SUM(E12:E32)</f>
        <v>8.6384444444444437</v>
      </c>
      <c r="F34" s="109">
        <f t="shared" si="1"/>
        <v>4.6691111111111114</v>
      </c>
      <c r="G34" s="109">
        <f t="shared" si="1"/>
        <v>4.5710000000000006</v>
      </c>
      <c r="H34" s="109">
        <f t="shared" si="1"/>
        <v>10.764999999999999</v>
      </c>
      <c r="I34" s="109">
        <f t="shared" si="1"/>
        <v>19.950499999999998</v>
      </c>
      <c r="J34" s="109">
        <f t="shared" si="1"/>
        <v>18.216124999999998</v>
      </c>
      <c r="K34" s="109">
        <f t="shared" si="1"/>
        <v>66.81</v>
      </c>
      <c r="L34" s="110"/>
    </row>
    <row r="35" spans="1:12" x14ac:dyDescent="0.2">
      <c r="F35" s="170"/>
      <c r="G35" s="151"/>
      <c r="H35" s="128"/>
      <c r="I35" s="120"/>
      <c r="J35" s="151"/>
      <c r="K35" s="151"/>
    </row>
    <row r="36" spans="1:12" ht="24" customHeight="1" thickBot="1" x14ac:dyDescent="0.25">
      <c r="F36" s="386" t="s">
        <v>665</v>
      </c>
      <c r="G36" s="386" t="s">
        <v>666</v>
      </c>
      <c r="H36" s="385" t="s">
        <v>667</v>
      </c>
      <c r="I36" s="385"/>
      <c r="J36" s="386" t="s">
        <v>169</v>
      </c>
      <c r="L36" s="385" t="s">
        <v>661</v>
      </c>
    </row>
    <row r="37" spans="1:12" s="118" customFormat="1" ht="14.2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259</v>
      </c>
      <c r="C38" s="388" t="str">
        <f>IF(B38=0,"",VLOOKUP($B38,Table2[],2,FALSE))</f>
        <v>Herbicide</v>
      </c>
      <c r="D38" s="388"/>
      <c r="E38" s="388"/>
      <c r="F38" s="174">
        <v>1</v>
      </c>
      <c r="G38" s="175">
        <v>0.8</v>
      </c>
      <c r="H38" s="176">
        <v>32</v>
      </c>
      <c r="I38" s="120" t="str">
        <f>IF($B38=0,"",VLOOKUP($B38,Table2[],5,FALSE))</f>
        <v>ounce</v>
      </c>
      <c r="J38" s="109">
        <f>IF($B38=0,"",VLOOKUP($B38,Table2[],7,FALSE))</f>
        <v>0.1328125</v>
      </c>
      <c r="K38" s="109">
        <f>IF(B38=0,0,ROUND(G38*H38*J38,2))</f>
        <v>3.4</v>
      </c>
      <c r="L38" s="110"/>
    </row>
    <row r="39" spans="1:12" x14ac:dyDescent="0.2">
      <c r="A39" s="143" t="s">
        <v>750</v>
      </c>
      <c r="B39" s="180" t="s">
        <v>229</v>
      </c>
      <c r="C39" s="388" t="str">
        <f>IF(B39=0,"",VLOOKUP($B39,Table2[],2,FALSE))</f>
        <v>Herbicide</v>
      </c>
      <c r="D39" s="388"/>
      <c r="E39" s="388"/>
      <c r="F39" s="174">
        <v>1</v>
      </c>
      <c r="G39" s="175">
        <v>0.8</v>
      </c>
      <c r="H39" s="176">
        <v>1</v>
      </c>
      <c r="I39" s="120" t="str">
        <f>IF($B39=0,"",VLOOKUP($B39,Table2[],5,FALSE))</f>
        <v>pint</v>
      </c>
      <c r="J39" s="109">
        <f>IF($B39=0,"",VLOOKUP($B39,Table2[],7,FALSE))</f>
        <v>2.5</v>
      </c>
      <c r="K39" s="109">
        <f t="shared" ref="K39:K58" si="2">IF(B39=0,0,ROUND(G39*H39*J39,2))</f>
        <v>2</v>
      </c>
      <c r="L39" s="110"/>
    </row>
    <row r="40" spans="1:12" x14ac:dyDescent="0.2">
      <c r="A40" s="105"/>
      <c r="B40" s="180" t="s">
        <v>170</v>
      </c>
      <c r="C40" s="388" t="str">
        <f>IF(B40=0,"",VLOOKUP($B40,Table2[],2,FALSE))</f>
        <v>Additive</v>
      </c>
      <c r="D40" s="388"/>
      <c r="E40" s="388"/>
      <c r="F40" s="174">
        <v>1</v>
      </c>
      <c r="G40" s="175">
        <v>0.8</v>
      </c>
      <c r="H40" s="176">
        <v>1.7</v>
      </c>
      <c r="I40" s="120" t="str">
        <f>IF($B40=0,"",VLOOKUP($B40,Table2[],5,FALSE))</f>
        <v>pound</v>
      </c>
      <c r="J40" s="109">
        <f>IF($B40=0,"",VLOOKUP($B40,Table2[],7,FALSE))</f>
        <v>0.4</v>
      </c>
      <c r="K40" s="109">
        <f t="shared" si="2"/>
        <v>0.54</v>
      </c>
      <c r="L40" s="110"/>
    </row>
    <row r="41" spans="1:12" x14ac:dyDescent="0.2">
      <c r="A41" s="105"/>
      <c r="B41" s="213" t="s">
        <v>929</v>
      </c>
      <c r="C41" s="387" t="str">
        <f>IF(B41=0,"",VLOOKUP($B41,Table2[],2,FALSE))</f>
        <v>Herbicide</v>
      </c>
      <c r="D41" s="387"/>
      <c r="E41" s="387"/>
      <c r="F41" s="214">
        <v>2</v>
      </c>
      <c r="G41" s="221">
        <v>1</v>
      </c>
      <c r="H41" s="222">
        <v>16</v>
      </c>
      <c r="I41" s="223" t="str">
        <f>IF($B41=0,"",VLOOKUP($B41,Table2[],5,FALSE))</f>
        <v>ounce</v>
      </c>
      <c r="J41" s="215">
        <f>IF($B41=0,"",VLOOKUP($B41,Table2[],7,FALSE))</f>
        <v>2.1875</v>
      </c>
      <c r="K41" s="215">
        <f t="shared" si="2"/>
        <v>35</v>
      </c>
      <c r="L41" s="216"/>
    </row>
    <row r="42" spans="1:12" x14ac:dyDescent="0.2">
      <c r="A42" s="105"/>
      <c r="B42" s="180" t="s">
        <v>259</v>
      </c>
      <c r="C42" s="388" t="str">
        <f>IF(B42=0,"",VLOOKUP($B42,Table2[],2,FALSE))</f>
        <v>Herbicide</v>
      </c>
      <c r="D42" s="388"/>
      <c r="E42" s="388"/>
      <c r="F42" s="174">
        <v>2</v>
      </c>
      <c r="G42" s="175">
        <v>1</v>
      </c>
      <c r="H42" s="176">
        <v>32</v>
      </c>
      <c r="I42" s="120" t="str">
        <f>IF($B42=0,"",VLOOKUP($B42,Table2[],5,FALSE))</f>
        <v>ounce</v>
      </c>
      <c r="J42" s="109">
        <f>IF($B42=0,"",VLOOKUP($B42,Table2[],7,FALSE))</f>
        <v>0.1328125</v>
      </c>
      <c r="K42" s="109">
        <f t="shared" si="2"/>
        <v>4.25</v>
      </c>
      <c r="L42" s="110"/>
    </row>
    <row r="43" spans="1:12" x14ac:dyDescent="0.2">
      <c r="A43" s="143"/>
      <c r="B43" s="180" t="s">
        <v>170</v>
      </c>
      <c r="C43" s="388" t="str">
        <f>IF(B43=0,"",VLOOKUP($B43,Table2[],2,FALSE))</f>
        <v>Additive</v>
      </c>
      <c r="D43" s="388"/>
      <c r="E43" s="388"/>
      <c r="F43" s="174">
        <v>2</v>
      </c>
      <c r="G43" s="175">
        <v>1</v>
      </c>
      <c r="H43" s="176">
        <v>1.7</v>
      </c>
      <c r="I43" s="120" t="str">
        <f>IF($B43=0,"",VLOOKUP($B43,Table2[],5,FALSE))</f>
        <v>pound</v>
      </c>
      <c r="J43" s="109">
        <f>IF($B43=0,"",VLOOKUP($B43,Table2[],7,FALSE))</f>
        <v>0.4</v>
      </c>
      <c r="K43" s="109">
        <f t="shared" si="2"/>
        <v>0.68</v>
      </c>
      <c r="L43" s="110"/>
    </row>
    <row r="44" spans="1:12" x14ac:dyDescent="0.2">
      <c r="A44" s="143"/>
      <c r="B44" s="180" t="s">
        <v>337</v>
      </c>
      <c r="C44" s="388" t="str">
        <f>IF(B44=0,"",VLOOKUP($B44,Table2[],2,FALSE))</f>
        <v>Seed</v>
      </c>
      <c r="D44" s="388"/>
      <c r="E44" s="388"/>
      <c r="F44" s="174">
        <v>3</v>
      </c>
      <c r="G44" s="175">
        <v>1</v>
      </c>
      <c r="H44" s="176">
        <v>1</v>
      </c>
      <c r="I44" s="120" t="str">
        <f>IF($B44=0,"",VLOOKUP($B44,Table2[],5,FALSE))</f>
        <v>bag</v>
      </c>
      <c r="J44" s="109">
        <f>IF($B44=0,"",VLOOKUP($B44,Table2[],7,FALSE))</f>
        <v>70</v>
      </c>
      <c r="K44" s="109">
        <f t="shared" si="2"/>
        <v>70</v>
      </c>
      <c r="L44" s="257"/>
    </row>
    <row r="45" spans="1:12" x14ac:dyDescent="0.2">
      <c r="A45" s="143"/>
      <c r="B45" s="213" t="s">
        <v>342</v>
      </c>
      <c r="C45" s="387" t="str">
        <f>IF(B45=0,"",VLOOKUP($B45,Table2[],2,FALSE))</f>
        <v>Inoculant</v>
      </c>
      <c r="D45" s="387"/>
      <c r="E45" s="387"/>
      <c r="F45" s="214">
        <v>3</v>
      </c>
      <c r="G45" s="221">
        <v>1</v>
      </c>
      <c r="H45" s="222">
        <v>1</v>
      </c>
      <c r="I45" s="223" t="str">
        <f>IF($B45=0,"",VLOOKUP($B45,Table2[],5,FALSE))</f>
        <v>acre</v>
      </c>
      <c r="J45" s="215">
        <f>IF($B45=0,"",VLOOKUP($B45,Table2[],7,FALSE))</f>
        <v>7</v>
      </c>
      <c r="K45" s="215">
        <f t="shared" ref="K45" si="3">IF(B45=0,0,ROUND(G45*H45*J45,2))</f>
        <v>7</v>
      </c>
      <c r="L45" s="216"/>
    </row>
    <row r="46" spans="1:12" x14ac:dyDescent="0.2">
      <c r="B46" s="180" t="s">
        <v>259</v>
      </c>
      <c r="C46" s="388" t="str">
        <f>IF(B46=0,"",VLOOKUP($B46,Table2[],2,FALSE))</f>
        <v>Herbicide</v>
      </c>
      <c r="D46" s="388"/>
      <c r="E46" s="388"/>
      <c r="F46" s="174">
        <v>4</v>
      </c>
      <c r="G46" s="175">
        <v>1</v>
      </c>
      <c r="H46" s="176">
        <v>32</v>
      </c>
      <c r="I46" s="120" t="str">
        <f>IF($B46=0,"",VLOOKUP($B46,Table2[],5,FALSE))</f>
        <v>ounce</v>
      </c>
      <c r="J46" s="109">
        <f>IF($B46=0,"",VLOOKUP($B46,Table2[],7,FALSE))</f>
        <v>0.1328125</v>
      </c>
      <c r="K46" s="109">
        <f t="shared" si="2"/>
        <v>4.25</v>
      </c>
      <c r="L46" s="110"/>
    </row>
    <row r="47" spans="1:12" x14ac:dyDescent="0.2">
      <c r="B47" s="180" t="s">
        <v>273</v>
      </c>
      <c r="C47" s="388" t="str">
        <f>IF(B47=0,"",VLOOKUP($B47,Table2[],2,FALSE))</f>
        <v>Herbicide</v>
      </c>
      <c r="D47" s="388"/>
      <c r="E47" s="388"/>
      <c r="F47" s="174">
        <v>4</v>
      </c>
      <c r="G47" s="175">
        <v>1</v>
      </c>
      <c r="H47" s="176">
        <v>6</v>
      </c>
      <c r="I47" s="120" t="str">
        <f>IF($B47=0,"",VLOOKUP($B47,Table2[],5,FALSE))</f>
        <v>ounce</v>
      </c>
      <c r="J47" s="109">
        <f>IF($B47=0,"",VLOOKUP($B47,Table2[],7,FALSE))</f>
        <v>1.015625</v>
      </c>
      <c r="K47" s="109">
        <f t="shared" si="2"/>
        <v>6.09</v>
      </c>
      <c r="L47" s="110"/>
    </row>
    <row r="48" spans="1:12" x14ac:dyDescent="0.2">
      <c r="A48" s="143"/>
      <c r="B48" s="180" t="s">
        <v>281</v>
      </c>
      <c r="C48" s="388" t="str">
        <f>IF(B48=0,"",VLOOKUP($B48,Table2[],2,FALSE))</f>
        <v>Herbicide</v>
      </c>
      <c r="D48" s="388"/>
      <c r="E48" s="388"/>
      <c r="F48" s="174">
        <v>4</v>
      </c>
      <c r="G48" s="175">
        <v>1</v>
      </c>
      <c r="H48" s="176">
        <v>48</v>
      </c>
      <c r="I48" s="120" t="s">
        <v>174</v>
      </c>
      <c r="J48" s="109">
        <f>IF($B48=0,"",VLOOKUP($B48,Table2[],7,FALSE))</f>
        <v>0.546875</v>
      </c>
      <c r="K48" s="109">
        <f>IF(B48=0,0,ROUND(G48*H48*J48,2))</f>
        <v>26.25</v>
      </c>
      <c r="L48" s="257"/>
    </row>
    <row r="49" spans="1:12" x14ac:dyDescent="0.2">
      <c r="B49" s="213" t="s">
        <v>170</v>
      </c>
      <c r="C49" s="387" t="str">
        <f>IF(B49=0,"",VLOOKUP($B49,Table2[],2,FALSE))</f>
        <v>Additive</v>
      </c>
      <c r="D49" s="387"/>
      <c r="E49" s="387"/>
      <c r="F49" s="214">
        <v>4</v>
      </c>
      <c r="G49" s="311">
        <v>1</v>
      </c>
      <c r="H49" s="213">
        <v>1.7</v>
      </c>
      <c r="I49" s="223" t="str">
        <f>IF($B49=0,"",VLOOKUP($B49,Table2[],5,FALSE))</f>
        <v>pound</v>
      </c>
      <c r="J49" s="215">
        <f>IF($B49=0,"",VLOOKUP($B49,Table2[],7,FALSE))</f>
        <v>0.4</v>
      </c>
      <c r="K49" s="215">
        <f>IF(B49=0,0,ROUND(G49*H49*J49,2))</f>
        <v>0.68</v>
      </c>
      <c r="L49" s="216"/>
    </row>
    <row r="50" spans="1:12" x14ac:dyDescent="0.2">
      <c r="A50" s="143"/>
      <c r="B50" s="180" t="s">
        <v>183</v>
      </c>
      <c r="C50" s="388" t="str">
        <f>IF(B50=0,"",VLOOKUP($B50,Table2[],2,FALSE))</f>
        <v>Custom</v>
      </c>
      <c r="D50" s="388"/>
      <c r="E50" s="388"/>
      <c r="F50" s="174">
        <v>5</v>
      </c>
      <c r="G50" s="310">
        <v>0.2</v>
      </c>
      <c r="H50" s="176">
        <v>1</v>
      </c>
      <c r="I50" s="120" t="str">
        <f>IF($B50=0,"",VLOOKUP($B50,Table2[],5,FALSE))</f>
        <v>acre</v>
      </c>
      <c r="J50" s="109">
        <f>IF($B50=0,"",VLOOKUP($B50,Table2[],7,FALSE))</f>
        <v>11</v>
      </c>
      <c r="K50" s="109">
        <f t="shared" ref="K50:K54" si="4">IF(B50=0,0,ROUND(G50*H50*J50,2))</f>
        <v>2.2000000000000002</v>
      </c>
      <c r="L50" s="257"/>
    </row>
    <row r="51" spans="1:12" x14ac:dyDescent="0.2">
      <c r="A51" s="143" t="s">
        <v>906</v>
      </c>
      <c r="B51" s="180" t="s">
        <v>290</v>
      </c>
      <c r="C51" s="388" t="str">
        <f>IF(B51=0,"",VLOOKUP($B51,Table2[],2,FALSE))</f>
        <v>Insecticide</v>
      </c>
      <c r="D51" s="388"/>
      <c r="E51" s="388"/>
      <c r="F51" s="174">
        <v>5</v>
      </c>
      <c r="G51" s="310">
        <v>0.2</v>
      </c>
      <c r="H51" s="180">
        <v>1.6</v>
      </c>
      <c r="I51" s="120" t="str">
        <f>IF($B51=0,"",VLOOKUP($B51,Table2[],5,FALSE))</f>
        <v>ounce</v>
      </c>
      <c r="J51" s="109">
        <f>IF($B51=0,"",VLOOKUP($B51,Table2[],7,FALSE))</f>
        <v>3.203125</v>
      </c>
      <c r="K51" s="109">
        <f t="shared" si="4"/>
        <v>1.03</v>
      </c>
      <c r="L51" s="110"/>
    </row>
    <row r="52" spans="1:12" x14ac:dyDescent="0.2">
      <c r="A52" s="143"/>
      <c r="B52" s="180" t="s">
        <v>183</v>
      </c>
      <c r="C52" s="388" t="str">
        <f>IF(B52=0,"",VLOOKUP($B52,Table2[],2,FALSE))</f>
        <v>Custom</v>
      </c>
      <c r="D52" s="388"/>
      <c r="E52" s="388"/>
      <c r="F52" s="174">
        <v>6</v>
      </c>
      <c r="G52" s="310">
        <v>0.1</v>
      </c>
      <c r="H52" s="176">
        <v>1</v>
      </c>
      <c r="I52" s="120" t="str">
        <f>IF($B52=0,"",VLOOKUP($B52,Table2[],5,FALSE))</f>
        <v>acre</v>
      </c>
      <c r="J52" s="109">
        <f>IF($B52=0,"",VLOOKUP($B52,Table2[],7,FALSE))</f>
        <v>11</v>
      </c>
      <c r="K52" s="109">
        <f t="shared" ref="K52" si="5">IF(B52=0,0,ROUND(G52*H52*J52,2))</f>
        <v>1.1000000000000001</v>
      </c>
      <c r="L52" s="110"/>
    </row>
    <row r="53" spans="1:12" x14ac:dyDescent="0.2">
      <c r="A53" s="143"/>
      <c r="B53" s="213" t="s">
        <v>893</v>
      </c>
      <c r="C53" s="247"/>
      <c r="D53" s="247" t="s">
        <v>214</v>
      </c>
      <c r="E53" s="247"/>
      <c r="F53" s="214">
        <v>6</v>
      </c>
      <c r="G53" s="311">
        <v>0.1</v>
      </c>
      <c r="H53" s="213">
        <v>5</v>
      </c>
      <c r="I53" s="223" t="s">
        <v>174</v>
      </c>
      <c r="J53" s="215">
        <f>IF($B53=0,"",VLOOKUP($B53,Table2[],7,FALSE))</f>
        <v>2.578125</v>
      </c>
      <c r="K53" s="215">
        <f t="shared" ref="K53" si="6">IF(B53=0,0,ROUND(G53*H53*J53,2))</f>
        <v>1.29</v>
      </c>
      <c r="L53" s="216"/>
    </row>
    <row r="54" spans="1:12" x14ac:dyDescent="0.2">
      <c r="B54" s="180" t="s">
        <v>198</v>
      </c>
      <c r="C54" s="388" t="str">
        <f>IF(B54=0,"",VLOOKUP($B54,Table2[],2,FALSE))</f>
        <v>Custom</v>
      </c>
      <c r="D54" s="388"/>
      <c r="E54" s="388"/>
      <c r="F54" s="174">
        <v>8</v>
      </c>
      <c r="G54" s="175">
        <v>1</v>
      </c>
      <c r="H54" s="176">
        <f>$G$4</f>
        <v>50</v>
      </c>
      <c r="I54" s="120" t="str">
        <f>IF($B54=0,"",VLOOKUP($B54,Table2[],5,FALSE))</f>
        <v>bushel</v>
      </c>
      <c r="J54" s="109">
        <f>IF($B54=0,"",VLOOKUP($B54,Table2[],7,FALSE))</f>
        <v>0.15</v>
      </c>
      <c r="K54" s="109">
        <f t="shared" si="4"/>
        <v>7.5</v>
      </c>
      <c r="L54" s="257"/>
    </row>
    <row r="55" spans="1:12" ht="12.75" customHeight="1" x14ac:dyDescent="0.2">
      <c r="B55" s="180" t="s">
        <v>310</v>
      </c>
      <c r="C55" s="388" t="str">
        <f>IF(B55=0,"",VLOOKUP($B55,Table2[],2,FALSE))</f>
        <v>Scouting</v>
      </c>
      <c r="D55" s="388"/>
      <c r="E55" s="388"/>
      <c r="F55" s="174"/>
      <c r="G55" s="175">
        <v>1</v>
      </c>
      <c r="H55" s="176">
        <v>1</v>
      </c>
      <c r="I55" s="120" t="str">
        <f>IF($B55=0,"",VLOOKUP($B55,Table2[],5,FALSE))</f>
        <v>acre</v>
      </c>
      <c r="J55" s="109">
        <f>IF($B55=0,"",VLOOKUP($B55,Table2[],7,FALSE))</f>
        <v>10</v>
      </c>
      <c r="K55" s="109">
        <f t="shared" ref="K55" si="7">IF(B55=0,0,ROUND(G55*H55*J55,2))</f>
        <v>10</v>
      </c>
      <c r="L55" s="110"/>
    </row>
    <row r="56" spans="1:12" ht="12.75" hidden="1" customHeight="1" x14ac:dyDescent="0.2">
      <c r="B56" s="180"/>
      <c r="C56" s="388" t="str">
        <f>IF(B56=0,"",VLOOKUP($B56,Table2[],2,FALSE))</f>
        <v/>
      </c>
      <c r="D56" s="388"/>
      <c r="E56" s="388"/>
      <c r="F56" s="174"/>
      <c r="G56" s="175">
        <v>0.2</v>
      </c>
      <c r="H56" s="176"/>
      <c r="I56" s="120" t="str">
        <f>IF($B56=0,"",VLOOKUP($B56,Table2[],5,FALSE))</f>
        <v/>
      </c>
      <c r="J56" s="109" t="str">
        <f>IF($B56=0,"",VLOOKUP($B56,Table2[],7,FALSE))</f>
        <v/>
      </c>
      <c r="K56" s="109">
        <f t="shared" si="2"/>
        <v>0</v>
      </c>
      <c r="L56" s="110"/>
    </row>
    <row r="57" spans="1:12" ht="12.75" hidden="1" customHeight="1" x14ac:dyDescent="0.2">
      <c r="B57" s="180"/>
      <c r="C57" s="388" t="str">
        <f>IF(B57=0,"",VLOOKUP($B57,Table2[],2,FALSE))</f>
        <v/>
      </c>
      <c r="D57" s="388"/>
      <c r="E57" s="388"/>
      <c r="F57" s="174"/>
      <c r="G57" s="175">
        <v>0.3</v>
      </c>
      <c r="H57" s="176"/>
      <c r="I57" s="120" t="str">
        <f>IF($B57=0,"",VLOOKUP($B57,Table2[],5,FALSE))</f>
        <v/>
      </c>
      <c r="J57" s="109" t="str">
        <f>IF($B57=0,"",VLOOKUP($B57,Table2[],7,FALSE))</f>
        <v/>
      </c>
      <c r="K57" s="109">
        <f t="shared" si="2"/>
        <v>0</v>
      </c>
      <c r="L57" s="110"/>
    </row>
    <row r="58" spans="1:12" ht="12.75" hidden="1" customHeight="1" x14ac:dyDescent="0.2">
      <c r="B58" s="180"/>
      <c r="C58" s="388" t="str">
        <f>IF(B58=0,"",VLOOKUP($B58,Table2[],2,FALSE))</f>
        <v/>
      </c>
      <c r="D58" s="388"/>
      <c r="E58" s="388"/>
      <c r="F58" s="174"/>
      <c r="G58" s="175"/>
      <c r="H58" s="176"/>
      <c r="I58" s="120" t="str">
        <f>IF($B58=0,"",VLOOKUP($B58,Table2[],5,FALSE))</f>
        <v/>
      </c>
      <c r="J58" s="109" t="str">
        <f>IF($B58=0,"",VLOOKUP($B58,Table2[],7,FALSE))</f>
        <v/>
      </c>
      <c r="K58" s="109">
        <f t="shared" si="2"/>
        <v>0</v>
      </c>
      <c r="L58" s="113"/>
    </row>
    <row r="59" spans="1:12" ht="12.75" hidden="1" customHeight="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227"/>
    </row>
    <row r="60" spans="1:12" ht="12.75" hidden="1" customHeight="1" x14ac:dyDescent="0.2">
      <c r="B60" s="180"/>
      <c r="C60" s="388" t="str">
        <f>IF(B60=0,"",VLOOKUP($B60,Table2[],2,FALSE))</f>
        <v/>
      </c>
      <c r="D60" s="388"/>
      <c r="E60" s="388"/>
      <c r="F60" s="174"/>
      <c r="G60" s="175"/>
      <c r="H60" s="176"/>
      <c r="I60" s="120" t="str">
        <f>IF($B60=0,"",VLOOKUP($B60,Table2[],5,FALSE))</f>
        <v/>
      </c>
      <c r="J60" s="109" t="str">
        <f>IF($B60=0,"",VLOOKUP($B60,Table2[],7,FALSE))</f>
        <v/>
      </c>
      <c r="K60" s="109">
        <f>IF(B60=0,0,ROUND(G60*H60*J60,2))</f>
        <v>0</v>
      </c>
      <c r="L60" s="113"/>
    </row>
    <row r="61" spans="1:12" ht="12.75" hidden="1" customHeight="1" x14ac:dyDescent="0.2">
      <c r="B61" s="180"/>
      <c r="C61" s="388" t="str">
        <f>IF(B61=0,"",VLOOKUP($B61,Table2[],2,FALSE))</f>
        <v/>
      </c>
      <c r="D61" s="388"/>
      <c r="E61" s="388"/>
      <c r="F61" s="174"/>
      <c r="G61" s="175"/>
      <c r="H61" s="176"/>
      <c r="I61" s="120" t="str">
        <f>IF($B61=0,"",VLOOKUP($B61,Table2[],5,FALSE))</f>
        <v/>
      </c>
      <c r="J61" s="109" t="str">
        <f>IF($B61=0,"",VLOOKUP($B61,Table2[],7,FALSE))</f>
        <v/>
      </c>
      <c r="K61" s="109">
        <f>IF(B61=0,0,ROUND(G61*H61*J61,2))</f>
        <v>0</v>
      </c>
      <c r="L61" s="113"/>
    </row>
    <row r="62" spans="1:12" ht="12.75" hidden="1" customHeight="1" x14ac:dyDescent="0.2">
      <c r="B62" s="180"/>
      <c r="C62" s="388" t="str">
        <f>IF(B62=0,"",VLOOKUP($B62,Table2[],2,FALSE))</f>
        <v/>
      </c>
      <c r="D62" s="388"/>
      <c r="E62" s="388"/>
      <c r="F62" s="174"/>
      <c r="G62" s="175"/>
      <c r="H62" s="176"/>
      <c r="I62" s="120" t="str">
        <f>IF($B62=0,"",VLOOKUP($B62,Table2[],5,FALSE))</f>
        <v/>
      </c>
      <c r="J62" s="109" t="str">
        <f>IF($B62=0,"",VLOOKUP($B62,Table2[],7,FALSE))</f>
        <v/>
      </c>
      <c r="K62" s="109">
        <f>IF(B62=0,0,ROUND(G62*H62*J62,2))</f>
        <v>0</v>
      </c>
      <c r="L62" s="113"/>
    </row>
    <row r="63" spans="1:12" ht="12.75" hidden="1" customHeight="1" x14ac:dyDescent="0.2">
      <c r="B63" s="180"/>
      <c r="C63" s="388" t="str">
        <f>IF(B63=0,"",VLOOKUP($B63,Table2[],2,FALSE))</f>
        <v/>
      </c>
      <c r="D63" s="388"/>
      <c r="E63" s="388"/>
      <c r="F63" s="174"/>
      <c r="G63" s="175"/>
      <c r="H63" s="176"/>
      <c r="I63" s="120" t="str">
        <f>IF($B63=0,"",VLOOKUP($B63,Table2[],5,FALSE))</f>
        <v/>
      </c>
      <c r="J63" s="109" t="str">
        <f>IF($B63=0,"",VLOOKUP($B63,Table2[],7,FALSE))</f>
        <v/>
      </c>
      <c r="K63" s="109">
        <f>IF(B63=0,0,ROUND(G63*H63*J63,2))</f>
        <v>0</v>
      </c>
      <c r="L63" s="227"/>
    </row>
    <row r="64" spans="1:12" x14ac:dyDescent="0.2">
      <c r="B64" s="180" t="s">
        <v>430</v>
      </c>
      <c r="C64" s="388" t="s">
        <v>655</v>
      </c>
      <c r="D64" s="388"/>
      <c r="E64" s="388"/>
      <c r="F64" s="174"/>
      <c r="G64" s="175"/>
      <c r="H64" s="176"/>
      <c r="I64" s="120"/>
      <c r="J64" s="109">
        <f ca="1">IF(F5=0,E5,F5)</f>
        <v>10</v>
      </c>
      <c r="K64" s="109">
        <f ca="1">IF(B64=0,0,J64)</f>
        <v>10</v>
      </c>
      <c r="L64" s="113"/>
    </row>
    <row r="65" spans="2:12" ht="3.75" customHeight="1" thickBot="1" x14ac:dyDescent="0.25">
      <c r="B65" s="114"/>
      <c r="C65" s="121"/>
      <c r="D65" s="121"/>
      <c r="E65" s="121"/>
      <c r="F65" s="115"/>
      <c r="G65" s="122"/>
      <c r="H65" s="114"/>
      <c r="I65" s="123"/>
      <c r="J65" s="124"/>
      <c r="K65" s="125"/>
      <c r="L65" s="117"/>
    </row>
    <row r="66" spans="2:12" ht="13.5" thickTop="1" x14ac:dyDescent="0.2">
      <c r="C66" s="108" t="s">
        <v>671</v>
      </c>
      <c r="D66" s="108"/>
      <c r="J66" s="126"/>
      <c r="K66" s="154">
        <f ca="1">SUM(K38:K64)</f>
        <v>193.26</v>
      </c>
      <c r="L66" s="110"/>
    </row>
    <row r="67" spans="2:12" x14ac:dyDescent="0.2">
      <c r="B67" s="358" t="s">
        <v>909</v>
      </c>
      <c r="C67" s="358"/>
      <c r="D67" s="358"/>
      <c r="E67" s="352" t="s">
        <v>907</v>
      </c>
      <c r="F67" s="358"/>
      <c r="G67" s="358"/>
      <c r="H67" s="352" t="s">
        <v>911</v>
      </c>
      <c r="I67" s="358"/>
      <c r="J67" s="358"/>
      <c r="K67" s="361"/>
    </row>
    <row r="68" spans="2:12" x14ac:dyDescent="0.2">
      <c r="E68" s="144"/>
      <c r="K68" s="154"/>
    </row>
    <row r="69" spans="2:12" x14ac:dyDescent="0.2">
      <c r="B69" s="107" t="s">
        <v>769</v>
      </c>
      <c r="K69" s="127">
        <f ca="1">K34+K66</f>
        <v>260.07</v>
      </c>
      <c r="L69" s="110"/>
    </row>
    <row r="70" spans="2:12" ht="13.5" thickBot="1" x14ac:dyDescent="0.25">
      <c r="D70" s="128" t="s">
        <v>673</v>
      </c>
      <c r="E70" s="129">
        <f ca="1">ROUND(SUM($E$34:$H$34)+$K$66,2)</f>
        <v>221.9</v>
      </c>
      <c r="F70" s="388" t="s">
        <v>674</v>
      </c>
      <c r="G70" s="388"/>
      <c r="H70" s="130">
        <f>'General Variables'!$B$11</f>
        <v>7.4999999999999997E-2</v>
      </c>
      <c r="I70" s="131" t="str">
        <f>CONCATENATE("for ",TEXT('General Variables'!$B$12,"0.0")," mo.")</f>
        <v>for 6.0 mo.</v>
      </c>
      <c r="K70" s="132">
        <f ca="1">E70*H70*'General Variables'!$B$12/12</f>
        <v>8.3212499999999991</v>
      </c>
      <c r="L70" s="133"/>
    </row>
    <row r="71" spans="2:12" ht="13.5" thickTop="1" x14ac:dyDescent="0.2">
      <c r="B71" s="107" t="s">
        <v>675</v>
      </c>
      <c r="K71" s="154">
        <f ca="1">SUM(K69:K70)</f>
        <v>268.39125000000001</v>
      </c>
      <c r="L71" s="110"/>
    </row>
    <row r="72" spans="2:12" x14ac:dyDescent="0.2">
      <c r="K72" s="154"/>
    </row>
    <row r="73" spans="2:12" x14ac:dyDescent="0.2">
      <c r="B73" s="104" t="s">
        <v>676</v>
      </c>
      <c r="C73" s="134"/>
      <c r="D73" s="134"/>
      <c r="E73" s="134"/>
      <c r="F73" s="134"/>
      <c r="G73" s="134"/>
      <c r="H73" s="134"/>
      <c r="I73" s="134"/>
      <c r="J73" s="134"/>
      <c r="K73" s="155">
        <f>'General Variables'!B15</f>
        <v>27</v>
      </c>
      <c r="L73" s="110"/>
    </row>
    <row r="74" spans="2:12" x14ac:dyDescent="0.2">
      <c r="B74" s="103" t="s">
        <v>687</v>
      </c>
      <c r="C74" s="398" t="s">
        <v>30</v>
      </c>
      <c r="D74" s="399"/>
      <c r="E74" s="400"/>
      <c r="F74" s="136">
        <f>IF(C74=0,0,VLOOKUP(C74,RETable,2,FALSE))</f>
        <v>4530</v>
      </c>
      <c r="G74" s="388" t="s">
        <v>678</v>
      </c>
      <c r="H74" s="388"/>
      <c r="I74" s="130">
        <f>'General Variables'!$B$10</f>
        <v>0.03</v>
      </c>
      <c r="K74" s="156">
        <f>ROUND(F74*I74,2)</f>
        <v>135.9</v>
      </c>
      <c r="L74" s="110"/>
    </row>
    <row r="75" spans="2:12" ht="13.5" thickBot="1" x14ac:dyDescent="0.25">
      <c r="B75" s="103" t="s">
        <v>679</v>
      </c>
      <c r="F75" s="138">
        <f>IF(C74=0,0,VLOOKUP(C74,RETable,2,FALSE))</f>
        <v>4530</v>
      </c>
      <c r="G75" s="397" t="s">
        <v>678</v>
      </c>
      <c r="H75" s="397"/>
      <c r="I75" s="139">
        <f>'General Variables'!$B$13</f>
        <v>1.2999999999999999E-2</v>
      </c>
      <c r="J75" s="105"/>
      <c r="K75" s="157">
        <f>ROUND(F75*I75,2)</f>
        <v>58.89</v>
      </c>
      <c r="L75" s="133"/>
    </row>
    <row r="76" spans="2:12" ht="13.5" thickTop="1" x14ac:dyDescent="0.2">
      <c r="B76" s="107" t="s">
        <v>680</v>
      </c>
      <c r="K76" s="154">
        <f ca="1">SUM(K71:K75)</f>
        <v>490.18124999999998</v>
      </c>
      <c r="L76" s="110"/>
    </row>
    <row r="78" spans="2:12" x14ac:dyDescent="0.2">
      <c r="B78" s="104" t="str">
        <f>IF(G4="","","Cash Cost per "&amp;H4)</f>
        <v>Cash Cost per bushel</v>
      </c>
      <c r="C78" s="261" t="s">
        <v>688</v>
      </c>
      <c r="D78" s="105"/>
      <c r="E78" s="105"/>
      <c r="F78" s="105"/>
      <c r="G78" s="105"/>
      <c r="H78" s="105"/>
      <c r="I78" s="105"/>
      <c r="J78" s="105"/>
      <c r="K78" s="158">
        <f ca="1">IF(G4=0,0,(E70+K70+K73+K75)/G4)</f>
        <v>6.3222249999999995</v>
      </c>
      <c r="L78" s="148"/>
    </row>
    <row r="79" spans="2:12" x14ac:dyDescent="0.2">
      <c r="B79" s="107" t="str">
        <f>IF(G4="","","Cost of production per "&amp;H4)</f>
        <v>Cost of production per bushel</v>
      </c>
      <c r="K79" s="126">
        <f ca="1">IF(G4="","",K76/G4)</f>
        <v>9.8036250000000003</v>
      </c>
      <c r="L79" s="110"/>
    </row>
    <row r="81" spans="2:12" x14ac:dyDescent="0.2">
      <c r="B81" s="103" t="s">
        <v>765</v>
      </c>
    </row>
    <row r="82" spans="2:12" x14ac:dyDescent="0.2">
      <c r="D82" s="103" t="s">
        <v>900</v>
      </c>
      <c r="G82" s="105"/>
      <c r="H82" s="105"/>
      <c r="I82" s="105"/>
      <c r="J82" s="105"/>
      <c r="K82" s="355" t="s">
        <v>901</v>
      </c>
      <c r="L82" s="105"/>
    </row>
    <row r="89" spans="2:12" x14ac:dyDescent="0.2">
      <c r="B89" s="106"/>
      <c r="C89" s="106"/>
      <c r="D89" s="106"/>
    </row>
    <row r="90" spans="2:12" x14ac:dyDescent="0.2">
      <c r="B90" s="106"/>
      <c r="C90" s="106"/>
      <c r="D90" s="106"/>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5"/>
      <c r="C114" s="105"/>
      <c r="D114" s="105"/>
      <c r="H114" s="103" t="e">
        <f>'General Variables'!#REF!</f>
        <v>#REF!</v>
      </c>
    </row>
    <row r="115" spans="2:11" x14ac:dyDescent="0.2">
      <c r="B115" s="105"/>
      <c r="C115" s="105"/>
      <c r="D115" s="105"/>
      <c r="H115" s="103" t="e">
        <f>'General Variables'!#REF!</f>
        <v>#REF!</v>
      </c>
      <c r="K115" s="103" t="s">
        <v>681</v>
      </c>
    </row>
    <row r="116" spans="2:11" x14ac:dyDescent="0.2">
      <c r="B116" s="105"/>
      <c r="C116" s="105"/>
      <c r="D116" s="105"/>
      <c r="H116" s="103" t="e">
        <f>'General Variables'!#REF!</f>
        <v>#REF!</v>
      </c>
      <c r="K116" s="103" t="s">
        <v>654</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t="str">
        <f>IF(Operations!A96="","",Operations!A96)</f>
        <v/>
      </c>
      <c r="C244" s="105" t="str">
        <f>IF(Materials!B140="","",Materials!B140)</f>
        <v>Alfalfa w/Inoculant</v>
      </c>
    </row>
    <row r="245" spans="2:3" x14ac:dyDescent="0.2">
      <c r="B245" s="105" t="str">
        <f>IF(Operations!A97="","",Operations!A97)</f>
        <v/>
      </c>
      <c r="C245" s="105" t="str">
        <f>IF(Materials!B141="","",Materials!B141)</f>
        <v>Corn</v>
      </c>
    </row>
    <row r="246" spans="2:3" x14ac:dyDescent="0.2">
      <c r="B246" s="105" t="str">
        <f>IF(Operations!A98="","",Operations!A98)</f>
        <v/>
      </c>
      <c r="C246" s="105" t="str">
        <f>IF(Materials!B142="","",Materials!B142)</f>
        <v>Corn Bt, ECB, &amp; RIB</v>
      </c>
    </row>
    <row r="247" spans="2:3" x14ac:dyDescent="0.2">
      <c r="B247" s="105" t="str">
        <f>IF(Operations!A99="","",Operations!A99)</f>
        <v/>
      </c>
      <c r="C247" s="105" t="str">
        <f>IF(Materials!B143="","",Materials!B143)</f>
        <v>Corn Bt, ECB, RR2, LL, &amp; RIB</v>
      </c>
    </row>
    <row r="248" spans="2:3" x14ac:dyDescent="0.2">
      <c r="B248" s="105" t="str">
        <f>IF(Operations!A100="","",Operations!A100)</f>
        <v/>
      </c>
      <c r="C248" s="105" t="str">
        <f>IF(Materials!B144="","",Materials!B144)</f>
        <v>Corn Bt, ECB, RW, &amp; RIB</v>
      </c>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row>
    <row r="259" spans="2:3" x14ac:dyDescent="0.2">
      <c r="B259" s="105"/>
    </row>
  </sheetData>
  <mergeCells count="49">
    <mergeCell ref="C74:E74"/>
    <mergeCell ref="G74:H74"/>
    <mergeCell ref="G75:H75"/>
    <mergeCell ref="C50:E50"/>
    <mergeCell ref="C51:E51"/>
    <mergeCell ref="C54:E54"/>
    <mergeCell ref="C55:E55"/>
    <mergeCell ref="C56:E56"/>
    <mergeCell ref="C57:E57"/>
    <mergeCell ref="C58:E58"/>
    <mergeCell ref="C64:E64"/>
    <mergeCell ref="F70:G70"/>
    <mergeCell ref="C59:E59"/>
    <mergeCell ref="C60:E60"/>
    <mergeCell ref="C61:E61"/>
    <mergeCell ref="C63:E63"/>
    <mergeCell ref="L10:L11"/>
    <mergeCell ref="F36:F37"/>
    <mergeCell ref="G36:G37"/>
    <mergeCell ref="H36:I36"/>
    <mergeCell ref="J36:J37"/>
    <mergeCell ref="L36:L37"/>
    <mergeCell ref="I10:J10"/>
    <mergeCell ref="K10:K11"/>
    <mergeCell ref="C48:E48"/>
    <mergeCell ref="G10:H10"/>
    <mergeCell ref="C42:E42"/>
    <mergeCell ref="C45:E45"/>
    <mergeCell ref="C38:E38"/>
    <mergeCell ref="C39:E39"/>
    <mergeCell ref="C40:E40"/>
    <mergeCell ref="C41:E41"/>
    <mergeCell ref="C46:E46"/>
    <mergeCell ref="C52:E52"/>
    <mergeCell ref="C62:E62"/>
    <mergeCell ref="K2:L2"/>
    <mergeCell ref="G2:H2"/>
    <mergeCell ref="C4:E4"/>
    <mergeCell ref="B7:L7"/>
    <mergeCell ref="C3:E3"/>
    <mergeCell ref="A6:M6"/>
    <mergeCell ref="B10:B11"/>
    <mergeCell ref="C10:C11"/>
    <mergeCell ref="E10:E11"/>
    <mergeCell ref="F10:F11"/>
    <mergeCell ref="C49:E49"/>
    <mergeCell ref="C43:E43"/>
    <mergeCell ref="C44:E44"/>
    <mergeCell ref="C47:E47"/>
  </mergeCells>
  <dataValidations count="9">
    <dataValidation type="list" allowBlank="1" showInputMessage="1" showErrorMessage="1" sqref="B33" xr:uid="{00000000-0002-0000-4000-000000000000}">
      <formula1>$B$114:$B$211</formula1>
    </dataValidation>
    <dataValidation type="list" allowBlank="1" showInputMessage="1" showErrorMessage="1" sqref="B65" xr:uid="{00000000-0002-0000-4000-000001000000}">
      <formula1>$C$114:$C$232</formula1>
    </dataValidation>
    <dataValidation type="list" allowBlank="1" showInputMessage="1" showErrorMessage="1" sqref="K4" xr:uid="{00000000-0002-0000-4000-000002000000}">
      <formula1>$K$114:$K$116</formula1>
    </dataValidation>
    <dataValidation type="list" allowBlank="1" showInputMessage="1" showErrorMessage="1" sqref="C74:E74" xr:uid="{00000000-0002-0000-4000-000004000000}">
      <formula1>RealEstateList</formula1>
    </dataValidation>
    <dataValidation type="list" allowBlank="1" showInputMessage="1" showErrorMessage="1" sqref="B12:B32" xr:uid="{00000000-0002-0000-4000-000005000000}">
      <formula1>OperationList</formula1>
    </dataValidation>
    <dataValidation type="list" allowBlank="1" showInputMessage="1" showErrorMessage="1" sqref="D12:D33" xr:uid="{00000000-0002-0000-4000-000006000000}">
      <formula1>#REF!</formula1>
    </dataValidation>
    <dataValidation type="list" allowBlank="1" showInputMessage="1" showErrorMessage="1" sqref="K2" xr:uid="{00000000-0002-0000-4000-000007000000}">
      <formula1>watersource</formula1>
    </dataValidation>
    <dataValidation type="list" allowBlank="1" showInputMessage="1" showErrorMessage="1" sqref="C3" xr:uid="{00000000-0002-0000-4000-000008000000}">
      <formula1>TillageSystem</formula1>
    </dataValidation>
    <dataValidation type="list" allowBlank="1" showInputMessage="1" showErrorMessage="1" sqref="B38:B63" xr:uid="{00000000-0002-0000-4000-000003000000}">
      <formula1>MaterialList</formula1>
    </dataValidation>
  </dataValidations>
  <pageMargins left="0.7" right="0.7" top="0.75" bottom="0.75" header="0.3" footer="0.3"/>
  <pageSetup scale="7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7">
    <pageSetUpPr fitToPage="1"/>
  </sheetPr>
  <dimension ref="A2:M261"/>
  <sheetViews>
    <sheetView zoomScaleNormal="100" workbookViewId="0">
      <selection activeCell="J18" sqref="J1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762</v>
      </c>
      <c r="H2" s="392"/>
      <c r="J2" s="128" t="s">
        <v>649</v>
      </c>
      <c r="K2" s="401" t="s">
        <v>74</v>
      </c>
      <c r="L2" s="401"/>
    </row>
    <row r="3" spans="1:13" hidden="1" x14ac:dyDescent="0.2">
      <c r="B3" s="103" t="s">
        <v>38</v>
      </c>
      <c r="C3" s="391" t="s">
        <v>46</v>
      </c>
      <c r="D3" s="391"/>
      <c r="E3" s="391"/>
      <c r="G3" s="128" t="s">
        <v>650</v>
      </c>
      <c r="H3" s="187" t="s">
        <v>763</v>
      </c>
      <c r="J3" s="128" t="s">
        <v>651</v>
      </c>
      <c r="K3" s="187"/>
    </row>
    <row r="4" spans="1:13" hidden="1" x14ac:dyDescent="0.2">
      <c r="B4" s="103" t="s">
        <v>652</v>
      </c>
      <c r="C4" s="392" t="s">
        <v>62</v>
      </c>
      <c r="D4" s="392"/>
      <c r="E4" s="392"/>
      <c r="G4" s="103">
        <f>IFERROR(VALUE(LEFT($H$3,FIND(" ",$H$3))),"")</f>
        <v>45</v>
      </c>
      <c r="H4" s="103" t="str">
        <f>IFERROR(RIGHT(H3,LEN(H3)-LEN(G4)-1),"")</f>
        <v>bushel</v>
      </c>
      <c r="J4" s="128" t="s">
        <v>653</v>
      </c>
      <c r="K4" s="188" t="s">
        <v>681</v>
      </c>
    </row>
    <row r="5" spans="1:13" ht="15.75" hidden="1" customHeight="1" x14ac:dyDescent="0.2">
      <c r="B5" s="103" t="s">
        <v>655</v>
      </c>
      <c r="C5" s="103" t="str">
        <f ca="1">MID(CELL("filename",C5),FIND("]",CELL("filename",C5))+1,255)</f>
        <v>61-Soybeans</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61-Soybeans, Roundup Ready 2 Yield®, No Till, Continuous, 45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61-Soybeans, Roundup Ready 2 Yield®, No Till, Continuous, 45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529</v>
      </c>
      <c r="C13" s="174">
        <v>1</v>
      </c>
      <c r="D13" s="174"/>
      <c r="E13" s="109">
        <f>IF(B13=0,"",IF(C13&gt;9999,"",ROUND('General Variables'!$B$4*VLOOKUP(B13,Operations!$A$2:$U$79,10,FALSE)/VLOOKUP(B13,Operations!$A$2:$U$79,9,FALSE)*C13,2)))</f>
        <v>3.24</v>
      </c>
      <c r="F13" s="109">
        <f>IF(B13=0,0,IF(C13&gt;9999,"",ROUND(IF(VLOOKUP(B13,Operations!$A$2:$U$79,12,FALSE)=0,VLOOKUP(B13,Operations!$A$2:$U$79,13,FALSE)*'General Variables'!$B$8,VLOOKUP(B13,Operations!$A$2:$U$79,12,FALSE)*'General Variables'!$B$7)/VLOOKUP(B13,Operations!$A$2:$U$79,9,FALSE)*C13,2)))</f>
        <v>1.08</v>
      </c>
      <c r="G13" s="109">
        <f>IF(B13=0,0,IF(C13&gt;9999,"",ROUND(VLOOKUP(VLOOKUP(B13,Operations!$A$2:$U$79,11,FALSE),PowerUnits[],10,FALSE)/VLOOKUP(B13,Operations!$A$2:$U$79,9,FALSE)*C13,2)))</f>
        <v>0.08</v>
      </c>
      <c r="H13" s="109">
        <f>IF(B13=0,"",IF(C13&gt;9999,"",ROUND(VLOOKUP($B13,Operations!$A$2:$U$79,15,FALSE)*C13,2)))</f>
        <v>6.97</v>
      </c>
      <c r="I13" s="109">
        <f>IF(B13=0,0,IF(C13&gt;9999,"",ROUND(VLOOKUP(VLOOKUP(B13,Operations!$A$2:$U$79,11,FALSE),PowerUnits[],16,FALSE)/VLOOKUP(B13,Operations!$A$2:$U$79,9,FALSE)*C13,2)))</f>
        <v>4.33</v>
      </c>
      <c r="J13" s="109">
        <f>IF(B13=0,"",IF(C13&gt;9999,"",ROUND(VLOOKUP($B13,Operations!$A$2:$U$79,21,FALSE)*$C13,2)))</f>
        <v>6.61</v>
      </c>
      <c r="K13" s="109">
        <f t="shared" ref="K13:K32" si="0">IF(C13&gt;9999,"",ROUND(SUM(E13:J13),2))</f>
        <v>22.31</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254" t="s">
        <v>183</v>
      </c>
      <c r="C16" s="345" t="s">
        <v>184</v>
      </c>
      <c r="D16" s="109"/>
      <c r="E16" s="109"/>
      <c r="F16" s="109"/>
      <c r="G16" s="109"/>
      <c r="H16" s="109"/>
      <c r="I16" s="109"/>
      <c r="J16" s="109"/>
      <c r="K16" s="109"/>
      <c r="L16" s="257"/>
    </row>
    <row r="17" spans="1:12" x14ac:dyDescent="0.2">
      <c r="A17" s="170" t="s">
        <v>905</v>
      </c>
      <c r="B17" s="180" t="s">
        <v>936</v>
      </c>
      <c r="C17" s="255">
        <v>100</v>
      </c>
      <c r="D17" s="174"/>
      <c r="E17" s="109">
        <f>IF(B17=0,"",IF(C17&gt;9999,"",ROUND('General Variables'!$B$4*VLOOKUP(B17,Operations!$A$2:$U$79,10,FALSE)/VLOOKUP(B17,Operations!$A$2:$U$79,9,FALSE)*C17,2))/100)</f>
        <v>2.2846000000000002</v>
      </c>
      <c r="F17" s="109">
        <f>IF(B17=0,0,IF(C17&gt;9999,"",ROUND(IF(VLOOKUP(B17,Operations!$A$2:$U$79,12,FALSE)=0,VLOOKUP(B17,Operations!$A$2:$U$79,13,FALSE)*'General Variables'!$B$8,VLOOKUP(B17,Operations!$A$2:$U$79,12,FALSE)*'General Variables'!$B$7)/VLOOKUP(B17,Operations!$A$2:$U$79,9,FALSE)*C17,2))/100)</f>
        <v>2.5822000000000003</v>
      </c>
      <c r="G17" s="109">
        <f>IF(B17=0,0,IF(C17&gt;9999,"",ROUND(VLOOKUP(VLOOKUP(B17,Operations!$A$2:$U$79,11,FALSE),PowerUnits[],10,FALSE)/VLOOKUP(B17,Operations!$A$2:$U$79,9,FALSE)*C17,2))/100)</f>
        <v>3.9699</v>
      </c>
      <c r="H17" s="109">
        <f>IF(B17=0,"",IF(C17&gt;9999,"",ROUND(VLOOKUP($B17,Operations!$A$2:$U$79,15,FALSE)*C17,2))/100)</f>
        <v>0.61649999999999994</v>
      </c>
      <c r="I17" s="109">
        <f>IF(B17=0,0,IF(C17&gt;9999,"",ROUND(VLOOKUP(VLOOKUP(B17,Operations!$A$2:$U$79,11,FALSE),PowerUnits[],16,FALSE)/VLOOKUP(B17,Operations!$A$2:$U$79,9,FALSE)*C17,2))/80)</f>
        <v>11.9505</v>
      </c>
      <c r="J17" s="109">
        <f>IF(B17=0,"",IF(C17&gt;9999,"",ROUND(VLOOKUP($B17,Operations!$A$2:$U$79,21,FALSE)*$C17,2))/80)</f>
        <v>5.9561250000000001</v>
      </c>
      <c r="K17" s="109">
        <f>IF(C17&gt;9999,"",ROUND(SUM(E17:J17),2))</f>
        <v>27.36</v>
      </c>
      <c r="L17" s="110"/>
    </row>
    <row r="18" spans="1:12" x14ac:dyDescent="0.2">
      <c r="A18" s="170">
        <v>7</v>
      </c>
      <c r="B18" s="180" t="s">
        <v>565</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hidden="1" x14ac:dyDescent="0.2">
      <c r="A19" s="170">
        <v>7</v>
      </c>
      <c r="B19" s="180"/>
      <c r="C19" s="174"/>
      <c r="D19" s="174"/>
      <c r="E19" s="109" t="str">
        <f>IF(B19=0,"",IF(C19&gt;9999,"",ROUND('General Variables'!$B$4*VLOOKUP(B19,Operations!$A$2:$U$79,10,FALSE)/VLOOKUP(B19,Operations!$A$2:$U$79,9,FALSE)*C19,2)))</f>
        <v/>
      </c>
      <c r="F19" s="109">
        <f>IF(B19=0,0,IF(C19&gt;9999,"",ROUND(IF(VLOOKUP(B19,Operations!$A$2:$U$79,12,FALSE)=0,VLOOKUP(B19,Operations!$A$2:$U$79,13,FALSE)*'General Variables'!$B$8,VLOOKUP(B19,Operations!$A$2:$U$79,12,FALSE)*'General Variables'!$B$7)/VLOOKUP(B19,Operations!$A$2:$U$79,9,FALSE)*C19,2)))</f>
        <v>0</v>
      </c>
      <c r="G19" s="109">
        <f>IF(B19=0,0,IF(C19&gt;9999,"",ROUND(VLOOKUP(VLOOKUP(B19,Operations!$A$2:$U$79,11,FALSE),PowerUnits[],10,FALSE)/VLOOKUP(B19,Operations!$A$2:$U$79,9,FALSE)*C19,2)))</f>
        <v>0</v>
      </c>
      <c r="H19" s="109" t="str">
        <f>IF(B19=0,"",IF(C19&gt;9999,"",ROUND(VLOOKUP($B19,Operations!$A$2:$U$79,15,FALSE)*C19,2)))</f>
        <v/>
      </c>
      <c r="I19" s="109">
        <f>IF(B19=0,0,IF(C19&gt;9999,"",ROUND(VLOOKUP(VLOOKUP(B19,Operations!$A$2:$U$79,11,FALSE),PowerUnits[],16,FALSE)/VLOOKUP(B19,Operations!$A$2:$U$79,9,FALSE)*C19,2)))</f>
        <v>0</v>
      </c>
      <c r="J19" s="109" t="str">
        <f>IF(B19=0,"",IF(C19&gt;9999,"",ROUND(VLOOKUP($B19,Operations!$A$2:$U$79,21,FALSE)*$C19,2)))</f>
        <v/>
      </c>
      <c r="K19" s="109">
        <f t="shared" si="0"/>
        <v>0</v>
      </c>
      <c r="L19" s="110"/>
    </row>
    <row r="20" spans="1:12" hidden="1" x14ac:dyDescent="0.2">
      <c r="A20" s="170">
        <v>8</v>
      </c>
      <c r="B20" s="213"/>
      <c r="C20" s="214"/>
      <c r="D20" s="214"/>
      <c r="E20" s="215" t="str">
        <f>IF(B20=0,"",IF(C20&gt;9999,"",ROUND('General Variables'!$B$4*VLOOKUP(B20,Operations!$A$2:$U$79,10,FALSE)/VLOOKUP(B20,Operations!$A$2:$U$79,9,FALSE)*C20,2)))</f>
        <v/>
      </c>
      <c r="F20" s="215">
        <f>IF(B20=0,0,IF(C20&gt;9999,"",ROUND(IF(VLOOKUP(B20,Operations!$A$2:$U$79,12,FALSE)=0,VLOOKUP(B20,Operations!$A$2:$U$79,13,FALSE)*'General Variables'!$B$8,VLOOKUP(B20,Operations!$A$2:$U$79,12,FALSE)*'General Variables'!$B$7)/VLOOKUP(B20,Operations!$A$2:$U$79,9,FALSE)*C20,2)))</f>
        <v>0</v>
      </c>
      <c r="G20" s="215">
        <f>IF(B20=0,0,IF(C20&gt;9999,"",ROUND(VLOOKUP(VLOOKUP(B20,Operations!$A$2:$U$79,11,FALSE),PowerUnits[],10,FALSE)/VLOOKUP(B20,Operations!$A$2:$U$79,9,FALSE)*C20,2)))</f>
        <v>0</v>
      </c>
      <c r="H20" s="215" t="str">
        <f>IF(B20=0,"",IF(C20&gt;9999,"",ROUND(VLOOKUP($B20,Operations!$A$2:$U$79,15,FALSE)*C20,2)))</f>
        <v/>
      </c>
      <c r="I20" s="215">
        <f>IF(B20=0,0,IF(C20&gt;9999,"",ROUND(VLOOKUP(VLOOKUP(B20,Operations!$A$2:$U$79,11,FALSE),PowerUnits[],16,FALSE)/VLOOKUP(B20,Operations!$A$2:$U$79,9,FALSE)*C20,2)))</f>
        <v>0</v>
      </c>
      <c r="J20" s="215" t="str">
        <f>IF(B20=0,"",IF(C20&gt;9999,"",ROUND(VLOOKUP($B20,Operations!$A$2:$U$79,21,FALSE)*$C20,2)))</f>
        <v/>
      </c>
      <c r="K20" s="215">
        <f t="shared" si="0"/>
        <v>0</v>
      </c>
      <c r="L20" s="216"/>
    </row>
    <row r="21" spans="1:12" hidden="1" x14ac:dyDescent="0.2">
      <c r="A21" s="170">
        <v>9</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10</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11</v>
      </c>
      <c r="B23" s="180"/>
      <c r="C23" s="174"/>
      <c r="D23" s="112"/>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idden="1" x14ac:dyDescent="0.2">
      <c r="A24" s="170">
        <v>12</v>
      </c>
      <c r="B24" s="213"/>
      <c r="C24" s="214"/>
      <c r="D24" s="218"/>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idden="1" x14ac:dyDescent="0.2">
      <c r="A25" s="170">
        <v>13</v>
      </c>
      <c r="B25" s="180"/>
      <c r="C25" s="174"/>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14</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15</v>
      </c>
      <c r="B27" s="111"/>
      <c r="C27" s="112"/>
      <c r="D27" s="112"/>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16</v>
      </c>
      <c r="B28" s="217"/>
      <c r="C28" s="218"/>
      <c r="D28" s="218"/>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12"/>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8"/>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SUM(E12:E32)</f>
        <v>7.5645999999999995</v>
      </c>
      <c r="F34" s="109">
        <f t="shared" ref="F34:K34" si="1">SUM(F12:F32)</f>
        <v>4.1821999999999999</v>
      </c>
      <c r="G34" s="109">
        <f t="shared" si="1"/>
        <v>4.1098999999999997</v>
      </c>
      <c r="H34" s="109">
        <f t="shared" si="1"/>
        <v>9.8064999999999998</v>
      </c>
      <c r="I34" s="109">
        <f t="shared" si="1"/>
        <v>18.900500000000001</v>
      </c>
      <c r="J34" s="109">
        <f t="shared" si="1"/>
        <v>16.606124999999999</v>
      </c>
      <c r="K34" s="109">
        <f t="shared" si="1"/>
        <v>61.17</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257</v>
      </c>
      <c r="C38" s="388" t="str">
        <f>IF(B38=0,"",VLOOKUP($B38,Table2[],2,FALSE))</f>
        <v>Herbicide</v>
      </c>
      <c r="D38" s="388"/>
      <c r="E38" s="388"/>
      <c r="F38" s="174">
        <v>1</v>
      </c>
      <c r="G38" s="175">
        <v>1</v>
      </c>
      <c r="H38" s="176">
        <v>1.25</v>
      </c>
      <c r="I38" s="120" t="s">
        <v>179</v>
      </c>
      <c r="J38" s="109">
        <f>IF($B38=0,"",VLOOKUP($B38,Table2[],7,FALSE))</f>
        <v>36.25</v>
      </c>
      <c r="K38" s="109">
        <f>IF(B38=0,0,ROUND(G38*H38*J38,2))</f>
        <v>45.31</v>
      </c>
      <c r="L38" s="110"/>
    </row>
    <row r="39" spans="1:12" x14ac:dyDescent="0.2">
      <c r="A39" s="143" t="s">
        <v>750</v>
      </c>
      <c r="B39" s="180" t="s">
        <v>229</v>
      </c>
      <c r="C39" s="388" t="str">
        <f>IF(B39=0,"",VLOOKUP($B39,Table2[],2,FALSE))</f>
        <v>Herbicide</v>
      </c>
      <c r="D39" s="388"/>
      <c r="E39" s="388"/>
      <c r="F39" s="174">
        <v>1</v>
      </c>
      <c r="G39" s="175">
        <v>1</v>
      </c>
      <c r="H39" s="176">
        <v>1</v>
      </c>
      <c r="I39" s="120" t="str">
        <f>IF($B39=0,"",VLOOKUP($B39,Table2[],5,FALSE))</f>
        <v>pint</v>
      </c>
      <c r="J39" s="109">
        <f>IF($B39=0,"",VLOOKUP($B39,Table2[],7,FALSE))</f>
        <v>2.5</v>
      </c>
      <c r="K39" s="109">
        <f t="shared" ref="K39:K59" si="2">IF(B39=0,0,ROUND(G39*H39*J39,2))</f>
        <v>2.5</v>
      </c>
      <c r="L39" s="110"/>
    </row>
    <row r="40" spans="1:12" x14ac:dyDescent="0.2">
      <c r="A40" s="105"/>
      <c r="B40" s="180" t="s">
        <v>259</v>
      </c>
      <c r="C40" s="388" t="str">
        <f>IF(B40=0,"",VLOOKUP($B40,Table2[],2,FALSE))</f>
        <v>Herbicide</v>
      </c>
      <c r="D40" s="388"/>
      <c r="E40" s="388"/>
      <c r="F40" s="174">
        <v>1</v>
      </c>
      <c r="G40" s="175">
        <v>1</v>
      </c>
      <c r="H40" s="176">
        <v>32</v>
      </c>
      <c r="I40" s="120" t="str">
        <f>IF($B40=0,"",VLOOKUP($B40,Table2[],5,FALSE))</f>
        <v>ounce</v>
      </c>
      <c r="J40" s="109">
        <f>IF($B40=0,"",VLOOKUP($B40,Table2[],7,FALSE))</f>
        <v>0.1328125</v>
      </c>
      <c r="K40" s="109">
        <f t="shared" si="2"/>
        <v>4.25</v>
      </c>
      <c r="L40" s="110"/>
    </row>
    <row r="41" spans="1:12" x14ac:dyDescent="0.2">
      <c r="A41" s="105"/>
      <c r="B41" s="213" t="s">
        <v>170</v>
      </c>
      <c r="C41" s="387" t="str">
        <f>IF(B41=0,"",VLOOKUP($B41,Table2[],2,FALSE))</f>
        <v>Additive</v>
      </c>
      <c r="D41" s="387"/>
      <c r="E41" s="387"/>
      <c r="F41" s="214">
        <v>1</v>
      </c>
      <c r="G41" s="221">
        <v>1</v>
      </c>
      <c r="H41" s="222">
        <v>1.7</v>
      </c>
      <c r="I41" s="223" t="str">
        <f>IF($B41=0,"",VLOOKUP($B41,Table2[],5,FALSE))</f>
        <v>pound</v>
      </c>
      <c r="J41" s="215">
        <f>IF($B41=0,"",VLOOKUP($B41,Table2[],7,FALSE))</f>
        <v>0.4</v>
      </c>
      <c r="K41" s="215">
        <f t="shared" si="2"/>
        <v>0.68</v>
      </c>
      <c r="L41" s="216"/>
    </row>
    <row r="42" spans="1:12" x14ac:dyDescent="0.2">
      <c r="A42" s="105"/>
      <c r="B42" s="180" t="s">
        <v>337</v>
      </c>
      <c r="C42" s="388" t="str">
        <f>IF(B42=0,"",VLOOKUP($B42,Table2[],2,FALSE))</f>
        <v>Seed</v>
      </c>
      <c r="D42" s="388"/>
      <c r="E42" s="388"/>
      <c r="F42" s="174">
        <v>2</v>
      </c>
      <c r="G42" s="175">
        <v>1</v>
      </c>
      <c r="H42" s="176">
        <v>1</v>
      </c>
      <c r="I42" s="120" t="str">
        <f>IF($B42=0,"",VLOOKUP($B42,Table2[],5,FALSE))</f>
        <v>bag</v>
      </c>
      <c r="J42" s="109">
        <f>IF($B42=0,"",VLOOKUP($B42,Table2[],7,FALSE))</f>
        <v>70</v>
      </c>
      <c r="K42" s="109">
        <f t="shared" si="2"/>
        <v>70</v>
      </c>
      <c r="L42" s="110"/>
    </row>
    <row r="43" spans="1:12" x14ac:dyDescent="0.2">
      <c r="A43" s="105"/>
      <c r="B43" s="180" t="s">
        <v>342</v>
      </c>
      <c r="C43" s="388" t="str">
        <f>IF(B43=0,"",VLOOKUP($B43,Table2[],2,FALSE))</f>
        <v>Inoculant</v>
      </c>
      <c r="D43" s="388"/>
      <c r="E43" s="388"/>
      <c r="F43" s="174">
        <v>2</v>
      </c>
      <c r="G43" s="175">
        <v>1</v>
      </c>
      <c r="H43" s="176">
        <v>1</v>
      </c>
      <c r="I43" s="120" t="str">
        <f>IF($B43=0,"",VLOOKUP($B43,Table2[],5,FALSE))</f>
        <v>acre</v>
      </c>
      <c r="J43" s="109">
        <f>IF($B43=0,"",VLOOKUP($B43,Table2[],7,FALSE))</f>
        <v>7</v>
      </c>
      <c r="K43" s="109">
        <f t="shared" ref="K43" si="3">IF(B43=0,0,ROUND(G43*H43*J43,2))</f>
        <v>7</v>
      </c>
      <c r="L43" s="110"/>
    </row>
    <row r="44" spans="1:12" x14ac:dyDescent="0.2">
      <c r="A44" s="143"/>
      <c r="B44" s="180" t="s">
        <v>258</v>
      </c>
      <c r="C44" s="388" t="str">
        <f>IF(B44=0,"",VLOOKUP($B44,Table2[],2,FALSE))</f>
        <v>Herbicide</v>
      </c>
      <c r="D44" s="388"/>
      <c r="E44" s="388"/>
      <c r="F44" s="174">
        <v>3</v>
      </c>
      <c r="G44" s="175">
        <v>1</v>
      </c>
      <c r="H44" s="176">
        <v>3</v>
      </c>
      <c r="I44" s="120" t="s">
        <v>179</v>
      </c>
      <c r="J44" s="109">
        <f>IF($B44=0,"",VLOOKUP($B44,Table2[],7,FALSE))</f>
        <v>6.875</v>
      </c>
      <c r="K44" s="109">
        <f t="shared" si="2"/>
        <v>20.63</v>
      </c>
      <c r="L44" s="110"/>
    </row>
    <row r="45" spans="1:12" x14ac:dyDescent="0.2">
      <c r="B45" s="213" t="s">
        <v>170</v>
      </c>
      <c r="C45" s="387" t="str">
        <f>IF(B45=0,"",VLOOKUP($B45,Table2[],2,FALSE))</f>
        <v>Additive</v>
      </c>
      <c r="D45" s="387"/>
      <c r="E45" s="387"/>
      <c r="F45" s="214">
        <v>3</v>
      </c>
      <c r="G45" s="221">
        <v>1</v>
      </c>
      <c r="H45" s="222">
        <v>1.7</v>
      </c>
      <c r="I45" s="223" t="str">
        <f>IF($B45=0,"",VLOOKUP($B45,Table2[],5,FALSE))</f>
        <v>pound</v>
      </c>
      <c r="J45" s="215">
        <f>IF($B45=0,"",VLOOKUP($B45,Table2[],7,FALSE))</f>
        <v>0.4</v>
      </c>
      <c r="K45" s="215">
        <f t="shared" ref="K45:K51" si="4">IF(B45=0,0,ROUND(G45*H45*J45,2))</f>
        <v>0.68</v>
      </c>
      <c r="L45" s="216"/>
    </row>
    <row r="46" spans="1:12" x14ac:dyDescent="0.2">
      <c r="A46" s="143"/>
      <c r="B46" s="180" t="s">
        <v>183</v>
      </c>
      <c r="C46" s="388" t="str">
        <f>IF(B46=0,"",VLOOKUP($B46,Table2[],2,FALSE))</f>
        <v>Custom</v>
      </c>
      <c r="D46" s="388"/>
      <c r="E46" s="388"/>
      <c r="F46" s="174">
        <v>4</v>
      </c>
      <c r="G46" s="175">
        <v>0.2</v>
      </c>
      <c r="H46" s="176">
        <v>1</v>
      </c>
      <c r="I46" s="120" t="str">
        <f>IF($B46=0,"",VLOOKUP($B46,Table2[],5,FALSE))</f>
        <v>acre</v>
      </c>
      <c r="J46" s="109">
        <f>IF($B46=0,"",VLOOKUP($B46,Table2[],7,FALSE))</f>
        <v>11</v>
      </c>
      <c r="K46" s="109">
        <f t="shared" si="4"/>
        <v>2.2000000000000002</v>
      </c>
      <c r="L46" s="257"/>
    </row>
    <row r="47" spans="1:12" x14ac:dyDescent="0.2">
      <c r="A47" s="143" t="s">
        <v>906</v>
      </c>
      <c r="B47" s="180" t="s">
        <v>290</v>
      </c>
      <c r="C47" s="388" t="str">
        <f>IF(B47=0,"",VLOOKUP($B47,Table2[],2,FALSE))</f>
        <v>Insecticide</v>
      </c>
      <c r="D47" s="388"/>
      <c r="E47" s="388"/>
      <c r="F47" s="174">
        <v>4</v>
      </c>
      <c r="G47" s="175">
        <v>0.2</v>
      </c>
      <c r="H47" s="176">
        <v>1.6</v>
      </c>
      <c r="I47" s="120" t="str">
        <f>IF($B47=0,"",VLOOKUP($B47,Table2[],5,FALSE))</f>
        <v>ounce</v>
      </c>
      <c r="J47" s="109">
        <f>IF($B47=0,"",VLOOKUP($B47,Table2[],7,FALSE))</f>
        <v>3.203125</v>
      </c>
      <c r="K47" s="109">
        <f t="shared" si="4"/>
        <v>1.03</v>
      </c>
      <c r="L47" s="110"/>
    </row>
    <row r="48" spans="1:12" x14ac:dyDescent="0.2">
      <c r="A48" s="143"/>
      <c r="B48" s="180" t="s">
        <v>183</v>
      </c>
      <c r="C48" s="388" t="str">
        <f>IF(B48=0,"",VLOOKUP($B48,Table2[],2,FALSE))</f>
        <v>Custom</v>
      </c>
      <c r="D48" s="388"/>
      <c r="E48" s="388"/>
      <c r="F48" s="174">
        <v>5</v>
      </c>
      <c r="G48" s="175">
        <v>0.1</v>
      </c>
      <c r="H48" s="176">
        <v>1</v>
      </c>
      <c r="I48" s="120" t="str">
        <f>IF($B48=0,"",VLOOKUP($B48,Table2[],5,FALSE))</f>
        <v>acre</v>
      </c>
      <c r="J48" s="109">
        <f>IF($B48=0,"",VLOOKUP($B48,Table2[],7,FALSE))</f>
        <v>11</v>
      </c>
      <c r="K48" s="109">
        <f t="shared" ref="K48" si="5">IF(B48=0,0,ROUND(G48*H48*J48,2))</f>
        <v>1.1000000000000001</v>
      </c>
      <c r="L48" s="110"/>
    </row>
    <row r="49" spans="1:12" x14ac:dyDescent="0.2">
      <c r="A49" s="143"/>
      <c r="B49" s="213" t="s">
        <v>216</v>
      </c>
      <c r="C49" s="247"/>
      <c r="D49" s="247" t="s">
        <v>214</v>
      </c>
      <c r="E49" s="247"/>
      <c r="F49" s="214">
        <v>5</v>
      </c>
      <c r="G49" s="221">
        <v>0.1</v>
      </c>
      <c r="H49" s="222">
        <v>3</v>
      </c>
      <c r="I49" s="223" t="s">
        <v>174</v>
      </c>
      <c r="J49" s="215">
        <f>IF($B49=0,"",VLOOKUP($B49,Table2[],7,FALSE))</f>
        <v>5.078125</v>
      </c>
      <c r="K49" s="215">
        <f t="shared" ref="K49" si="6">IF(B49=0,0,ROUND(G49*H49*J49,2))</f>
        <v>1.52</v>
      </c>
      <c r="L49" s="216"/>
    </row>
    <row r="50" spans="1:12" x14ac:dyDescent="0.2">
      <c r="A50" s="143"/>
      <c r="B50" s="180" t="s">
        <v>198</v>
      </c>
      <c r="C50" s="388" t="str">
        <f>IF(B50=0,"",VLOOKUP($B50,Table2[],2,FALSE))</f>
        <v>Custom</v>
      </c>
      <c r="D50" s="388"/>
      <c r="E50" s="388"/>
      <c r="F50" s="174">
        <v>7</v>
      </c>
      <c r="G50" s="175">
        <v>1</v>
      </c>
      <c r="H50" s="176">
        <f>$G$4</f>
        <v>45</v>
      </c>
      <c r="I50" s="120" t="str">
        <f>IF($B50=0,"",VLOOKUP($B50,Table2[],5,FALSE))</f>
        <v>bushel</v>
      </c>
      <c r="J50" s="109">
        <f>IF($B50=0,"",VLOOKUP($B50,Table2[],7,FALSE))</f>
        <v>0.15</v>
      </c>
      <c r="K50" s="109">
        <f t="shared" si="4"/>
        <v>6.75</v>
      </c>
      <c r="L50" s="110"/>
    </row>
    <row r="51" spans="1:12" ht="12.75" customHeight="1" x14ac:dyDescent="0.2">
      <c r="A51" s="105"/>
      <c r="B51" s="180" t="s">
        <v>310</v>
      </c>
      <c r="C51" s="388" t="str">
        <f>IF(B51=0,"",VLOOKUP($B51,Table2[],2,FALSE))</f>
        <v>Scouting</v>
      </c>
      <c r="D51" s="388"/>
      <c r="E51" s="388"/>
      <c r="F51" s="174"/>
      <c r="G51" s="175">
        <v>1</v>
      </c>
      <c r="H51" s="176">
        <v>1</v>
      </c>
      <c r="I51" s="120" t="str">
        <f>IF($B51=0,"",VLOOKUP($B51,Table2[],5,FALSE))</f>
        <v>acre</v>
      </c>
      <c r="J51" s="256">
        <f>IF($B51=0,"",VLOOKUP($B51,Table2[],7,FALSE))</f>
        <v>10</v>
      </c>
      <c r="K51" s="256">
        <f t="shared" si="4"/>
        <v>10</v>
      </c>
      <c r="L51" s="257"/>
    </row>
    <row r="52" spans="1:12" s="170" customFormat="1" ht="12.75" hidden="1" customHeight="1" x14ac:dyDescent="0.2">
      <c r="B52" s="180"/>
      <c r="C52" s="388" t="str">
        <f>IF(B52=0,"",VLOOKUP($B52,Table2[],2,FALSE))</f>
        <v/>
      </c>
      <c r="D52" s="388"/>
      <c r="E52" s="388"/>
      <c r="F52" s="174"/>
      <c r="G52" s="175"/>
      <c r="H52" s="176"/>
      <c r="I52" s="120" t="str">
        <f>IF($B52=0,"",VLOOKUP($B52,Table2[],5,FALSE))</f>
        <v/>
      </c>
      <c r="J52" s="170" t="str">
        <f>IF($B52=0,"",VLOOKUP($B52,Table2[],7,FALSE))</f>
        <v/>
      </c>
      <c r="K52" s="170">
        <f t="shared" si="2"/>
        <v>0</v>
      </c>
    </row>
    <row r="53" spans="1:12" s="170" customFormat="1" ht="12.75" hidden="1" customHeight="1" x14ac:dyDescent="0.2">
      <c r="B53" s="180"/>
      <c r="C53" s="388"/>
      <c r="D53" s="388"/>
      <c r="E53" s="388"/>
      <c r="F53" s="174"/>
      <c r="G53" s="175"/>
      <c r="H53" s="176"/>
      <c r="I53" s="120"/>
    </row>
    <row r="54" spans="1:12" s="170" customFormat="1" ht="12.75" hidden="1" customHeight="1" x14ac:dyDescent="0.2">
      <c r="B54" s="180"/>
      <c r="C54" s="388" t="str">
        <f>IF(B54=0,"",VLOOKUP($B54,Table2[],2,FALSE))</f>
        <v/>
      </c>
      <c r="D54" s="388"/>
      <c r="E54" s="388"/>
      <c r="F54" s="174"/>
      <c r="G54" s="175"/>
      <c r="H54" s="176"/>
      <c r="I54" s="120" t="str">
        <f>IF($B54=0,"",VLOOKUP($B54,Table2[],5,FALSE))</f>
        <v/>
      </c>
      <c r="J54" s="170" t="str">
        <f>IF($B54=0,"",VLOOKUP($B54,Table2[],7,FALSE))</f>
        <v/>
      </c>
      <c r="K54" s="170">
        <f t="shared" si="2"/>
        <v>0</v>
      </c>
    </row>
    <row r="55" spans="1:12" s="170" customFormat="1" ht="12.75" hidden="1" customHeight="1" x14ac:dyDescent="0.2">
      <c r="B55" s="180"/>
      <c r="C55" s="388" t="str">
        <f>IF(B55=0,"",VLOOKUP($B55,Table2[],2,FALSE))</f>
        <v/>
      </c>
      <c r="D55" s="388"/>
      <c r="E55" s="388"/>
      <c r="F55" s="174"/>
      <c r="G55" s="175"/>
      <c r="H55" s="176"/>
      <c r="I55" s="120" t="str">
        <f>IF($B55=0,"",VLOOKUP($B55,Table2[],5,FALSE))</f>
        <v/>
      </c>
      <c r="J55" s="170" t="str">
        <f>IF($B55=0,"",VLOOKUP($B55,Table2[],7,FALSE))</f>
        <v/>
      </c>
      <c r="K55" s="170">
        <f t="shared" si="2"/>
        <v>0</v>
      </c>
    </row>
    <row r="56" spans="1:12" s="170" customFormat="1" ht="12.75" hidden="1" customHeight="1" x14ac:dyDescent="0.2">
      <c r="B56" s="180"/>
      <c r="C56" s="388" t="str">
        <f>IF(B56=0,"",VLOOKUP($B56,Table2[],2,FALSE))</f>
        <v/>
      </c>
      <c r="D56" s="388"/>
      <c r="E56" s="388"/>
      <c r="F56" s="174"/>
      <c r="G56" s="175">
        <v>0.1</v>
      </c>
      <c r="H56" s="176"/>
      <c r="I56" s="120" t="str">
        <f>IF($B56=0,"",VLOOKUP($B56,Table2[],5,FALSE))</f>
        <v/>
      </c>
      <c r="J56" s="170" t="str">
        <f>IF($B56=0,"",VLOOKUP($B56,Table2[],7,FALSE))</f>
        <v/>
      </c>
      <c r="K56" s="170">
        <f t="shared" si="2"/>
        <v>0</v>
      </c>
    </row>
    <row r="57" spans="1:12" s="170" customFormat="1" ht="12.75" hidden="1" customHeight="1" x14ac:dyDescent="0.2">
      <c r="B57" s="180"/>
      <c r="C57" s="388" t="str">
        <f>IF(B57=0,"",VLOOKUP($B57,Table2[],2,FALSE))</f>
        <v/>
      </c>
      <c r="D57" s="388"/>
      <c r="E57" s="388"/>
      <c r="F57" s="174"/>
      <c r="G57" s="175">
        <v>0.2</v>
      </c>
      <c r="H57" s="176"/>
      <c r="I57" s="120" t="str">
        <f>IF($B57=0,"",VLOOKUP($B57,Table2[],5,FALSE))</f>
        <v/>
      </c>
      <c r="J57" s="170" t="str">
        <f>IF($B57=0,"",VLOOKUP($B57,Table2[],7,FALSE))</f>
        <v/>
      </c>
      <c r="K57" s="170">
        <f t="shared" si="2"/>
        <v>0</v>
      </c>
    </row>
    <row r="58" spans="1:12" s="170" customFormat="1" ht="12.75" hidden="1" customHeight="1" x14ac:dyDescent="0.2">
      <c r="B58" s="180"/>
      <c r="C58" s="388" t="str">
        <f>IF(B58=0,"",VLOOKUP($B58,Table2[],2,FALSE))</f>
        <v/>
      </c>
      <c r="D58" s="388"/>
      <c r="E58" s="388"/>
      <c r="F58" s="174"/>
      <c r="G58" s="175">
        <v>0.3</v>
      </c>
      <c r="H58" s="176"/>
      <c r="I58" s="120" t="str">
        <f>IF($B58=0,"",VLOOKUP($B58,Table2[],5,FALSE))</f>
        <v/>
      </c>
      <c r="J58" s="170" t="str">
        <f>IF($B58=0,"",VLOOKUP($B58,Table2[],7,FALSE))</f>
        <v/>
      </c>
      <c r="K58" s="170">
        <f t="shared" si="2"/>
        <v>0</v>
      </c>
    </row>
    <row r="59" spans="1:12" s="170" customFormat="1" ht="12.75" hidden="1" customHeight="1" x14ac:dyDescent="0.2">
      <c r="B59" s="180"/>
      <c r="C59" s="388" t="str">
        <f>IF(B59=0,"",VLOOKUP($B59,Table2[],2,FALSE))</f>
        <v/>
      </c>
      <c r="D59" s="388"/>
      <c r="E59" s="388"/>
      <c r="F59" s="174"/>
      <c r="G59" s="175"/>
      <c r="H59" s="176"/>
      <c r="I59" s="120" t="str">
        <f>IF($B59=0,"",VLOOKUP($B59,Table2[],5,FALSE))</f>
        <v/>
      </c>
      <c r="J59" s="170" t="str">
        <f>IF($B59=0,"",VLOOKUP($B59,Table2[],7,FALSE))</f>
        <v/>
      </c>
      <c r="K59" s="170">
        <f t="shared" si="2"/>
        <v>0</v>
      </c>
    </row>
    <row r="60" spans="1:12" s="170" customFormat="1" ht="12.75" hidden="1" customHeight="1" x14ac:dyDescent="0.2">
      <c r="B60" s="180"/>
      <c r="C60" s="388" t="str">
        <f>IF(B60=0,"",VLOOKUP($B60,Table2[],2,FALSE))</f>
        <v/>
      </c>
      <c r="D60" s="388"/>
      <c r="E60" s="388"/>
      <c r="F60" s="174"/>
      <c r="G60" s="175"/>
      <c r="H60" s="176"/>
      <c r="I60" s="120" t="str">
        <f>IF($B60=0,"",VLOOKUP($B60,Table2[],5,FALSE))</f>
        <v/>
      </c>
      <c r="J60" s="170" t="str">
        <f>IF($B60=0,"",VLOOKUP($B60,Table2[],7,FALSE))</f>
        <v/>
      </c>
      <c r="K60" s="170">
        <f>IF(B60=0,0,ROUND(G60*H60*J60,2))</f>
        <v>0</v>
      </c>
    </row>
    <row r="61" spans="1:12" s="170" customFormat="1" ht="12.75" hidden="1" customHeight="1" x14ac:dyDescent="0.2">
      <c r="B61" s="180"/>
      <c r="C61" s="388" t="str">
        <f>IF(B61=0,"",VLOOKUP($B61,Table2[],2,FALSE))</f>
        <v/>
      </c>
      <c r="D61" s="388"/>
      <c r="E61" s="388"/>
      <c r="F61" s="174"/>
      <c r="G61" s="175"/>
      <c r="H61" s="176"/>
      <c r="I61" s="120" t="str">
        <f>IF($B61=0,"",VLOOKUP($B61,Table2[],5,FALSE))</f>
        <v/>
      </c>
      <c r="J61" s="170" t="str">
        <f>IF($B61=0,"",VLOOKUP($B61,Table2[],7,FALSE))</f>
        <v/>
      </c>
      <c r="K61" s="170">
        <f>IF(B61=0,0,ROUND(G61*H61*J61,2))</f>
        <v>0</v>
      </c>
    </row>
    <row r="62" spans="1:12" s="170" customFormat="1" ht="12.75" hidden="1" customHeight="1" x14ac:dyDescent="0.2">
      <c r="B62" s="180"/>
      <c r="C62" s="388" t="str">
        <f>IF(B62=0,"",VLOOKUP($B62,Table2[],2,FALSE))</f>
        <v/>
      </c>
      <c r="D62" s="388"/>
      <c r="E62" s="388"/>
      <c r="F62" s="174"/>
      <c r="G62" s="175"/>
      <c r="H62" s="176"/>
      <c r="I62" s="120" t="str">
        <f>IF($B62=0,"",VLOOKUP($B62,Table2[],5,FALSE))</f>
        <v/>
      </c>
      <c r="J62" s="170" t="str">
        <f>IF($B62=0,"",VLOOKUP($B62,Table2[],7,FALSE))</f>
        <v/>
      </c>
      <c r="K62" s="170">
        <f>IF(B62=0,0,ROUND(G62*H62*J62,2))</f>
        <v>0</v>
      </c>
    </row>
    <row r="63" spans="1:12" s="170" customFormat="1" ht="12.75" hidden="1" customHeight="1" x14ac:dyDescent="0.2">
      <c r="B63" s="180"/>
      <c r="C63" s="388" t="str">
        <f>IF(B63=0,"",VLOOKUP($B63,Table2[],2,FALSE))</f>
        <v/>
      </c>
      <c r="D63" s="388"/>
      <c r="E63" s="388"/>
      <c r="F63" s="174"/>
      <c r="G63" s="175"/>
      <c r="H63" s="176"/>
      <c r="I63" s="120" t="str">
        <f>IF($B63=0,"",VLOOKUP($B63,Table2[],5,FALSE))</f>
        <v/>
      </c>
      <c r="J63" s="170" t="str">
        <f>IF($B63=0,"",VLOOKUP($B63,Table2[],7,FALSE))</f>
        <v/>
      </c>
      <c r="K63" s="170">
        <f>IF(B63=0,0,ROUND(G63*H63*J63,2))</f>
        <v>0</v>
      </c>
    </row>
    <row r="64" spans="1:12" s="170" customFormat="1" ht="12.75" hidden="1" customHeight="1" x14ac:dyDescent="0.2">
      <c r="B64" s="180"/>
      <c r="C64" s="388" t="str">
        <f>IF(B64=0,"",VLOOKUP($B64,Table2[],2,FALSE))</f>
        <v/>
      </c>
      <c r="D64" s="388"/>
      <c r="E64" s="388"/>
      <c r="F64" s="174"/>
      <c r="G64" s="175"/>
      <c r="H64" s="176"/>
      <c r="I64" s="120" t="str">
        <f>IF($B64=0,"",VLOOKUP($B64,Table2[],5,FALSE))</f>
        <v/>
      </c>
      <c r="J64" s="170" t="str">
        <f>IF($B64=0,"",VLOOKUP($B64,Table2[],7,FALSE))</f>
        <v/>
      </c>
      <c r="K64" s="170">
        <f>IF(B64=0,0,ROUND(G64*H64*J64,2))</f>
        <v>0</v>
      </c>
    </row>
    <row r="65" spans="2:12" x14ac:dyDescent="0.2">
      <c r="B65" s="180" t="s">
        <v>430</v>
      </c>
      <c r="C65" s="388" t="s">
        <v>655</v>
      </c>
      <c r="D65" s="388"/>
      <c r="E65" s="388"/>
      <c r="F65" s="174"/>
      <c r="G65" s="175"/>
      <c r="H65" s="176"/>
      <c r="I65" s="120"/>
      <c r="J65" s="109">
        <f ca="1">IF(F5=0,E5,F5)</f>
        <v>10</v>
      </c>
      <c r="K65" s="109">
        <f ca="1">IF(B65=0,0,J65)</f>
        <v>10</v>
      </c>
      <c r="L65" s="113"/>
    </row>
    <row r="66" spans="2:12" ht="3.75" customHeight="1" thickBot="1" x14ac:dyDescent="0.25">
      <c r="B66" s="114"/>
      <c r="C66" s="121"/>
      <c r="D66" s="121"/>
      <c r="E66" s="121"/>
      <c r="F66" s="115"/>
      <c r="G66" s="122"/>
      <c r="H66" s="114"/>
      <c r="I66" s="123"/>
      <c r="J66" s="124"/>
      <c r="K66" s="125"/>
      <c r="L66" s="117"/>
    </row>
    <row r="67" spans="2:12" ht="13.5" thickTop="1" x14ac:dyDescent="0.2">
      <c r="C67" s="108" t="s">
        <v>671</v>
      </c>
      <c r="D67" s="108"/>
      <c r="J67" s="126"/>
      <c r="K67" s="127">
        <f ca="1">SUM(K38:K65)</f>
        <v>183.65</v>
      </c>
      <c r="L67" s="110"/>
    </row>
    <row r="68" spans="2:12" x14ac:dyDescent="0.2">
      <c r="B68" s="358" t="s">
        <v>909</v>
      </c>
      <c r="C68" s="358"/>
      <c r="D68" s="358"/>
      <c r="E68" s="352" t="s">
        <v>907</v>
      </c>
      <c r="F68" s="358"/>
      <c r="G68" s="358"/>
      <c r="H68" s="352" t="s">
        <v>911</v>
      </c>
      <c r="I68" s="358"/>
      <c r="J68" s="358"/>
      <c r="K68" s="361"/>
    </row>
    <row r="69" spans="2:12" x14ac:dyDescent="0.2">
      <c r="B69" s="352"/>
      <c r="C69" s="358"/>
      <c r="D69" s="352"/>
      <c r="E69" s="358"/>
      <c r="F69" s="358"/>
      <c r="G69" s="358"/>
      <c r="K69" s="127"/>
    </row>
    <row r="70" spans="2:12" x14ac:dyDescent="0.2">
      <c r="B70" s="107" t="s">
        <v>672</v>
      </c>
      <c r="K70" s="127">
        <f ca="1">K34+K67</f>
        <v>244.82</v>
      </c>
      <c r="L70" s="110"/>
    </row>
    <row r="71" spans="2:12" ht="13.5" thickBot="1" x14ac:dyDescent="0.25">
      <c r="D71" s="128" t="s">
        <v>673</v>
      </c>
      <c r="E71" s="129">
        <f ca="1">ROUND(SUM($E$34:$H$34)+$K$67,2)</f>
        <v>209.31</v>
      </c>
      <c r="F71" s="388" t="s">
        <v>674</v>
      </c>
      <c r="G71" s="388"/>
      <c r="H71" s="130">
        <f>'General Variables'!$B$11</f>
        <v>7.4999999999999997E-2</v>
      </c>
      <c r="I71" s="131" t="str">
        <f>CONCATENATE("for ",TEXT('General Variables'!$B$12,"0.0")," mo.")</f>
        <v>for 6.0 mo.</v>
      </c>
      <c r="K71" s="132">
        <f ca="1">E71*H71*'General Variables'!$B$12/12</f>
        <v>7.8491249999999999</v>
      </c>
      <c r="L71" s="133"/>
    </row>
    <row r="72" spans="2:12" ht="13.5" thickTop="1" x14ac:dyDescent="0.2">
      <c r="B72" s="107" t="s">
        <v>675</v>
      </c>
      <c r="K72" s="127">
        <f ca="1">SUM(K70:K71)</f>
        <v>252.66912499999998</v>
      </c>
      <c r="L72" s="110"/>
    </row>
    <row r="73" spans="2:12" x14ac:dyDescent="0.2">
      <c r="K73" s="127"/>
    </row>
    <row r="74" spans="2:12" x14ac:dyDescent="0.2">
      <c r="B74" s="104" t="s">
        <v>676</v>
      </c>
      <c r="C74" s="134"/>
      <c r="D74" s="134"/>
      <c r="E74" s="134"/>
      <c r="F74" s="134"/>
      <c r="G74" s="134"/>
      <c r="H74" s="134"/>
      <c r="I74" s="134"/>
      <c r="J74" s="134"/>
      <c r="K74" s="135">
        <f>'General Variables'!B15</f>
        <v>27</v>
      </c>
      <c r="L74" s="110"/>
    </row>
    <row r="75" spans="2:12" x14ac:dyDescent="0.2">
      <c r="B75" s="103" t="s">
        <v>687</v>
      </c>
      <c r="C75" s="398" t="s">
        <v>30</v>
      </c>
      <c r="D75" s="399"/>
      <c r="E75" s="400"/>
      <c r="F75" s="136">
        <f>IF(C75=0,0,VLOOKUP(C75,RETable,2,FALSE))</f>
        <v>4530</v>
      </c>
      <c r="G75" s="388" t="s">
        <v>678</v>
      </c>
      <c r="H75" s="388"/>
      <c r="I75" s="130">
        <f>'General Variables'!$B$10</f>
        <v>0.03</v>
      </c>
      <c r="K75" s="137">
        <f>ROUND(F75*I75,2)</f>
        <v>135.9</v>
      </c>
      <c r="L75" s="110"/>
    </row>
    <row r="76" spans="2:12" ht="13.5" thickBot="1" x14ac:dyDescent="0.25">
      <c r="B76" s="103" t="s">
        <v>679</v>
      </c>
      <c r="F76" s="138">
        <f>IF(C75=0,0,VLOOKUP(C75,RETable,2,FALSE))</f>
        <v>4530</v>
      </c>
      <c r="G76" s="397" t="s">
        <v>678</v>
      </c>
      <c r="H76" s="397"/>
      <c r="I76" s="139">
        <f>'General Variables'!$B$13</f>
        <v>1.2999999999999999E-2</v>
      </c>
      <c r="J76" s="105"/>
      <c r="K76" s="140">
        <f>ROUND(F76*I76,2)</f>
        <v>58.89</v>
      </c>
      <c r="L76" s="133"/>
    </row>
    <row r="77" spans="2:12" ht="13.5" thickTop="1" x14ac:dyDescent="0.2">
      <c r="B77" s="107" t="s">
        <v>680</v>
      </c>
      <c r="K77" s="127">
        <f ca="1">SUM(K72:K76)</f>
        <v>474.45912499999997</v>
      </c>
      <c r="L77" s="110"/>
    </row>
    <row r="78" spans="2:12" x14ac:dyDescent="0.2">
      <c r="K78" s="128"/>
    </row>
    <row r="79" spans="2:12" x14ac:dyDescent="0.2">
      <c r="B79" s="104" t="str">
        <f>IF(G4="","","Cash Cost per "&amp;H4)</f>
        <v>Cash Cost per bushel</v>
      </c>
      <c r="C79" s="261" t="s">
        <v>688</v>
      </c>
      <c r="D79" s="105"/>
      <c r="E79" s="105"/>
      <c r="F79" s="105"/>
      <c r="G79" s="105"/>
      <c r="H79" s="105"/>
      <c r="I79" s="105"/>
      <c r="J79" s="105"/>
      <c r="K79" s="142">
        <f ca="1">IF(G4=0,0,(E71+K71+K74+K76)/G4)</f>
        <v>6.7344249999999999</v>
      </c>
      <c r="L79" s="148"/>
    </row>
    <row r="80" spans="2:12" x14ac:dyDescent="0.2">
      <c r="B80" s="107" t="str">
        <f>IF(G4="","","Cost of production per "&amp;H4)</f>
        <v>Cost of production per bushel</v>
      </c>
      <c r="K80" s="141">
        <f ca="1">IF(G4="","",K77/G4)</f>
        <v>10.543536111111111</v>
      </c>
      <c r="L80" s="110"/>
    </row>
    <row r="82" spans="2:12" x14ac:dyDescent="0.2">
      <c r="D82" s="103" t="s">
        <v>900</v>
      </c>
      <c r="G82" s="105"/>
      <c r="H82" s="105"/>
      <c r="I82" s="105"/>
      <c r="J82" s="105"/>
      <c r="K82" s="355" t="s">
        <v>901</v>
      </c>
      <c r="L82" s="105"/>
    </row>
    <row r="83" spans="2:12" x14ac:dyDescent="0.2">
      <c r="G83" s="105"/>
      <c r="H83" s="105"/>
      <c r="I83" s="105"/>
      <c r="J83" s="105"/>
      <c r="K83" s="355"/>
      <c r="L83" s="105"/>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6"/>
      <c r="C115" s="106"/>
      <c r="D115" s="106"/>
    </row>
    <row r="116" spans="2:11" x14ac:dyDescent="0.2">
      <c r="B116" s="105"/>
      <c r="C116" s="105"/>
      <c r="D116" s="105"/>
      <c r="H116" s="103" t="e">
        <f>'General Variables'!#REF!</f>
        <v>#REF!</v>
      </c>
    </row>
    <row r="117" spans="2:11" x14ac:dyDescent="0.2">
      <c r="B117" s="105"/>
      <c r="C117" s="105"/>
      <c r="D117" s="105"/>
      <c r="H117" s="103" t="e">
        <f>'General Variables'!#REF!</f>
        <v>#REF!</v>
      </c>
      <c r="K117" s="103" t="s">
        <v>681</v>
      </c>
    </row>
    <row r="118" spans="2:11" x14ac:dyDescent="0.2">
      <c r="B118" s="105"/>
      <c r="C118" s="105"/>
      <c r="D118" s="105"/>
      <c r="H118" s="103" t="e">
        <f>'General Variables'!#REF!</f>
        <v>#REF!</v>
      </c>
      <c r="K118" s="103" t="s">
        <v>654</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c r="H131" s="103" t="e">
        <f>'General Variables'!#REF!</f>
        <v>#REF!</v>
      </c>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c r="D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c r="C245" s="105"/>
    </row>
    <row r="246" spans="2:3" x14ac:dyDescent="0.2">
      <c r="B246" s="105" t="str">
        <f>IF(Operations!A96="","",Operations!A96)</f>
        <v/>
      </c>
      <c r="C246" s="105" t="str">
        <f>IF(Materials!B140="","",Materials!B140)</f>
        <v>Alfalfa w/Inoculant</v>
      </c>
    </row>
    <row r="247" spans="2:3" x14ac:dyDescent="0.2">
      <c r="B247" s="105" t="str">
        <f>IF(Operations!A97="","",Operations!A97)</f>
        <v/>
      </c>
      <c r="C247" s="105" t="str">
        <f>IF(Materials!B141="","",Materials!B141)</f>
        <v>Corn</v>
      </c>
    </row>
    <row r="248" spans="2:3" x14ac:dyDescent="0.2">
      <c r="B248" s="105" t="str">
        <f>IF(Operations!A98="","",Operations!A98)</f>
        <v/>
      </c>
      <c r="C248" s="105" t="str">
        <f>IF(Materials!B142="","",Materials!B142)</f>
        <v>Corn Bt, ECB, &amp; RIB</v>
      </c>
    </row>
    <row r="249" spans="2:3" x14ac:dyDescent="0.2">
      <c r="B249" s="105" t="str">
        <f>IF(Operations!A99="","",Operations!A99)</f>
        <v/>
      </c>
      <c r="C249" s="105" t="str">
        <f>IF(Materials!B143="","",Materials!B143)</f>
        <v>Corn Bt, ECB, RR2, LL, &amp; RIB</v>
      </c>
    </row>
    <row r="250" spans="2:3" x14ac:dyDescent="0.2">
      <c r="B250" s="105" t="str">
        <f>IF(Operations!A100="","",Operations!A100)</f>
        <v/>
      </c>
      <c r="C250" s="105" t="str">
        <f>IF(Materials!B144="","",Materials!B144)</f>
        <v>Corn Bt, ECB, RW, &amp; RIB</v>
      </c>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c r="C259" s="105"/>
    </row>
    <row r="260" spans="2:3" x14ac:dyDescent="0.2">
      <c r="B260" s="105"/>
    </row>
    <row r="261" spans="2:3" x14ac:dyDescent="0.2">
      <c r="B261" s="105"/>
    </row>
  </sheetData>
  <mergeCells count="50">
    <mergeCell ref="C62:E62"/>
    <mergeCell ref="C63:E63"/>
    <mergeCell ref="C64:E64"/>
    <mergeCell ref="C57:E57"/>
    <mergeCell ref="C58:E58"/>
    <mergeCell ref="C59:E59"/>
    <mergeCell ref="C60:E60"/>
    <mergeCell ref="C61:E61"/>
    <mergeCell ref="C52:E52"/>
    <mergeCell ref="C53:E53"/>
    <mergeCell ref="C54:E54"/>
    <mergeCell ref="C55:E55"/>
    <mergeCell ref="C56:E56"/>
    <mergeCell ref="C75:E75"/>
    <mergeCell ref="G75:H75"/>
    <mergeCell ref="G76:H76"/>
    <mergeCell ref="C65:E65"/>
    <mergeCell ref="F71:G71"/>
    <mergeCell ref="C43:E43"/>
    <mergeCell ref="G10:H10"/>
    <mergeCell ref="K10:K11"/>
    <mergeCell ref="L10:L11"/>
    <mergeCell ref="F36:F37"/>
    <mergeCell ref="G36:G37"/>
    <mergeCell ref="H36:I36"/>
    <mergeCell ref="J36:J37"/>
    <mergeCell ref="L36:L37"/>
    <mergeCell ref="I10:J10"/>
    <mergeCell ref="C39:E39"/>
    <mergeCell ref="C40:E40"/>
    <mergeCell ref="C41:E41"/>
    <mergeCell ref="C42:E42"/>
    <mergeCell ref="C51:E51"/>
    <mergeCell ref="C44:E44"/>
    <mergeCell ref="C45:E45"/>
    <mergeCell ref="C46:E46"/>
    <mergeCell ref="C47:E47"/>
    <mergeCell ref="C50:E50"/>
    <mergeCell ref="C48:E48"/>
    <mergeCell ref="K2:L2"/>
    <mergeCell ref="G2:H2"/>
    <mergeCell ref="C4:E4"/>
    <mergeCell ref="B7:L7"/>
    <mergeCell ref="C3:E3"/>
    <mergeCell ref="A6:M6"/>
    <mergeCell ref="B10:B11"/>
    <mergeCell ref="C10:C11"/>
    <mergeCell ref="E10:E11"/>
    <mergeCell ref="F10:F11"/>
    <mergeCell ref="C38:E38"/>
  </mergeCells>
  <dataValidations count="9">
    <dataValidation type="list" allowBlank="1" showInputMessage="1" showErrorMessage="1" sqref="B33" xr:uid="{00000000-0002-0000-4100-000000000000}">
      <formula1>$B$116:$B$213</formula1>
    </dataValidation>
    <dataValidation type="list" allowBlank="1" showInputMessage="1" showErrorMessage="1" sqref="B66" xr:uid="{00000000-0002-0000-4100-000001000000}">
      <formula1>$C$116:$C$234</formula1>
    </dataValidation>
    <dataValidation type="list" allowBlank="1" showInputMessage="1" showErrorMessage="1" sqref="K4" xr:uid="{00000000-0002-0000-4100-000002000000}">
      <formula1>$K$116:$K$118</formula1>
    </dataValidation>
    <dataValidation type="list" allowBlank="1" showInputMessage="1" showErrorMessage="1" sqref="C75:E75" xr:uid="{00000000-0002-0000-4100-000003000000}">
      <formula1>RealEstateList</formula1>
    </dataValidation>
    <dataValidation type="list" allowBlank="1" showInputMessage="1" showErrorMessage="1" sqref="B12:B32" xr:uid="{00000000-0002-0000-4100-000004000000}">
      <formula1>OperationList</formula1>
    </dataValidation>
    <dataValidation type="list" allowBlank="1" showInputMessage="1" showErrorMessage="1" sqref="D12:D33" xr:uid="{00000000-0002-0000-4100-000005000000}">
      <formula1>#REF!</formula1>
    </dataValidation>
    <dataValidation type="list" allowBlank="1" showInputMessage="1" showErrorMessage="1" sqref="K2" xr:uid="{00000000-0002-0000-4100-000006000000}">
      <formula1>watersource</formula1>
    </dataValidation>
    <dataValidation type="list" allowBlank="1" showInputMessage="1" showErrorMessage="1" sqref="C3" xr:uid="{00000000-0002-0000-4100-000007000000}">
      <formula1>TillageSystem</formula1>
    </dataValidation>
    <dataValidation type="list" allowBlank="1" showInputMessage="1" showErrorMessage="1" sqref="B38:B64" xr:uid="{00000000-0002-0000-4100-000008000000}">
      <formula1>MaterialList</formula1>
    </dataValidation>
  </dataValidations>
  <pageMargins left="0.7" right="0.7" top="0.75" bottom="0.75" header="0.3" footer="0.3"/>
  <pageSetup scale="7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8">
    <pageSetUpPr fitToPage="1"/>
  </sheetPr>
  <dimension ref="A2:M257"/>
  <sheetViews>
    <sheetView zoomScaleNormal="100" workbookViewId="0">
      <selection activeCell="I20" sqref="I2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762</v>
      </c>
      <c r="H2" s="392"/>
      <c r="J2" s="128" t="s">
        <v>649</v>
      </c>
      <c r="K2" s="401" t="s">
        <v>69</v>
      </c>
      <c r="L2" s="401"/>
    </row>
    <row r="3" spans="1:13" hidden="1" x14ac:dyDescent="0.2">
      <c r="B3" s="103" t="s">
        <v>38</v>
      </c>
      <c r="C3" s="391" t="s">
        <v>43</v>
      </c>
      <c r="D3" s="391"/>
      <c r="E3" s="391"/>
      <c r="G3" s="128" t="s">
        <v>650</v>
      </c>
      <c r="H3" s="187" t="s">
        <v>771</v>
      </c>
      <c r="J3" s="128" t="s">
        <v>651</v>
      </c>
      <c r="K3" s="187">
        <v>9</v>
      </c>
    </row>
    <row r="4" spans="1:13" hidden="1" x14ac:dyDescent="0.2">
      <c r="B4" s="103" t="s">
        <v>652</v>
      </c>
      <c r="C4" s="392" t="s">
        <v>764</v>
      </c>
      <c r="D4" s="392"/>
      <c r="E4" s="392"/>
      <c r="G4" s="103">
        <f>IFERROR(VALUE(LEFT($H$3,FIND(" ",$H$3))),"")</f>
        <v>67</v>
      </c>
      <c r="H4" s="103" t="str">
        <f>IFERROR(RIGHT(H3,LEN(H3)-LEN(G4)-1),"")</f>
        <v>bushel</v>
      </c>
      <c r="J4" s="128" t="s">
        <v>653</v>
      </c>
      <c r="K4" s="188" t="s">
        <v>654</v>
      </c>
    </row>
    <row r="5" spans="1:13" ht="15.75" hidden="1" customHeight="1" x14ac:dyDescent="0.2">
      <c r="B5" s="103" t="s">
        <v>655</v>
      </c>
      <c r="C5" s="103" t="str">
        <f ca="1">MID(CELL("filename",C5),FIND("]",CELL("filename",C5))+1,255)</f>
        <v>62-Soybeans</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62-Soybeans, Roundup Ready 2 Yield®, Conventional Tillage, after Corn, 67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62-Soybeans, Roundup Ready 2 Yield®, Conventional Tillage, after Corn, 67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9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31" si="0">IF(C13&gt;9999,"",ROUND(SUM(E13:J13),2))</f>
        <v>14.68</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522</v>
      </c>
      <c r="C16" s="174">
        <f>$K$3</f>
        <v>9</v>
      </c>
      <c r="D16" s="174" t="s">
        <v>693</v>
      </c>
      <c r="E16" s="109">
        <f>IF(B16=0,"",IF(C16&gt;9999,"",ROUND('General Variables'!$B$4*VLOOKUP(B16,Operations!$A$2:$U$79,10,FALSE)/VLOOKUP(B16,Operations!$A$2:$U$79,9,FALSE)*C16,2)))</f>
        <v>8.44</v>
      </c>
      <c r="F16" s="109">
        <f>IF(B16=0,0,IF(C16&gt;9999,"",ROUND(IF(VLOOKUP(B16,Operations!$A$2:$U$79,12,FALSE)=0,VLOOKUP(B16,Operations!$A$2:$U$79,13,FALSE)*'General Variables'!$B$8,VLOOKUP(B16,Operations!$A$2:$U$79,12,FALSE)*'General Variables'!$B$7)/VLOOKUP(B16,Operations!$A$2:$U$79,9,FALSE)*C16,2)))</f>
        <v>53.39</v>
      </c>
      <c r="G16" s="109">
        <f>IF(B16=0,0,IF(C16&gt;9999,"",ROUND(VLOOKUP(VLOOKUP(B16,Operations!$A$2:$U$79,11,FALSE),PowerUnits[],10,FALSE)/VLOOKUP(B16,Operations!$A$2:$U$79,9,FALSE)*C16,2)))</f>
        <v>4.9000000000000004</v>
      </c>
      <c r="H16" s="109">
        <f>IF(B16=0,"",IF(C16&gt;9999,"",ROUND(VLOOKUP($B16,Operations!$A$2:$U$79,15,FALSE)*C16,2)))</f>
        <v>23.86</v>
      </c>
      <c r="I16" s="109">
        <f>IF(B16=0,0,IF(C16&gt;9999,"",ROUND(VLOOKUP(VLOOKUP(B16,Operations!$A$2:$U$79,11,FALSE),PowerUnits[],16,FALSE)/VLOOKUP(B16,Operations!$A$2:$U$79,9,FALSE)*C16,2)))</f>
        <v>9.3000000000000007</v>
      </c>
      <c r="J16" s="109">
        <f>IF(B16=0,"",IF(C16&gt;9999,"",ROUND(VLOOKUP($B16,Operations!$A$2:$U$79,21,FALSE)*$C16,2)))</f>
        <v>13.1</v>
      </c>
      <c r="K16" s="109">
        <f>IF(C16&gt;9999,"",ROUND(SUM(E16:J16),2))</f>
        <v>112.99</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183</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183</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t="s">
        <v>913</v>
      </c>
      <c r="B20" s="180" t="s">
        <v>940</v>
      </c>
      <c r="C20" s="255">
        <v>150</v>
      </c>
      <c r="D20" s="174"/>
      <c r="E20" s="109">
        <f>IF(B20=0,"",IF(C20&gt;9999,"",ROUND('General Variables'!$B$4*VLOOKUP(B20,Operations!$A$2:$U$79,10,FALSE)/VLOOKUP(B20,Operations!$A$2:$U$79,9,FALSE)*C20,2))/100)</f>
        <v>3.4268999999999998</v>
      </c>
      <c r="F20" s="109">
        <f>IF(B20=0,0,IF(C20&gt;9999,"",ROUND(IF(VLOOKUP(B20,Operations!$A$2:$U$79,12,FALSE)=0,VLOOKUP(B20,Operations!$A$2:$U$79,13,FALSE)*'General Variables'!$B$8,VLOOKUP(B20,Operations!$A$2:$U$79,12,FALSE)*'General Variables'!$B$7)/VLOOKUP(B20,Operations!$A$2:$U$79,9,FALSE)*C20,2))/100)</f>
        <v>3.8733</v>
      </c>
      <c r="G20" s="109">
        <f>IF(B20=0,0,IF(C20&gt;9999,"",ROUND(VLOOKUP(VLOOKUP(B20,Operations!$A$2:$U$79,11,FALSE),PowerUnits[],10,FALSE)/VLOOKUP(B20,Operations!$A$2:$U$79,9,FALSE)*C20,2))/100)</f>
        <v>5.9548000000000005</v>
      </c>
      <c r="H20" s="109">
        <f>IF(B20=0,"",IF(C20&gt;9999,"",ROUND(VLOOKUP($B20,Operations!$A$2:$U$79,15,FALSE)*C20,2))/100)</f>
        <v>1.236</v>
      </c>
      <c r="I20" s="109">
        <f>IF(B20=0,0,IF(C20&gt;9999,"",ROUND(VLOOKUP(VLOOKUP(B20,Operations!$A$2:$U$79,11,FALSE),PowerUnits[],16,FALSE)/VLOOKUP(B20,Operations!$A$2:$U$79,9,FALSE)*C20,2))/100)</f>
        <v>14.3407</v>
      </c>
      <c r="J20" s="109">
        <f>IF(B20=0,"",IF(C20&gt;9999,"",ROUND(VLOOKUP($B20,Operations!$A$2:$U$79,21,FALSE)*$C20,2))/100)</f>
        <v>5.7178999999999993</v>
      </c>
      <c r="K20" s="109">
        <f>IF(C20&gt;9999,"",ROUND(SUM(E20:J20),2))</f>
        <v>34.549999999999997</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21.846899999999998</v>
      </c>
      <c r="F33" s="109">
        <f t="shared" ref="F33:K33" si="1">SUM(F12:F31)</f>
        <v>62.833300000000001</v>
      </c>
      <c r="G33" s="109">
        <f t="shared" si="1"/>
        <v>11.534800000000001</v>
      </c>
      <c r="H33" s="109">
        <f t="shared" si="1"/>
        <v>38.105999999999995</v>
      </c>
      <c r="I33" s="109">
        <f t="shared" si="1"/>
        <v>45.200699999999998</v>
      </c>
      <c r="J33" s="109">
        <f t="shared" si="1"/>
        <v>34.357899999999994</v>
      </c>
      <c r="K33" s="109">
        <f t="shared" si="1"/>
        <v>213.88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240</v>
      </c>
      <c r="C37" s="388" t="str">
        <f>IF(B37=0,"",VLOOKUP($B37,Table2[],2,FALSE))</f>
        <v>Herbicide</v>
      </c>
      <c r="D37" s="388"/>
      <c r="E37" s="388"/>
      <c r="F37" s="174">
        <v>3</v>
      </c>
      <c r="G37" s="175">
        <v>1</v>
      </c>
      <c r="H37" s="176">
        <v>6</v>
      </c>
      <c r="I37" s="120" t="str">
        <f>IF($B37=0,"",VLOOKUP($B37,Table2[],5,FALSE))</f>
        <v>ounce</v>
      </c>
      <c r="J37" s="109">
        <f>IF($B37=0,"",VLOOKUP($B37,Table2[],7,FALSE))</f>
        <v>3.359375</v>
      </c>
      <c r="K37" s="109">
        <f>IF(B37=0,0,ROUND(G37*H37*J37,2))</f>
        <v>20.16</v>
      </c>
      <c r="L37" s="110"/>
    </row>
    <row r="38" spans="1:12" x14ac:dyDescent="0.2">
      <c r="A38" s="105"/>
      <c r="B38" s="180" t="s">
        <v>337</v>
      </c>
      <c r="C38" s="388" t="str">
        <f>IF(B38=0,"",VLOOKUP($B38,Table2[],2,FALSE))</f>
        <v>Seed</v>
      </c>
      <c r="D38" s="388"/>
      <c r="E38" s="388"/>
      <c r="F38" s="174">
        <v>4</v>
      </c>
      <c r="G38" s="175">
        <v>1</v>
      </c>
      <c r="H38" s="176">
        <v>1</v>
      </c>
      <c r="I38" s="120" t="str">
        <f>IF($B38=0,"",VLOOKUP($B38,Table2[],5,FALSE))</f>
        <v>bag</v>
      </c>
      <c r="J38" s="109">
        <f>IF($B38=0,"",VLOOKUP($B38,Table2[],7,FALSE))</f>
        <v>70</v>
      </c>
      <c r="K38" s="109">
        <f t="shared" ref="K38:K55" si="2">IF(B38=0,0,ROUND(G38*H38*J38,2))</f>
        <v>70</v>
      </c>
      <c r="L38" s="110"/>
    </row>
    <row r="39" spans="1:12" x14ac:dyDescent="0.2">
      <c r="A39" s="105"/>
      <c r="B39" s="180" t="s">
        <v>342</v>
      </c>
      <c r="C39" s="388" t="str">
        <f>IF(B39=0,"",VLOOKUP($B39,Table2[],2,FALSE))</f>
        <v>Inoculant</v>
      </c>
      <c r="D39" s="388"/>
      <c r="E39" s="388"/>
      <c r="F39" s="174">
        <v>4</v>
      </c>
      <c r="G39" s="175">
        <v>1</v>
      </c>
      <c r="H39" s="176">
        <v>1</v>
      </c>
      <c r="I39" s="120" t="str">
        <f>IF($B39=0,"",VLOOKUP($B39,Table2[],5,FALSE))</f>
        <v>acre</v>
      </c>
      <c r="J39" s="109">
        <f>IF($B39=0,"",VLOOKUP($B39,Table2[],7,FALSE))</f>
        <v>7</v>
      </c>
      <c r="K39" s="109">
        <f t="shared" ref="K39" si="3">IF(B39=0,0,ROUND(G39*H39*J39,2))</f>
        <v>7</v>
      </c>
      <c r="L39" s="110"/>
    </row>
    <row r="40" spans="1:12" x14ac:dyDescent="0.2">
      <c r="A40" s="105"/>
      <c r="B40" s="213" t="s">
        <v>259</v>
      </c>
      <c r="C40" s="387" t="str">
        <f>IF(B40=0,"",VLOOKUP($B40,Table2[],2,FALSE))</f>
        <v>Herbicide</v>
      </c>
      <c r="D40" s="387"/>
      <c r="E40" s="387"/>
      <c r="F40" s="214">
        <v>6</v>
      </c>
      <c r="G40" s="221">
        <v>1</v>
      </c>
      <c r="H40" s="222">
        <v>32</v>
      </c>
      <c r="I40" s="223" t="str">
        <f>IF($B40=0,"",VLOOKUP($B40,Table2[],5,FALSE))</f>
        <v>ounce</v>
      </c>
      <c r="J40" s="215">
        <f>IF($B40=0,"",VLOOKUP($B40,Table2[],7,FALSE))</f>
        <v>0.1328125</v>
      </c>
      <c r="K40" s="215">
        <f t="shared" si="2"/>
        <v>4.25</v>
      </c>
      <c r="L40" s="216"/>
    </row>
    <row r="41" spans="1:12" x14ac:dyDescent="0.2">
      <c r="A41" s="105"/>
      <c r="B41" s="180" t="s">
        <v>273</v>
      </c>
      <c r="C41" s="388" t="str">
        <f>IF(B41=0,"",VLOOKUP($B41,Table2[],2,FALSE))</f>
        <v>Herbicide</v>
      </c>
      <c r="D41" s="388"/>
      <c r="E41" s="388"/>
      <c r="F41" s="174">
        <v>6</v>
      </c>
      <c r="G41" s="175">
        <v>1</v>
      </c>
      <c r="H41" s="176">
        <v>6</v>
      </c>
      <c r="I41" s="120" t="str">
        <f>IF($B41=0,"",VLOOKUP($B41,Table2[],5,FALSE))</f>
        <v>ounce</v>
      </c>
      <c r="J41" s="109">
        <f>IF($B41=0,"",VLOOKUP($B41,Table2[],7,FALSE))</f>
        <v>1.015625</v>
      </c>
      <c r="K41" s="109">
        <f t="shared" si="2"/>
        <v>6.09</v>
      </c>
      <c r="L41" s="110"/>
    </row>
    <row r="42" spans="1:12" x14ac:dyDescent="0.2">
      <c r="A42" s="105"/>
      <c r="B42" s="180" t="s">
        <v>281</v>
      </c>
      <c r="C42" s="388" t="str">
        <f>IF(B42=0,"",VLOOKUP($B42,Table2[],2,FALSE))</f>
        <v>Herbicide</v>
      </c>
      <c r="D42" s="388"/>
      <c r="E42" s="388"/>
      <c r="F42" s="174">
        <v>6</v>
      </c>
      <c r="G42" s="175">
        <v>1</v>
      </c>
      <c r="H42" s="176">
        <v>48</v>
      </c>
      <c r="I42" s="120" t="s">
        <v>174</v>
      </c>
      <c r="J42" s="109">
        <f>IF($B42=0,"",VLOOKUP($B42,Table2[],7,FALSE))</f>
        <v>0.546875</v>
      </c>
      <c r="K42" s="109">
        <f t="shared" si="2"/>
        <v>26.25</v>
      </c>
      <c r="L42" s="110"/>
    </row>
    <row r="43" spans="1:12" x14ac:dyDescent="0.2">
      <c r="B43" s="180" t="s">
        <v>170</v>
      </c>
      <c r="C43" s="388" t="str">
        <f>IF(B43=0,"",VLOOKUP($B43,Table2[],2,FALSE))</f>
        <v>Additive</v>
      </c>
      <c r="D43" s="388"/>
      <c r="E43" s="388"/>
      <c r="F43" s="174">
        <v>6</v>
      </c>
      <c r="G43" s="175">
        <v>1</v>
      </c>
      <c r="H43" s="176">
        <v>1.7</v>
      </c>
      <c r="I43" s="120" t="str">
        <f>IF($B43=0,"",VLOOKUP($B43,Table2[],5,FALSE))</f>
        <v>pound</v>
      </c>
      <c r="J43" s="109">
        <f>IF($B43=0,"",VLOOKUP($B43,Table2[],7,FALSE))</f>
        <v>0.4</v>
      </c>
      <c r="K43" s="109">
        <f t="shared" ref="K43:K49" si="4">IF(B43=0,0,ROUND(G43*H43*J43,2))</f>
        <v>0.68</v>
      </c>
      <c r="L43" s="110"/>
    </row>
    <row r="44" spans="1:12" x14ac:dyDescent="0.2">
      <c r="A44" s="143"/>
      <c r="B44" s="213" t="s">
        <v>183</v>
      </c>
      <c r="C44" s="387" t="str">
        <f>IF(B44=0,"",VLOOKUP($B44,Table2[],2,FALSE))</f>
        <v>Custom</v>
      </c>
      <c r="D44" s="387"/>
      <c r="E44" s="387"/>
      <c r="F44" s="214">
        <v>7</v>
      </c>
      <c r="G44" s="221">
        <v>0.2</v>
      </c>
      <c r="H44" s="222">
        <v>1</v>
      </c>
      <c r="I44" s="223" t="str">
        <f>IF($B44=0,"",VLOOKUP($B44,Table2[],5,FALSE))</f>
        <v>acre</v>
      </c>
      <c r="J44" s="215">
        <f>IF($B44=0,"",VLOOKUP($B44,Table2[],7,FALSE))</f>
        <v>11</v>
      </c>
      <c r="K44" s="215">
        <f t="shared" si="4"/>
        <v>2.2000000000000002</v>
      </c>
      <c r="L44" s="216"/>
    </row>
    <row r="45" spans="1:12" x14ac:dyDescent="0.2">
      <c r="A45" s="143" t="s">
        <v>750</v>
      </c>
      <c r="B45" s="180" t="s">
        <v>290</v>
      </c>
      <c r="C45" s="388" t="str">
        <f>IF(B45=0,"",VLOOKUP($B45,Table2[],2,FALSE))</f>
        <v>Insecticide</v>
      </c>
      <c r="D45" s="388"/>
      <c r="E45" s="388"/>
      <c r="F45" s="174">
        <v>7</v>
      </c>
      <c r="G45" s="175">
        <v>0.2</v>
      </c>
      <c r="H45" s="176">
        <v>1.6</v>
      </c>
      <c r="I45" s="120" t="str">
        <f>IF($B45=0,"",VLOOKUP($B45,Table2[],5,FALSE))</f>
        <v>ounce</v>
      </c>
      <c r="J45" s="109">
        <f>IF($B45=0,"",VLOOKUP($B45,Table2[],7,FALSE))</f>
        <v>3.203125</v>
      </c>
      <c r="K45" s="109">
        <f t="shared" si="4"/>
        <v>1.03</v>
      </c>
      <c r="L45" s="110"/>
    </row>
    <row r="46" spans="1:12" x14ac:dyDescent="0.2">
      <c r="A46" s="143"/>
      <c r="B46" s="180" t="s">
        <v>183</v>
      </c>
      <c r="C46" s="388" t="str">
        <f>IF(B46=0,"",VLOOKUP($B46,Table2[],2,FALSE))</f>
        <v>Custom</v>
      </c>
      <c r="D46" s="388"/>
      <c r="E46" s="388"/>
      <c r="F46" s="174">
        <v>8</v>
      </c>
      <c r="G46" s="175">
        <v>0.3</v>
      </c>
      <c r="H46" s="176">
        <v>1</v>
      </c>
      <c r="I46" s="120" t="str">
        <f>IF($B46=0,"",VLOOKUP($B46,Table2[],5,FALSE))</f>
        <v>acre</v>
      </c>
      <c r="J46" s="109">
        <f>IF($B46=0,"",VLOOKUP($B46,Table2[],7,FALSE))</f>
        <v>11</v>
      </c>
      <c r="K46" s="109">
        <f t="shared" si="4"/>
        <v>3.3</v>
      </c>
      <c r="L46" s="257"/>
    </row>
    <row r="47" spans="1:12" x14ac:dyDescent="0.2">
      <c r="A47" s="143"/>
      <c r="B47" s="180" t="s">
        <v>219</v>
      </c>
      <c r="C47" s="388" t="str">
        <f>IF(B47=0,"",VLOOKUP($B47,Table2[],2,FALSE))</f>
        <v>Fungicide</v>
      </c>
      <c r="D47" s="388"/>
      <c r="E47" s="388"/>
      <c r="F47" s="174">
        <v>8</v>
      </c>
      <c r="G47" s="175">
        <v>0.3</v>
      </c>
      <c r="H47" s="176">
        <v>4</v>
      </c>
      <c r="I47" s="120" t="str">
        <f>IF($B47=0,"",VLOOKUP($B47,Table2[],5,FALSE))</f>
        <v>ounce</v>
      </c>
      <c r="J47" s="109">
        <f>IF($B47=0,"",VLOOKUP($B47,Table2[],7,FALSE))</f>
        <v>5</v>
      </c>
      <c r="K47" s="109">
        <f t="shared" si="4"/>
        <v>6</v>
      </c>
      <c r="L47" s="110"/>
    </row>
    <row r="48" spans="1:12" ht="12.75" customHeight="1" x14ac:dyDescent="0.2">
      <c r="A48" s="105"/>
      <c r="B48" s="213" t="s">
        <v>198</v>
      </c>
      <c r="C48" s="387" t="str">
        <f>IF(B48=0,"",VLOOKUP($B48,Table2[],2,FALSE))</f>
        <v>Custom</v>
      </c>
      <c r="D48" s="387"/>
      <c r="E48" s="387"/>
      <c r="F48" s="214">
        <v>10</v>
      </c>
      <c r="G48" s="221">
        <v>1</v>
      </c>
      <c r="H48" s="222">
        <f>$G$4</f>
        <v>67</v>
      </c>
      <c r="I48" s="223" t="str">
        <f>IF($B48=0,"",VLOOKUP($B48,Table2[],5,FALSE))</f>
        <v>bushel</v>
      </c>
      <c r="J48" s="215">
        <f>IF($B48=0,"",VLOOKUP($B48,Table2[],7,FALSE))</f>
        <v>0.15</v>
      </c>
      <c r="K48" s="215">
        <f t="shared" si="4"/>
        <v>10.050000000000001</v>
      </c>
      <c r="L48" s="216"/>
    </row>
    <row r="49" spans="1:12" ht="12.75" customHeight="1" x14ac:dyDescent="0.2">
      <c r="A49" s="105"/>
      <c r="B49" s="180" t="s">
        <v>314</v>
      </c>
      <c r="C49" s="388" t="str">
        <f>IF(B49=0,"",VLOOKUP($B49,Table2[],2,FALSE))</f>
        <v>Scouting</v>
      </c>
      <c r="D49" s="388"/>
      <c r="E49" s="388"/>
      <c r="F49" s="174"/>
      <c r="G49" s="175">
        <v>1</v>
      </c>
      <c r="H49" s="176">
        <v>1</v>
      </c>
      <c r="I49" s="120" t="str">
        <f>IF($B49=0,"",VLOOKUP($B49,Table2[],5,FALSE))</f>
        <v>acre</v>
      </c>
      <c r="J49" s="109">
        <f>IF($B49=0,"",VLOOKUP($B49,Table2[],7,FALSE))</f>
        <v>13</v>
      </c>
      <c r="K49" s="109">
        <f t="shared" si="4"/>
        <v>13</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170"/>
      <c r="D58" s="170"/>
      <c r="E58" s="170"/>
      <c r="F58" s="112"/>
      <c r="G58" s="177"/>
      <c r="H58" s="178"/>
      <c r="I58" s="120"/>
      <c r="J58" s="109"/>
      <c r="K58" s="109"/>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185" t="s">
        <v>430</v>
      </c>
      <c r="C62" s="388" t="s">
        <v>655</v>
      </c>
      <c r="D62" s="388"/>
      <c r="E62" s="388"/>
      <c r="F62" s="112"/>
      <c r="G62" s="177"/>
      <c r="H62" s="178"/>
      <c r="I62" s="170"/>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27">
        <f ca="1">SUM(K37:K62)</f>
        <v>174.01000000000002</v>
      </c>
      <c r="L64" s="110"/>
    </row>
    <row r="65" spans="2:12" x14ac:dyDescent="0.2">
      <c r="B65" s="358" t="s">
        <v>909</v>
      </c>
      <c r="C65" s="358"/>
      <c r="D65" s="358"/>
      <c r="E65" s="352" t="s">
        <v>912</v>
      </c>
      <c r="F65" s="358"/>
      <c r="G65" s="358"/>
      <c r="H65" s="358"/>
      <c r="I65" s="358"/>
      <c r="K65" s="154"/>
    </row>
    <row r="66" spans="2:12" x14ac:dyDescent="0.2">
      <c r="B66" s="358"/>
      <c r="E66" s="144"/>
      <c r="K66" s="154"/>
    </row>
    <row r="67" spans="2:12" x14ac:dyDescent="0.2">
      <c r="B67" s="107" t="s">
        <v>672</v>
      </c>
      <c r="K67" s="127">
        <f ca="1">K33+K64</f>
        <v>387.89</v>
      </c>
      <c r="L67" s="110"/>
    </row>
    <row r="68" spans="2:12" ht="13.5" thickBot="1" x14ac:dyDescent="0.25">
      <c r="D68" s="128" t="s">
        <v>673</v>
      </c>
      <c r="E68" s="129">
        <f ca="1">ROUND(SUM($E$33:$H$33)+$K$64,2)</f>
        <v>308.33</v>
      </c>
      <c r="F68" s="388" t="s">
        <v>674</v>
      </c>
      <c r="G68" s="388"/>
      <c r="H68" s="130">
        <f>'General Variables'!$B$11</f>
        <v>7.4999999999999997E-2</v>
      </c>
      <c r="I68" s="131" t="str">
        <f>CONCATENATE("for ",TEXT('General Variables'!$B$12,"0.0")," mo.")</f>
        <v>for 6.0 mo.</v>
      </c>
      <c r="K68" s="132">
        <f ca="1">E68*H68*'General Variables'!$B$12/12</f>
        <v>11.562374999999998</v>
      </c>
      <c r="L68" s="133"/>
    </row>
    <row r="69" spans="2:12" ht="13.5" thickTop="1" x14ac:dyDescent="0.2">
      <c r="B69" s="107" t="s">
        <v>675</v>
      </c>
      <c r="K69" s="127">
        <f ca="1">SUM(K67:K68)</f>
        <v>399.45237499999996</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40</v>
      </c>
      <c r="D72" s="399"/>
      <c r="E72" s="400"/>
      <c r="F72" s="136">
        <f>IF(C72=0,0,VLOOKUP(C72,RETable,2,FALSE))</f>
        <v>9115</v>
      </c>
      <c r="G72" s="388" t="s">
        <v>678</v>
      </c>
      <c r="H72" s="388"/>
      <c r="I72" s="130">
        <f>'General Variables'!$B$10</f>
        <v>0.03</v>
      </c>
      <c r="K72" s="137">
        <f>ROUND(F72*I72,2)</f>
        <v>273.45</v>
      </c>
      <c r="L72" s="110"/>
    </row>
    <row r="73" spans="2:12" ht="13.5" thickBot="1" x14ac:dyDescent="0.25">
      <c r="B73" s="103" t="s">
        <v>679</v>
      </c>
      <c r="F73" s="138">
        <f>IF(C72=0,0,VLOOKUP(C72,RETable,2,FALSE))</f>
        <v>9115</v>
      </c>
      <c r="G73" s="397" t="s">
        <v>678</v>
      </c>
      <c r="H73" s="397"/>
      <c r="I73" s="139">
        <f>'General Variables'!$B$13</f>
        <v>1.2999999999999999E-2</v>
      </c>
      <c r="J73" s="105"/>
      <c r="K73" s="140">
        <f>ROUND(F73*I73,2)</f>
        <v>118.5</v>
      </c>
      <c r="L73" s="133"/>
    </row>
    <row r="74" spans="2:12" ht="13.5" thickTop="1" x14ac:dyDescent="0.2">
      <c r="B74" s="107" t="s">
        <v>680</v>
      </c>
      <c r="K74" s="127">
        <f ca="1">SUM(K69:K73)</f>
        <v>826.40237499999989</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7.0655578358208952</v>
      </c>
      <c r="L76" s="148"/>
    </row>
    <row r="77" spans="2:12" x14ac:dyDescent="0.2">
      <c r="B77" s="107" t="str">
        <f>IF(G4="","","Cost of production per "&amp;H4)</f>
        <v>Cost of production per bushel</v>
      </c>
      <c r="K77" s="141">
        <f ca="1">IF(G4="","",K74/G4)</f>
        <v>12.334363805970147</v>
      </c>
      <c r="L77" s="110"/>
    </row>
    <row r="79" spans="2:12" x14ac:dyDescent="0.2">
      <c r="B79" s="103" t="s">
        <v>765</v>
      </c>
    </row>
    <row r="80" spans="2:12" x14ac:dyDescent="0.2">
      <c r="D80" s="103" t="s">
        <v>900</v>
      </c>
      <c r="G80" s="105"/>
      <c r="H80" s="105"/>
      <c r="I80" s="105"/>
      <c r="J80" s="105"/>
      <c r="K80" s="355" t="s">
        <v>901</v>
      </c>
      <c r="L80"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2:E72"/>
    <mergeCell ref="G72:H72"/>
    <mergeCell ref="G73:H73"/>
    <mergeCell ref="C49:E49"/>
    <mergeCell ref="C50:E50"/>
    <mergeCell ref="C51:E51"/>
    <mergeCell ref="C52:E52"/>
    <mergeCell ref="C53:E53"/>
    <mergeCell ref="C54:E54"/>
    <mergeCell ref="C55:E55"/>
    <mergeCell ref="C62:E62"/>
    <mergeCell ref="F68:G68"/>
    <mergeCell ref="C56:E56"/>
    <mergeCell ref="C57:E57"/>
    <mergeCell ref="C59:E59"/>
    <mergeCell ref="C61:E61"/>
    <mergeCell ref="C47:E47"/>
    <mergeCell ref="G10:H10"/>
    <mergeCell ref="K10:K11"/>
    <mergeCell ref="L10:L11"/>
    <mergeCell ref="F35:F36"/>
    <mergeCell ref="G35:G36"/>
    <mergeCell ref="H35:I35"/>
    <mergeCell ref="J35:J36"/>
    <mergeCell ref="L35:L36"/>
    <mergeCell ref="I10:J10"/>
    <mergeCell ref="C37:E37"/>
    <mergeCell ref="C38:E38"/>
    <mergeCell ref="C40:E40"/>
    <mergeCell ref="C41:E41"/>
    <mergeCell ref="C42:E42"/>
    <mergeCell ref="C39:E39"/>
    <mergeCell ref="C60:E60"/>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4200-000000000000}">
      <formula1>$B$112:$B$209</formula1>
    </dataValidation>
    <dataValidation type="list" allowBlank="1" showInputMessage="1" showErrorMessage="1" sqref="B63" xr:uid="{00000000-0002-0000-4200-000001000000}">
      <formula1>$C$112:$C$230</formula1>
    </dataValidation>
    <dataValidation type="list" allowBlank="1" showInputMessage="1" showErrorMessage="1" sqref="K4" xr:uid="{00000000-0002-0000-4200-000002000000}">
      <formula1>$K$112:$K$114</formula1>
    </dataValidation>
    <dataValidation type="list" allowBlank="1" showInputMessage="1" showErrorMessage="1" sqref="C72:E72" xr:uid="{00000000-0002-0000-4200-000003000000}">
      <formula1>RealEstateList</formula1>
    </dataValidation>
    <dataValidation type="list" allowBlank="1" showInputMessage="1" showErrorMessage="1" sqref="B12:B31" xr:uid="{00000000-0002-0000-4200-000004000000}">
      <formula1>OperationList</formula1>
    </dataValidation>
    <dataValidation type="list" allowBlank="1" showInputMessage="1" showErrorMessage="1" sqref="D12:D32" xr:uid="{00000000-0002-0000-4200-000005000000}">
      <formula1>#REF!</formula1>
    </dataValidation>
    <dataValidation type="list" allowBlank="1" showInputMessage="1" showErrorMessage="1" sqref="K2" xr:uid="{00000000-0002-0000-4200-000006000000}">
      <formula1>watersource</formula1>
    </dataValidation>
    <dataValidation type="list" allowBlank="1" showInputMessage="1" showErrorMessage="1" sqref="C3" xr:uid="{00000000-0002-0000-4200-000007000000}">
      <formula1>TillageSystem</formula1>
    </dataValidation>
    <dataValidation type="list" allowBlank="1" showInputMessage="1" showErrorMessage="1" sqref="B37:B61" xr:uid="{00000000-0002-0000-4200-000008000000}">
      <formula1>MaterialList</formula1>
    </dataValidation>
  </dataValidations>
  <pageMargins left="0.7" right="0.7" top="0.75" bottom="0.75" header="0.3" footer="0.3"/>
  <pageSetup scale="7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9">
    <pageSetUpPr fitToPage="1"/>
  </sheetPr>
  <dimension ref="A2:M257"/>
  <sheetViews>
    <sheetView zoomScaleNormal="100" workbookViewId="0">
      <selection activeCell="G46" sqref="G46"/>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762</v>
      </c>
      <c r="H2" s="392"/>
      <c r="J2" s="128" t="s">
        <v>649</v>
      </c>
      <c r="K2" s="401" t="s">
        <v>71</v>
      </c>
      <c r="L2" s="401"/>
    </row>
    <row r="3" spans="1:13" hidden="1" x14ac:dyDescent="0.2">
      <c r="B3" s="103" t="s">
        <v>38</v>
      </c>
      <c r="C3" s="391" t="s">
        <v>50</v>
      </c>
      <c r="D3" s="391"/>
      <c r="E3" s="391"/>
      <c r="G3" s="128" t="s">
        <v>650</v>
      </c>
      <c r="H3" s="187" t="s">
        <v>772</v>
      </c>
      <c r="J3" s="128" t="s">
        <v>651</v>
      </c>
      <c r="K3" s="187">
        <v>12</v>
      </c>
    </row>
    <row r="4" spans="1:13" hidden="1" x14ac:dyDescent="0.2">
      <c r="B4" s="103" t="s">
        <v>652</v>
      </c>
      <c r="C4" s="392" t="s">
        <v>764</v>
      </c>
      <c r="D4" s="392"/>
      <c r="E4" s="392"/>
      <c r="G4" s="103">
        <f>IFERROR(VALUE(LEFT($H$3,FIND(" ",$H$3))),"")</f>
        <v>70</v>
      </c>
      <c r="H4" s="103" t="str">
        <f>IFERROR(RIGHT(H3,LEN(H3)-LEN(G4)-1),"")</f>
        <v>bushel</v>
      </c>
      <c r="J4" s="128" t="s">
        <v>653</v>
      </c>
      <c r="K4" s="188" t="s">
        <v>654</v>
      </c>
    </row>
    <row r="5" spans="1:13" ht="15.75" hidden="1" customHeight="1" x14ac:dyDescent="0.2">
      <c r="B5" s="103" t="s">
        <v>655</v>
      </c>
      <c r="C5" s="103" t="str">
        <f ca="1">MID(CELL("filename",C5),FIND("]",CELL("filename",C5))+1,255)</f>
        <v>63-Soybeans</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63-Soybeans, Roundup Ready 2 Yield®, Ridge Till, after Corn, 70 bushel Yield, Gravity Irrigated Diesel, fed by a well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63-Soybeans, Roundup Ready 2 Yield®, Ridge Till, after Corn, 70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Diesel, fed by a well, 12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0.75</v>
      </c>
      <c r="D12" s="174"/>
      <c r="E12" s="109">
        <f>IF(B12=0,"",IF(C12&gt;9999,"",ROUND('General Variables'!$B$4*VLOOKUP(B12,Operations!$A$2:$U$79,10,FALSE)/VLOOKUP(B12,Operations!$A$2:$U$79,9,FALSE)*C12,2)))</f>
        <v>0.77</v>
      </c>
      <c r="F12" s="109">
        <f>IF(B12=0,0,IF(C12&gt;9999,"",ROUND(IF(VLOOKUP(B12,Operations!$A$2:$U$79,12,FALSE)=0,VLOOKUP(B12,Operations!$A$2:$U$79,13,FALSE)*'General Variables'!$B$8,VLOOKUP(B12,Operations!$A$2:$U$79,12,FALSE)*'General Variables'!$B$7)/VLOOKUP(B12,Operations!$A$2:$U$79,9,FALSE)*C12,2)))</f>
        <v>0.19</v>
      </c>
      <c r="G12" s="109">
        <f>IF(B12=0,0,IF(C12&gt;9999,"",ROUND(VLOOKUP(VLOOKUP(B12,Operations!$A$2:$U$79,11,FALSE),PowerUnits[],10,FALSE)/VLOOKUP(B12,Operations!$A$2:$U$79,9,FALSE)*C12,2)))</f>
        <v>0.02</v>
      </c>
      <c r="H12" s="109">
        <f>IF(B12=0,"",IF(C12&gt;9999,"",ROUND(VLOOKUP($B12,Operations!$A$2:$U$79,15,FALSE)*C12,2)))</f>
        <v>0.83</v>
      </c>
      <c r="I12" s="109">
        <f>IF(B12=0,0,IF(C12&gt;9999,"",ROUND(VLOOKUP(VLOOKUP(B12,Operations!$A$2:$U$79,11,FALSE),PowerUnits[],16,FALSE)/VLOOKUP(B12,Operations!$A$2:$U$79,9,FALSE)*C12,2)))</f>
        <v>0.98</v>
      </c>
      <c r="J12" s="109">
        <f>IF(B12=0,"",IF(C12&gt;9999,"",ROUND(VLOOKUP($B12,Operations!$A$2:$U$79,21,FALSE)*$C12,2)))</f>
        <v>1.51</v>
      </c>
      <c r="K12" s="109">
        <f>IF(C12&gt;9999,"",ROUND(SUM(E12:J12),2))</f>
        <v>4.3</v>
      </c>
      <c r="L12" s="110"/>
    </row>
    <row r="13" spans="1:13" x14ac:dyDescent="0.2">
      <c r="A13" s="170">
        <v>2</v>
      </c>
      <c r="B13" s="180" t="s">
        <v>536</v>
      </c>
      <c r="C13" s="174">
        <v>1</v>
      </c>
      <c r="D13" s="174"/>
      <c r="E13" s="109">
        <f>IF(B13=0,"",IF(C13&gt;9999,"",ROUND('General Variables'!$B$4*VLOOKUP(B13,Operations!$A$2:$U$79,10,FALSE)/VLOOKUP(B13,Operations!$A$2:$U$79,9,FALSE)*C13,2)))</f>
        <v>3.24</v>
      </c>
      <c r="F13" s="109">
        <f>IF(B13=0,0,IF(C13&gt;9999,"",ROUND(IF(VLOOKUP(B13,Operations!$A$2:$U$79,12,FALSE)=0,VLOOKUP(B13,Operations!$A$2:$U$79,13,FALSE)*'General Variables'!$B$8,VLOOKUP(B13,Operations!$A$2:$U$79,12,FALSE)*'General Variables'!$B$7)/VLOOKUP(B13,Operations!$A$2:$U$79,9,FALSE)*C13,2)))</f>
        <v>1.0900000000000001</v>
      </c>
      <c r="G13" s="109">
        <f>IF(B13=0,0,IF(C13&gt;9999,"",ROUND(VLOOKUP(VLOOKUP(B13,Operations!$A$2:$U$79,11,FALSE),PowerUnits[],10,FALSE)/VLOOKUP(B13,Operations!$A$2:$U$79,9,FALSE)*C13,2)))</f>
        <v>0.34</v>
      </c>
      <c r="H13" s="109">
        <f>IF(B13=0,"",IF(C13&gt;9999,"",ROUND(VLOOKUP($B13,Operations!$A$2:$U$79,15,FALSE)*C13,2)))</f>
        <v>5.7</v>
      </c>
      <c r="I13" s="109">
        <f>IF(B13=0,0,IF(C13&gt;9999,"",ROUND(VLOOKUP(VLOOKUP(B13,Operations!$A$2:$U$79,11,FALSE),PowerUnits[],16,FALSE)/VLOOKUP(B13,Operations!$A$2:$U$79,9,FALSE)*C13,2)))</f>
        <v>9.23</v>
      </c>
      <c r="J13" s="109">
        <f>IF(B13=0,"",IF(C13&gt;9999,"",ROUND(VLOOKUP($B13,Operations!$A$2:$U$79,21,FALSE)*$C13,2)))</f>
        <v>5.64</v>
      </c>
      <c r="K13" s="109">
        <f t="shared" ref="K13:K31" si="0">IF(C13&gt;9999,"",ROUND(SUM(E13:J13),2))</f>
        <v>25.24</v>
      </c>
      <c r="L13" s="110"/>
    </row>
    <row r="14" spans="1:13" x14ac:dyDescent="0.2">
      <c r="A14" s="170">
        <v>3</v>
      </c>
      <c r="B14" s="180" t="s">
        <v>535</v>
      </c>
      <c r="C14" s="174">
        <v>1</v>
      </c>
      <c r="D14" s="174"/>
      <c r="E14" s="109">
        <f>IF(B14=0,"",IF(C14&gt;9999,"",ROUND('General Variables'!$B$4*VLOOKUP(B14,Operations!$A$2:$U$79,10,FALSE)/VLOOKUP(B14,Operations!$A$2:$U$79,9,FALSE)*C14,2)))</f>
        <v>2.7</v>
      </c>
      <c r="F14" s="109">
        <f>IF(B14=0,0,IF(C14&gt;9999,"",ROUND(IF(VLOOKUP(B14,Operations!$A$2:$U$79,12,FALSE)=0,VLOOKUP(B14,Operations!$A$2:$U$79,13,FALSE)*'General Variables'!$B$8,VLOOKUP(B14,Operations!$A$2:$U$79,12,FALSE)*'General Variables'!$B$7)/VLOOKUP(B14,Operations!$A$2:$U$79,9,FALSE)*C14,2)))</f>
        <v>1.7</v>
      </c>
      <c r="G14" s="109">
        <f>IF(B14=0,0,IF(C14&gt;9999,"",ROUND(VLOOKUP(VLOOKUP(B14,Operations!$A$2:$U$79,11,FALSE),PowerUnits[],10,FALSE)/VLOOKUP(B14,Operations!$A$2:$U$79,9,FALSE)*C14,2)))</f>
        <v>0.34</v>
      </c>
      <c r="H14" s="109">
        <f>IF(B14=0,"",IF(C14&gt;9999,"",ROUND(VLOOKUP($B14,Operations!$A$2:$U$79,15,FALSE)*C14,2)))</f>
        <v>1.87</v>
      </c>
      <c r="I14" s="109">
        <f>IF(B14=0,0,IF(C14&gt;9999,"",ROUND(VLOOKUP(VLOOKUP(B14,Operations!$A$2:$U$79,11,FALSE),PowerUnits[],16,FALSE)/VLOOKUP(B14,Operations!$A$2:$U$79,9,FALSE)*C14,2)))</f>
        <v>9.23</v>
      </c>
      <c r="J14" s="109">
        <f>IF(B14=0,"",IF(C14&gt;9999,"",ROUND(VLOOKUP($B14,Operations!$A$2:$U$79,21,FALSE)*$C14,2)))</f>
        <v>5.18</v>
      </c>
      <c r="K14" s="109">
        <f t="shared" si="0"/>
        <v>21.02</v>
      </c>
      <c r="L14" s="110"/>
    </row>
    <row r="15" spans="1:13" x14ac:dyDescent="0.2">
      <c r="A15" s="170">
        <v>4</v>
      </c>
      <c r="B15" s="213" t="s">
        <v>533</v>
      </c>
      <c r="C15" s="214">
        <v>1</v>
      </c>
      <c r="D15" s="214"/>
      <c r="E15" s="215">
        <f>IF(B15=0,"",IF(C15&gt;9999,"",ROUND('General Variables'!$B$4*VLOOKUP(B15,Operations!$A$2:$U$79,10,FALSE)/VLOOKUP(B15,Operations!$A$2:$U$79,9,FALSE)*C15,2)))</f>
        <v>2.97</v>
      </c>
      <c r="F15" s="215">
        <f>IF(B15=0,0,IF(C15&gt;9999,"",ROUND(IF(VLOOKUP(B15,Operations!$A$2:$U$79,12,FALSE)=0,VLOOKUP(B15,Operations!$A$2:$U$79,13,FALSE)*'General Variables'!$B$8,VLOOKUP(B15,Operations!$A$2:$U$79,12,FALSE)*'General Variables'!$B$7)/VLOOKUP(B15,Operations!$A$2:$U$79,9,FALSE)*C15,2)))</f>
        <v>1.7</v>
      </c>
      <c r="G15" s="215">
        <f>IF(B15=0,0,IF(C15&gt;9999,"",ROUND(VLOOKUP(VLOOKUP(B15,Operations!$A$2:$U$79,11,FALSE),PowerUnits[],10,FALSE)/VLOOKUP(B15,Operations!$A$2:$U$79,9,FALSE)*C15,2)))</f>
        <v>0.34</v>
      </c>
      <c r="H15" s="215">
        <f>IF(B15=0,"",IF(C15&gt;9999,"",ROUND(VLOOKUP($B15,Operations!$A$2:$U$79,15,FALSE)*C15,2)))</f>
        <v>1.87</v>
      </c>
      <c r="I15" s="215">
        <f>IF(B15=0,0,IF(C15&gt;9999,"",ROUND(VLOOKUP(VLOOKUP(B15,Operations!$A$2:$U$79,11,FALSE),PowerUnits[],16,FALSE)/VLOOKUP(B15,Operations!$A$2:$U$79,9,FALSE)*C15,2)))</f>
        <v>9.23</v>
      </c>
      <c r="J15" s="215">
        <f>IF(B15=0,"",IF(C15&gt;9999,"",ROUND(VLOOKUP($B15,Operations!$A$2:$U$79,21,FALSE)*$C15,2)))</f>
        <v>5.18</v>
      </c>
      <c r="K15" s="215">
        <f t="shared" si="0"/>
        <v>21.29</v>
      </c>
      <c r="L15" s="216"/>
    </row>
    <row r="16" spans="1:13" x14ac:dyDescent="0.2">
      <c r="A16" s="170">
        <v>5</v>
      </c>
      <c r="B16" s="180" t="s">
        <v>521</v>
      </c>
      <c r="C16" s="174">
        <f>$K$3</f>
        <v>12</v>
      </c>
      <c r="D16" s="174" t="s">
        <v>693</v>
      </c>
      <c r="E16" s="109">
        <f>IF(B16=0,"",IF(C16&gt;9999,"",ROUND('General Variables'!$B$4*VLOOKUP(B16,Operations!$A$2:$U$79,10,FALSE)/VLOOKUP(B16,Operations!$A$2:$U$79,9,FALSE)*C16,2)))</f>
        <v>30</v>
      </c>
      <c r="F16" s="109">
        <f>IF(B16=0,0,IF(C16&gt;9999,"",ROUND(IF(VLOOKUP(B16,Operations!$A$2:$U$79,12,FALSE)=0,VLOOKUP(B16,Operations!$A$2:$U$79,13,FALSE)*'General Variables'!$B$8,VLOOKUP(B16,Operations!$A$2:$U$79,12,FALSE)*'General Variables'!$B$7)/VLOOKUP(B16,Operations!$A$2:$U$79,9,FALSE)*C16,2)))</f>
        <v>51.66</v>
      </c>
      <c r="G16" s="109">
        <f>IF(B16=0,0,IF(C16&gt;9999,"",ROUND(VLOOKUP(VLOOKUP(B16,Operations!$A$2:$U$79,11,FALSE),PowerUnits[],10,FALSE)/VLOOKUP(B16,Operations!$A$2:$U$79,9,FALSE)*C16,2)))</f>
        <v>4.5999999999999996</v>
      </c>
      <c r="H16" s="109">
        <f>IF(B16=0,"",IF(C16&gt;9999,"",ROUND(VLOOKUP($B16,Operations!$A$2:$U$79,15,FALSE)*C16,2)))</f>
        <v>1.76</v>
      </c>
      <c r="I16" s="109">
        <f>IF(B16=0,0,IF(C16&gt;9999,"",ROUND(VLOOKUP(VLOOKUP(B16,Operations!$A$2:$U$79,11,FALSE),PowerUnits[],16,FALSE)/VLOOKUP(B16,Operations!$A$2:$U$79,9,FALSE)*C16,2)))</f>
        <v>10.31</v>
      </c>
      <c r="J16" s="109">
        <f>IF(B16=0,"",IF(C16&gt;9999,"",ROUND(VLOOKUP($B16,Operations!$A$2:$U$79,21,FALSE)*$C16,2)))</f>
        <v>2.86</v>
      </c>
      <c r="K16" s="109">
        <f>IF(C16&gt;9999,"",ROUND(SUM(E16:J16),2))</f>
        <v>101.19</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183</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213" t="s">
        <v>183</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t="s">
        <v>913</v>
      </c>
      <c r="B20" s="180" t="s">
        <v>940</v>
      </c>
      <c r="C20" s="255">
        <v>150</v>
      </c>
      <c r="D20" s="174"/>
      <c r="E20" s="109">
        <f>IF(B20=0,"",IF(C20&gt;9999,"",ROUND('General Variables'!$B$4*VLOOKUP(B20,Operations!$A$2:$U$79,10,FALSE)/VLOOKUP(B20,Operations!$A$2:$U$79,9,FALSE)*C20,2))/100)</f>
        <v>3.4268999999999998</v>
      </c>
      <c r="F20" s="109">
        <f>IF(B20=0,0,IF(C20&gt;9999,"",ROUND(IF(VLOOKUP(B20,Operations!$A$2:$U$79,12,FALSE)=0,VLOOKUP(B20,Operations!$A$2:$U$79,13,FALSE)*'General Variables'!$B$8,VLOOKUP(B20,Operations!$A$2:$U$79,12,FALSE)*'General Variables'!$B$7)/VLOOKUP(B20,Operations!$A$2:$U$79,9,FALSE)*C20,2))/100)</f>
        <v>3.8733</v>
      </c>
      <c r="G20" s="109">
        <f>IF(B20=0,0,IF(C20&gt;9999,"",ROUND(VLOOKUP(VLOOKUP(B20,Operations!$A$2:$U$79,11,FALSE),PowerUnits[],10,FALSE)/VLOOKUP(B20,Operations!$A$2:$U$79,9,FALSE)*C20,2))/100)</f>
        <v>5.9548000000000005</v>
      </c>
      <c r="H20" s="109">
        <f>IF(B20=0,"",IF(C20&gt;9999,"",ROUND(VLOOKUP($B20,Operations!$A$2:$U$79,15,FALSE)*C20,2))/100)</f>
        <v>1.236</v>
      </c>
      <c r="I20" s="109">
        <f>IF(B20=0,0,IF(C20&gt;9999,"",ROUND(VLOOKUP(VLOOKUP(B20,Operations!$A$2:$U$79,11,FALSE),PowerUnits[],16,FALSE)/VLOOKUP(B20,Operations!$A$2:$U$79,9,FALSE)*C20,2))/100)</f>
        <v>14.3407</v>
      </c>
      <c r="J20" s="109">
        <f>IF(B20=0,"",IF(C20&gt;9999,"",ROUND(VLOOKUP($B20,Operations!$A$2:$U$79,21,FALSE)*$C20,2))/100)</f>
        <v>5.7178999999999993</v>
      </c>
      <c r="K20" s="109">
        <f>IF(C20&gt;9999,"",ROUND(SUM(E20:J20),2))</f>
        <v>34.549999999999997</v>
      </c>
      <c r="L20" s="110"/>
    </row>
    <row r="21" spans="1:12" x14ac:dyDescent="0.2">
      <c r="A21" s="170">
        <v>10</v>
      </c>
      <c r="B21" s="180" t="s">
        <v>565</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44.126900000000006</v>
      </c>
      <c r="F33" s="109">
        <f t="shared" ref="F33:K33" si="1">SUM(F12:F31)</f>
        <v>60.473299999999995</v>
      </c>
      <c r="G33" s="109">
        <f t="shared" si="1"/>
        <v>11.6248</v>
      </c>
      <c r="H33" s="109">
        <f t="shared" si="1"/>
        <v>14.375999999999999</v>
      </c>
      <c r="I33" s="109">
        <f t="shared" si="1"/>
        <v>54.630700000000004</v>
      </c>
      <c r="J33" s="109">
        <f t="shared" si="1"/>
        <v>28.107899999999997</v>
      </c>
      <c r="K33" s="109">
        <f t="shared" si="1"/>
        <v>213.33999999999997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0.75</v>
      </c>
      <c r="H37" s="176">
        <v>32</v>
      </c>
      <c r="I37" s="120" t="str">
        <f>IF($B37=0,"",VLOOKUP($B37,Table2[],5,FALSE))</f>
        <v>ounce</v>
      </c>
      <c r="J37" s="109">
        <f>IF($B37=0,"",VLOOKUP($B37,Table2[],7,FALSE))</f>
        <v>0.1328125</v>
      </c>
      <c r="K37" s="109">
        <f>IF(B37=0,0,ROUND(G37*H37*J37,2))</f>
        <v>3.19</v>
      </c>
      <c r="L37" s="110"/>
    </row>
    <row r="38" spans="1:12" x14ac:dyDescent="0.2">
      <c r="A38" s="143" t="s">
        <v>750</v>
      </c>
      <c r="B38" s="180" t="s">
        <v>229</v>
      </c>
      <c r="C38" s="388" t="str">
        <f>IF(B38=0,"",VLOOKUP($B38,Table2[],2,FALSE))</f>
        <v>Herbicide</v>
      </c>
      <c r="D38" s="388"/>
      <c r="E38" s="388"/>
      <c r="F38" s="174">
        <v>1</v>
      </c>
      <c r="G38" s="175">
        <v>0.75</v>
      </c>
      <c r="H38" s="176">
        <v>1</v>
      </c>
      <c r="I38" s="120" t="str">
        <f>IF($B38=0,"",VLOOKUP($B38,Table2[],5,FALSE))</f>
        <v>pint</v>
      </c>
      <c r="J38" s="109">
        <f>IF($B38=0,"",VLOOKUP($B38,Table2[],7,FALSE))</f>
        <v>2.5</v>
      </c>
      <c r="K38" s="109">
        <f t="shared" ref="K38:K56" si="2">IF(B38=0,0,ROUND(G38*H38*J38,2))</f>
        <v>1.88</v>
      </c>
      <c r="L38" s="110"/>
    </row>
    <row r="39" spans="1:12" x14ac:dyDescent="0.2">
      <c r="A39" s="105"/>
      <c r="B39" s="180" t="s">
        <v>170</v>
      </c>
      <c r="C39" s="388" t="str">
        <f>IF(B39=0,"",VLOOKUP($B39,Table2[],2,FALSE))</f>
        <v>Additive</v>
      </c>
      <c r="D39" s="388"/>
      <c r="E39" s="388"/>
      <c r="F39" s="174">
        <v>1</v>
      </c>
      <c r="G39" s="175">
        <v>0.75</v>
      </c>
      <c r="H39" s="176">
        <v>1.7</v>
      </c>
      <c r="I39" s="120" t="str">
        <f>IF($B39=0,"",VLOOKUP($B39,Table2[],5,FALSE))</f>
        <v>pound</v>
      </c>
      <c r="J39" s="109">
        <f>IF($B39=0,"",VLOOKUP($B39,Table2[],7,FALSE))</f>
        <v>0.4</v>
      </c>
      <c r="K39" s="109">
        <f t="shared" si="2"/>
        <v>0.51</v>
      </c>
      <c r="L39" s="110"/>
    </row>
    <row r="40" spans="1:12" x14ac:dyDescent="0.2">
      <c r="A40" s="105"/>
      <c r="B40" s="213" t="s">
        <v>282</v>
      </c>
      <c r="C40" s="387" t="str">
        <f>IF(B40=0,"",VLOOKUP($B40,Table2[],2,FALSE))</f>
        <v>Herbicide</v>
      </c>
      <c r="D40" s="387"/>
      <c r="E40" s="387"/>
      <c r="F40" s="214">
        <v>2</v>
      </c>
      <c r="G40" s="221">
        <v>0.33</v>
      </c>
      <c r="H40" s="222">
        <v>5.25</v>
      </c>
      <c r="I40" s="223" t="str">
        <f>IF($B40=0,"",VLOOKUP($B40,Table2[],5,FALSE))</f>
        <v>ounce</v>
      </c>
      <c r="J40" s="215">
        <f>IF($B40=0,"",VLOOKUP($B40,Table2[],7,FALSE))</f>
        <v>5</v>
      </c>
      <c r="K40" s="215">
        <f t="shared" si="2"/>
        <v>8.66</v>
      </c>
      <c r="L40" s="216"/>
    </row>
    <row r="41" spans="1:12" x14ac:dyDescent="0.2">
      <c r="A41" s="105"/>
      <c r="B41" s="180" t="s">
        <v>337</v>
      </c>
      <c r="C41" s="388" t="str">
        <f>IF(B41=0,"",VLOOKUP($B41,Table2[],2,FALSE))</f>
        <v>Seed</v>
      </c>
      <c r="D41" s="388"/>
      <c r="E41" s="388"/>
      <c r="F41" s="174">
        <v>2</v>
      </c>
      <c r="G41" s="175">
        <v>1</v>
      </c>
      <c r="H41" s="176">
        <v>1</v>
      </c>
      <c r="I41" s="120" t="str">
        <f>IF($B41=0,"",VLOOKUP($B41,Table2[],5,FALSE))</f>
        <v>bag</v>
      </c>
      <c r="J41" s="109">
        <f>IF($B41=0,"",VLOOKUP($B41,Table2[],7,FALSE))</f>
        <v>70</v>
      </c>
      <c r="K41" s="109">
        <f t="shared" si="2"/>
        <v>70</v>
      </c>
      <c r="L41" s="110"/>
    </row>
    <row r="42" spans="1:12" x14ac:dyDescent="0.2">
      <c r="A42" s="105"/>
      <c r="B42" s="180" t="s">
        <v>342</v>
      </c>
      <c r="C42" s="388" t="str">
        <f>IF(B42=0,"",VLOOKUP($B42,Table2[],2,FALSE))</f>
        <v>Inoculant</v>
      </c>
      <c r="D42" s="388"/>
      <c r="E42" s="388"/>
      <c r="F42" s="174">
        <v>2</v>
      </c>
      <c r="G42" s="175">
        <v>1</v>
      </c>
      <c r="H42" s="176">
        <v>1</v>
      </c>
      <c r="I42" s="120" t="str">
        <f>IF($B42=0,"",VLOOKUP($B42,Table2[],5,FALSE))</f>
        <v>acre</v>
      </c>
      <c r="J42" s="109">
        <f>IF($B42=0,"",VLOOKUP($B42,Table2[],7,FALSE))</f>
        <v>7</v>
      </c>
      <c r="K42" s="109">
        <f t="shared" ref="K42" si="3">IF(B42=0,0,ROUND(G42*H42*J42,2))</f>
        <v>7</v>
      </c>
      <c r="L42" s="110"/>
    </row>
    <row r="43" spans="1:12" x14ac:dyDescent="0.2">
      <c r="A43" s="105"/>
      <c r="B43" s="180" t="s">
        <v>259</v>
      </c>
      <c r="C43" s="388" t="str">
        <f>IF(B43=0,"",VLOOKUP($B43,Table2[],2,FALSE))</f>
        <v>Herbicide</v>
      </c>
      <c r="D43" s="388"/>
      <c r="E43" s="388"/>
      <c r="F43" s="174">
        <v>6</v>
      </c>
      <c r="G43" s="175">
        <v>1</v>
      </c>
      <c r="H43" s="176">
        <v>32</v>
      </c>
      <c r="I43" s="120" t="str">
        <f>IF($B43=0,"",VLOOKUP($B43,Table2[],5,FALSE))</f>
        <v>ounce</v>
      </c>
      <c r="J43" s="109">
        <f>IF($B43=0,"",VLOOKUP($B43,Table2[],7,FALSE))</f>
        <v>0.1328125</v>
      </c>
      <c r="K43" s="109">
        <f t="shared" si="2"/>
        <v>4.25</v>
      </c>
      <c r="L43" s="110"/>
    </row>
    <row r="44" spans="1:12" x14ac:dyDescent="0.2">
      <c r="A44" s="143"/>
      <c r="B44" s="213" t="s">
        <v>170</v>
      </c>
      <c r="C44" s="387" t="str">
        <f>IF(B44=0,"",VLOOKUP($B44,Table2[],2,FALSE))</f>
        <v>Additive</v>
      </c>
      <c r="D44" s="387"/>
      <c r="E44" s="387"/>
      <c r="F44" s="214">
        <v>6</v>
      </c>
      <c r="G44" s="221">
        <v>1</v>
      </c>
      <c r="H44" s="222">
        <v>1.7</v>
      </c>
      <c r="I44" s="223" t="str">
        <f>IF($B44=0,"",VLOOKUP($B44,Table2[],5,FALSE))</f>
        <v>pound</v>
      </c>
      <c r="J44" s="215">
        <f>IF($B44=0,"",VLOOKUP($B44,Table2[],7,FALSE))</f>
        <v>0.4</v>
      </c>
      <c r="K44" s="215">
        <f t="shared" si="2"/>
        <v>0.68</v>
      </c>
      <c r="L44" s="216"/>
    </row>
    <row r="45" spans="1:12" x14ac:dyDescent="0.2">
      <c r="B45" s="180" t="s">
        <v>273</v>
      </c>
      <c r="C45" s="388" t="str">
        <f>IF(B45=0,"",VLOOKUP($B45,Table2[],2,FALSE))</f>
        <v>Herbicide</v>
      </c>
      <c r="D45" s="388"/>
      <c r="E45" s="388"/>
      <c r="F45" s="174">
        <v>6</v>
      </c>
      <c r="G45" s="175">
        <v>1</v>
      </c>
      <c r="H45" s="176">
        <v>6</v>
      </c>
      <c r="I45" s="120" t="str">
        <f>IF($B45=0,"",VLOOKUP($B45,Table2[],5,FALSE))</f>
        <v>ounce</v>
      </c>
      <c r="J45" s="109">
        <f>IF($B45=0,"",VLOOKUP($B45,Table2[],7,FALSE))</f>
        <v>1.015625</v>
      </c>
      <c r="K45" s="109">
        <f t="shared" si="2"/>
        <v>6.09</v>
      </c>
      <c r="L45" s="257"/>
    </row>
    <row r="46" spans="1:12" x14ac:dyDescent="0.2">
      <c r="B46" s="180" t="s">
        <v>258</v>
      </c>
      <c r="C46" s="388" t="str">
        <f>IF(B46=0,"",VLOOKUP($B46,Table2[],2,FALSE))</f>
        <v>Herbicide</v>
      </c>
      <c r="D46" s="388"/>
      <c r="E46" s="388"/>
      <c r="F46" s="174">
        <v>6</v>
      </c>
      <c r="G46" s="175">
        <v>1</v>
      </c>
      <c r="H46" s="176">
        <v>3</v>
      </c>
      <c r="I46" s="120" t="s">
        <v>272</v>
      </c>
      <c r="J46" s="109">
        <f>IF($B46=0,"",VLOOKUP($B46,Table2[],7,FALSE))</f>
        <v>6.875</v>
      </c>
      <c r="K46" s="109">
        <f t="shared" si="2"/>
        <v>20.63</v>
      </c>
      <c r="L46" s="110"/>
    </row>
    <row r="47" spans="1:12" x14ac:dyDescent="0.2">
      <c r="A47" s="143"/>
      <c r="B47" s="180" t="s">
        <v>177</v>
      </c>
      <c r="C47" s="388" t="str">
        <f>IF(B47=0,"",VLOOKUP($B47,Table2[],2,FALSE))</f>
        <v>Additive</v>
      </c>
      <c r="D47" s="388"/>
      <c r="E47" s="388"/>
      <c r="F47" s="174">
        <v>6</v>
      </c>
      <c r="G47" s="175">
        <v>1</v>
      </c>
      <c r="H47" s="176">
        <v>2</v>
      </c>
      <c r="I47" s="120" t="str">
        <f>IF($B47=0,"",VLOOKUP($B47,Table2[],5,FALSE))</f>
        <v>pint</v>
      </c>
      <c r="J47" s="109">
        <f>IF($B47=0,"",VLOOKUP($B47,Table2[],7,FALSE))</f>
        <v>1.875</v>
      </c>
      <c r="K47" s="109">
        <f t="shared" ref="K47:K53" si="4">IF(B47=0,0,ROUND(G47*H47*J47,2))</f>
        <v>3.75</v>
      </c>
      <c r="L47" s="110"/>
    </row>
    <row r="48" spans="1:12" x14ac:dyDescent="0.2">
      <c r="A48" s="143"/>
      <c r="B48" s="213" t="s">
        <v>183</v>
      </c>
      <c r="C48" s="387" t="str">
        <f>IF(B48=0,"",VLOOKUP($B48,Table2[],2,FALSE))</f>
        <v>Custom</v>
      </c>
      <c r="D48" s="387"/>
      <c r="E48" s="387"/>
      <c r="F48" s="214">
        <v>7</v>
      </c>
      <c r="G48" s="221">
        <v>0.2</v>
      </c>
      <c r="H48" s="222">
        <v>1</v>
      </c>
      <c r="I48" s="223" t="str">
        <f>IF($B48=0,"",VLOOKUP($B48,Table2[],5,FALSE))</f>
        <v>acre</v>
      </c>
      <c r="J48" s="215">
        <f>IF($B48=0,"",VLOOKUP($B48,Table2[],7,FALSE))</f>
        <v>11</v>
      </c>
      <c r="K48" s="215">
        <f t="shared" si="4"/>
        <v>2.2000000000000002</v>
      </c>
      <c r="L48" s="216"/>
    </row>
    <row r="49" spans="1:12" x14ac:dyDescent="0.2">
      <c r="A49" s="143" t="s">
        <v>906</v>
      </c>
      <c r="B49" s="180" t="s">
        <v>290</v>
      </c>
      <c r="C49" s="388" t="str">
        <f>IF(B49=0,"",VLOOKUP($B49,Table2[],2,FALSE))</f>
        <v>Insecticide</v>
      </c>
      <c r="D49" s="388"/>
      <c r="E49" s="388"/>
      <c r="F49" s="174">
        <v>7</v>
      </c>
      <c r="G49" s="175">
        <v>0.2</v>
      </c>
      <c r="H49" s="176">
        <v>1.6</v>
      </c>
      <c r="I49" s="120" t="str">
        <f>IF($B49=0,"",VLOOKUP($B49,Table2[],5,FALSE))</f>
        <v>ounce</v>
      </c>
      <c r="J49" s="109">
        <f>IF($B49=0,"",VLOOKUP($B49,Table2[],7,FALSE))</f>
        <v>3.203125</v>
      </c>
      <c r="K49" s="109">
        <f t="shared" si="4"/>
        <v>1.03</v>
      </c>
      <c r="L49" s="257"/>
    </row>
    <row r="50" spans="1:12" x14ac:dyDescent="0.2">
      <c r="A50" s="105"/>
      <c r="B50" s="180" t="s">
        <v>183</v>
      </c>
      <c r="C50" s="388" t="str">
        <f>IF(B50=0,"",VLOOKUP($B50,Table2[],2,FALSE))</f>
        <v>Custom</v>
      </c>
      <c r="D50" s="388"/>
      <c r="E50" s="388"/>
      <c r="F50" s="174">
        <v>8</v>
      </c>
      <c r="G50" s="175">
        <v>0.3</v>
      </c>
      <c r="H50" s="176">
        <v>1</v>
      </c>
      <c r="I50" s="120" t="str">
        <f>IF($B50=0,"",VLOOKUP($B50,Table2[],5,FALSE))</f>
        <v>acre</v>
      </c>
      <c r="J50" s="109">
        <f>IF($B50=0,"",VLOOKUP($B50,Table2[],7,FALSE))</f>
        <v>11</v>
      </c>
      <c r="K50" s="109">
        <f t="shared" si="4"/>
        <v>3.3</v>
      </c>
      <c r="L50" s="257"/>
    </row>
    <row r="51" spans="1:12" x14ac:dyDescent="0.2">
      <c r="B51" s="180" t="s">
        <v>225</v>
      </c>
      <c r="C51" s="388" t="str">
        <f>IF(B51=0,"",VLOOKUP($B51,Table2[],2,FALSE))</f>
        <v>Fungicide</v>
      </c>
      <c r="D51" s="388"/>
      <c r="E51" s="388"/>
      <c r="F51" s="174">
        <v>8</v>
      </c>
      <c r="G51" s="175">
        <v>0.3</v>
      </c>
      <c r="H51" s="176">
        <v>4</v>
      </c>
      <c r="I51" s="120" t="str">
        <f>IF($B51=0,"",VLOOKUP($B51,Table2[],5,FALSE))</f>
        <v>ounce</v>
      </c>
      <c r="J51" s="109">
        <f>IF($B51=0,"",VLOOKUP($B51,Table2[],7,FALSE))</f>
        <v>5.46875</v>
      </c>
      <c r="K51" s="109">
        <f t="shared" si="4"/>
        <v>6.56</v>
      </c>
      <c r="L51" s="110"/>
    </row>
    <row r="52" spans="1:12" x14ac:dyDescent="0.2">
      <c r="B52" s="213" t="s">
        <v>198</v>
      </c>
      <c r="C52" s="387" t="str">
        <f>IF(B52=0,"",VLOOKUP($B52,Table2[],2,FALSE))</f>
        <v>Custom</v>
      </c>
      <c r="D52" s="387"/>
      <c r="E52" s="387"/>
      <c r="F52" s="214">
        <v>10</v>
      </c>
      <c r="G52" s="221">
        <v>1</v>
      </c>
      <c r="H52" s="222">
        <f>$G$4</f>
        <v>70</v>
      </c>
      <c r="I52" s="223" t="str">
        <f>IF($B52=0,"",VLOOKUP($B52,Table2[],5,FALSE))</f>
        <v>bushel</v>
      </c>
      <c r="J52" s="215">
        <f>IF($B52=0,"",VLOOKUP($B52,Table2[],7,FALSE))</f>
        <v>0.15</v>
      </c>
      <c r="K52" s="215">
        <f t="shared" si="4"/>
        <v>10.5</v>
      </c>
      <c r="L52" s="216"/>
    </row>
    <row r="53" spans="1:12" ht="12.75" customHeight="1" x14ac:dyDescent="0.2">
      <c r="B53" s="103" t="s">
        <v>314</v>
      </c>
      <c r="D53" s="170" t="str">
        <f>IF(B53=0,"",VLOOKUP($B53,Table2[],2,FALSE))</f>
        <v>Scouting</v>
      </c>
      <c r="G53" s="103">
        <v>1</v>
      </c>
      <c r="H53" s="103">
        <v>1</v>
      </c>
      <c r="I53" s="103" t="str">
        <f>IF($B53=0,"",VLOOKUP($B53,Table2[],5,FALSE))</f>
        <v>acre</v>
      </c>
      <c r="J53" s="109">
        <f>IF($B53=0,"",VLOOKUP($B53,Table2[],7,FALSE))</f>
        <v>13</v>
      </c>
      <c r="K53" s="109">
        <f t="shared" si="4"/>
        <v>13</v>
      </c>
      <c r="L53" s="257"/>
    </row>
    <row r="54" spans="1:12" ht="12.75" hidden="1" customHeight="1" x14ac:dyDescent="0.2">
      <c r="D54" s="170" t="str">
        <f>IF(B54=0,"",VLOOKUP($B54,Table2[],2,FALSE))</f>
        <v/>
      </c>
      <c r="G54" s="103">
        <v>0.2</v>
      </c>
      <c r="I54" s="103" t="str">
        <f>IF($B54=0,"",VLOOKUP($B54,Table2[],5,FALSE))</f>
        <v/>
      </c>
      <c r="J54" s="109" t="str">
        <f>IF($B54=0,"",VLOOKUP($B54,Table2[],7,FALSE))</f>
        <v/>
      </c>
      <c r="K54" s="109">
        <f t="shared" si="2"/>
        <v>0</v>
      </c>
      <c r="L54" s="110"/>
    </row>
    <row r="55" spans="1:12" ht="12.75" hidden="1" customHeight="1" x14ac:dyDescent="0.2">
      <c r="D55" s="170" t="str">
        <f>IF(B55=0,"",VLOOKUP($B55,Table2[],2,FALSE))</f>
        <v/>
      </c>
      <c r="G55" s="103">
        <v>0.3</v>
      </c>
      <c r="I55" s="103" t="str">
        <f>IF($B55=0,"",VLOOKUP($B55,Table2[],5,FALSE))</f>
        <v/>
      </c>
      <c r="J55" s="109" t="str">
        <f>IF($B55=0,"",VLOOKUP($B55,Table2[],7,FALSE))</f>
        <v/>
      </c>
      <c r="K55" s="109">
        <f t="shared" si="2"/>
        <v>0</v>
      </c>
      <c r="L55" s="110"/>
    </row>
    <row r="56" spans="1:12" ht="12.75" hidden="1" customHeight="1" x14ac:dyDescent="0.2">
      <c r="D56" s="170" t="str">
        <f>IF(B56=0,"",VLOOKUP($B56,Table2[],2,FALSE))</f>
        <v/>
      </c>
      <c r="I56" s="103" t="str">
        <f>IF($B56=0,"",VLOOKUP($B56,Table2[],5,FALSE))</f>
        <v/>
      </c>
      <c r="J56" s="109" t="str">
        <f>IF($B56=0,"",VLOOKUP($B56,Table2[],7,FALSE))</f>
        <v/>
      </c>
      <c r="K56" s="109">
        <f t="shared" si="2"/>
        <v>0</v>
      </c>
      <c r="L56" s="113"/>
    </row>
    <row r="57" spans="1:12" ht="12.75" hidden="1" customHeight="1" x14ac:dyDescent="0.2">
      <c r="D57" s="170" t="str">
        <f>IF(B57=0,"",VLOOKUP($B57,Table2[],2,FALSE))</f>
        <v/>
      </c>
      <c r="I57" s="103" t="str">
        <f>IF($B57=0,"",VLOOKUP($B57,Table2[],5,FALSE))</f>
        <v/>
      </c>
      <c r="J57" s="109" t="str">
        <f>IF($B57=0,"",VLOOKUP($B57,Table2[],7,FALSE))</f>
        <v/>
      </c>
      <c r="K57" s="109">
        <f>IF(B57=0,0,ROUND(G57*H57*J57,2))</f>
        <v>0</v>
      </c>
      <c r="L57" s="227"/>
    </row>
    <row r="58" spans="1:12" ht="12.75" hidden="1" customHeight="1" x14ac:dyDescent="0.2">
      <c r="D58" s="170" t="str">
        <f>IF(B58=0,"",VLOOKUP($B58,Table2[],2,FALSE))</f>
        <v/>
      </c>
      <c r="I58" s="103" t="str">
        <f>IF($B58=0,"",VLOOKUP($B58,Table2[],5,FALSE))</f>
        <v/>
      </c>
      <c r="J58" s="109" t="str">
        <f>IF($B58=0,"",VLOOKUP($B58,Table2[],7,FALSE))</f>
        <v/>
      </c>
      <c r="K58" s="109">
        <f>IF(B58=0,0,ROUND(G58*H58*J58,2))</f>
        <v>0</v>
      </c>
      <c r="L58" s="113"/>
    </row>
    <row r="59" spans="1:12" ht="12.75" hidden="1" customHeight="1" x14ac:dyDescent="0.2">
      <c r="D59" s="170" t="str">
        <f>IF(B59=0,"",VLOOKUP($B59,Table2[],2,FALSE))</f>
        <v/>
      </c>
      <c r="I59" s="103" t="str">
        <f>IF($B59=0,"",VLOOKUP($B59,Table2[],5,FALSE))</f>
        <v/>
      </c>
      <c r="J59" s="109" t="str">
        <f>IF($B59=0,"",VLOOKUP($B59,Table2[],7,FALSE))</f>
        <v/>
      </c>
      <c r="K59" s="109">
        <f>IF(B59=0,0,ROUND(G59*H59*J59,2))</f>
        <v>0</v>
      </c>
      <c r="L59" s="113"/>
    </row>
    <row r="60" spans="1:12" ht="12.75" hidden="1" customHeight="1" x14ac:dyDescent="0.2">
      <c r="D60" s="170" t="str">
        <f>IF(B60=0,"",VLOOKUP($B60,Table2[],2,FALSE))</f>
        <v/>
      </c>
      <c r="I60" s="103" t="str">
        <f>IF($B60=0,"",VLOOKUP($B60,Table2[],5,FALSE))</f>
        <v/>
      </c>
      <c r="J60" s="109" t="str">
        <f>IF($B60=0,"",VLOOKUP($B60,Table2[],7,FALSE))</f>
        <v/>
      </c>
      <c r="K60" s="109">
        <f>IF(B60=0,0,ROUND(G60*H60*J60,2))</f>
        <v>0</v>
      </c>
      <c r="L60" s="113"/>
    </row>
    <row r="61" spans="1:12" ht="12.75" hidden="1" customHeight="1" x14ac:dyDescent="0.2">
      <c r="D61" s="170" t="str">
        <f>IF(B61=0,"",VLOOKUP($B61,Table2[],2,FALSE))</f>
        <v/>
      </c>
      <c r="I61" s="103" t="str">
        <f>IF($B61=0,"",VLOOKUP($B61,Table2[],5,FALSE))</f>
        <v/>
      </c>
      <c r="J61" s="109" t="str">
        <f>IF($B61=0,"",VLOOKUP($B61,Table2[],7,FALSE))</f>
        <v/>
      </c>
      <c r="K61" s="109">
        <f>IF(B61=0,0,ROUND(G61*H61*J61,2))</f>
        <v>0</v>
      </c>
      <c r="L61" s="227"/>
    </row>
    <row r="62" spans="1:12" x14ac:dyDescent="0.2">
      <c r="B62" s="103" t="s">
        <v>430</v>
      </c>
      <c r="D62" s="170" t="s">
        <v>655</v>
      </c>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27">
        <f ca="1">SUM(K37:K62)</f>
        <v>167.23000000000002</v>
      </c>
      <c r="L64" s="110"/>
    </row>
    <row r="65" spans="2:12" x14ac:dyDescent="0.2">
      <c r="B65" s="358" t="s">
        <v>909</v>
      </c>
      <c r="C65" s="358"/>
      <c r="D65" s="352" t="s">
        <v>907</v>
      </c>
      <c r="E65" s="358"/>
      <c r="F65" s="358"/>
      <c r="H65" s="352" t="s">
        <v>911</v>
      </c>
      <c r="I65" s="358"/>
      <c r="J65" s="361"/>
    </row>
    <row r="66" spans="2:12" x14ac:dyDescent="0.2">
      <c r="B66" s="144"/>
      <c r="F66" s="170"/>
      <c r="G66" s="170"/>
      <c r="H66" s="170"/>
      <c r="K66" s="127"/>
    </row>
    <row r="67" spans="2:12" x14ac:dyDescent="0.2">
      <c r="B67" s="107" t="s">
        <v>672</v>
      </c>
      <c r="K67" s="127">
        <f ca="1">K33+K64</f>
        <v>380.57</v>
      </c>
      <c r="L67" s="110"/>
    </row>
    <row r="68" spans="2:12" ht="13.5" thickBot="1" x14ac:dyDescent="0.25">
      <c r="D68" s="128" t="s">
        <v>673</v>
      </c>
      <c r="E68" s="129">
        <f ca="1">ROUND(SUM($E$33:$H$33)+$K$64,2)</f>
        <v>297.83</v>
      </c>
      <c r="F68" s="388" t="s">
        <v>674</v>
      </c>
      <c r="G68" s="388"/>
      <c r="H68" s="130">
        <f>'General Variables'!$B$11</f>
        <v>7.4999999999999997E-2</v>
      </c>
      <c r="I68" s="131" t="str">
        <f>CONCATENATE("for ",TEXT('General Variables'!$B$12,"0.0")," mo.")</f>
        <v>for 6.0 mo.</v>
      </c>
      <c r="K68" s="132">
        <f ca="1">E68*H68*'General Variables'!$B$12/12</f>
        <v>11.168624999999999</v>
      </c>
      <c r="L68" s="133"/>
    </row>
    <row r="69" spans="2:12" ht="13.5" thickTop="1" x14ac:dyDescent="0.2">
      <c r="B69" s="107" t="s">
        <v>675</v>
      </c>
      <c r="K69" s="127">
        <f ca="1">SUM(K67:K68)</f>
        <v>391.73862500000001</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34</v>
      </c>
      <c r="D72" s="399"/>
      <c r="E72" s="400"/>
      <c r="F72" s="136">
        <f>IF(C72=0,0,VLOOKUP(C72,RETable,2,FALSE))</f>
        <v>8145</v>
      </c>
      <c r="G72" s="388" t="s">
        <v>678</v>
      </c>
      <c r="H72" s="388"/>
      <c r="I72" s="130">
        <f>'General Variables'!$B$10</f>
        <v>0.03</v>
      </c>
      <c r="K72" s="137">
        <f>ROUND(F72*I72,2)</f>
        <v>244.35</v>
      </c>
      <c r="L72" s="110"/>
    </row>
    <row r="73" spans="2:12" ht="13.5" thickBot="1" x14ac:dyDescent="0.25">
      <c r="B73" s="103" t="s">
        <v>679</v>
      </c>
      <c r="F73" s="138">
        <f>IF(C72=0,0,VLOOKUP(C72,RETable,2,FALSE))</f>
        <v>8145</v>
      </c>
      <c r="G73" s="397" t="s">
        <v>678</v>
      </c>
      <c r="H73" s="397"/>
      <c r="I73" s="139">
        <f>'General Variables'!$B$13</f>
        <v>1.2999999999999999E-2</v>
      </c>
      <c r="J73" s="105"/>
      <c r="K73" s="140">
        <f>ROUND(F73*I73,2)</f>
        <v>105.89</v>
      </c>
      <c r="L73" s="133"/>
    </row>
    <row r="74" spans="2:12" ht="13.5" thickTop="1" x14ac:dyDescent="0.2">
      <c r="B74" s="107" t="s">
        <v>680</v>
      </c>
      <c r="K74" s="127">
        <f ca="1">SUM(K69:K73)</f>
        <v>776.97862499999997</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6.426980357142857</v>
      </c>
      <c r="L76" s="148"/>
    </row>
    <row r="77" spans="2:12" x14ac:dyDescent="0.2">
      <c r="B77" s="107" t="str">
        <f>IF(G4="","","Cost of production per "&amp;H4)</f>
        <v>Cost of production per bushel</v>
      </c>
      <c r="K77" s="141">
        <f ca="1">IF(G4="","",K74/G4)</f>
        <v>11.099694642857143</v>
      </c>
      <c r="L77" s="110"/>
    </row>
    <row r="79" spans="2:12" x14ac:dyDescent="0.2">
      <c r="B79" s="103" t="s">
        <v>765</v>
      </c>
    </row>
    <row r="80" spans="2:12" x14ac:dyDescent="0.2">
      <c r="D80" s="103" t="s">
        <v>900</v>
      </c>
      <c r="G80" s="105"/>
      <c r="H80" s="105"/>
      <c r="I80" s="105"/>
      <c r="J80" s="105"/>
      <c r="K80" s="355" t="s">
        <v>901</v>
      </c>
      <c r="L80"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39">
    <mergeCell ref="C72:E72"/>
    <mergeCell ref="G72:H72"/>
    <mergeCell ref="G73:H73"/>
    <mergeCell ref="C50:E50"/>
    <mergeCell ref="C51:E51"/>
    <mergeCell ref="C52:E52"/>
    <mergeCell ref="F68:G68"/>
    <mergeCell ref="G35:G36"/>
    <mergeCell ref="H35:I35"/>
    <mergeCell ref="J35:J36"/>
    <mergeCell ref="L35:L36"/>
    <mergeCell ref="I10:J10"/>
    <mergeCell ref="G10:H10"/>
    <mergeCell ref="K10:K11"/>
    <mergeCell ref="C37:E37"/>
    <mergeCell ref="C38:E38"/>
    <mergeCell ref="C39:E39"/>
    <mergeCell ref="C40:E40"/>
    <mergeCell ref="K2:L2"/>
    <mergeCell ref="G2:H2"/>
    <mergeCell ref="C4:E4"/>
    <mergeCell ref="B7:L7"/>
    <mergeCell ref="C3:E3"/>
    <mergeCell ref="A6:M6"/>
    <mergeCell ref="B10:B11"/>
    <mergeCell ref="C10:C11"/>
    <mergeCell ref="E10:E11"/>
    <mergeCell ref="F10:F11"/>
    <mergeCell ref="L10:L11"/>
    <mergeCell ref="F35:F36"/>
    <mergeCell ref="C43:E43"/>
    <mergeCell ref="C41:E41"/>
    <mergeCell ref="C42:E42"/>
    <mergeCell ref="C49:E49"/>
    <mergeCell ref="C44:E44"/>
    <mergeCell ref="C45:E45"/>
    <mergeCell ref="C46:E46"/>
    <mergeCell ref="C47:E47"/>
    <mergeCell ref="C48:E48"/>
  </mergeCells>
  <dataValidations count="9">
    <dataValidation type="list" allowBlank="1" showInputMessage="1" showErrorMessage="1" sqref="B32" xr:uid="{00000000-0002-0000-4300-000000000000}">
      <formula1>$B$112:$B$209</formula1>
    </dataValidation>
    <dataValidation type="list" allowBlank="1" showInputMessage="1" showErrorMessage="1" sqref="B63" xr:uid="{00000000-0002-0000-4300-000001000000}">
      <formula1>$C$112:$C$230</formula1>
    </dataValidation>
    <dataValidation type="list" allowBlank="1" showInputMessage="1" showErrorMessage="1" sqref="K4" xr:uid="{00000000-0002-0000-4300-000002000000}">
      <formula1>$K$112:$K$114</formula1>
    </dataValidation>
    <dataValidation type="list" allowBlank="1" showInputMessage="1" showErrorMessage="1" sqref="B37:B61" xr:uid="{00000000-0002-0000-4300-000003000000}">
      <formula1>MaterialList</formula1>
    </dataValidation>
    <dataValidation type="list" allowBlank="1" showInputMessage="1" showErrorMessage="1" sqref="C72:E72" xr:uid="{00000000-0002-0000-4300-000004000000}">
      <formula1>RealEstateList</formula1>
    </dataValidation>
    <dataValidation type="list" allowBlank="1" showInputMessage="1" showErrorMessage="1" sqref="B12:B31" xr:uid="{00000000-0002-0000-4300-000005000000}">
      <formula1>OperationList</formula1>
    </dataValidation>
    <dataValidation type="list" allowBlank="1" showInputMessage="1" showErrorMessage="1" sqref="D12:D32" xr:uid="{00000000-0002-0000-4300-000006000000}">
      <formula1>#REF!</formula1>
    </dataValidation>
    <dataValidation type="list" allowBlank="1" showInputMessage="1" showErrorMessage="1" sqref="K2" xr:uid="{00000000-0002-0000-4300-000007000000}">
      <formula1>watersource</formula1>
    </dataValidation>
    <dataValidation type="list" allowBlank="1" showInputMessage="1" showErrorMessage="1" sqref="C3" xr:uid="{00000000-0002-0000-4300-000008000000}">
      <formula1>TillageSystem</formula1>
    </dataValidation>
  </dataValidations>
  <pageMargins left="0.7" right="0.7" top="0.75" bottom="0.75" header="0.3" footer="0.3"/>
  <pageSetup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1">
    <pageSetUpPr fitToPage="1"/>
  </sheetPr>
  <dimension ref="A2:M257"/>
  <sheetViews>
    <sheetView topLeftCell="A14" zoomScaleNormal="100" workbookViewId="0">
      <selection activeCell="K13" sqref="K13"/>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1.42578125" style="103" bestFit="1" customWidth="1"/>
    <col min="12" max="16384" width="9.140625" style="103"/>
  </cols>
  <sheetData>
    <row r="2" spans="1:13" ht="14.25" hidden="1" customHeight="1" x14ac:dyDescent="0.2">
      <c r="B2" s="103" t="s">
        <v>20</v>
      </c>
      <c r="C2" s="187"/>
      <c r="D2" s="187"/>
      <c r="E2" s="187"/>
      <c r="F2" s="128" t="s">
        <v>648</v>
      </c>
      <c r="G2" s="392"/>
      <c r="H2" s="392"/>
      <c r="J2" s="128" t="s">
        <v>649</v>
      </c>
      <c r="K2" s="190" t="s">
        <v>74</v>
      </c>
      <c r="L2" s="190"/>
    </row>
    <row r="3" spans="1:13" hidden="1" x14ac:dyDescent="0.2">
      <c r="B3" s="103" t="s">
        <v>38</v>
      </c>
      <c r="C3" s="391" t="s">
        <v>43</v>
      </c>
      <c r="D3" s="391"/>
      <c r="E3" s="391"/>
      <c r="G3" s="128" t="s">
        <v>650</v>
      </c>
      <c r="H3" s="187"/>
      <c r="J3" s="128" t="s">
        <v>651</v>
      </c>
      <c r="K3" s="187"/>
    </row>
    <row r="4" spans="1:13" hidden="1" x14ac:dyDescent="0.2">
      <c r="B4" s="103" t="s">
        <v>652</v>
      </c>
      <c r="C4" s="392" t="s">
        <v>49</v>
      </c>
      <c r="D4" s="392"/>
      <c r="E4" s="392"/>
      <c r="G4" s="103" t="str">
        <f>IFERROR(VALUE(LEFT($H$3,FIND(" ",$H$3))),"")</f>
        <v/>
      </c>
      <c r="H4" s="103" t="str">
        <f>IFERROR(RIGHT(H3,LEN(H3)-LEN(G4)-1),"")</f>
        <v/>
      </c>
      <c r="J4" s="128" t="s">
        <v>653</v>
      </c>
      <c r="K4" s="188" t="s">
        <v>654</v>
      </c>
    </row>
    <row r="5" spans="1:13" ht="15.75" hidden="1" customHeight="1" x14ac:dyDescent="0.2">
      <c r="B5" s="103" t="s">
        <v>655</v>
      </c>
      <c r="C5" s="238" t="str">
        <f ca="1">MID(CELL("filename",C5),FIND("]",CELL("filename",C5))+1,255)</f>
        <v>1-Alfalfa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1-Alfalfa, Conventional Tillage, Fall Establishment,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1-Alfalfa, Conventional Tillage, Fall Establishment</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IF(C12&gt;9999,"",SUM(E12:J12))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IF(C13&gt;9999,"",SUM(E13:J13))</f>
        <v>18.060000000000002</v>
      </c>
      <c r="L13" s="110"/>
    </row>
    <row r="14" spans="1:13" x14ac:dyDescent="0.2">
      <c r="A14" s="170">
        <v>3</v>
      </c>
      <c r="B14" s="180" t="s">
        <v>501</v>
      </c>
      <c r="C14" s="174">
        <v>1</v>
      </c>
      <c r="D14" s="174"/>
      <c r="E14" s="109">
        <f>IF(B14=0,"",IF(C14&gt;9999,"",ROUND('General Variables'!$B$4*VLOOKUP(B14,Operations!$A$2:$U$79,10,FALSE)/VLOOKUP(B14,Operations!$A$2:$U$79,9,FALSE)*C14,2)))</f>
        <v>1.24</v>
      </c>
      <c r="F14" s="109">
        <f>IF(B14=0,0,IF(C14&gt;9999,"",ROUND(IF(VLOOKUP(B14,Operations!$A$2:$U$79,12,FALSE)=0,VLOOKUP(B14,Operations!$A$2:$U$79,13,FALSE)*'General Variables'!$B$8,VLOOKUP(B14,Operations!$A$2:$U$79,12,FALSE)*'General Variables'!$B$7)/VLOOKUP(B14,Operations!$A$2:$U$79,9,FALSE)*C14,2)))</f>
        <v>0.27</v>
      </c>
      <c r="G14" s="109">
        <f>IF(B14=0,0,IF(C14&gt;9999,"",ROUND(VLOOKUP(VLOOKUP(B14,Operations!$A$2:$U$79,11,FALSE),PowerUnits[],10,FALSE)/VLOOKUP(B14,Operations!$A$2:$U$79,9,FALSE)*C14,2)))</f>
        <v>0.03</v>
      </c>
      <c r="H14" s="109">
        <f>IF(B14=0,"",IF(C14&gt;9999,"",ROUND(VLOOKUP($B14,Operations!$A$2:$U$79,15,FALSE)*C14,2)))</f>
        <v>0.64</v>
      </c>
      <c r="I14" s="109">
        <f>IF(B14=0,0,IF(C14&gt;9999,"",ROUND(VLOOKUP(VLOOKUP(B14,Operations!$A$2:$U$79,11,FALSE),PowerUnits[],16,FALSE)/VLOOKUP(B14,Operations!$A$2:$U$79,9,FALSE)*C14,2)))</f>
        <v>1.8</v>
      </c>
      <c r="J14" s="109">
        <f>IF(B14=0,"",IF(C14&gt;9999,"",ROUND(VLOOKUP($B14,Operations!$A$2:$U$79,21,FALSE)*$C14,2)))</f>
        <v>3.69</v>
      </c>
      <c r="K14" s="109">
        <f t="shared" si="0"/>
        <v>7.67</v>
      </c>
      <c r="L14" s="110"/>
    </row>
    <row r="15" spans="1:13" x14ac:dyDescent="0.2">
      <c r="A15" s="170">
        <v>4</v>
      </c>
      <c r="B15" s="213" t="s">
        <v>501</v>
      </c>
      <c r="C15" s="214">
        <v>1</v>
      </c>
      <c r="D15" s="214"/>
      <c r="E15" s="215">
        <f>IF(B15=0,"",IF(C15&gt;9999,"",ROUND('General Variables'!$B$4*VLOOKUP(B15,Operations!$A$2:$U$79,10,FALSE)/VLOOKUP(B15,Operations!$A$2:$U$79,9,FALSE)*C15,2)))</f>
        <v>1.24</v>
      </c>
      <c r="F15" s="215">
        <f>IF(B15=0,0,IF(C15&gt;9999,"",ROUND(IF(VLOOKUP(B15,Operations!$A$2:$U$79,12,FALSE)=0,VLOOKUP(B15,Operations!$A$2:$U$79,13,FALSE)*'General Variables'!$B$8,VLOOKUP(B15,Operations!$A$2:$U$79,12,FALSE)*'General Variables'!$B$7)/VLOOKUP(B15,Operations!$A$2:$U$79,9,FALSE)*C15,2)))</f>
        <v>0.27</v>
      </c>
      <c r="G15" s="215">
        <f>IF(B15=0,0,IF(C15&gt;9999,"",ROUND(VLOOKUP(VLOOKUP(B15,Operations!$A$2:$U$79,11,FALSE),PowerUnits[],10,FALSE)/VLOOKUP(B15,Operations!$A$2:$U$79,9,FALSE)*C15,2)))</f>
        <v>0.03</v>
      </c>
      <c r="H15" s="215">
        <f>IF(B15=0,"",IF(C15&gt;9999,"",ROUND(VLOOKUP($B15,Operations!$A$2:$U$79,15,FALSE)*C15,2)))</f>
        <v>0.64</v>
      </c>
      <c r="I15" s="215">
        <f>IF(B15=0,0,IF(C15&gt;9999,"",ROUND(VLOOKUP(VLOOKUP(B15,Operations!$A$2:$U$79,11,FALSE),PowerUnits[],16,FALSE)/VLOOKUP(B15,Operations!$A$2:$U$79,9,FALSE)*C15,2)))</f>
        <v>1.8</v>
      </c>
      <c r="J15" s="215">
        <f>IF(B15=0,"",IF(C15&gt;9999,"",ROUND(VLOOKUP($B15,Operations!$A$2:$U$79,21,FALSE)*$C15,2)))</f>
        <v>3.69</v>
      </c>
      <c r="K15" s="215">
        <f t="shared" si="0"/>
        <v>7.67</v>
      </c>
      <c r="L15" s="216"/>
    </row>
    <row r="16" spans="1:13" x14ac:dyDescent="0.2">
      <c r="A16" s="170">
        <v>5</v>
      </c>
      <c r="B16" s="180" t="s">
        <v>488</v>
      </c>
      <c r="C16" s="174">
        <v>1</v>
      </c>
      <c r="D16" s="174"/>
      <c r="E16" s="109">
        <f>IF(B16=0,"",IF(C16&gt;9999,"",ROUND('General Variables'!$B$4*VLOOKUP(B16,Operations!$A$2:$U$79,10,FALSE)/VLOOKUP(B16,Operations!$A$2:$U$79,9,FALSE)*C16,2)))</f>
        <v>2.38</v>
      </c>
      <c r="F16" s="109">
        <f>IF(B16=0,0,IF(C16&gt;9999,"",ROUND(IF(VLOOKUP(B16,Operations!$A$2:$U$79,12,FALSE)=0,VLOOKUP(B16,Operations!$A$2:$U$79,13,FALSE)*'General Variables'!$B$8,VLOOKUP(B16,Operations!$A$2:$U$79,12,FALSE)*'General Variables'!$B$7)/VLOOKUP(B16,Operations!$A$2:$U$79,9,FALSE)*C16,2)))</f>
        <v>1.28</v>
      </c>
      <c r="G16" s="109">
        <f>IF(B16=0,0,IF(C16&gt;9999,"",ROUND(VLOOKUP(VLOOKUP(B16,Operations!$A$2:$U$79,11,FALSE),PowerUnits[],10,FALSE)/VLOOKUP(B16,Operations!$A$2:$U$79,9,FALSE)*C16,2)))</f>
        <v>7.0000000000000007E-2</v>
      </c>
      <c r="H16" s="109">
        <f>IF(B16=0,"",IF(C16&gt;9999,"",ROUND(VLOOKUP($B16,Operations!$A$2:$U$79,15,FALSE)*C16,2)))</f>
        <v>7.18</v>
      </c>
      <c r="I16" s="109">
        <f>IF(B16=0,0,IF(C16&gt;9999,"",ROUND(VLOOKUP(VLOOKUP(B16,Operations!$A$2:$U$79,11,FALSE),PowerUnits[],16,FALSE)/VLOOKUP(B16,Operations!$A$2:$U$79,9,FALSE)*C16,2)))</f>
        <v>3.46</v>
      </c>
      <c r="J16" s="109">
        <f>IF(B16=0,"",IF(C16&gt;9999,"",ROUND(VLOOKUP($B16,Operations!$A$2:$U$79,21,FALSE)*$C16,2)))</f>
        <v>2.4500000000000002</v>
      </c>
      <c r="K16" s="109">
        <f t="shared" si="0"/>
        <v>16.82</v>
      </c>
      <c r="L16" s="110"/>
    </row>
    <row r="17" spans="1:13" x14ac:dyDescent="0.2">
      <c r="A17" s="170">
        <v>6</v>
      </c>
      <c r="B17" s="180" t="s">
        <v>540</v>
      </c>
      <c r="C17" s="174">
        <v>1</v>
      </c>
      <c r="D17" s="174"/>
      <c r="E17" s="109">
        <f>IF(B17=0,"",IF(C17&gt;9999,"",ROUND('General Variables'!$B$4*VLOOKUP(B17,Operations!$A$2:$U$79,10,FALSE)/VLOOKUP(B17,Operations!$A$2:$U$79,9,FALSE)*C17,2)))</f>
        <v>2.25</v>
      </c>
      <c r="F17" s="109">
        <f>IF(B17=0,0,IF(C17&gt;9999,"",ROUND(IF(VLOOKUP(B17,Operations!$A$2:$U$79,12,FALSE)=0,VLOOKUP(B17,Operations!$A$2:$U$79,13,FALSE)*'General Variables'!$B$8,VLOOKUP(B17,Operations!$A$2:$U$79,12,FALSE)*'General Variables'!$B$7)/VLOOKUP(B17,Operations!$A$2:$U$79,9,FALSE)*C17,2)))</f>
        <v>1.45</v>
      </c>
      <c r="G17" s="109">
        <f>IF(B17=0,0,IF(C17&gt;9999,"",ROUND(VLOOKUP(VLOOKUP(B17,Operations!$A$2:$U$79,11,FALSE),PowerUnits[],10,FALSE)/VLOOKUP(B17,Operations!$A$2:$U$79,9,FALSE)*C17,2)))</f>
        <v>7.0000000000000007E-2</v>
      </c>
      <c r="H17" s="109">
        <f>IF(B17=0,"",IF(C17&gt;9999,"",ROUND(VLOOKUP($B17,Operations!$A$2:$U$79,15,FALSE)*C17,2)))</f>
        <v>0.39</v>
      </c>
      <c r="I17" s="109">
        <f>IF(B17=0,0,IF(C17&gt;9999,"",ROUND(VLOOKUP(VLOOKUP(B17,Operations!$A$2:$U$79,11,FALSE),PowerUnits[],16,FALSE)/VLOOKUP(B17,Operations!$A$2:$U$79,9,FALSE)*C17,2)))</f>
        <v>3.61</v>
      </c>
      <c r="J17" s="109">
        <f>IF(B17=0,"",IF(C17&gt;9999,"",ROUND(VLOOKUP($B17,Operations!$A$2:$U$79,21,FALSE)*$C17,2)))</f>
        <v>2.78</v>
      </c>
      <c r="K17" s="159">
        <f t="shared" ref="K17:K20" si="1">IF(C17&gt;9999,"",SUM(E17:J17))</f>
        <v>10.549999999999999</v>
      </c>
      <c r="L17" s="110"/>
      <c r="M17" s="245"/>
    </row>
    <row r="18" spans="1:13" x14ac:dyDescent="0.2">
      <c r="A18" s="170">
        <v>7</v>
      </c>
      <c r="B18" s="180" t="s">
        <v>551</v>
      </c>
      <c r="C18" s="174">
        <v>1</v>
      </c>
      <c r="D18" s="174"/>
      <c r="E18" s="109">
        <f>IF(B18=0,"",IF(C18&gt;9999,"",ROUND('General Variables'!$B$4*VLOOKUP(B18,Operations!$A$2:$U$79,10,FALSE)/VLOOKUP(B18,Operations!$A$2:$U$79,9,FALSE)*C18,2)))</f>
        <v>1.02</v>
      </c>
      <c r="F18" s="109">
        <f>IF(B18=0,0,IF(C18&gt;9999,"",ROUND(IF(VLOOKUP(B18,Operations!$A$2:$U$79,12,FALSE)=0,VLOOKUP(B18,Operations!$A$2:$U$79,13,FALSE)*'General Variables'!$B$8,VLOOKUP(B18,Operations!$A$2:$U$79,12,FALSE)*'General Variables'!$B$7)/VLOOKUP(B18,Operations!$A$2:$U$79,9,FALSE)*C18,2)))</f>
        <v>0.26</v>
      </c>
      <c r="G18" s="109">
        <f>IF(B18=0,0,IF(C18&gt;9999,"",ROUND(VLOOKUP(VLOOKUP(B18,Operations!$A$2:$U$79,11,FALSE),PowerUnits[],10,FALSE)/VLOOKUP(B18,Operations!$A$2:$U$79,9,FALSE)*C18,2)))</f>
        <v>0.03</v>
      </c>
      <c r="H18" s="109">
        <f>IF(B18=0,"",IF(C18&gt;9999,"",ROUND(VLOOKUP($B18,Operations!$A$2:$U$79,15,FALSE)*C18,2)))</f>
        <v>1.1100000000000001</v>
      </c>
      <c r="I18" s="109">
        <f>IF(B18=0,0,IF(C18&gt;9999,"",ROUND(VLOOKUP(VLOOKUP(B18,Operations!$A$2:$U$79,11,FALSE),PowerUnits[],16,FALSE)/VLOOKUP(B18,Operations!$A$2:$U$79,9,FALSE)*C18,2)))</f>
        <v>1.31</v>
      </c>
      <c r="J18" s="109">
        <f>IF(B18=0,"",IF(C18&gt;9999,"",ROUND(VLOOKUP($B18,Operations!$A$2:$U$79,21,FALSE)*$C18,2)))</f>
        <v>2.02</v>
      </c>
      <c r="K18" s="109">
        <f t="shared" ref="K18:K19" si="2">IF(C18&gt;9999,"",SUM(E18:J18))</f>
        <v>5.75</v>
      </c>
      <c r="L18" s="110"/>
    </row>
    <row r="19" spans="1:13" x14ac:dyDescent="0.2">
      <c r="A19" s="170">
        <v>8</v>
      </c>
      <c r="B19" s="213" t="s">
        <v>552</v>
      </c>
      <c r="C19" s="214">
        <v>0.2</v>
      </c>
      <c r="D19" s="214"/>
      <c r="E19" s="215">
        <f>IF(B19=0,"",IF(C19&gt;9999,"",ROUND('General Variables'!$B$4*VLOOKUP(B19,Operations!$A$2:$U$79,10,FALSE)/VLOOKUP(B19,Operations!$A$2:$U$79,9,FALSE)*C19,2)))</f>
        <v>0.2</v>
      </c>
      <c r="F19" s="215">
        <f>IF(B19=0,0,IF(C19&gt;9999,"",ROUND(IF(VLOOKUP(B19,Operations!$A$2:$U$79,12,FALSE)=0,VLOOKUP(B19,Operations!$A$2:$U$79,13,FALSE)*'General Variables'!$B$8,VLOOKUP(B19,Operations!$A$2:$U$79,12,FALSE)*'General Variables'!$B$7)/VLOOKUP(B19,Operations!$A$2:$U$79,9,FALSE)*C19,2)))</f>
        <v>0.05</v>
      </c>
      <c r="G19" s="215">
        <f>IF(B19=0,0,IF(C19&gt;9999,"",ROUND(VLOOKUP(VLOOKUP(B19,Operations!$A$2:$U$79,11,FALSE),PowerUnits[],10,FALSE)/VLOOKUP(B19,Operations!$A$2:$U$79,9,FALSE)*C19,2)))</f>
        <v>0.01</v>
      </c>
      <c r="H19" s="215">
        <f>IF(B19=0,"",IF(C19&gt;9999,"",ROUND(VLOOKUP($B19,Operations!$A$2:$U$79,15,FALSE)*C19,2)))</f>
        <v>0.22</v>
      </c>
      <c r="I19" s="215">
        <f>IF(B19=0,0,IF(C19&gt;9999,"",ROUND(VLOOKUP(VLOOKUP(B19,Operations!$A$2:$U$79,11,FALSE),PowerUnits[],16,FALSE)/VLOOKUP(B19,Operations!$A$2:$U$79,9,FALSE)*C19,2)))</f>
        <v>0.26</v>
      </c>
      <c r="J19" s="215">
        <f>IF(B19=0,"",IF(C19&gt;9999,"",ROUND(VLOOKUP($B19,Operations!$A$2:$U$79,21,FALSE)*$C19,2)))</f>
        <v>0.4</v>
      </c>
      <c r="K19" s="215">
        <f t="shared" si="2"/>
        <v>1.1400000000000001</v>
      </c>
      <c r="L19" s="216"/>
    </row>
    <row r="20" spans="1:13"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1"/>
        <v>0</v>
      </c>
      <c r="L20" s="110"/>
    </row>
    <row r="21" spans="1:13"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3"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3"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3"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3"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3"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3"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3"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3"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3"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3"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3"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13.18</v>
      </c>
      <c r="F33" s="109">
        <f t="shared" ref="F33:K33" si="3">SUM(F12:F31)</f>
        <v>6.98</v>
      </c>
      <c r="G33" s="109">
        <f t="shared" si="3"/>
        <v>0.62000000000000011</v>
      </c>
      <c r="H33" s="109">
        <f t="shared" si="3"/>
        <v>11.860000000000001</v>
      </c>
      <c r="I33" s="109">
        <f t="shared" si="3"/>
        <v>24.110000000000003</v>
      </c>
      <c r="J33" s="109">
        <f t="shared" si="3"/>
        <v>20.13</v>
      </c>
      <c r="K33" s="109">
        <f t="shared" si="3"/>
        <v>76.88000000000001</v>
      </c>
      <c r="L33" s="110"/>
    </row>
    <row r="35" spans="2:12" ht="24" customHeight="1" x14ac:dyDescent="0.2">
      <c r="F35" s="385" t="s">
        <v>665</v>
      </c>
      <c r="G35" s="385" t="s">
        <v>666</v>
      </c>
      <c r="H35" s="385" t="s">
        <v>667</v>
      </c>
      <c r="I35" s="385"/>
      <c r="J35" s="385" t="s">
        <v>169</v>
      </c>
      <c r="L35" s="385" t="s">
        <v>661</v>
      </c>
    </row>
    <row r="36" spans="2:12" s="118" customFormat="1" ht="18.75" customHeight="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319</v>
      </c>
      <c r="C38" s="388" t="str">
        <f>IF(B38=0,"",VLOOKUP($B38,Table2[],2,FALSE))</f>
        <v>Seed</v>
      </c>
      <c r="D38" s="388"/>
      <c r="E38" s="388"/>
      <c r="F38" s="174">
        <v>5</v>
      </c>
      <c r="G38" s="175">
        <v>1</v>
      </c>
      <c r="H38" s="176">
        <v>12</v>
      </c>
      <c r="I38" s="120" t="str">
        <f>IF($B38=0,"",VLOOKUP($B38,Table2[],5,FALSE))</f>
        <v>pound</v>
      </c>
      <c r="J38" s="109">
        <f>IF($B38=0,"",VLOOKUP($B38,Table2[],7,FALSE))</f>
        <v>6.25</v>
      </c>
      <c r="K38" s="109">
        <f t="shared" ref="K38:K62" si="4">IF(B38=0,0,ROUND(G38*H38*J38,2))</f>
        <v>75</v>
      </c>
      <c r="L38" s="110"/>
    </row>
    <row r="39" spans="2:12" x14ac:dyDescent="0.2">
      <c r="B39" s="180" t="s">
        <v>245</v>
      </c>
      <c r="C39" s="388" t="str">
        <f>IF(B39=0,"",VLOOKUP($B39,Table2[],2,FALSE))</f>
        <v>Herbicide</v>
      </c>
      <c r="D39" s="388"/>
      <c r="E39" s="388"/>
      <c r="F39" s="174">
        <v>7</v>
      </c>
      <c r="G39" s="175">
        <v>1</v>
      </c>
      <c r="H39" s="176">
        <v>1</v>
      </c>
      <c r="I39" s="120" t="s">
        <v>179</v>
      </c>
      <c r="J39" s="109">
        <f>IF($B39=0,"",VLOOKUP($B39,Table2[],7,FALSE))</f>
        <v>6.625</v>
      </c>
      <c r="K39" s="109">
        <f>IF(B39=0,0,ROUND(G39*H39*J39,2))</f>
        <v>6.63</v>
      </c>
      <c r="L39" s="110"/>
    </row>
    <row r="40" spans="2:12" x14ac:dyDescent="0.2">
      <c r="B40" s="213" t="s">
        <v>267</v>
      </c>
      <c r="C40" s="387" t="str">
        <f>IF(B40=0,"",VLOOKUP($B40,Table2[],2,FALSE))</f>
        <v>Herbicide</v>
      </c>
      <c r="D40" s="387"/>
      <c r="E40" s="387"/>
      <c r="F40" s="214">
        <v>7</v>
      </c>
      <c r="G40" s="221">
        <v>1</v>
      </c>
      <c r="H40" s="222">
        <v>3</v>
      </c>
      <c r="I40" s="223" t="str">
        <f>IF($B40=0,"",VLOOKUP($B40,Table2[],5,FALSE))</f>
        <v>ounce</v>
      </c>
      <c r="J40" s="215">
        <f>IF($B40=0,"",VLOOKUP($B40,Table2[],7,FALSE))</f>
        <v>3.90625</v>
      </c>
      <c r="K40" s="215">
        <f>IF(B40=0,0,ROUND(G40*H40*J40,2))</f>
        <v>11.72</v>
      </c>
      <c r="L40" s="216"/>
    </row>
    <row r="41" spans="2:12" x14ac:dyDescent="0.2">
      <c r="B41" s="254" t="s">
        <v>177</v>
      </c>
      <c r="C41" s="389" t="str">
        <f>IF(B41=0,"",VLOOKUP($B41,Table2[],2,FALSE))</f>
        <v>Additive</v>
      </c>
      <c r="D41" s="389"/>
      <c r="E41" s="389"/>
      <c r="F41" s="255">
        <v>7</v>
      </c>
      <c r="G41" s="337">
        <v>1</v>
      </c>
      <c r="H41" s="338">
        <v>1.6</v>
      </c>
      <c r="I41" s="339" t="str">
        <f>IF($B41=0,"",VLOOKUP($B41,Table2[],5,FALSE))</f>
        <v>pint</v>
      </c>
      <c r="J41" s="256">
        <f>IF($B41=0,"",VLOOKUP($B41,Table2[],7,FALSE))</f>
        <v>1.875</v>
      </c>
      <c r="K41" s="256">
        <f>IF(B41=0,0,ROUND(G41*H41*J41,2))</f>
        <v>3</v>
      </c>
      <c r="L41" s="257"/>
    </row>
    <row r="42" spans="2:12" x14ac:dyDescent="0.2">
      <c r="B42" s="180" t="s">
        <v>182</v>
      </c>
      <c r="C42" s="388" t="str">
        <f>IF(B42=0,"",VLOOKUP($B42,Table2[],2,FALSE))</f>
        <v>Additive</v>
      </c>
      <c r="D42" s="388"/>
      <c r="E42" s="388"/>
      <c r="F42" s="174">
        <v>7</v>
      </c>
      <c r="G42" s="175">
        <v>1</v>
      </c>
      <c r="H42" s="176">
        <v>2</v>
      </c>
      <c r="I42" s="120" t="str">
        <f>IF($B42=0,"",VLOOKUP($B42,Table2[],5,FALSE))</f>
        <v>pint</v>
      </c>
      <c r="J42" s="109">
        <f>IF($B42=0,"",VLOOKUP($B42,Table2[],7,FALSE))</f>
        <v>0.22500000000000001</v>
      </c>
      <c r="K42" s="109">
        <f t="shared" si="4"/>
        <v>0.45</v>
      </c>
      <c r="L42" s="110"/>
    </row>
    <row r="43" spans="2:12" x14ac:dyDescent="0.2">
      <c r="B43" s="180" t="s">
        <v>288</v>
      </c>
      <c r="C43" s="388" t="str">
        <f>IF(B43=0,"",VLOOKUP($B43,Table2[],2,FALSE))</f>
        <v>Insecticide</v>
      </c>
      <c r="D43" s="388"/>
      <c r="E43" s="388"/>
      <c r="F43" s="174">
        <v>8</v>
      </c>
      <c r="G43" s="175">
        <v>0.2</v>
      </c>
      <c r="H43" s="176">
        <v>3</v>
      </c>
      <c r="I43" s="120" t="str">
        <f>IF($B43=0,"",VLOOKUP($B43,Table2[],5,FALSE))</f>
        <v>ounce</v>
      </c>
      <c r="J43" s="109">
        <f>IF($B43=0,"",VLOOKUP($B43,Table2[],7,FALSE))</f>
        <v>1.25</v>
      </c>
      <c r="K43" s="109">
        <f t="shared" si="4"/>
        <v>0.75</v>
      </c>
      <c r="L43" s="110"/>
    </row>
    <row r="44" spans="2:12" ht="12.75" hidden="1" customHeight="1" x14ac:dyDescent="0.2">
      <c r="B44" s="180"/>
      <c r="C44" s="388" t="str">
        <f>IF(B44=0,"",VLOOKUP($B44,Table2[],2,FALSE))</f>
        <v/>
      </c>
      <c r="D44" s="388"/>
      <c r="E44" s="388"/>
      <c r="F44" s="174"/>
      <c r="G44" s="175"/>
      <c r="H44" s="176"/>
      <c r="I44" s="120" t="str">
        <f>IF($B44=0,"",VLOOKUP($B44,Table2[],5,FALSE))</f>
        <v/>
      </c>
      <c r="J44" s="109" t="str">
        <f>IF($B44=0,"",VLOOKUP($B44,Table2[],7,FALSE))</f>
        <v/>
      </c>
      <c r="K44" s="109">
        <f t="shared" si="4"/>
        <v>0</v>
      </c>
      <c r="L44" s="110"/>
    </row>
    <row r="45" spans="2:12" ht="12.75" hidden="1" customHeight="1" x14ac:dyDescent="0.2">
      <c r="B45" s="217"/>
      <c r="C45" s="387" t="str">
        <f>IF(B45=0,"",VLOOKUP($B45,Table2[],2,FALSE))</f>
        <v/>
      </c>
      <c r="D45" s="387"/>
      <c r="E45" s="387"/>
      <c r="F45" s="218"/>
      <c r="G45" s="224"/>
      <c r="H45" s="225"/>
      <c r="I45" s="223" t="str">
        <f>IF($B45=0,"",VLOOKUP($B45,Table2[],5,FALSE))</f>
        <v/>
      </c>
      <c r="J45" s="215" t="str">
        <f>IF($B45=0,"",VLOOKUP($B45,Table2[],7,FALSE))</f>
        <v/>
      </c>
      <c r="K45" s="215">
        <f t="shared" si="4"/>
        <v>0</v>
      </c>
      <c r="L45" s="216"/>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4"/>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4"/>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4"/>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4"/>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4"/>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4"/>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4"/>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4"/>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4"/>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4"/>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4"/>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4"/>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137.54999999999998</v>
      </c>
      <c r="L64" s="110"/>
    </row>
    <row r="65" spans="2:12" x14ac:dyDescent="0.2">
      <c r="K65" s="127"/>
    </row>
    <row r="66" spans="2:12" x14ac:dyDescent="0.2">
      <c r="B66" s="107" t="s">
        <v>672</v>
      </c>
      <c r="K66" s="127">
        <f>K33+K64</f>
        <v>214.43</v>
      </c>
      <c r="L66" s="110"/>
    </row>
    <row r="67" spans="2:12" ht="13.5" thickBot="1" x14ac:dyDescent="0.25">
      <c r="D67" s="128" t="s">
        <v>673</v>
      </c>
      <c r="E67" s="129">
        <f>ROUND(SUM($E$33:$H$33)+$K$64,2)</f>
        <v>170.19</v>
      </c>
      <c r="F67" s="388" t="s">
        <v>674</v>
      </c>
      <c r="G67" s="388"/>
      <c r="H67" s="130">
        <f>'General Variables'!$B$11</f>
        <v>7.4999999999999997E-2</v>
      </c>
      <c r="I67" s="131" t="str">
        <f>CONCATENATE("for ",TEXT('General Variables'!$B$12,"0.0")," mo.")</f>
        <v>for 6.0 mo.</v>
      </c>
      <c r="K67" s="132">
        <f>E67*H67*'General Variables'!$B$12/12</f>
        <v>6.3821249999999994</v>
      </c>
      <c r="L67" s="133"/>
    </row>
    <row r="68" spans="2:12" ht="13.5" thickTop="1" x14ac:dyDescent="0.2">
      <c r="B68" s="107" t="s">
        <v>675</v>
      </c>
      <c r="K68" s="127">
        <f>SUM(K66:K67)</f>
        <v>220.81212500000001</v>
      </c>
      <c r="L68" s="110"/>
    </row>
    <row r="69" spans="2:12" x14ac:dyDescent="0.2">
      <c r="K69" s="127"/>
    </row>
    <row r="70" spans="2:12" x14ac:dyDescent="0.2">
      <c r="B70" s="104" t="s">
        <v>981</v>
      </c>
      <c r="C70" s="134"/>
      <c r="D70" s="134"/>
      <c r="E70" s="134"/>
      <c r="F70" s="134"/>
      <c r="G70" s="134"/>
      <c r="H70" s="134"/>
      <c r="I70" s="134"/>
      <c r="J70" s="134"/>
      <c r="K70" s="135">
        <f>'General Variables'!B17</f>
        <v>0</v>
      </c>
      <c r="L70" s="110"/>
    </row>
    <row r="71" spans="2:12" x14ac:dyDescent="0.2">
      <c r="B71" s="103" t="s">
        <v>677</v>
      </c>
      <c r="C71" s="398" t="s">
        <v>49</v>
      </c>
      <c r="D71" s="399"/>
      <c r="E71" s="400"/>
      <c r="F71" s="136">
        <f>IF(C71=0,0,VLOOKUP(C71,RETable,2,FALSE))</f>
        <v>0</v>
      </c>
      <c r="G71" s="388" t="s">
        <v>678</v>
      </c>
      <c r="H71" s="388"/>
      <c r="I71" s="130">
        <f>'General Variables'!$B$10</f>
        <v>0.03</v>
      </c>
      <c r="K71" s="137">
        <f>ROUND(F71*I71,2)</f>
        <v>0</v>
      </c>
      <c r="L71" s="110"/>
    </row>
    <row r="72" spans="2:12" ht="13.5" thickBot="1" x14ac:dyDescent="0.25">
      <c r="B72" s="103" t="s">
        <v>679</v>
      </c>
      <c r="F72" s="138">
        <f>IF(C71=0,0,VLOOKUP(C71,RETable,2,FALSE))</f>
        <v>0</v>
      </c>
      <c r="G72" s="397" t="s">
        <v>678</v>
      </c>
      <c r="H72" s="397"/>
      <c r="I72" s="139">
        <f>'General Variables'!$B$13</f>
        <v>1.2999999999999999E-2</v>
      </c>
      <c r="J72" s="105"/>
      <c r="K72" s="140">
        <f>ROUND(F72*I72,2)</f>
        <v>0</v>
      </c>
      <c r="L72" s="133"/>
    </row>
    <row r="73" spans="2:12" ht="13.5" thickTop="1" x14ac:dyDescent="0.2">
      <c r="B73" s="107" t="s">
        <v>680</v>
      </c>
      <c r="K73" s="127">
        <f>SUM(K68:K72)</f>
        <v>220.81212500000001</v>
      </c>
      <c r="L73" s="110"/>
    </row>
    <row r="74" spans="2:12" x14ac:dyDescent="0.2">
      <c r="K74" s="128"/>
    </row>
    <row r="75" spans="2:12" x14ac:dyDescent="0.2">
      <c r="C75" s="105"/>
      <c r="D75" s="103" t="s">
        <v>900</v>
      </c>
      <c r="G75" s="105"/>
      <c r="H75" s="105"/>
      <c r="I75" s="105"/>
      <c r="J75" s="105"/>
      <c r="K75" s="355" t="s">
        <v>901</v>
      </c>
      <c r="L75" s="105"/>
    </row>
    <row r="76" spans="2:12" x14ac:dyDescent="0.2">
      <c r="B76" s="107" t="str">
        <f>IF(G4="","","Cost of production per "&amp;H4)</f>
        <v/>
      </c>
      <c r="K76" s="141" t="str">
        <f>IF(G4="","",K73/G4)</f>
        <v/>
      </c>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sheetProtection formatCells="0" formatRows="0"/>
  <mergeCells count="48">
    <mergeCell ref="C39:E39"/>
    <mergeCell ref="H35:I35"/>
    <mergeCell ref="J35:J36"/>
    <mergeCell ref="G72:H72"/>
    <mergeCell ref="C50:E50"/>
    <mergeCell ref="C51:E51"/>
    <mergeCell ref="C52:E52"/>
    <mergeCell ref="C53:E53"/>
    <mergeCell ref="C54:E54"/>
    <mergeCell ref="C55:E55"/>
    <mergeCell ref="C56:E56"/>
    <mergeCell ref="C62:E62"/>
    <mergeCell ref="F67:G67"/>
    <mergeCell ref="C71:E71"/>
    <mergeCell ref="G71:H71"/>
    <mergeCell ref="C57:E57"/>
    <mergeCell ref="C59:E59"/>
    <mergeCell ref="A6:M6"/>
    <mergeCell ref="C3:E3"/>
    <mergeCell ref="G2:H2"/>
    <mergeCell ref="C4:E4"/>
    <mergeCell ref="C48:E48"/>
    <mergeCell ref="B7:L7"/>
    <mergeCell ref="L35:L36"/>
    <mergeCell ref="B10:B11"/>
    <mergeCell ref="C10:C11"/>
    <mergeCell ref="E10:E11"/>
    <mergeCell ref="F10:F11"/>
    <mergeCell ref="G10:H10"/>
    <mergeCell ref="K10:K11"/>
    <mergeCell ref="L10:L11"/>
    <mergeCell ref="G35:G36"/>
    <mergeCell ref="I10:J10"/>
    <mergeCell ref="F35:F36"/>
    <mergeCell ref="C61:E61"/>
    <mergeCell ref="C49:E49"/>
    <mergeCell ref="C37:E37"/>
    <mergeCell ref="C38:E38"/>
    <mergeCell ref="C40:E40"/>
    <mergeCell ref="C41:E41"/>
    <mergeCell ref="C42:E42"/>
    <mergeCell ref="C43:E43"/>
    <mergeCell ref="C44:E44"/>
    <mergeCell ref="C45:E45"/>
    <mergeCell ref="C46:E46"/>
    <mergeCell ref="C47:E47"/>
    <mergeCell ref="C60:E60"/>
    <mergeCell ref="C58:E58"/>
  </mergeCells>
  <dataValidations count="9">
    <dataValidation type="list" allowBlank="1" showInputMessage="1" showErrorMessage="1" sqref="B63" xr:uid="{00000000-0002-0000-0700-000000000000}">
      <formula1>$C$112:$C$211</formula1>
    </dataValidation>
    <dataValidation type="list" allowBlank="1" showInputMessage="1" showErrorMessage="1" sqref="B32" xr:uid="{00000000-0002-0000-0700-000001000000}">
      <formula1>$B$112:$B$211</formula1>
    </dataValidation>
    <dataValidation type="list" allowBlank="1" showInputMessage="1" showErrorMessage="1" sqref="C71:E71" xr:uid="{00000000-0002-0000-0700-000002000000}">
      <formula1>RealEstateList</formula1>
    </dataValidation>
    <dataValidation type="list" allowBlank="1" showInputMessage="1" showErrorMessage="1" sqref="B12:B31" xr:uid="{00000000-0002-0000-0700-000003000000}">
      <formula1>OperationList</formula1>
    </dataValidation>
    <dataValidation type="list" allowBlank="1" showInputMessage="1" showErrorMessage="1" sqref="K4" xr:uid="{00000000-0002-0000-0700-000004000000}">
      <formula1>$K$112:$K$114</formula1>
    </dataValidation>
    <dataValidation type="list" allowBlank="1" showInputMessage="1" showErrorMessage="1" sqref="B37:B61" xr:uid="{00000000-0002-0000-0700-000005000000}">
      <formula1>MaterialList</formula1>
    </dataValidation>
    <dataValidation type="list" allowBlank="1" showInputMessage="1" showErrorMessage="1" sqref="D12:D32" xr:uid="{00000000-0002-0000-0700-000006000000}">
      <formula1>#REF!</formula1>
    </dataValidation>
    <dataValidation type="list" allowBlank="1" showInputMessage="1" showErrorMessage="1" sqref="K2" xr:uid="{00000000-0002-0000-0700-000007000000}">
      <formula1>watersource</formula1>
    </dataValidation>
    <dataValidation type="list" allowBlank="1" showInputMessage="1" showErrorMessage="1" sqref="C3" xr:uid="{00000000-0002-0000-0700-000008000000}">
      <formula1>TillageSystem</formula1>
    </dataValidation>
  </dataValidations>
  <pageMargins left="0.7" right="0.7" top="0.75" bottom="0.75" header="0.3" footer="0.3"/>
  <pageSetup scale="7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51">
    <pageSetUpPr fitToPage="1"/>
  </sheetPr>
  <dimension ref="A2:M258"/>
  <sheetViews>
    <sheetView zoomScaleNormal="100" workbookViewId="0">
      <selection activeCell="I19" sqref="I1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773</v>
      </c>
      <c r="H2" s="392"/>
      <c r="J2" s="128" t="s">
        <v>649</v>
      </c>
      <c r="K2" s="401" t="s">
        <v>69</v>
      </c>
      <c r="L2" s="401"/>
    </row>
    <row r="3" spans="1:13" hidden="1" x14ac:dyDescent="0.2">
      <c r="B3" s="103" t="s">
        <v>38</v>
      </c>
      <c r="C3" s="391" t="s">
        <v>46</v>
      </c>
      <c r="D3" s="391"/>
      <c r="E3" s="391"/>
      <c r="G3" s="128" t="s">
        <v>650</v>
      </c>
      <c r="H3" s="187" t="s">
        <v>774</v>
      </c>
      <c r="J3" s="128" t="s">
        <v>651</v>
      </c>
      <c r="K3" s="187">
        <v>6</v>
      </c>
    </row>
    <row r="4" spans="1:13" hidden="1" x14ac:dyDescent="0.2">
      <c r="B4" s="103" t="s">
        <v>652</v>
      </c>
      <c r="C4" s="392" t="s">
        <v>775</v>
      </c>
      <c r="D4" s="392"/>
      <c r="E4" s="392"/>
      <c r="G4" s="103">
        <f>IFERROR(VALUE(LEFT($H$3,FIND(" ",$H$3))),"")</f>
        <v>64</v>
      </c>
      <c r="H4" s="103" t="str">
        <f>IFERROR(RIGHT(H3,LEN(H3)-LEN(G4)-1),"")</f>
        <v>bushel</v>
      </c>
      <c r="J4" s="128" t="s">
        <v>653</v>
      </c>
      <c r="K4" s="188"/>
    </row>
    <row r="5" spans="1:13" ht="15.75" hidden="1" customHeight="1" x14ac:dyDescent="0.2">
      <c r="B5" s="103" t="s">
        <v>655</v>
      </c>
      <c r="C5" s="103" t="str">
        <f ca="1">MID(CELL("filename",C5),FIND("]",CELL("filename",C5))+1,255)</f>
        <v>64-Soybeans</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64-Soybeans, Roundup Ready 2 Yield® Treated, No Till, Narrow Row, Continuous, 64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64-Soybeans, Roundup Ready 2 Yield® Treated, No Till, Narrow Row, Continuous, 64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528</v>
      </c>
      <c r="C13" s="174">
        <v>1</v>
      </c>
      <c r="D13" s="174"/>
      <c r="E13" s="109">
        <f>IF(B13=0,"",IF(C13&gt;9999,"",ROUND('General Variables'!$B$4*VLOOKUP(B13,Operations!$A$2:$U$79,10,FALSE)/VLOOKUP(B13,Operations!$A$2:$U$79,9,FALSE)*C13,2)))</f>
        <v>3.24</v>
      </c>
      <c r="F13" s="109">
        <f>IF(B13=0,0,IF(C13&gt;9999,"",ROUND(IF(VLOOKUP(B13,Operations!$A$2:$U$79,12,FALSE)=0,VLOOKUP(B13,Operations!$A$2:$U$79,13,FALSE)*'General Variables'!$B$8,VLOOKUP(B13,Operations!$A$2:$U$79,12,FALSE)*'General Variables'!$B$7)/VLOOKUP(B13,Operations!$A$2:$U$79,9,FALSE)*C13,2)))</f>
        <v>0.82</v>
      </c>
      <c r="G13" s="109">
        <f>IF(B13=0,0,IF(C13&gt;9999,"",ROUND(VLOOKUP(VLOOKUP(B13,Operations!$A$2:$U$79,11,FALSE),PowerUnits[],10,FALSE)/VLOOKUP(B13,Operations!$A$2:$U$79,9,FALSE)*C13,2)))</f>
        <v>0.08</v>
      </c>
      <c r="H13" s="109">
        <f>IF(B13=0,"",IF(C13&gt;9999,"",ROUND(VLOOKUP($B13,Operations!$A$2:$U$79,15,FALSE)*C13,2)))</f>
        <v>6.97</v>
      </c>
      <c r="I13" s="109">
        <f>IF(B13=0,0,IF(C13&gt;9999,"",ROUND(VLOOKUP(VLOOKUP(B13,Operations!$A$2:$U$79,11,FALSE),PowerUnits[],16,FALSE)/VLOOKUP(B13,Operations!$A$2:$U$79,9,FALSE)*C13,2)))</f>
        <v>4.33</v>
      </c>
      <c r="J13" s="109">
        <f>IF(B13=0,"",IF(C13&gt;9999,"",ROUND(VLOOKUP($B13,Operations!$A$2:$U$79,21,FALSE)*$C13,2)))</f>
        <v>6.61</v>
      </c>
      <c r="K13" s="109">
        <f t="shared" ref="K13:K31" si="0">IF(C13&gt;9999,"",ROUND(SUM(E13:J13),2))</f>
        <v>22.05</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522</v>
      </c>
      <c r="C17" s="174">
        <f>$K$3</f>
        <v>6</v>
      </c>
      <c r="D17" s="174" t="s">
        <v>693</v>
      </c>
      <c r="E17" s="109">
        <f>IF(B17=0,"",IF(C17&gt;9999,"",ROUND('General Variables'!$B$4*VLOOKUP(B17,Operations!$A$2:$U$79,10,FALSE)/VLOOKUP(B17,Operations!$A$2:$U$79,9,FALSE)*C17,2)))</f>
        <v>5.63</v>
      </c>
      <c r="F17" s="109">
        <f>IF(B17=0,0,IF(C17&gt;9999,"",ROUND(IF(VLOOKUP(B17,Operations!$A$2:$U$79,12,FALSE)=0,VLOOKUP(B17,Operations!$A$2:$U$79,13,FALSE)*'General Variables'!$B$8,VLOOKUP(B17,Operations!$A$2:$U$79,12,FALSE)*'General Variables'!$B$7)/VLOOKUP(B17,Operations!$A$2:$U$79,9,FALSE)*C17,2)))</f>
        <v>35.590000000000003</v>
      </c>
      <c r="G17" s="109">
        <f>IF(B17=0,0,IF(C17&gt;9999,"",ROUND(VLOOKUP(VLOOKUP(B17,Operations!$A$2:$U$79,11,FALSE),PowerUnits[],10,FALSE)/VLOOKUP(B17,Operations!$A$2:$U$79,9,FALSE)*C17,2)))</f>
        <v>3.27</v>
      </c>
      <c r="H17" s="109">
        <f>IF(B17=0,"",IF(C17&gt;9999,"",ROUND(VLOOKUP($B17,Operations!$A$2:$U$79,15,FALSE)*C17,2)))</f>
        <v>15.91</v>
      </c>
      <c r="I17" s="109">
        <f>IF(B17=0,0,IF(C17&gt;9999,"",ROUND(VLOOKUP(VLOOKUP(B17,Operations!$A$2:$U$79,11,FALSE),PowerUnits[],16,FALSE)/VLOOKUP(B17,Operations!$A$2:$U$79,9,FALSE)*C17,2)))</f>
        <v>6.2</v>
      </c>
      <c r="J17" s="109">
        <f>IF(B17=0,"",IF(C17&gt;9999,"",ROUND(VLOOKUP($B17,Operations!$A$2:$U$79,21,FALSE)*$C17,2)))</f>
        <v>8.73</v>
      </c>
      <c r="K17" s="109">
        <f>IF(C17&gt;9999,"",ROUND(SUM(E17:J17),2))</f>
        <v>75.33</v>
      </c>
      <c r="L17" s="110"/>
    </row>
    <row r="18" spans="1:12" x14ac:dyDescent="0.2">
      <c r="A18" s="170" t="s">
        <v>910</v>
      </c>
      <c r="B18" s="180" t="s">
        <v>940</v>
      </c>
      <c r="C18" s="174">
        <v>135</v>
      </c>
      <c r="D18" s="174"/>
      <c r="E18" s="109">
        <f>IF(B18=0,"",IF(C18&gt;9999,"",ROUND('General Variables'!$B$4*VLOOKUP(B18,Operations!$A$2:$U$79,10,FALSE)/VLOOKUP(B18,Operations!$A$2:$U$79,9,FALSE)*C18,2))/100)</f>
        <v>3.0842000000000001</v>
      </c>
      <c r="F18" s="109">
        <f>IF(B18=0,0,IF(C18&gt;9999,"",ROUND(IF(VLOOKUP(B18,Operations!$A$2:$U$79,12,FALSE)=0,VLOOKUP(B18,Operations!$A$2:$U$79,13,FALSE)*'General Variables'!$B$8,VLOOKUP(B18,Operations!$A$2:$U$79,12,FALSE)*'General Variables'!$B$7)/VLOOKUP(B18,Operations!$A$2:$U$79,9,FALSE)*C18,2))/100)</f>
        <v>3.4860000000000002</v>
      </c>
      <c r="G18" s="109">
        <f>IF(B18=0,0,IF(C18&gt;9999,"",ROUND(VLOOKUP(VLOOKUP(B18,Operations!$A$2:$U$79,11,FALSE),PowerUnits[],10,FALSE)/VLOOKUP(B18,Operations!$A$2:$U$79,9,FALSE)*C18,2))/100)</f>
        <v>5.3592999999999993</v>
      </c>
      <c r="H18" s="109">
        <f>IF(B18=0,"",IF(C18&gt;9999,"",ROUND(VLOOKUP($B18,Operations!$A$2:$U$79,15,FALSE)*C18,2))/100)</f>
        <v>1.1124000000000001</v>
      </c>
      <c r="I18" s="109">
        <f>IF(B18=0,0,IF(C18&gt;9999,"",ROUND(VLOOKUP(VLOOKUP(B18,Operations!$A$2:$U$79,11,FALSE),PowerUnits[],16,FALSE)/VLOOKUP(B18,Operations!$A$2:$U$79,9,FALSE)*C18,2))/80)</f>
        <v>16.13325</v>
      </c>
      <c r="J18" s="109">
        <f>IF(B18=0,"",IF(C18&gt;9999,"",ROUND(VLOOKUP($B18,Operations!$A$2:$U$79,21,FALSE)*$C18,2))/90)</f>
        <v>5.717888888888889</v>
      </c>
      <c r="K18" s="109">
        <f>IF(C18&gt;9999,"",ROUND(SUM(E18:J18),2))</f>
        <v>34.89</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13.994199999999999</v>
      </c>
      <c r="F33" s="109">
        <f t="shared" ref="F33:K33" si="1">SUM(F12:F31)</f>
        <v>40.416000000000004</v>
      </c>
      <c r="G33" s="109">
        <f t="shared" si="1"/>
        <v>8.7692999999999994</v>
      </c>
      <c r="H33" s="109">
        <f t="shared" si="1"/>
        <v>26.212400000000002</v>
      </c>
      <c r="I33" s="109">
        <f t="shared" si="1"/>
        <v>29.283250000000002</v>
      </c>
      <c r="J33" s="109">
        <f t="shared" si="1"/>
        <v>25.097888888888892</v>
      </c>
      <c r="K33" s="109">
        <f t="shared" si="1"/>
        <v>143.76999999999998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0.8</v>
      </c>
      <c r="H37" s="176">
        <v>32</v>
      </c>
      <c r="I37" s="120" t="str">
        <f>IF($B37=0,"",VLOOKUP($B37,Table2[],5,FALSE))</f>
        <v>ounce</v>
      </c>
      <c r="J37" s="109">
        <f>IF($B37=0,"",VLOOKUP($B37,Table2[],7,FALSE))</f>
        <v>0.1328125</v>
      </c>
      <c r="K37" s="109">
        <f>IF(B37=0,0,ROUND(G37*H37*J37,2))</f>
        <v>3.4</v>
      </c>
      <c r="L37" s="110"/>
    </row>
    <row r="38" spans="1:12" x14ac:dyDescent="0.2">
      <c r="A38" s="143" t="s">
        <v>750</v>
      </c>
      <c r="B38" s="180" t="s">
        <v>229</v>
      </c>
      <c r="C38" s="388" t="str">
        <f>IF(B38=0,"",VLOOKUP($B38,Table2[],2,FALSE))</f>
        <v>Herbicide</v>
      </c>
      <c r="D38" s="388"/>
      <c r="E38" s="388"/>
      <c r="F38" s="174">
        <v>1</v>
      </c>
      <c r="G38" s="175">
        <v>0.8</v>
      </c>
      <c r="H38" s="176">
        <v>1</v>
      </c>
      <c r="I38" s="120" t="str">
        <f>IF($B38=0,"",VLOOKUP($B38,Table2[],5,FALSE))</f>
        <v>pint</v>
      </c>
      <c r="J38" s="109">
        <f>IF($B38=0,"",VLOOKUP($B38,Table2[],7,FALSE))</f>
        <v>2.5</v>
      </c>
      <c r="K38" s="109">
        <f t="shared" ref="K38:K57" si="2">IF(B38=0,0,ROUND(G38*H38*J38,2))</f>
        <v>2</v>
      </c>
      <c r="L38" s="110"/>
    </row>
    <row r="39" spans="1:12" x14ac:dyDescent="0.2">
      <c r="A39" s="105"/>
      <c r="B39" s="180" t="s">
        <v>170</v>
      </c>
      <c r="C39" s="388" t="str">
        <f>IF(B39=0,"",VLOOKUP($B39,Table2[],2,FALSE))</f>
        <v>Additive</v>
      </c>
      <c r="D39" s="388"/>
      <c r="E39" s="388"/>
      <c r="F39" s="174">
        <v>1</v>
      </c>
      <c r="G39" s="175">
        <v>0.8</v>
      </c>
      <c r="H39" s="176">
        <v>1.7</v>
      </c>
      <c r="I39" s="120" t="str">
        <f>IF($B39=0,"",VLOOKUP($B39,Table2[],5,FALSE))</f>
        <v>pound</v>
      </c>
      <c r="J39" s="109">
        <f>IF($B39=0,"",VLOOKUP($B39,Table2[],7,FALSE))</f>
        <v>0.4</v>
      </c>
      <c r="K39" s="109">
        <f t="shared" si="2"/>
        <v>0.54</v>
      </c>
      <c r="L39" s="110"/>
    </row>
    <row r="40" spans="1:12" x14ac:dyDescent="0.2">
      <c r="A40" s="105"/>
      <c r="B40" s="213" t="s">
        <v>257</v>
      </c>
      <c r="C40" s="387" t="str">
        <f>IF(B40=0,"",VLOOKUP($B40,Table2[],2,FALSE))</f>
        <v>Herbicide</v>
      </c>
      <c r="D40" s="387"/>
      <c r="E40" s="387"/>
      <c r="F40" s="214">
        <v>1</v>
      </c>
      <c r="G40" s="221">
        <v>1</v>
      </c>
      <c r="H40" s="222">
        <v>1.25</v>
      </c>
      <c r="I40" s="223" t="s">
        <v>179</v>
      </c>
      <c r="J40" s="215">
        <f>IF($B40=0,"",VLOOKUP($B40,Table2[],7,FALSE))</f>
        <v>36.25</v>
      </c>
      <c r="K40" s="215">
        <f t="shared" si="2"/>
        <v>45.31</v>
      </c>
      <c r="L40" s="216"/>
    </row>
    <row r="41" spans="1:12" x14ac:dyDescent="0.2">
      <c r="A41" s="105"/>
      <c r="B41" s="180" t="s">
        <v>338</v>
      </c>
      <c r="C41" s="388" t="str">
        <f>IF(B41=0,"",VLOOKUP($B41,Table2[],2,FALSE))</f>
        <v>Seed</v>
      </c>
      <c r="D41" s="388"/>
      <c r="E41" s="388"/>
      <c r="F41" s="174">
        <v>2</v>
      </c>
      <c r="G41" s="175">
        <v>1</v>
      </c>
      <c r="H41" s="176">
        <v>1</v>
      </c>
      <c r="I41" s="120" t="str">
        <f>IF($B41=0,"",VLOOKUP($B41,Table2[],5,FALSE))</f>
        <v>bag</v>
      </c>
      <c r="J41" s="109">
        <f>IF($B41=0,"",VLOOKUP($B41,Table2[],7,FALSE))</f>
        <v>83</v>
      </c>
      <c r="K41" s="109">
        <f t="shared" si="2"/>
        <v>83</v>
      </c>
      <c r="L41" s="110"/>
    </row>
    <row r="42" spans="1:12" x14ac:dyDescent="0.2">
      <c r="A42" s="105"/>
      <c r="B42" s="180" t="s">
        <v>342</v>
      </c>
      <c r="C42" s="388" t="str">
        <f>IF(B42=0,"",VLOOKUP($B42,Table2[],2,FALSE))</f>
        <v>Inoculant</v>
      </c>
      <c r="D42" s="388"/>
      <c r="E42" s="388"/>
      <c r="F42" s="174">
        <v>2</v>
      </c>
      <c r="G42" s="175">
        <v>1</v>
      </c>
      <c r="H42" s="176">
        <v>1</v>
      </c>
      <c r="I42" s="120" t="str">
        <f>IF($B42=0,"",VLOOKUP($B42,Table2[],5,FALSE))</f>
        <v>acre</v>
      </c>
      <c r="J42" s="109">
        <f>IF($B42=0,"",VLOOKUP($B42,Table2[],7,FALSE))</f>
        <v>7</v>
      </c>
      <c r="K42" s="109">
        <f t="shared" ref="K42" si="3">IF(B42=0,0,ROUND(G42*H42*J42,2))</f>
        <v>7</v>
      </c>
      <c r="L42" s="110"/>
    </row>
    <row r="43" spans="1:12" x14ac:dyDescent="0.2">
      <c r="A43" s="105"/>
      <c r="B43" s="180" t="s">
        <v>889</v>
      </c>
      <c r="C43" s="388" t="str">
        <f>IF(B43=0,"",VLOOKUP($B43,Table2[],2,FALSE))</f>
        <v>Herbicide</v>
      </c>
      <c r="D43" s="388"/>
      <c r="E43" s="388"/>
      <c r="F43" s="174">
        <v>3</v>
      </c>
      <c r="G43" s="175">
        <v>1</v>
      </c>
      <c r="H43" s="176">
        <v>32</v>
      </c>
      <c r="I43" s="120" t="str">
        <f>IF($B43=0,"",VLOOKUP($B43,Table2[],5,FALSE))</f>
        <v>ounce</v>
      </c>
      <c r="J43" s="109">
        <f>IF($B43=0,"",VLOOKUP($B43,Table2[],7,FALSE))</f>
        <v>0.1953125</v>
      </c>
      <c r="K43" s="109">
        <f t="shared" si="2"/>
        <v>6.25</v>
      </c>
      <c r="L43" s="110"/>
    </row>
    <row r="44" spans="1:12" x14ac:dyDescent="0.2">
      <c r="A44" s="105"/>
      <c r="B44" s="213" t="s">
        <v>888</v>
      </c>
      <c r="C44" s="247"/>
      <c r="D44" s="247" t="s">
        <v>228</v>
      </c>
      <c r="E44" s="247"/>
      <c r="F44" s="214">
        <v>3</v>
      </c>
      <c r="G44" s="221">
        <v>1</v>
      </c>
      <c r="H44" s="222">
        <v>3</v>
      </c>
      <c r="I44" s="223" t="s">
        <v>272</v>
      </c>
      <c r="J44" s="215">
        <f>IF($B44=0,"",VLOOKUP($B44,Table2[],7,FALSE))</f>
        <v>3.125</v>
      </c>
      <c r="K44" s="215">
        <f t="shared" ref="K44" si="4">IF(B44=0,0,ROUND(G44*H44*J44,2))</f>
        <v>9.3800000000000008</v>
      </c>
      <c r="L44" s="216"/>
    </row>
    <row r="45" spans="1:12" x14ac:dyDescent="0.2">
      <c r="A45" s="143"/>
      <c r="B45" s="180" t="s">
        <v>170</v>
      </c>
      <c r="C45" s="388" t="str">
        <f>IF(B45=0,"",VLOOKUP($B45,Table2[],2,FALSE))</f>
        <v>Additive</v>
      </c>
      <c r="D45" s="388"/>
      <c r="E45" s="388"/>
      <c r="F45" s="174">
        <v>3</v>
      </c>
      <c r="G45" s="175">
        <v>1</v>
      </c>
      <c r="H45" s="176">
        <v>1.7</v>
      </c>
      <c r="I45" s="120" t="str">
        <f>IF($B45=0,"",VLOOKUP($B45,Table2[],5,FALSE))</f>
        <v>pound</v>
      </c>
      <c r="J45" s="109">
        <f>IF($B45=0,"",VLOOKUP($B45,Table2[],7,FALSE))</f>
        <v>0.4</v>
      </c>
      <c r="K45" s="109">
        <f t="shared" si="2"/>
        <v>0.68</v>
      </c>
      <c r="L45" s="110"/>
    </row>
    <row r="46" spans="1:12" x14ac:dyDescent="0.2">
      <c r="A46" s="143"/>
      <c r="B46" s="254" t="s">
        <v>183</v>
      </c>
      <c r="C46" s="389" t="str">
        <f>IF(B46=0,"",VLOOKUP($B46,Table2[],2,FALSE))</f>
        <v>Custom</v>
      </c>
      <c r="D46" s="389"/>
      <c r="E46" s="389"/>
      <c r="F46" s="255">
        <v>4</v>
      </c>
      <c r="G46" s="337">
        <v>0.2</v>
      </c>
      <c r="H46" s="338">
        <v>1</v>
      </c>
      <c r="I46" s="339" t="str">
        <f>IF($B46=0,"",VLOOKUP($B46,Table2[],5,FALSE))</f>
        <v>acre</v>
      </c>
      <c r="J46" s="256">
        <f>IF($B46=0,"",VLOOKUP($B46,Table2[],7,FALSE))</f>
        <v>11</v>
      </c>
      <c r="K46" s="256">
        <f t="shared" si="2"/>
        <v>2.2000000000000002</v>
      </c>
      <c r="L46" s="257"/>
    </row>
    <row r="47" spans="1:12" x14ac:dyDescent="0.2">
      <c r="A47" s="143" t="s">
        <v>906</v>
      </c>
      <c r="B47" s="180" t="s">
        <v>290</v>
      </c>
      <c r="C47" s="388" t="str">
        <f>IF(B47=0,"",VLOOKUP($B47,Table2[],2,FALSE))</f>
        <v>Insecticide</v>
      </c>
      <c r="D47" s="388"/>
      <c r="E47" s="388"/>
      <c r="F47" s="174">
        <v>4</v>
      </c>
      <c r="G47" s="175">
        <v>0.2</v>
      </c>
      <c r="H47" s="176">
        <v>1.6</v>
      </c>
      <c r="I47" s="120" t="str">
        <f>IF($B47=0,"",VLOOKUP($B47,Table2[],5,FALSE))</f>
        <v>ounce</v>
      </c>
      <c r="J47" s="109">
        <f>IF($B47=0,"",VLOOKUP($B47,Table2[],7,FALSE))</f>
        <v>3.203125</v>
      </c>
      <c r="K47" s="109">
        <f t="shared" si="2"/>
        <v>1.03</v>
      </c>
      <c r="L47" s="110"/>
    </row>
    <row r="48" spans="1:12" x14ac:dyDescent="0.2">
      <c r="A48" s="143"/>
      <c r="B48" s="213" t="s">
        <v>183</v>
      </c>
      <c r="C48" s="387" t="str">
        <f>IF(B48=0,"",VLOOKUP($B48,Table2[],2,FALSE))</f>
        <v>Custom</v>
      </c>
      <c r="D48" s="387"/>
      <c r="E48" s="387"/>
      <c r="F48" s="214">
        <v>5</v>
      </c>
      <c r="G48" s="221">
        <v>0.4</v>
      </c>
      <c r="H48" s="222">
        <v>1</v>
      </c>
      <c r="I48" s="223" t="str">
        <f>IF($B48=0,"",VLOOKUP($B48,Table2[],5,FALSE))</f>
        <v>acre</v>
      </c>
      <c r="J48" s="215">
        <f>IF($B48=0,"",VLOOKUP($B48,Table2[],7,FALSE))</f>
        <v>11</v>
      </c>
      <c r="K48" s="215">
        <f t="shared" si="2"/>
        <v>4.4000000000000004</v>
      </c>
      <c r="L48" s="216"/>
    </row>
    <row r="49" spans="1:12" x14ac:dyDescent="0.2">
      <c r="A49" s="143"/>
      <c r="B49" s="180" t="s">
        <v>216</v>
      </c>
      <c r="C49" s="388" t="str">
        <f>IF(B49=0,"",VLOOKUP($B49,Table2[],2,FALSE))</f>
        <v>Fungicide</v>
      </c>
      <c r="D49" s="388"/>
      <c r="E49" s="388"/>
      <c r="F49" s="174">
        <v>5</v>
      </c>
      <c r="G49" s="175">
        <v>0.4</v>
      </c>
      <c r="H49" s="176">
        <v>3</v>
      </c>
      <c r="I49" s="120" t="str">
        <f>IF($B49=0,"",VLOOKUP($B49,Table2[],5,FALSE))</f>
        <v>ounce</v>
      </c>
      <c r="J49" s="109">
        <f>IF($B49=0,"",VLOOKUP($B49,Table2[],7,FALSE))</f>
        <v>5.078125</v>
      </c>
      <c r="K49" s="109">
        <f t="shared" si="2"/>
        <v>6.09</v>
      </c>
      <c r="L49" s="110"/>
    </row>
    <row r="50" spans="1:12" x14ac:dyDescent="0.2">
      <c r="A50" s="105"/>
      <c r="B50" s="254" t="s">
        <v>198</v>
      </c>
      <c r="C50" s="389" t="str">
        <f>IF(B50=0,"",VLOOKUP($B50,Table2[],2,FALSE))</f>
        <v>Custom</v>
      </c>
      <c r="D50" s="389"/>
      <c r="E50" s="389"/>
      <c r="F50" s="255">
        <v>8</v>
      </c>
      <c r="G50" s="337">
        <v>1</v>
      </c>
      <c r="H50" s="338">
        <f>$G$4</f>
        <v>64</v>
      </c>
      <c r="I50" s="339" t="str">
        <f>IF($B50=0,"",VLOOKUP($B50,Table2[],5,FALSE))</f>
        <v>bushel</v>
      </c>
      <c r="J50" s="256">
        <f>IF($B50=0,"",VLOOKUP($B50,Table2[],7,FALSE))</f>
        <v>0.15</v>
      </c>
      <c r="K50" s="256">
        <f t="shared" si="2"/>
        <v>9.6</v>
      </c>
      <c r="L50" s="257"/>
    </row>
    <row r="51" spans="1:12" x14ac:dyDescent="0.2">
      <c r="A51" s="105"/>
      <c r="B51" s="180" t="s">
        <v>314</v>
      </c>
      <c r="C51" s="388" t="str">
        <f>IF(B51=0,"",VLOOKUP($B51,Table2[],2,FALSE))</f>
        <v>Scouting</v>
      </c>
      <c r="D51" s="388"/>
      <c r="E51" s="388"/>
      <c r="F51" s="174"/>
      <c r="G51" s="175">
        <v>1</v>
      </c>
      <c r="H51" s="176">
        <v>1</v>
      </c>
      <c r="I51" s="120" t="str">
        <f>IF($B51=0,"",VLOOKUP($B51,Table2[],5,FALSE))</f>
        <v>acre</v>
      </c>
      <c r="J51" s="109">
        <f>IF($B51=0,"",VLOOKUP($B51,Table2[],7,FALSE))</f>
        <v>13</v>
      </c>
      <c r="K51" s="109">
        <f t="shared" si="2"/>
        <v>13</v>
      </c>
      <c r="L51" s="110"/>
    </row>
    <row r="52" spans="1:12" ht="12.75" hidden="1" customHeight="1" x14ac:dyDescent="0.2">
      <c r="B52" s="180"/>
      <c r="C52" s="388" t="str">
        <f>IF(B52=0,"",VLOOKUP($B52,Table2[],2,FALSE))</f>
        <v/>
      </c>
      <c r="D52" s="388"/>
      <c r="E52" s="388"/>
      <c r="F52" s="174"/>
      <c r="G52" s="175"/>
      <c r="H52" s="176"/>
      <c r="I52" s="120" t="str">
        <f>IF($B52=0,"",VLOOKUP($B52,Table2[],5,FALSE))</f>
        <v/>
      </c>
      <c r="J52" s="109" t="str">
        <f>IF($B52=0,"",VLOOKUP($B52,Table2[],7,FALSE))</f>
        <v/>
      </c>
      <c r="K52" s="109">
        <f t="shared" si="2"/>
        <v>0</v>
      </c>
      <c r="L52" s="110"/>
    </row>
    <row r="53" spans="1:12" ht="12.75" hidden="1" customHeight="1" x14ac:dyDescent="0.2">
      <c r="B53" s="111"/>
      <c r="C53" s="388" t="str">
        <f>IF(B53=0,"",VLOOKUP($B53,Table2[],2,FALSE))</f>
        <v/>
      </c>
      <c r="D53" s="388"/>
      <c r="E53" s="388"/>
      <c r="F53" s="112"/>
      <c r="G53" s="175"/>
      <c r="H53" s="178"/>
      <c r="I53" s="120" t="str">
        <f>IF($B53=0,"",VLOOKUP($B53,Table2[],5,FALSE))</f>
        <v/>
      </c>
      <c r="J53" s="109" t="str">
        <f>IF($B53=0,"",VLOOKUP($B53,Table2[],7,FALSE))</f>
        <v/>
      </c>
      <c r="K53" s="109">
        <f t="shared" si="2"/>
        <v>0</v>
      </c>
      <c r="L53" s="110"/>
    </row>
    <row r="54" spans="1:12" ht="12.75" hidden="1" customHeight="1" x14ac:dyDescent="0.2">
      <c r="B54" s="217"/>
      <c r="C54" s="387" t="str">
        <f>IF(B54=0,"",VLOOKUP($B54,Table2[],2,FALSE))</f>
        <v/>
      </c>
      <c r="D54" s="387"/>
      <c r="E54" s="387"/>
      <c r="F54" s="218"/>
      <c r="G54" s="224">
        <v>0.1</v>
      </c>
      <c r="H54" s="225"/>
      <c r="I54" s="223" t="str">
        <f>IF($B54=0,"",VLOOKUP($B54,Table2[],5,FALSE))</f>
        <v/>
      </c>
      <c r="J54" s="215" t="str">
        <f>IF($B54=0,"",VLOOKUP($B54,Table2[],7,FALSE))</f>
        <v/>
      </c>
      <c r="K54" s="215">
        <f t="shared" si="2"/>
        <v>0</v>
      </c>
      <c r="L54" s="216"/>
    </row>
    <row r="55" spans="1:12" ht="12.75" hidden="1" customHeight="1" x14ac:dyDescent="0.2">
      <c r="B55" s="111"/>
      <c r="C55" s="388" t="str">
        <f>IF(B55=0,"",VLOOKUP($B55,Table2[],2,FALSE))</f>
        <v/>
      </c>
      <c r="D55" s="388"/>
      <c r="E55" s="388"/>
      <c r="F55" s="112"/>
      <c r="G55" s="177">
        <v>0.2</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v>0.3</v>
      </c>
      <c r="H56" s="178"/>
      <c r="I56" s="120" t="str">
        <f>IF($B56=0,"",VLOOKUP($B56,Table2[],5,FALSE))</f>
        <v/>
      </c>
      <c r="J56" s="109" t="str">
        <f>IF($B56=0,"",VLOOKUP($B56,Table2[],7,FALSE))</f>
        <v/>
      </c>
      <c r="K56" s="109">
        <f t="shared" si="2"/>
        <v>0</v>
      </c>
      <c r="L56" s="110"/>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 t="shared" si="2"/>
        <v>0</v>
      </c>
      <c r="L57" s="113"/>
    </row>
    <row r="58" spans="1:12" ht="12.75" hidden="1" customHeight="1" x14ac:dyDescent="0.2">
      <c r="B58" s="217"/>
      <c r="C58" s="387" t="str">
        <f>IF(B58=0,"",VLOOKUP($B58,Table2[],2,FALSE))</f>
        <v/>
      </c>
      <c r="D58" s="387"/>
      <c r="E58" s="387"/>
      <c r="F58" s="218"/>
      <c r="G58" s="224"/>
      <c r="H58" s="225"/>
      <c r="I58" s="223" t="str">
        <f>IF($B58=0,"",VLOOKUP($B58,Table2[],5,FALSE))</f>
        <v/>
      </c>
      <c r="J58" s="215" t="str">
        <f>IF($B58=0,"",VLOOKUP($B58,Table2[],7,FALSE))</f>
        <v/>
      </c>
      <c r="K58" s="215">
        <f>IF(B58=0,0,ROUND(G58*H58*J58,2))</f>
        <v>0</v>
      </c>
      <c r="L58" s="227"/>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215">
        <f>IF(B62=0,0,ROUND(G62*H62*J62,2))</f>
        <v>0</v>
      </c>
      <c r="L62" s="227"/>
    </row>
    <row r="63" spans="1:12" x14ac:dyDescent="0.2">
      <c r="B63" s="260" t="s">
        <v>430</v>
      </c>
      <c r="C63" s="387" t="s">
        <v>655</v>
      </c>
      <c r="D63" s="387"/>
      <c r="E63" s="387"/>
      <c r="F63" s="218"/>
      <c r="G63" s="224"/>
      <c r="H63" s="225"/>
      <c r="I63" s="247"/>
      <c r="J63" s="215">
        <f ca="1">IF(F5=0,E5,F5)</f>
        <v>4</v>
      </c>
      <c r="K63" s="215">
        <f ca="1">IF(B63=0,0,J63)</f>
        <v>4</v>
      </c>
      <c r="L63" s="227"/>
    </row>
    <row r="64" spans="1:12" ht="3.75" customHeight="1" thickBot="1" x14ac:dyDescent="0.25">
      <c r="B64" s="114"/>
      <c r="C64" s="121"/>
      <c r="D64" s="121"/>
      <c r="E64" s="121"/>
      <c r="F64" s="115"/>
      <c r="G64" s="122"/>
      <c r="H64" s="114"/>
      <c r="I64" s="123"/>
      <c r="J64" s="124"/>
      <c r="K64" s="125"/>
      <c r="L64" s="117"/>
    </row>
    <row r="65" spans="2:12" ht="13.5" thickTop="1" x14ac:dyDescent="0.2">
      <c r="C65" s="108" t="s">
        <v>671</v>
      </c>
      <c r="D65" s="108"/>
      <c r="J65" s="126"/>
      <c r="K65" s="127">
        <f ca="1">SUM(K37:K63)</f>
        <v>197.88</v>
      </c>
      <c r="L65" s="110"/>
    </row>
    <row r="66" spans="2:12" x14ac:dyDescent="0.2">
      <c r="B66" s="358" t="s">
        <v>909</v>
      </c>
      <c r="C66" s="358"/>
      <c r="D66" s="358"/>
      <c r="E66" s="352" t="s">
        <v>907</v>
      </c>
      <c r="F66" s="358"/>
      <c r="G66" s="358"/>
      <c r="H66" s="352" t="s">
        <v>911</v>
      </c>
      <c r="I66" s="358"/>
      <c r="J66" s="358"/>
      <c r="K66" s="361"/>
    </row>
    <row r="67" spans="2:12" x14ac:dyDescent="0.2">
      <c r="B67" s="144"/>
      <c r="K67" s="127"/>
    </row>
    <row r="68" spans="2:12" x14ac:dyDescent="0.2">
      <c r="B68" s="107" t="s">
        <v>672</v>
      </c>
      <c r="K68" s="127">
        <f ca="1">K33+K65</f>
        <v>341.65</v>
      </c>
      <c r="L68" s="110"/>
    </row>
    <row r="69" spans="2:12" ht="13.5" thickBot="1" x14ac:dyDescent="0.25">
      <c r="D69" s="128" t="s">
        <v>673</v>
      </c>
      <c r="E69" s="129">
        <f ca="1">ROUND(SUM($E$33:$H$33)+$K$65,2)</f>
        <v>287.27</v>
      </c>
      <c r="F69" s="388" t="s">
        <v>674</v>
      </c>
      <c r="G69" s="388"/>
      <c r="H69" s="130">
        <f>'General Variables'!$B$11</f>
        <v>7.4999999999999997E-2</v>
      </c>
      <c r="I69" s="131" t="str">
        <f>CONCATENATE("for ",TEXT('General Variables'!$B$12,"0.0")," mo.")</f>
        <v>for 6.0 mo.</v>
      </c>
      <c r="K69" s="132">
        <f ca="1">E69*H69*'General Variables'!$B$12/12</f>
        <v>10.772625</v>
      </c>
      <c r="L69" s="133"/>
    </row>
    <row r="70" spans="2:12" ht="13.5" thickTop="1" x14ac:dyDescent="0.2">
      <c r="B70" s="107" t="s">
        <v>675</v>
      </c>
      <c r="K70" s="127">
        <f ca="1">SUM(K68:K69)</f>
        <v>352.42262499999998</v>
      </c>
      <c r="L70" s="110"/>
    </row>
    <row r="71" spans="2:12" x14ac:dyDescent="0.2">
      <c r="K71" s="127"/>
    </row>
    <row r="72" spans="2:12" x14ac:dyDescent="0.2">
      <c r="B72" s="104" t="s">
        <v>676</v>
      </c>
      <c r="C72" s="134"/>
      <c r="D72" s="134"/>
      <c r="E72" s="134"/>
      <c r="F72" s="134"/>
      <c r="G72" s="134"/>
      <c r="H72" s="134"/>
      <c r="I72" s="134"/>
      <c r="J72" s="134"/>
      <c r="K72" s="135">
        <f>'General Variables'!B14</f>
        <v>35</v>
      </c>
      <c r="L72" s="110"/>
    </row>
    <row r="73" spans="2:12" x14ac:dyDescent="0.2">
      <c r="B73" s="103" t="s">
        <v>687</v>
      </c>
      <c r="C73" s="398" t="s">
        <v>40</v>
      </c>
      <c r="D73" s="399"/>
      <c r="E73" s="400"/>
      <c r="F73" s="136">
        <f>IF(C73=0,0,VLOOKUP(C73,RETable,2,FALSE))</f>
        <v>9115</v>
      </c>
      <c r="G73" s="388" t="s">
        <v>678</v>
      </c>
      <c r="H73" s="388"/>
      <c r="I73" s="130">
        <f>'General Variables'!$B$10</f>
        <v>0.03</v>
      </c>
      <c r="K73" s="137">
        <f>ROUND(F73*I73,2)</f>
        <v>273.45</v>
      </c>
      <c r="L73" s="110"/>
    </row>
    <row r="74" spans="2:12" ht="13.5" thickBot="1" x14ac:dyDescent="0.25">
      <c r="B74" s="103" t="s">
        <v>679</v>
      </c>
      <c r="F74" s="138">
        <f>IF(C73=0,0,VLOOKUP(C73,RETable,2,FALSE))</f>
        <v>9115</v>
      </c>
      <c r="G74" s="397" t="s">
        <v>678</v>
      </c>
      <c r="H74" s="397"/>
      <c r="I74" s="139">
        <f>'General Variables'!$B$13</f>
        <v>1.2999999999999999E-2</v>
      </c>
      <c r="J74" s="105"/>
      <c r="K74" s="140">
        <f>ROUND(F74*I74,2)</f>
        <v>118.5</v>
      </c>
      <c r="L74" s="133"/>
    </row>
    <row r="75" spans="2:12" ht="13.5" thickTop="1" x14ac:dyDescent="0.2">
      <c r="B75" s="107" t="s">
        <v>680</v>
      </c>
      <c r="K75" s="127">
        <f ca="1">SUM(K70:K74)</f>
        <v>779.37262499999997</v>
      </c>
      <c r="L75" s="110"/>
    </row>
    <row r="76" spans="2:12" x14ac:dyDescent="0.2">
      <c r="K76" s="128"/>
    </row>
    <row r="77" spans="2:12" x14ac:dyDescent="0.2">
      <c r="B77" s="104" t="str">
        <f>IF(G4="","","Cash Cost per "&amp;H4)</f>
        <v>Cash Cost per bushel</v>
      </c>
      <c r="C77" s="261" t="s">
        <v>688</v>
      </c>
      <c r="D77" s="105"/>
      <c r="E77" s="105"/>
      <c r="F77" s="105"/>
      <c r="G77" s="105"/>
      <c r="H77" s="105"/>
      <c r="I77" s="105"/>
      <c r="J77" s="105"/>
      <c r="K77" s="142">
        <f ca="1">IF(G4=0,0,(E69+K69+K72+K74)/G4)</f>
        <v>7.0553535156249998</v>
      </c>
      <c r="L77" s="148"/>
    </row>
    <row r="78" spans="2:12" x14ac:dyDescent="0.2">
      <c r="B78" s="107" t="str">
        <f>IF(G4="","","Cost of production per "&amp;H4)</f>
        <v>Cost of production per bushel</v>
      </c>
      <c r="K78" s="141">
        <f ca="1">IF(G4="","",K75/G4)</f>
        <v>12.177697265625</v>
      </c>
      <c r="L78" s="110"/>
    </row>
    <row r="80" spans="2:12" ht="14.25" x14ac:dyDescent="0.25">
      <c r="B80" s="103" t="s">
        <v>770</v>
      </c>
    </row>
    <row r="81" spans="2:12" x14ac:dyDescent="0.2">
      <c r="D81" s="103" t="s">
        <v>900</v>
      </c>
      <c r="G81" s="105"/>
      <c r="H81" s="105"/>
      <c r="I81" s="105"/>
      <c r="J81" s="105"/>
      <c r="K81" s="355" t="s">
        <v>901</v>
      </c>
      <c r="L81" s="105"/>
    </row>
    <row r="88" spans="2:12" x14ac:dyDescent="0.2">
      <c r="B88" s="106"/>
      <c r="C88" s="106"/>
      <c r="D88" s="106"/>
    </row>
    <row r="89" spans="2:12" x14ac:dyDescent="0.2">
      <c r="B89" s="106"/>
      <c r="C89" s="106"/>
      <c r="D89" s="106"/>
    </row>
    <row r="90" spans="2:12" x14ac:dyDescent="0.2">
      <c r="B90" s="106"/>
      <c r="C90" s="106"/>
      <c r="D90" s="106"/>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03" t="s">
        <v>681</v>
      </c>
    </row>
    <row r="115" spans="2:11" x14ac:dyDescent="0.2">
      <c r="B115" s="105"/>
      <c r="C115" s="105"/>
      <c r="D115" s="105"/>
      <c r="H115" s="103" t="e">
        <f>'General Variables'!#REF!</f>
        <v>#REF!</v>
      </c>
      <c r="K115" s="103"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9">
    <mergeCell ref="C73:E73"/>
    <mergeCell ref="G73:H73"/>
    <mergeCell ref="G74:H74"/>
    <mergeCell ref="C51:E51"/>
    <mergeCell ref="C52:E52"/>
    <mergeCell ref="C53:E53"/>
    <mergeCell ref="C54:E54"/>
    <mergeCell ref="C55:E55"/>
    <mergeCell ref="C56:E56"/>
    <mergeCell ref="C57:E57"/>
    <mergeCell ref="C63:E63"/>
    <mergeCell ref="F69:G69"/>
    <mergeCell ref="C58:E58"/>
    <mergeCell ref="C59:E59"/>
    <mergeCell ref="C60:E60"/>
    <mergeCell ref="C62:E62"/>
    <mergeCell ref="L10:L11"/>
    <mergeCell ref="F35:F36"/>
    <mergeCell ref="G35:G36"/>
    <mergeCell ref="H35:I35"/>
    <mergeCell ref="J35:J36"/>
    <mergeCell ref="L35:L36"/>
    <mergeCell ref="I10:J10"/>
    <mergeCell ref="C49:E49"/>
    <mergeCell ref="G10:H10"/>
    <mergeCell ref="C43:E43"/>
    <mergeCell ref="K10:K11"/>
    <mergeCell ref="C37:E37"/>
    <mergeCell ref="C38:E38"/>
    <mergeCell ref="C39:E39"/>
    <mergeCell ref="C40:E40"/>
    <mergeCell ref="C41:E41"/>
    <mergeCell ref="C42:E42"/>
    <mergeCell ref="C61:E61"/>
    <mergeCell ref="K2:L2"/>
    <mergeCell ref="G2:H2"/>
    <mergeCell ref="C4:E4"/>
    <mergeCell ref="B7:L7"/>
    <mergeCell ref="C3:E3"/>
    <mergeCell ref="A6:M6"/>
    <mergeCell ref="B10:B11"/>
    <mergeCell ref="C10:C11"/>
    <mergeCell ref="E10:E11"/>
    <mergeCell ref="F10:F11"/>
    <mergeCell ref="C50:E50"/>
    <mergeCell ref="C45:E45"/>
    <mergeCell ref="C46:E46"/>
    <mergeCell ref="C47:E47"/>
    <mergeCell ref="C48:E48"/>
  </mergeCells>
  <dataValidations count="9">
    <dataValidation type="list" allowBlank="1" showInputMessage="1" showErrorMessage="1" sqref="B32" xr:uid="{00000000-0002-0000-4500-000000000000}">
      <formula1>$B$113:$B$210</formula1>
    </dataValidation>
    <dataValidation type="list" allowBlank="1" showInputMessage="1" showErrorMessage="1" sqref="B64" xr:uid="{00000000-0002-0000-4500-000001000000}">
      <formula1>$C$113:$C$231</formula1>
    </dataValidation>
    <dataValidation type="list" allowBlank="1" showInputMessage="1" showErrorMessage="1" sqref="K4" xr:uid="{00000000-0002-0000-4500-000002000000}">
      <formula1>$K$113:$K$115</formula1>
    </dataValidation>
    <dataValidation type="list" allowBlank="1" showInputMessage="1" showErrorMessage="1" sqref="B37:B62" xr:uid="{00000000-0002-0000-4500-000003000000}">
      <formula1>MaterialList</formula1>
    </dataValidation>
    <dataValidation type="list" allowBlank="1" showInputMessage="1" showErrorMessage="1" sqref="C73:E73" xr:uid="{00000000-0002-0000-4500-000004000000}">
      <formula1>RealEstateList</formula1>
    </dataValidation>
    <dataValidation type="list" allowBlank="1" showInputMessage="1" showErrorMessage="1" sqref="B12:B31" xr:uid="{00000000-0002-0000-4500-000005000000}">
      <formula1>OperationList</formula1>
    </dataValidation>
    <dataValidation type="list" allowBlank="1" showInputMessage="1" showErrorMessage="1" sqref="D12:D32" xr:uid="{00000000-0002-0000-4500-000006000000}">
      <formula1>#REF!</formula1>
    </dataValidation>
    <dataValidation type="list" allowBlank="1" showInputMessage="1" showErrorMessage="1" sqref="K2" xr:uid="{00000000-0002-0000-4500-000007000000}">
      <formula1>watersource</formula1>
    </dataValidation>
    <dataValidation type="list" allowBlank="1" showInputMessage="1" showErrorMessage="1" sqref="C3" xr:uid="{00000000-0002-0000-4500-000008000000}">
      <formula1>TillageSystem</formula1>
    </dataValidation>
  </dataValidations>
  <pageMargins left="0.7" right="0.7" top="0.75" bottom="0.75" header="0.3" footer="0.3"/>
  <pageSetup scale="71" orientation="portrait" r:id="rId1"/>
  <ignoredErrors>
    <ignoredError sqref="C17" unlockedFormula="1"/>
    <ignoredError sqref="E18:H18" formula="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52">
    <pageSetUpPr fitToPage="1"/>
  </sheetPr>
  <dimension ref="A2:M257"/>
  <sheetViews>
    <sheetView zoomScaleNormal="100" workbookViewId="0">
      <selection activeCell="J18" sqref="J18"/>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776</v>
      </c>
      <c r="H2" s="392"/>
      <c r="J2" s="128" t="s">
        <v>649</v>
      </c>
      <c r="K2" s="401" t="s">
        <v>69</v>
      </c>
      <c r="L2" s="401"/>
    </row>
    <row r="3" spans="1:13" hidden="1" x14ac:dyDescent="0.2">
      <c r="B3" s="103" t="s">
        <v>38</v>
      </c>
      <c r="C3" s="391" t="s">
        <v>60</v>
      </c>
      <c r="D3" s="391"/>
      <c r="E3" s="391"/>
      <c r="G3" s="128" t="s">
        <v>650</v>
      </c>
      <c r="H3" s="187" t="s">
        <v>777</v>
      </c>
      <c r="J3" s="128" t="s">
        <v>651</v>
      </c>
      <c r="K3" s="187">
        <v>6</v>
      </c>
    </row>
    <row r="4" spans="1:13" hidden="1" x14ac:dyDescent="0.2">
      <c r="B4" s="103" t="s">
        <v>652</v>
      </c>
      <c r="C4" s="392" t="s">
        <v>764</v>
      </c>
      <c r="D4" s="392"/>
      <c r="E4" s="392"/>
      <c r="G4" s="103">
        <f>IFERROR(VALUE(LEFT($H$3,FIND(" ",$H$3))),"")</f>
        <v>78</v>
      </c>
      <c r="H4" s="103" t="str">
        <f>IFERROR(RIGHT(H3,LEN(H3)-LEN(G4)-1),"")</f>
        <v>bushel</v>
      </c>
      <c r="J4" s="128" t="s">
        <v>653</v>
      </c>
      <c r="K4" s="188" t="s">
        <v>654</v>
      </c>
    </row>
    <row r="5" spans="1:13" ht="15.75" hidden="1" customHeight="1" x14ac:dyDescent="0.2">
      <c r="B5" s="103" t="s">
        <v>655</v>
      </c>
      <c r="C5" s="103" t="str">
        <f ca="1">MID(CELL("filename",C5),FIND("]",CELL("filename",C5))+1,255)</f>
        <v>65-Soybeans</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65-Soybeans, LibertyLink® Treated, No Till Drilled 7.5-inch Rows, after Corn, 78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65-Soybeans, LibertyLink® Treated, No Till Drilled 7.5-inch Rows, after Corn, 78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488</v>
      </c>
      <c r="C13" s="174">
        <v>1</v>
      </c>
      <c r="D13" s="174"/>
      <c r="E13" s="109">
        <f>IF(B13=0,"",IF(C13&gt;9999,"",ROUND('General Variables'!$B$4*VLOOKUP(B13,Operations!$A$2:$U$79,10,FALSE)/VLOOKUP(B13,Operations!$A$2:$U$79,9,FALSE)*C13,2)))</f>
        <v>2.38</v>
      </c>
      <c r="F13" s="109">
        <f>IF(B13=0,0,IF(C13&gt;9999,"",ROUND(IF(VLOOKUP(B13,Operations!$A$2:$U$79,12,FALSE)=0,VLOOKUP(B13,Operations!$A$2:$U$79,13,FALSE)*'General Variables'!$B$8,VLOOKUP(B13,Operations!$A$2:$U$79,12,FALSE)*'General Variables'!$B$7)/VLOOKUP(B13,Operations!$A$2:$U$79,9,FALSE)*C13,2)))</f>
        <v>1.28</v>
      </c>
      <c r="G13" s="109">
        <f>IF(B13=0,0,IF(C13&gt;9999,"",ROUND(VLOOKUP(VLOOKUP(B13,Operations!$A$2:$U$79,11,FALSE),PowerUnits[],10,FALSE)/VLOOKUP(B13,Operations!$A$2:$U$79,9,FALSE)*C13,2)))</f>
        <v>7.0000000000000007E-2</v>
      </c>
      <c r="H13" s="109">
        <f>IF(B13=0,"",IF(C13&gt;9999,"",ROUND(VLOOKUP($B13,Operations!$A$2:$U$79,15,FALSE)*C13,2)))</f>
        <v>7.18</v>
      </c>
      <c r="I13" s="109">
        <f>IF(B13=0,0,IF(C13&gt;9999,"",ROUND(VLOOKUP(VLOOKUP(B13,Operations!$A$2:$U$79,11,FALSE),PowerUnits[],16,FALSE)/VLOOKUP(B13,Operations!$A$2:$U$79,9,FALSE)*C13,2)))</f>
        <v>3.46</v>
      </c>
      <c r="J13" s="109">
        <f>IF(B13=0,"",IF(C13&gt;9999,"",ROUND(VLOOKUP($B13,Operations!$A$2:$U$79,21,FALSE)*$C13,2)))</f>
        <v>2.4500000000000002</v>
      </c>
      <c r="K13" s="109">
        <f t="shared" ref="K13:K31" si="0">IF(C13&gt;9999,"",ROUND(SUM(E13:J13),2))</f>
        <v>16.82</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522</v>
      </c>
      <c r="C17" s="174">
        <f>$K$3</f>
        <v>6</v>
      </c>
      <c r="D17" s="109" t="s">
        <v>693</v>
      </c>
      <c r="E17" s="109">
        <f>IF(B17=0,"",IF(C17&gt;9999,"",ROUND('General Variables'!$B$4*VLOOKUP(B17,Operations!$A$2:$U$79,10,FALSE)/VLOOKUP(B17,Operations!$A$2:$U$79,9,FALSE)*C17,2)))</f>
        <v>5.63</v>
      </c>
      <c r="F17" s="109">
        <f>IF(B17=0,0,IF(C17&gt;9999,"",ROUND(IF(VLOOKUP(B17,Operations!$A$2:$U$79,12,FALSE)=0,VLOOKUP(B17,Operations!$A$2:$U$79,13,FALSE)*'General Variables'!$B$8,VLOOKUP(B17,Operations!$A$2:$U$79,12,FALSE)*'General Variables'!$B$7)/VLOOKUP(B17,Operations!$A$2:$U$79,9,FALSE)*C17,2)))</f>
        <v>35.590000000000003</v>
      </c>
      <c r="G17" s="109">
        <f>IF(B17=0,0,IF(C17&gt;9999,"",ROUND(VLOOKUP(VLOOKUP(B17,Operations!$A$2:$U$79,11,FALSE),PowerUnits[],10,FALSE)/VLOOKUP(B17,Operations!$A$2:$U$79,9,FALSE)*C17,2)))</f>
        <v>3.27</v>
      </c>
      <c r="H17" s="109">
        <f>IF(B17=0,"",IF(C17&gt;9999,"",ROUND(VLOOKUP($B17,Operations!$A$2:$U$79,15,FALSE)*C17,2)))</f>
        <v>15.91</v>
      </c>
      <c r="I17" s="109">
        <f>IF(B17=0,0,IF(C17&gt;9999,"",ROUND(VLOOKUP(VLOOKUP(B17,Operations!$A$2:$U$79,11,FALSE),PowerUnits[],16,FALSE)/VLOOKUP(B17,Operations!$A$2:$U$79,9,FALSE)*C17,2)))</f>
        <v>6.2</v>
      </c>
      <c r="J17" s="109">
        <f>IF(B17=0,"",IF(C17&gt;9999,"",ROUND(VLOOKUP($B17,Operations!$A$2:$U$79,21,FALSE)*$C17,2)))</f>
        <v>8.73</v>
      </c>
      <c r="K17" s="109">
        <f>IF(C17&gt;9999,"",ROUND(SUM(E17:J17),2))</f>
        <v>75.33</v>
      </c>
      <c r="L17" s="110"/>
    </row>
    <row r="18" spans="1:12" x14ac:dyDescent="0.2">
      <c r="A18" s="170" t="s">
        <v>910</v>
      </c>
      <c r="B18" s="180" t="s">
        <v>940</v>
      </c>
      <c r="C18" s="174">
        <f>$G$4*2</f>
        <v>156</v>
      </c>
      <c r="D18" s="109"/>
      <c r="E18" s="109">
        <f>IF(B18=0,"",IF(C18&gt;9999,"",ROUND('General Variables'!$B$4*VLOOKUP(B18,Operations!$A$2:$U$79,10,FALSE)/VLOOKUP(B18,Operations!$A$2:$U$79,9,FALSE)*C18,2))/100)</f>
        <v>3.5639999999999996</v>
      </c>
      <c r="F18" s="109">
        <f>IF(B18=0,0,IF(C18&gt;9999,"",ROUND(IF(VLOOKUP(B18,Operations!$A$2:$U$79,12,FALSE)=0,VLOOKUP(B18,Operations!$A$2:$U$79,13,FALSE)*'General Variables'!$B$8,VLOOKUP(B18,Operations!$A$2:$U$79,12,FALSE)*'General Variables'!$B$7)/VLOOKUP(B18,Operations!$A$2:$U$79,9,FALSE)*C18,2))/100)</f>
        <v>4.0282</v>
      </c>
      <c r="G18" s="109">
        <f>IF(B18=0,0,IF(C18&gt;9999,"",ROUND(VLOOKUP(VLOOKUP(B18,Operations!$A$2:$U$79,11,FALSE),PowerUnits[],10,FALSE)/VLOOKUP(B18,Operations!$A$2:$U$79,9,FALSE)*C18,2))/100)</f>
        <v>6.1929999999999996</v>
      </c>
      <c r="H18" s="109">
        <f>IF(B18=0,"",IF(C18&gt;9999,"",ROUND(VLOOKUP($B18,Operations!$A$2:$U$79,15,FALSE)*C18,2))/100)</f>
        <v>1.2855000000000001</v>
      </c>
      <c r="I18" s="109">
        <f>IF(B18=0,0,IF(C18&gt;9999,"",ROUND(VLOOKUP(VLOOKUP(B18,Operations!$A$2:$U$79,11,FALSE),PowerUnits[],16,FALSE)/VLOOKUP(B18,Operations!$A$2:$U$79,9,FALSE)*C18,2))/90)</f>
        <v>16.571444444444445</v>
      </c>
      <c r="J18" s="109">
        <f>IF(B18=0,"",IF(C18&gt;9999,"",ROUND(VLOOKUP($B18,Operations!$A$2:$U$79,21,FALSE)*$C18,2))/100)</f>
        <v>5.9466000000000001</v>
      </c>
      <c r="K18" s="109">
        <f>IF(C18&gt;9999,"",ROUND(SUM(E18:J18),2))</f>
        <v>37.590000000000003</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13.614000000000001</v>
      </c>
      <c r="F33" s="109">
        <f t="shared" ref="F33:K33" si="1">SUM(F12:F31)</f>
        <v>41.418199999999999</v>
      </c>
      <c r="G33" s="109">
        <f t="shared" si="1"/>
        <v>9.593</v>
      </c>
      <c r="H33" s="109">
        <f t="shared" si="1"/>
        <v>26.595499999999998</v>
      </c>
      <c r="I33" s="109">
        <f t="shared" si="1"/>
        <v>28.851444444444446</v>
      </c>
      <c r="J33" s="109">
        <f t="shared" si="1"/>
        <v>21.166600000000003</v>
      </c>
      <c r="K33" s="109">
        <f t="shared" si="1"/>
        <v>141.24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0.8</v>
      </c>
      <c r="H37" s="176">
        <v>32</v>
      </c>
      <c r="I37" s="120" t="str">
        <f>IF($B37=0,"",VLOOKUP($B37,Table2[],5,FALSE))</f>
        <v>ounce</v>
      </c>
      <c r="J37" s="109">
        <f>IF($B37=0,"",VLOOKUP($B37,Table2[],7,FALSE))</f>
        <v>0.1328125</v>
      </c>
      <c r="K37" s="109">
        <f>IF(B37=0,0,ROUND(G37*H37*J37,2))</f>
        <v>3.4</v>
      </c>
      <c r="L37" s="110"/>
    </row>
    <row r="38" spans="1:12" x14ac:dyDescent="0.2">
      <c r="A38" s="143" t="s">
        <v>750</v>
      </c>
      <c r="B38" s="180" t="s">
        <v>229</v>
      </c>
      <c r="C38" s="388" t="str">
        <f>IF(B38=0,"",VLOOKUP($B38,Table2[],2,FALSE))</f>
        <v>Herbicide</v>
      </c>
      <c r="D38" s="388"/>
      <c r="E38" s="388"/>
      <c r="F38" s="174">
        <v>1</v>
      </c>
      <c r="G38" s="175">
        <v>0.8</v>
      </c>
      <c r="H38" s="176">
        <v>1</v>
      </c>
      <c r="I38" s="120" t="str">
        <f>IF($B38=0,"",VLOOKUP($B38,Table2[],5,FALSE))</f>
        <v>pint</v>
      </c>
      <c r="J38" s="109">
        <f>IF($B38=0,"",VLOOKUP($B38,Table2[],7,FALSE))</f>
        <v>2.5</v>
      </c>
      <c r="K38" s="109">
        <f>IF(B38=0,0,ROUND(G38*H38*J38,2))</f>
        <v>2</v>
      </c>
      <c r="L38" s="110"/>
    </row>
    <row r="39" spans="1:12" x14ac:dyDescent="0.2">
      <c r="A39" s="105"/>
      <c r="B39" s="180" t="s">
        <v>170</v>
      </c>
      <c r="C39" s="388" t="str">
        <f>IF(B39=0,"",VLOOKUP($B39,Table2[],2,FALSE))</f>
        <v>Additive</v>
      </c>
      <c r="D39" s="388"/>
      <c r="E39" s="388"/>
      <c r="F39" s="174">
        <v>1</v>
      </c>
      <c r="G39" s="175">
        <v>0.8</v>
      </c>
      <c r="H39" s="176">
        <v>1.7</v>
      </c>
      <c r="I39" s="120" t="str">
        <f>IF($B39=0,"",VLOOKUP($B39,Table2[],5,FALSE))</f>
        <v>pound</v>
      </c>
      <c r="J39" s="109">
        <f>IF($B39=0,"",VLOOKUP($B39,Table2[],7,FALSE))</f>
        <v>0.4</v>
      </c>
      <c r="K39" s="109">
        <f>IF(B39=0,0,ROUND(G39*H39*J39,2))</f>
        <v>0.54</v>
      </c>
      <c r="L39" s="110"/>
    </row>
    <row r="40" spans="1:12" x14ac:dyDescent="0.2">
      <c r="A40" s="105"/>
      <c r="B40" s="213" t="s">
        <v>282</v>
      </c>
      <c r="C40" s="387" t="str">
        <f>IF(B40=0,"",VLOOKUP($B40,Table2[],2,FALSE))</f>
        <v>Herbicide</v>
      </c>
      <c r="D40" s="387"/>
      <c r="E40" s="387"/>
      <c r="F40" s="214">
        <v>1</v>
      </c>
      <c r="G40" s="221">
        <v>1</v>
      </c>
      <c r="H40" s="222">
        <v>5.25</v>
      </c>
      <c r="I40" s="223" t="str">
        <f>IF($B40=0,"",VLOOKUP($B40,Table2[],5,FALSE))</f>
        <v>ounce</v>
      </c>
      <c r="J40" s="215">
        <f>IF($B40=0,"",VLOOKUP($B40,Table2[],7,FALSE))</f>
        <v>5</v>
      </c>
      <c r="K40" s="215">
        <f t="shared" ref="K40:K43" si="2">IF(B40=0,0,ROUND(G40*H40*J40,2))</f>
        <v>26.25</v>
      </c>
      <c r="L40" s="216"/>
    </row>
    <row r="41" spans="1:12" x14ac:dyDescent="0.2">
      <c r="A41" s="105"/>
      <c r="B41" s="180" t="s">
        <v>341</v>
      </c>
      <c r="C41" s="388" t="str">
        <f>IF(B41=0,"",VLOOKUP($B41,Table2[],2,FALSE))</f>
        <v>Seed</v>
      </c>
      <c r="D41" s="388"/>
      <c r="E41" s="388"/>
      <c r="F41" s="174">
        <v>2</v>
      </c>
      <c r="G41" s="175">
        <v>1</v>
      </c>
      <c r="H41" s="176">
        <v>1</v>
      </c>
      <c r="I41" s="120" t="str">
        <f>IF($B41=0,"",VLOOKUP($B41,Table2[],5,FALSE))</f>
        <v>k seed</v>
      </c>
      <c r="J41" s="109">
        <f>IF($B41=0,"",VLOOKUP($B41,Table2[],7,FALSE))</f>
        <v>83</v>
      </c>
      <c r="K41" s="109">
        <f t="shared" si="2"/>
        <v>83</v>
      </c>
      <c r="L41" s="110"/>
    </row>
    <row r="42" spans="1:12" x14ac:dyDescent="0.2">
      <c r="A42" s="105"/>
      <c r="B42" s="180" t="s">
        <v>342</v>
      </c>
      <c r="C42" s="388" t="str">
        <f>IF(B42=0,"",VLOOKUP($B42,Table2[],2,FALSE))</f>
        <v>Inoculant</v>
      </c>
      <c r="D42" s="388"/>
      <c r="E42" s="388"/>
      <c r="F42" s="174">
        <v>2</v>
      </c>
      <c r="G42" s="175">
        <v>1</v>
      </c>
      <c r="H42" s="176">
        <v>1</v>
      </c>
      <c r="I42" s="120" t="str">
        <f>IF($B42=0,"",VLOOKUP($B42,Table2[],5,FALSE))</f>
        <v>acre</v>
      </c>
      <c r="J42" s="109">
        <f>IF($B42=0,"",VLOOKUP($B42,Table2[],7,FALSE))</f>
        <v>7</v>
      </c>
      <c r="K42" s="109">
        <f t="shared" ref="K42" si="3">IF(B42=0,0,ROUND(G42*H42*J42,2))</f>
        <v>7</v>
      </c>
      <c r="L42" s="110"/>
    </row>
    <row r="43" spans="1:12" x14ac:dyDescent="0.2">
      <c r="A43" s="105"/>
      <c r="B43" s="180" t="s">
        <v>903</v>
      </c>
      <c r="C43" s="388" t="str">
        <f>IF(B43=0,"",VLOOKUP($B43,Table2[],2,FALSE))</f>
        <v>Herbicide</v>
      </c>
      <c r="D43" s="388"/>
      <c r="E43" s="388"/>
      <c r="F43" s="174">
        <v>3</v>
      </c>
      <c r="G43" s="175">
        <v>1</v>
      </c>
      <c r="H43" s="176">
        <v>43</v>
      </c>
      <c r="I43" s="120" t="str">
        <f>IF($B43=0,"",VLOOKUP($B43,Table2[],5,FALSE))</f>
        <v xml:space="preserve">ounce </v>
      </c>
      <c r="J43" s="109">
        <f>IF($B43=0,"",VLOOKUP($B43,Table2[],7,FALSE))</f>
        <v>0.546875</v>
      </c>
      <c r="K43" s="109">
        <f t="shared" si="2"/>
        <v>23.52</v>
      </c>
      <c r="L43" s="110"/>
    </row>
    <row r="44" spans="1:12" x14ac:dyDescent="0.2">
      <c r="A44" s="105"/>
      <c r="B44" s="213" t="s">
        <v>173</v>
      </c>
      <c r="C44" s="387" t="str">
        <f>IF(B44=0,"",VLOOKUP($B44,Table2[],2,FALSE))</f>
        <v>Additive</v>
      </c>
      <c r="D44" s="387"/>
      <c r="E44" s="387"/>
      <c r="F44" s="214">
        <v>3</v>
      </c>
      <c r="G44" s="221">
        <v>1</v>
      </c>
      <c r="H44" s="222">
        <v>48</v>
      </c>
      <c r="I44" s="223" t="str">
        <f>IF($B44=0,"",VLOOKUP($B44,Table2[],5,FALSE))</f>
        <v>ounce</v>
      </c>
      <c r="J44" s="215">
        <f>IF($B44=0,"",VLOOKUP($B44,Table2[],7,FALSE))</f>
        <v>2.5000000000000001E-2</v>
      </c>
      <c r="K44" s="215">
        <f t="shared" ref="K44:K61" si="4">IF(B44=0,0,ROUND(G44*H44*J44,2))</f>
        <v>1.2</v>
      </c>
      <c r="L44" s="216"/>
    </row>
    <row r="45" spans="1:12" x14ac:dyDescent="0.2">
      <c r="A45" s="143"/>
      <c r="B45" s="180" t="s">
        <v>273</v>
      </c>
      <c r="C45" s="388" t="str">
        <f>IF(B45=0,"",VLOOKUP($B45,Table2[],2,FALSE))</f>
        <v>Herbicide</v>
      </c>
      <c r="D45" s="388"/>
      <c r="E45" s="388"/>
      <c r="F45" s="174">
        <v>3</v>
      </c>
      <c r="G45" s="175">
        <v>1</v>
      </c>
      <c r="H45" s="176">
        <v>6</v>
      </c>
      <c r="I45" s="120" t="str">
        <f>IF($B45=0,"",VLOOKUP($B45,Table2[],5,FALSE))</f>
        <v>ounce</v>
      </c>
      <c r="J45" s="109">
        <f>IF($B45=0,"",VLOOKUP($B45,Table2[],7,FALSE))</f>
        <v>1.015625</v>
      </c>
      <c r="K45" s="109">
        <f t="shared" si="4"/>
        <v>6.09</v>
      </c>
      <c r="L45" s="110"/>
    </row>
    <row r="46" spans="1:12" x14ac:dyDescent="0.2">
      <c r="B46" s="180" t="s">
        <v>175</v>
      </c>
      <c r="C46" s="388" t="str">
        <f>IF(B46=0,"",VLOOKUP($B46,Table2[],2,FALSE))</f>
        <v>Additive</v>
      </c>
      <c r="D46" s="388"/>
      <c r="E46" s="388"/>
      <c r="F46" s="174">
        <v>3</v>
      </c>
      <c r="G46" s="175">
        <v>1</v>
      </c>
      <c r="H46" s="176">
        <v>1</v>
      </c>
      <c r="I46" s="120" t="str">
        <f>IF($B46=0,"",VLOOKUP($B46,Table2[],5,FALSE))</f>
        <v>acre</v>
      </c>
      <c r="J46" s="109">
        <f>IF($B46=0,"",VLOOKUP($B46,Table2[],7,FALSE))</f>
        <v>2.25</v>
      </c>
      <c r="K46" s="109">
        <f t="shared" ref="K46:K52" si="5">IF(B46=0,0,ROUND(G46*H46*J46,2))</f>
        <v>2.25</v>
      </c>
      <c r="L46" s="110"/>
    </row>
    <row r="47" spans="1:12" x14ac:dyDescent="0.2">
      <c r="A47" s="143"/>
      <c r="B47" s="180" t="s">
        <v>183</v>
      </c>
      <c r="C47" s="388" t="str">
        <f>IF(B47=0,"",VLOOKUP($B47,Table2[],2,FALSE))</f>
        <v>Custom</v>
      </c>
      <c r="D47" s="388"/>
      <c r="E47" s="388"/>
      <c r="F47" s="174">
        <v>4</v>
      </c>
      <c r="G47" s="175">
        <v>0.2</v>
      </c>
      <c r="H47" s="176">
        <v>1</v>
      </c>
      <c r="I47" s="120" t="str">
        <f>IF($B47=0,"",VLOOKUP($B47,Table2[],5,FALSE))</f>
        <v>acre</v>
      </c>
      <c r="J47" s="109">
        <f>IF($B47=0,"",VLOOKUP($B47,Table2[],7,FALSE))</f>
        <v>11</v>
      </c>
      <c r="K47" s="109">
        <f t="shared" si="5"/>
        <v>2.2000000000000002</v>
      </c>
      <c r="L47" s="110"/>
    </row>
    <row r="48" spans="1:12" x14ac:dyDescent="0.2">
      <c r="A48" s="143" t="s">
        <v>906</v>
      </c>
      <c r="B48" s="213" t="s">
        <v>290</v>
      </c>
      <c r="C48" s="387" t="str">
        <f>IF(B48=0,"",VLOOKUP($B48,Table2[],2,FALSE))</f>
        <v>Insecticide</v>
      </c>
      <c r="D48" s="387"/>
      <c r="E48" s="387"/>
      <c r="F48" s="214">
        <v>4</v>
      </c>
      <c r="G48" s="221">
        <v>0.2</v>
      </c>
      <c r="H48" s="222">
        <v>1.6</v>
      </c>
      <c r="I48" s="223" t="str">
        <f>IF($B48=0,"",VLOOKUP($B48,Table2[],5,FALSE))</f>
        <v>ounce</v>
      </c>
      <c r="J48" s="215">
        <f>IF($B48=0,"",VLOOKUP($B48,Table2[],7,FALSE))</f>
        <v>3.203125</v>
      </c>
      <c r="K48" s="215">
        <f t="shared" si="5"/>
        <v>1.03</v>
      </c>
      <c r="L48" s="216"/>
    </row>
    <row r="49" spans="1:12" x14ac:dyDescent="0.2">
      <c r="A49" s="105"/>
      <c r="B49" s="180" t="s">
        <v>183</v>
      </c>
      <c r="C49" s="388" t="str">
        <f>IF(B49=0,"",VLOOKUP($B49,Table2[],2,FALSE))</f>
        <v>Custom</v>
      </c>
      <c r="D49" s="388"/>
      <c r="E49" s="388"/>
      <c r="F49" s="174">
        <v>5</v>
      </c>
      <c r="G49" s="175">
        <v>0.5</v>
      </c>
      <c r="H49" s="176">
        <v>1</v>
      </c>
      <c r="I49" s="120" t="str">
        <f>IF($B49=0,"",VLOOKUP($B49,Table2[],5,FALSE))</f>
        <v>acre</v>
      </c>
      <c r="J49" s="109">
        <f>IF($B49=0,"",VLOOKUP($B49,Table2[],7,FALSE))</f>
        <v>11</v>
      </c>
      <c r="K49" s="109">
        <f t="shared" si="5"/>
        <v>5.5</v>
      </c>
      <c r="L49" s="110"/>
    </row>
    <row r="50" spans="1:12" x14ac:dyDescent="0.2">
      <c r="A50" s="105"/>
      <c r="B50" s="180" t="s">
        <v>225</v>
      </c>
      <c r="C50" s="388" t="str">
        <f>IF(B50=0,"",VLOOKUP($B50,Table2[],2,FALSE))</f>
        <v>Fungicide</v>
      </c>
      <c r="D50" s="388"/>
      <c r="E50" s="388"/>
      <c r="F50" s="174">
        <v>5</v>
      </c>
      <c r="G50" s="175">
        <v>0.5</v>
      </c>
      <c r="H50" s="176">
        <v>4</v>
      </c>
      <c r="I50" s="120" t="str">
        <f>IF($B50=0,"",VLOOKUP($B50,Table2[],5,FALSE))</f>
        <v>ounce</v>
      </c>
      <c r="J50" s="109">
        <f>IF($B50=0,"",VLOOKUP($B50,Table2[],7,FALSE))</f>
        <v>5.46875</v>
      </c>
      <c r="K50" s="109">
        <f t="shared" si="5"/>
        <v>10.94</v>
      </c>
      <c r="L50" s="110"/>
    </row>
    <row r="51" spans="1:12" ht="12.75" customHeight="1" x14ac:dyDescent="0.2">
      <c r="B51" s="180" t="s">
        <v>198</v>
      </c>
      <c r="C51" s="388" t="str">
        <f>IF(B51=0,"",VLOOKUP($B51,Table2[],2,FALSE))</f>
        <v>Custom</v>
      </c>
      <c r="D51" s="388"/>
      <c r="E51" s="388"/>
      <c r="F51" s="174">
        <v>8</v>
      </c>
      <c r="G51" s="175">
        <v>1</v>
      </c>
      <c r="H51" s="176">
        <f>$G$4</f>
        <v>78</v>
      </c>
      <c r="I51" s="120" t="str">
        <f>IF($B51=0,"",VLOOKUP($B51,Table2[],5,FALSE))</f>
        <v>bushel</v>
      </c>
      <c r="J51" s="109">
        <f>IF($B51=0,"",VLOOKUP($B51,Table2[],7,FALSE))</f>
        <v>0.15</v>
      </c>
      <c r="K51" s="109">
        <f t="shared" si="5"/>
        <v>11.7</v>
      </c>
      <c r="L51" s="110"/>
    </row>
    <row r="52" spans="1:12" ht="12.75" customHeight="1" x14ac:dyDescent="0.2">
      <c r="B52" s="213" t="s">
        <v>314</v>
      </c>
      <c r="C52" s="387" t="str">
        <f>IF(B52=0,"",VLOOKUP($B52,Table2[],2,FALSE))</f>
        <v>Scouting</v>
      </c>
      <c r="D52" s="387"/>
      <c r="E52" s="387"/>
      <c r="F52" s="214"/>
      <c r="G52" s="221">
        <v>1</v>
      </c>
      <c r="H52" s="222">
        <v>1</v>
      </c>
      <c r="I52" s="223" t="str">
        <f>IF($B52=0,"",VLOOKUP($B52,Table2[],5,FALSE))</f>
        <v>acre</v>
      </c>
      <c r="J52" s="215">
        <f>IF($B52=0,"",VLOOKUP($B52,Table2[],7,FALSE))</f>
        <v>13</v>
      </c>
      <c r="K52" s="215">
        <f t="shared" si="5"/>
        <v>13</v>
      </c>
      <c r="L52" s="216"/>
    </row>
    <row r="53" spans="1:12" ht="12.75" hidden="1" customHeight="1" x14ac:dyDescent="0.2">
      <c r="B53" s="111"/>
      <c r="C53" s="388" t="str">
        <f>IF(B53=0,"",VLOOKUP($B53,Table2[],2,FALSE))</f>
        <v/>
      </c>
      <c r="D53" s="388"/>
      <c r="E53" s="388"/>
      <c r="F53" s="112"/>
      <c r="G53" s="177"/>
      <c r="H53" s="178"/>
      <c r="I53" s="120" t="str">
        <f>IF($B53=0,"",VLOOKUP($B53,Table2[],5,FALSE))</f>
        <v/>
      </c>
      <c r="J53" s="109" t="str">
        <f>IF($B53=0,"",VLOOKUP($B53,Table2[],7,FALSE))</f>
        <v/>
      </c>
      <c r="K53" s="109">
        <f t="shared" si="4"/>
        <v>0</v>
      </c>
      <c r="L53" s="110"/>
    </row>
    <row r="54" spans="1:12" ht="12.75" hidden="1" customHeight="1" x14ac:dyDescent="0.2">
      <c r="B54" s="111"/>
      <c r="C54" s="388" t="str">
        <f>IF(B54=0,"",VLOOKUP($B54,Table2[],2,FALSE))</f>
        <v/>
      </c>
      <c r="D54" s="388"/>
      <c r="E54" s="388"/>
      <c r="F54" s="112"/>
      <c r="G54" s="177"/>
      <c r="H54" s="178"/>
      <c r="I54" s="120" t="str">
        <f>IF($B54=0,"",VLOOKUP($B54,Table2[],5,FALSE))</f>
        <v/>
      </c>
      <c r="J54" s="109" t="str">
        <f>IF($B54=0,"",VLOOKUP($B54,Table2[],7,FALSE))</f>
        <v/>
      </c>
      <c r="K54" s="109">
        <f t="shared" si="4"/>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4"/>
        <v>0</v>
      </c>
      <c r="L55" s="113"/>
    </row>
    <row r="56" spans="1:12" ht="12.75" hidden="1" customHeight="1" x14ac:dyDescent="0.2">
      <c r="B56" s="111"/>
      <c r="C56" s="170"/>
      <c r="D56" s="170"/>
      <c r="E56" s="170"/>
      <c r="F56" s="112"/>
      <c r="G56" s="177"/>
      <c r="H56" s="178"/>
      <c r="I56" s="120"/>
      <c r="J56" s="109"/>
      <c r="K56" s="109"/>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 t="shared" si="4"/>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4"/>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4"/>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 t="shared" si="4"/>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 t="shared" si="4"/>
        <v>0</v>
      </c>
      <c r="L61" s="227"/>
    </row>
    <row r="62" spans="1:12" x14ac:dyDescent="0.2">
      <c r="B62" s="185" t="s">
        <v>430</v>
      </c>
      <c r="C62" s="388" t="s">
        <v>655</v>
      </c>
      <c r="D62" s="388"/>
      <c r="E62" s="388"/>
      <c r="F62" s="112"/>
      <c r="G62" s="177"/>
      <c r="H62" s="178"/>
      <c r="I62" s="170"/>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27">
        <f ca="1">SUM(K37:K62)</f>
        <v>203.61999999999998</v>
      </c>
      <c r="L64" s="110"/>
    </row>
    <row r="65" spans="2:12" x14ac:dyDescent="0.2">
      <c r="B65" s="358" t="s">
        <v>909</v>
      </c>
      <c r="C65" s="358"/>
      <c r="D65" s="358"/>
      <c r="E65" s="352" t="s">
        <v>907</v>
      </c>
      <c r="F65" s="358"/>
      <c r="G65" s="358"/>
      <c r="H65" s="352" t="s">
        <v>911</v>
      </c>
      <c r="I65" s="358"/>
      <c r="J65" s="358"/>
      <c r="K65" s="361"/>
    </row>
    <row r="66" spans="2:12" x14ac:dyDescent="0.2">
      <c r="B66" s="144"/>
      <c r="K66" s="127"/>
    </row>
    <row r="67" spans="2:12" x14ac:dyDescent="0.2">
      <c r="B67" s="107" t="s">
        <v>672</v>
      </c>
      <c r="K67" s="127">
        <f ca="1">K33+K64</f>
        <v>344.86</v>
      </c>
      <c r="L67" s="110"/>
    </row>
    <row r="68" spans="2:12" ht="13.5" thickBot="1" x14ac:dyDescent="0.25">
      <c r="D68" s="128" t="s">
        <v>673</v>
      </c>
      <c r="E68" s="129">
        <f ca="1">ROUND(SUM($E$33:$H$33)+$K$64,2)</f>
        <v>294.83999999999997</v>
      </c>
      <c r="F68" s="388" t="s">
        <v>674</v>
      </c>
      <c r="G68" s="388"/>
      <c r="H68" s="130">
        <f>'General Variables'!$B$11</f>
        <v>7.4999999999999997E-2</v>
      </c>
      <c r="I68" s="131" t="str">
        <f>CONCATENATE("for ",TEXT('General Variables'!$B$12,"0.0")," mo.")</f>
        <v>for 6.0 mo.</v>
      </c>
      <c r="K68" s="132">
        <f ca="1">E68*H68*'General Variables'!$B$12/12</f>
        <v>11.056499999999998</v>
      </c>
      <c r="L68" s="133"/>
    </row>
    <row r="69" spans="2:12" ht="13.5" thickTop="1" x14ac:dyDescent="0.2">
      <c r="B69" s="107" t="s">
        <v>675</v>
      </c>
      <c r="K69" s="127">
        <f ca="1">SUM(K67:K68)</f>
        <v>355.91649999999998</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40</v>
      </c>
      <c r="D72" s="399"/>
      <c r="E72" s="400"/>
      <c r="F72" s="136">
        <f>IF(C72=0,0,VLOOKUP(C72,RETable,2,FALSE))</f>
        <v>9115</v>
      </c>
      <c r="G72" s="388" t="s">
        <v>678</v>
      </c>
      <c r="H72" s="388"/>
      <c r="I72" s="130">
        <f>'General Variables'!$B$10</f>
        <v>0.03</v>
      </c>
      <c r="K72" s="137">
        <f>ROUND(F72*I72,2)</f>
        <v>273.45</v>
      </c>
      <c r="L72" s="110"/>
    </row>
    <row r="73" spans="2:12" ht="13.5" thickBot="1" x14ac:dyDescent="0.25">
      <c r="B73" s="103" t="s">
        <v>679</v>
      </c>
      <c r="F73" s="138">
        <f>IF(C72=0,0,VLOOKUP(C72,RETable,2,FALSE))</f>
        <v>9115</v>
      </c>
      <c r="G73" s="397" t="s">
        <v>678</v>
      </c>
      <c r="H73" s="397"/>
      <c r="I73" s="139">
        <f>'General Variables'!$B$13</f>
        <v>1.2999999999999999E-2</v>
      </c>
      <c r="J73" s="105"/>
      <c r="K73" s="140">
        <f>ROUND(F73*I73,2)</f>
        <v>118.5</v>
      </c>
      <c r="L73" s="133"/>
    </row>
    <row r="74" spans="2:12" ht="13.5" thickTop="1" x14ac:dyDescent="0.2">
      <c r="B74" s="107" t="s">
        <v>680</v>
      </c>
      <c r="K74" s="127">
        <f ca="1">SUM(K69:K73)</f>
        <v>782.86649999999997</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5.8896987179487175</v>
      </c>
      <c r="L76" s="148"/>
    </row>
    <row r="77" spans="2:12" x14ac:dyDescent="0.2">
      <c r="B77" s="107" t="str">
        <f>IF(G4="","","Cost of production per "&amp;H4)</f>
        <v>Cost of production per bushel</v>
      </c>
      <c r="K77" s="141">
        <f ca="1">IF(G4="","",K74/G4)</f>
        <v>10.03675</v>
      </c>
      <c r="L77" s="110"/>
    </row>
    <row r="79" spans="2:12" x14ac:dyDescent="0.2">
      <c r="B79" s="103" t="s">
        <v>765</v>
      </c>
    </row>
    <row r="80" spans="2:12" x14ac:dyDescent="0.2">
      <c r="D80" s="103" t="s">
        <v>900</v>
      </c>
      <c r="G80" s="105"/>
      <c r="H80" s="105"/>
      <c r="I80" s="105"/>
      <c r="J80" s="105"/>
      <c r="K80" s="355" t="s">
        <v>901</v>
      </c>
      <c r="L80"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2:E72"/>
    <mergeCell ref="G72:H72"/>
    <mergeCell ref="G73:H73"/>
    <mergeCell ref="C52:E52"/>
    <mergeCell ref="C53:E53"/>
    <mergeCell ref="C54:E54"/>
    <mergeCell ref="C55:E55"/>
    <mergeCell ref="C62:E62"/>
    <mergeCell ref="F68:G68"/>
    <mergeCell ref="C57:E57"/>
    <mergeCell ref="C58:E58"/>
    <mergeCell ref="C59:E59"/>
    <mergeCell ref="C61:E61"/>
    <mergeCell ref="C60:E60"/>
    <mergeCell ref="C45:E45"/>
    <mergeCell ref="B10:B11"/>
    <mergeCell ref="C10:C11"/>
    <mergeCell ref="E10:E11"/>
    <mergeCell ref="F10:F11"/>
    <mergeCell ref="C44:E44"/>
    <mergeCell ref="C43:E43"/>
    <mergeCell ref="C40:E40"/>
    <mergeCell ref="C41:E41"/>
    <mergeCell ref="F35:F36"/>
    <mergeCell ref="C37:E37"/>
    <mergeCell ref="C38:E38"/>
    <mergeCell ref="C39:E39"/>
    <mergeCell ref="C42:E42"/>
    <mergeCell ref="C51:E51"/>
    <mergeCell ref="C46:E46"/>
    <mergeCell ref="C47:E47"/>
    <mergeCell ref="C48:E48"/>
    <mergeCell ref="C49:E49"/>
    <mergeCell ref="C50:E50"/>
    <mergeCell ref="A6:M6"/>
    <mergeCell ref="C3:E3"/>
    <mergeCell ref="K2:L2"/>
    <mergeCell ref="G2:H2"/>
    <mergeCell ref="C4:E4"/>
    <mergeCell ref="B7:L7"/>
    <mergeCell ref="G10:H10"/>
    <mergeCell ref="K10:K11"/>
    <mergeCell ref="L10:L11"/>
    <mergeCell ref="G35:G36"/>
    <mergeCell ref="H35:I35"/>
    <mergeCell ref="J35:J36"/>
    <mergeCell ref="L35:L36"/>
    <mergeCell ref="I10:J10"/>
  </mergeCells>
  <dataValidations count="9">
    <dataValidation type="list" allowBlank="1" showInputMessage="1" showErrorMessage="1" sqref="B32" xr:uid="{00000000-0002-0000-4600-000000000000}">
      <formula1>$B$112:$B$209</formula1>
    </dataValidation>
    <dataValidation type="list" allowBlank="1" showInputMessage="1" showErrorMessage="1" sqref="B63" xr:uid="{00000000-0002-0000-4600-000001000000}">
      <formula1>$C$112:$C$230</formula1>
    </dataValidation>
    <dataValidation type="list" allowBlank="1" showInputMessage="1" showErrorMessage="1" sqref="K4" xr:uid="{00000000-0002-0000-4600-000002000000}">
      <formula1>$K$112:$K$114</formula1>
    </dataValidation>
    <dataValidation type="list" allowBlank="1" showInputMessage="1" showErrorMessage="1" sqref="C72:E72" xr:uid="{00000000-0002-0000-4600-000003000000}">
      <formula1>RealEstateList</formula1>
    </dataValidation>
    <dataValidation type="list" allowBlank="1" showInputMessage="1" showErrorMessage="1" sqref="B12:B31" xr:uid="{00000000-0002-0000-4600-000004000000}">
      <formula1>OperationList</formula1>
    </dataValidation>
    <dataValidation type="list" allowBlank="1" showInputMessage="1" showErrorMessage="1" sqref="D12:D32" xr:uid="{00000000-0002-0000-4600-000005000000}">
      <formula1>#REF!</formula1>
    </dataValidation>
    <dataValidation type="list" allowBlank="1" showInputMessage="1" showErrorMessage="1" sqref="K2" xr:uid="{00000000-0002-0000-4600-000006000000}">
      <formula1>watersource</formula1>
    </dataValidation>
    <dataValidation type="list" allowBlank="1" showInputMessage="1" showErrorMessage="1" sqref="C3" xr:uid="{00000000-0002-0000-4600-000007000000}">
      <formula1>TillageSystem</formula1>
    </dataValidation>
    <dataValidation type="list" allowBlank="1" showInputMessage="1" showErrorMessage="1" sqref="B37:B61" xr:uid="{00000000-0002-0000-4600-000008000000}">
      <formula1>MaterialList</formula1>
    </dataValidation>
  </dataValidations>
  <pageMargins left="0.7" right="0.7" top="0.75" bottom="0.75" header="0.3" footer="0.3"/>
  <pageSetup scale="71" orientation="portrait" r:id="rId1"/>
  <ignoredErrors>
    <ignoredError sqref="C17:C18" unlockedFormula="1"/>
    <ignoredError sqref="E18:H18 J18" formula="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79">
    <pageSetUpPr fitToPage="1"/>
  </sheetPr>
  <dimension ref="A2:M257"/>
  <sheetViews>
    <sheetView topLeftCell="A7" zoomScaleNormal="100" workbookViewId="0">
      <selection activeCell="I19" sqref="I1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778</v>
      </c>
      <c r="H2" s="392"/>
      <c r="J2" s="128" t="s">
        <v>649</v>
      </c>
      <c r="K2" s="401" t="s">
        <v>69</v>
      </c>
      <c r="L2" s="401"/>
    </row>
    <row r="3" spans="1:13" hidden="1" x14ac:dyDescent="0.2">
      <c r="B3" s="103" t="s">
        <v>38</v>
      </c>
      <c r="C3" s="391" t="s">
        <v>60</v>
      </c>
      <c r="D3" s="391"/>
      <c r="E3" s="391"/>
      <c r="G3" s="128" t="s">
        <v>650</v>
      </c>
      <c r="H3" s="187" t="s">
        <v>777</v>
      </c>
      <c r="J3" s="128" t="s">
        <v>651</v>
      </c>
      <c r="K3" s="187">
        <v>6</v>
      </c>
    </row>
    <row r="4" spans="1:13" hidden="1" x14ac:dyDescent="0.2">
      <c r="B4" s="103" t="s">
        <v>652</v>
      </c>
      <c r="C4" s="392" t="s">
        <v>764</v>
      </c>
      <c r="D4" s="392"/>
      <c r="E4" s="392"/>
      <c r="G4" s="103">
        <f>IFERROR(VALUE(LEFT($H$3,FIND(" ",$H$3))),"")</f>
        <v>78</v>
      </c>
      <c r="H4" s="103" t="str">
        <f>IFERROR(RIGHT(H3,LEN(H3)-LEN(G4)-1),"")</f>
        <v>bushel</v>
      </c>
      <c r="J4" s="128" t="s">
        <v>653</v>
      </c>
      <c r="K4" s="188" t="s">
        <v>654</v>
      </c>
    </row>
    <row r="5" spans="1:13" ht="15.75" hidden="1" customHeight="1" x14ac:dyDescent="0.2">
      <c r="B5" s="103" t="s">
        <v>655</v>
      </c>
      <c r="C5" s="103" t="str">
        <f ca="1">MID(CELL("filename",C5),FIND("]",CELL("filename",C5))+1,255)</f>
        <v>66-Soybeans</v>
      </c>
      <c r="E5" s="103">
        <f ca="1">VLOOKUP($C$5,CropInsurance,5,FALSE)</f>
        <v>4</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66-Soybeans, Enlist E3™ Treated, No Till Drilled 7.5-inch Rows, after Corn, 78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66-Soybeans, Enlist E3™ Treated, No Till Drilled 7.5-inch Rows, after Corn, 78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553</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488</v>
      </c>
      <c r="C13" s="174">
        <v>1</v>
      </c>
      <c r="D13" s="174"/>
      <c r="E13" s="109">
        <f>IF(B13=0,"",IF(C13&gt;9999,"",ROUND('General Variables'!$B$4*VLOOKUP(B13,Operations!$A$2:$U$79,10,FALSE)/VLOOKUP(B13,Operations!$A$2:$U$79,9,FALSE)*C13,2)))</f>
        <v>2.38</v>
      </c>
      <c r="F13" s="109">
        <f>IF(B13=0,0,IF(C13&gt;9999,"",ROUND(IF(VLOOKUP(B13,Operations!$A$2:$U$79,12,FALSE)=0,VLOOKUP(B13,Operations!$A$2:$U$79,13,FALSE)*'General Variables'!$B$8,VLOOKUP(B13,Operations!$A$2:$U$79,12,FALSE)*'General Variables'!$B$7)/VLOOKUP(B13,Operations!$A$2:$U$79,9,FALSE)*C13,2)))</f>
        <v>1.28</v>
      </c>
      <c r="G13" s="109">
        <f>IF(B13=0,0,IF(C13&gt;9999,"",ROUND(VLOOKUP(VLOOKUP(B13,Operations!$A$2:$U$79,11,FALSE),PowerUnits[],10,FALSE)/VLOOKUP(B13,Operations!$A$2:$U$79,9,FALSE)*C13,2)))</f>
        <v>7.0000000000000007E-2</v>
      </c>
      <c r="H13" s="109">
        <f>IF(B13=0,"",IF(C13&gt;9999,"",ROUND(VLOOKUP($B13,Operations!$A$2:$U$79,15,FALSE)*C13,2)))</f>
        <v>7.18</v>
      </c>
      <c r="I13" s="109">
        <f>IF(B13=0,0,IF(C13&gt;9999,"",ROUND(VLOOKUP(VLOOKUP(B13,Operations!$A$2:$U$79,11,FALSE),PowerUnits[],16,FALSE)/VLOOKUP(B13,Operations!$A$2:$U$79,9,FALSE)*C13,2)))</f>
        <v>3.46</v>
      </c>
      <c r="J13" s="109">
        <f>IF(B13=0,"",IF(C13&gt;9999,"",ROUND(VLOOKUP($B13,Operations!$A$2:$U$79,21,FALSE)*$C13,2)))</f>
        <v>2.4500000000000002</v>
      </c>
      <c r="K13" s="109">
        <f t="shared" ref="K13:K31" si="0">IF(C13&gt;9999,"",ROUND(SUM(E13:J13),2))</f>
        <v>16.82</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522</v>
      </c>
      <c r="C17" s="174">
        <f>$K$3</f>
        <v>6</v>
      </c>
      <c r="D17" s="174" t="s">
        <v>693</v>
      </c>
      <c r="E17" s="109">
        <f>IF(B17=0,"",IF(C17&gt;9999,"",ROUND('General Variables'!$B$4*VLOOKUP(B17,Operations!$A$2:$U$79,10,FALSE)/VLOOKUP(B17,Operations!$A$2:$U$79,9,FALSE)*C17,2)))</f>
        <v>5.63</v>
      </c>
      <c r="F17" s="109">
        <f>IF(B17=0,0,IF(C17&gt;9999,"",ROUND(IF(VLOOKUP(B17,Operations!$A$2:$U$79,12,FALSE)=0,VLOOKUP(B17,Operations!$A$2:$U$79,13,FALSE)*'General Variables'!$B$8,VLOOKUP(B17,Operations!$A$2:$U$79,12,FALSE)*'General Variables'!$B$7)/VLOOKUP(B17,Operations!$A$2:$U$79,9,FALSE)*C17,2)))</f>
        <v>35.590000000000003</v>
      </c>
      <c r="G17" s="109">
        <f>IF(B17=0,0,IF(C17&gt;9999,"",ROUND(VLOOKUP(VLOOKUP(B17,Operations!$A$2:$U$79,11,FALSE),PowerUnits[],10,FALSE)/VLOOKUP(B17,Operations!$A$2:$U$79,9,FALSE)*C17,2)))</f>
        <v>3.27</v>
      </c>
      <c r="H17" s="109">
        <f>IF(B17=0,"",IF(C17&gt;9999,"",ROUND(VLOOKUP($B17,Operations!$A$2:$U$79,15,FALSE)*C17,2)))</f>
        <v>15.91</v>
      </c>
      <c r="I17" s="109">
        <f>IF(B17=0,0,IF(C17&gt;9999,"",ROUND(VLOOKUP(VLOOKUP(B17,Operations!$A$2:$U$79,11,FALSE),PowerUnits[],16,FALSE)/VLOOKUP(B17,Operations!$A$2:$U$79,9,FALSE)*C17,2)))</f>
        <v>6.2</v>
      </c>
      <c r="J17" s="109">
        <f>IF(B17=0,"",IF(C17&gt;9999,"",ROUND(VLOOKUP($B17,Operations!$A$2:$U$79,21,FALSE)*$C17,2)))</f>
        <v>8.73</v>
      </c>
      <c r="K17" s="109">
        <f>IF(C17&gt;9999,"",ROUND(SUM(E17:J17),2))</f>
        <v>75.33</v>
      </c>
      <c r="L17" s="110"/>
    </row>
    <row r="18" spans="1:12" x14ac:dyDescent="0.2">
      <c r="A18" s="170" t="s">
        <v>910</v>
      </c>
      <c r="B18" s="180" t="s">
        <v>940</v>
      </c>
      <c r="C18" s="255">
        <f>$G$4*2</f>
        <v>156</v>
      </c>
      <c r="D18" s="174"/>
      <c r="E18" s="109">
        <f>IF(B18=0,"",IF(C18&gt;9999,"",ROUND('General Variables'!$B$4*VLOOKUP(B18,Operations!$A$2:$U$79,10,FALSE)/VLOOKUP(B18,Operations!$A$2:$U$79,9,FALSE)*C18,2))/100)</f>
        <v>3.5639999999999996</v>
      </c>
      <c r="F18" s="109">
        <f>IF(B18=0,0,IF(C18&gt;9999,"",ROUND(IF(VLOOKUP(B18,Operations!$A$2:$U$79,12,FALSE)=0,VLOOKUP(B18,Operations!$A$2:$U$79,13,FALSE)*'General Variables'!$B$8,VLOOKUP(B18,Operations!$A$2:$U$79,12,FALSE)*'General Variables'!$B$7)/VLOOKUP(B18,Operations!$A$2:$U$79,9,FALSE)*C18,2))/100)</f>
        <v>4.0282</v>
      </c>
      <c r="G18" s="109">
        <f>IF(B18=0,0,IF(C18&gt;9999,"",ROUND(VLOOKUP(VLOOKUP(B18,Operations!$A$2:$U$79,11,FALSE),PowerUnits[],10,FALSE)/VLOOKUP(B18,Operations!$A$2:$U$79,9,FALSE)*C18,2))/100)</f>
        <v>6.1929999999999996</v>
      </c>
      <c r="H18" s="109">
        <f>IF(B18=0,"",IF(C18&gt;9999,"",ROUND(VLOOKUP($B18,Operations!$A$2:$U$79,15,FALSE)*C18,2))/100)</f>
        <v>1.2855000000000001</v>
      </c>
      <c r="I18" s="109">
        <f>IF(B18=0,0,IF(C18&gt;9999,"",ROUND(VLOOKUP(VLOOKUP(B18,Operations!$A$2:$U$79,11,FALSE),PowerUnits[],16,FALSE)/VLOOKUP(B18,Operations!$A$2:$U$79,9,FALSE)*C18,2))/90)</f>
        <v>16.571444444444445</v>
      </c>
      <c r="J18" s="109">
        <f>IF(B18=0,"",IF(C18&gt;9999,"",ROUND(VLOOKUP($B18,Operations!$A$2:$U$79,21,FALSE)*$C18,2))/100)</f>
        <v>5.9466000000000001</v>
      </c>
      <c r="K18" s="109">
        <f>IF(C18&gt;9999,"",ROUND(SUM(E18:J18),2))</f>
        <v>37.590000000000003</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13.614000000000001</v>
      </c>
      <c r="F33" s="109">
        <f t="shared" ref="F33:K33" si="1">SUM(F12:F31)</f>
        <v>41.418199999999999</v>
      </c>
      <c r="G33" s="109">
        <f t="shared" si="1"/>
        <v>9.593</v>
      </c>
      <c r="H33" s="109">
        <f t="shared" si="1"/>
        <v>26.595499999999998</v>
      </c>
      <c r="I33" s="109">
        <f t="shared" si="1"/>
        <v>28.851444444444446</v>
      </c>
      <c r="J33" s="109">
        <f t="shared" si="1"/>
        <v>21.166600000000003</v>
      </c>
      <c r="K33" s="109">
        <f t="shared" si="1"/>
        <v>141.24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0.8</v>
      </c>
      <c r="H37" s="176">
        <v>32</v>
      </c>
      <c r="I37" s="120" t="str">
        <f>IF($B37=0,"",VLOOKUP($B37,Table2[],5,FALSE))</f>
        <v>ounce</v>
      </c>
      <c r="J37" s="109">
        <f>IF($B37=0,"",VLOOKUP($B37,Table2[],7,FALSE))</f>
        <v>0.1328125</v>
      </c>
      <c r="K37" s="109">
        <f>IF(B37=0,0,ROUND(G37*H37*J37,2))</f>
        <v>3.4</v>
      </c>
      <c r="L37" s="110"/>
    </row>
    <row r="38" spans="1:12" x14ac:dyDescent="0.2">
      <c r="A38" s="105"/>
      <c r="B38" s="180" t="s">
        <v>253</v>
      </c>
      <c r="C38" s="397" t="str">
        <f>IF(B38=0,"",VLOOKUP($B38,Table2[],2,FALSE))</f>
        <v>Herbicide</v>
      </c>
      <c r="D38" s="397"/>
      <c r="E38" s="397"/>
      <c r="F38" s="174">
        <v>1</v>
      </c>
      <c r="G38" s="175">
        <v>0.8</v>
      </c>
      <c r="H38" s="176">
        <v>1.5</v>
      </c>
      <c r="I38" s="312" t="s">
        <v>179</v>
      </c>
      <c r="J38" s="159">
        <f>IF($B38=0,"",VLOOKUP($B38,Table2[],7,FALSE))</f>
        <v>8.75</v>
      </c>
      <c r="K38" s="159">
        <f>IF(B38=0,0,ROUND(G38*H38*J38,2))</f>
        <v>10.5</v>
      </c>
      <c r="L38" s="244"/>
    </row>
    <row r="39" spans="1:12" x14ac:dyDescent="0.2">
      <c r="A39" s="105"/>
      <c r="B39" s="180" t="s">
        <v>170</v>
      </c>
      <c r="C39" s="388" t="str">
        <f>IF(B39=0,"",VLOOKUP($B39,Table2[],2,FALSE))</f>
        <v>Additive</v>
      </c>
      <c r="D39" s="388"/>
      <c r="E39" s="388"/>
      <c r="F39" s="174">
        <v>1</v>
      </c>
      <c r="G39" s="175">
        <v>0.8</v>
      </c>
      <c r="H39" s="176">
        <v>1.7</v>
      </c>
      <c r="I39" s="120" t="str">
        <f>IF($B39=0,"",VLOOKUP($B39,Table2[],5,FALSE))</f>
        <v>pound</v>
      </c>
      <c r="J39" s="109">
        <f>IF($B39=0,"",VLOOKUP($B39,Table2[],7,FALSE))</f>
        <v>0.4</v>
      </c>
      <c r="K39" s="109">
        <f>IF(B39=0,0,ROUND(G39*H39*J39,2))</f>
        <v>0.54</v>
      </c>
      <c r="L39" s="110"/>
    </row>
    <row r="40" spans="1:12" x14ac:dyDescent="0.2">
      <c r="A40" s="105"/>
      <c r="B40" s="213" t="s">
        <v>240</v>
      </c>
      <c r="C40" s="387" t="str">
        <f>IF(B40=0,"",VLOOKUP($B40,Table2[],2,FALSE))</f>
        <v>Herbicide</v>
      </c>
      <c r="D40" s="387"/>
      <c r="E40" s="387"/>
      <c r="F40" s="214">
        <v>1</v>
      </c>
      <c r="G40" s="221">
        <v>1</v>
      </c>
      <c r="H40" s="222">
        <v>6</v>
      </c>
      <c r="I40" s="223" t="str">
        <f>IF($B40=0,"",VLOOKUP($B40,Table2[],5,FALSE))</f>
        <v>ounce</v>
      </c>
      <c r="J40" s="215">
        <f>IF($B40=0,"",VLOOKUP($B40,Table2[],7,FALSE))</f>
        <v>3.359375</v>
      </c>
      <c r="K40" s="215">
        <f t="shared" ref="K40:K61" si="2">IF(B40=0,0,ROUND(G40*H40*J40,2))</f>
        <v>20.16</v>
      </c>
      <c r="L40" s="216"/>
    </row>
    <row r="41" spans="1:12" x14ac:dyDescent="0.2">
      <c r="A41" s="105"/>
      <c r="B41" s="180" t="s">
        <v>340</v>
      </c>
      <c r="C41" s="388" t="str">
        <f>IF(B41=0,"",VLOOKUP($B41,Table2[],2,FALSE))</f>
        <v>Seed</v>
      </c>
      <c r="D41" s="388"/>
      <c r="E41" s="388"/>
      <c r="F41" s="174">
        <v>2</v>
      </c>
      <c r="G41" s="175">
        <v>1</v>
      </c>
      <c r="H41" s="176">
        <v>1</v>
      </c>
      <c r="I41" s="120" t="str">
        <f>IF($B41=0,"",VLOOKUP($B41,Table2[],5,FALSE))</f>
        <v>k seed</v>
      </c>
      <c r="J41" s="109">
        <f>IF($B41=0,"",VLOOKUP($B41,Table2[],7,FALSE))</f>
        <v>83</v>
      </c>
      <c r="K41" s="109">
        <f t="shared" si="2"/>
        <v>83</v>
      </c>
      <c r="L41" s="110"/>
    </row>
    <row r="42" spans="1:12" x14ac:dyDescent="0.2">
      <c r="A42" s="105"/>
      <c r="B42" s="180" t="s">
        <v>342</v>
      </c>
      <c r="C42" s="388" t="str">
        <f>IF(B42=0,"",VLOOKUP($B42,Table2[],2,FALSE))</f>
        <v>Inoculant</v>
      </c>
      <c r="D42" s="388"/>
      <c r="E42" s="388"/>
      <c r="F42" s="174">
        <v>2</v>
      </c>
      <c r="G42" s="175">
        <v>1</v>
      </c>
      <c r="H42" s="176">
        <v>1</v>
      </c>
      <c r="I42" s="120" t="str">
        <f>IF($B42=0,"",VLOOKUP($B42,Table2[],5,FALSE))</f>
        <v>acre</v>
      </c>
      <c r="J42" s="109">
        <f>IF($B42=0,"",VLOOKUP($B42,Table2[],7,FALSE))</f>
        <v>7</v>
      </c>
      <c r="K42" s="109">
        <f t="shared" ref="K42" si="3">IF(B42=0,0,ROUND(G42*H42*J42,2))</f>
        <v>7</v>
      </c>
      <c r="L42" s="110"/>
    </row>
    <row r="43" spans="1:12" x14ac:dyDescent="0.2">
      <c r="A43" s="105"/>
      <c r="B43" s="180" t="s">
        <v>251</v>
      </c>
      <c r="C43" s="388" t="str">
        <f>IF(B43=0,"",VLOOKUP($B43,Table2[],2,FALSE))</f>
        <v>Herbicide</v>
      </c>
      <c r="D43" s="388"/>
      <c r="E43" s="388"/>
      <c r="F43" s="174">
        <v>3</v>
      </c>
      <c r="G43" s="175">
        <v>1</v>
      </c>
      <c r="H43" s="176">
        <v>76</v>
      </c>
      <c r="I43" s="120" t="str">
        <f>IF($B43=0,"",VLOOKUP($B43,Table2[],5,FALSE))</f>
        <v xml:space="preserve">ounce </v>
      </c>
      <c r="J43" s="109">
        <f>IF($B43=0,"",VLOOKUP($B43,Table2[],7,FALSE))</f>
        <v>0.3515625</v>
      </c>
      <c r="K43" s="109">
        <f t="shared" si="2"/>
        <v>26.72</v>
      </c>
      <c r="L43" s="110"/>
    </row>
    <row r="44" spans="1:12" x14ac:dyDescent="0.2">
      <c r="A44" s="105"/>
      <c r="B44" s="213" t="s">
        <v>903</v>
      </c>
      <c r="C44" s="387" t="str">
        <f>IF(B44=0,"",VLOOKUP($B44,Table2[],2,FALSE))</f>
        <v>Herbicide</v>
      </c>
      <c r="D44" s="387"/>
      <c r="E44" s="387"/>
      <c r="F44" s="214">
        <v>3</v>
      </c>
      <c r="G44" s="221">
        <v>1</v>
      </c>
      <c r="H44" s="222">
        <v>43</v>
      </c>
      <c r="I44" s="223" t="str">
        <f>IF($B44=0,"",VLOOKUP($B44,Table2[],5,FALSE))</f>
        <v xml:space="preserve">ounce </v>
      </c>
      <c r="J44" s="215">
        <f>IF($B44=0,"",VLOOKUP($B44,Table2[],7,FALSE))</f>
        <v>0.546875</v>
      </c>
      <c r="K44" s="215">
        <f t="shared" si="2"/>
        <v>23.52</v>
      </c>
      <c r="L44" s="216"/>
    </row>
    <row r="45" spans="1:12" x14ac:dyDescent="0.2">
      <c r="A45" s="143"/>
      <c r="B45" s="180" t="s">
        <v>273</v>
      </c>
      <c r="C45" s="388" t="str">
        <f>IF(B45=0,"",VLOOKUP($B45,Table2[],2,FALSE))</f>
        <v>Herbicide</v>
      </c>
      <c r="D45" s="388"/>
      <c r="E45" s="388"/>
      <c r="F45" s="174">
        <v>3</v>
      </c>
      <c r="G45" s="175">
        <v>1</v>
      </c>
      <c r="H45" s="176">
        <v>6</v>
      </c>
      <c r="I45" s="120" t="str">
        <f>IF($B45=0,"",VLOOKUP($B45,Table2[],5,FALSE))</f>
        <v>ounce</v>
      </c>
      <c r="J45" s="109">
        <f>IF($B45=0,"",VLOOKUP($B45,Table2[],7,FALSE))</f>
        <v>1.015625</v>
      </c>
      <c r="K45" s="109">
        <f t="shared" si="2"/>
        <v>6.09</v>
      </c>
      <c r="L45" s="110"/>
    </row>
    <row r="46" spans="1:12" x14ac:dyDescent="0.2">
      <c r="A46" s="143"/>
      <c r="B46" s="180" t="s">
        <v>175</v>
      </c>
      <c r="C46" s="388" t="str">
        <f>IF(B46=0,"",VLOOKUP($B46,Table2[],2,FALSE))</f>
        <v>Additive</v>
      </c>
      <c r="D46" s="388"/>
      <c r="E46" s="388"/>
      <c r="F46" s="174">
        <v>3</v>
      </c>
      <c r="G46" s="175">
        <v>1</v>
      </c>
      <c r="H46" s="176">
        <v>1</v>
      </c>
      <c r="I46" s="120" t="str">
        <f>IF($B46=0,"",VLOOKUP($B46,Table2[],5,FALSE))</f>
        <v>acre</v>
      </c>
      <c r="J46" s="109">
        <f>IF($B46=0,"",VLOOKUP($B46,Table2[],7,FALSE))</f>
        <v>2.25</v>
      </c>
      <c r="K46" s="109">
        <f t="shared" si="2"/>
        <v>2.25</v>
      </c>
      <c r="L46" s="110"/>
    </row>
    <row r="47" spans="1:12" x14ac:dyDescent="0.2">
      <c r="A47" s="143"/>
      <c r="B47" s="180" t="s">
        <v>183</v>
      </c>
      <c r="C47" s="388" t="str">
        <f>IF(B47=0,"",VLOOKUP($B47,Table2[],2,FALSE))</f>
        <v>Custom</v>
      </c>
      <c r="D47" s="388"/>
      <c r="E47" s="388"/>
      <c r="F47" s="174">
        <v>4</v>
      </c>
      <c r="G47" s="175">
        <v>0.2</v>
      </c>
      <c r="H47" s="176">
        <v>1</v>
      </c>
      <c r="I47" s="120" t="str">
        <f>IF($B47=0,"",VLOOKUP($B47,Table2[],5,FALSE))</f>
        <v>acre</v>
      </c>
      <c r="J47" s="109">
        <f>IF($B47=0,"",VLOOKUP($B47,Table2[],7,FALSE))</f>
        <v>11</v>
      </c>
      <c r="K47" s="109">
        <f t="shared" si="2"/>
        <v>2.2000000000000002</v>
      </c>
      <c r="L47" s="110"/>
    </row>
    <row r="48" spans="1:12" x14ac:dyDescent="0.2">
      <c r="A48" s="143" t="s">
        <v>750</v>
      </c>
      <c r="B48" s="213" t="s">
        <v>290</v>
      </c>
      <c r="C48" s="387" t="str">
        <f>IF(B48=0,"",VLOOKUP($B48,Table2[],2,FALSE))</f>
        <v>Insecticide</v>
      </c>
      <c r="D48" s="387"/>
      <c r="E48" s="387"/>
      <c r="F48" s="214">
        <v>4</v>
      </c>
      <c r="G48" s="221">
        <v>0.2</v>
      </c>
      <c r="H48" s="222">
        <v>1.6</v>
      </c>
      <c r="I48" s="223" t="str">
        <f>IF($B48=0,"",VLOOKUP($B48,Table2[],5,FALSE))</f>
        <v>ounce</v>
      </c>
      <c r="J48" s="215">
        <f>IF($B48=0,"",VLOOKUP($B48,Table2[],7,FALSE))</f>
        <v>3.203125</v>
      </c>
      <c r="K48" s="215">
        <f t="shared" si="2"/>
        <v>1.03</v>
      </c>
      <c r="L48" s="216"/>
    </row>
    <row r="49" spans="1:12" x14ac:dyDescent="0.2">
      <c r="A49" s="143"/>
      <c r="B49" s="180" t="s">
        <v>183</v>
      </c>
      <c r="C49" s="388" t="str">
        <f>IF(B49=0,"",VLOOKUP($B49,Table2[],2,FALSE))</f>
        <v>Custom</v>
      </c>
      <c r="D49" s="388"/>
      <c r="E49" s="388"/>
      <c r="F49" s="174">
        <v>5</v>
      </c>
      <c r="G49" s="175">
        <v>0.5</v>
      </c>
      <c r="H49" s="176">
        <v>1</v>
      </c>
      <c r="I49" s="120" t="str">
        <f>IF($B49=0,"",VLOOKUP($B49,Table2[],5,FALSE))</f>
        <v>acre</v>
      </c>
      <c r="J49" s="109">
        <f>IF($B49=0,"",VLOOKUP($B49,Table2[],7,FALSE))</f>
        <v>11</v>
      </c>
      <c r="K49" s="109">
        <f t="shared" si="2"/>
        <v>5.5</v>
      </c>
      <c r="L49" s="110"/>
    </row>
    <row r="50" spans="1:12" x14ac:dyDescent="0.2">
      <c r="A50" s="105"/>
      <c r="B50" s="180" t="s">
        <v>895</v>
      </c>
      <c r="C50" s="388" t="str">
        <f>IF(B50=0,"",VLOOKUP($B50,Table2[],2,FALSE))</f>
        <v>Fungicide</v>
      </c>
      <c r="D50" s="388"/>
      <c r="E50" s="388"/>
      <c r="F50" s="174">
        <v>5</v>
      </c>
      <c r="G50" s="175">
        <v>0.5</v>
      </c>
      <c r="H50" s="176">
        <v>13.7</v>
      </c>
      <c r="I50" s="120" t="str">
        <f>IF($B50=0,"",VLOOKUP($B50,Table2[],5,FALSE))</f>
        <v>ounce</v>
      </c>
      <c r="J50" s="109">
        <f>IF($B50=0,"",VLOOKUP($B50,Table2[],7,FALSE))</f>
        <v>1.7578125</v>
      </c>
      <c r="K50" s="109">
        <f t="shared" si="2"/>
        <v>12.04</v>
      </c>
      <c r="L50" s="110"/>
    </row>
    <row r="51" spans="1:12" x14ac:dyDescent="0.2">
      <c r="A51" s="105"/>
      <c r="B51" s="180" t="s">
        <v>198</v>
      </c>
      <c r="C51" s="388" t="str">
        <f>IF(B51=0,"",VLOOKUP($B51,Table2[],2,FALSE))</f>
        <v>Custom</v>
      </c>
      <c r="D51" s="388"/>
      <c r="E51" s="388"/>
      <c r="F51" s="174">
        <v>8</v>
      </c>
      <c r="G51" s="175">
        <v>1</v>
      </c>
      <c r="H51" s="176">
        <f>$G$4</f>
        <v>78</v>
      </c>
      <c r="I51" s="120" t="str">
        <f>IF($B51=0,"",VLOOKUP($B51,Table2[],5,FALSE))</f>
        <v>bushel</v>
      </c>
      <c r="J51" s="109">
        <f>IF($B51=0,"",VLOOKUP($B51,Table2[],7,FALSE))</f>
        <v>0.15</v>
      </c>
      <c r="K51" s="109">
        <f t="shared" si="2"/>
        <v>11.7</v>
      </c>
      <c r="L51" s="110"/>
    </row>
    <row r="52" spans="1:12" ht="12.75" customHeight="1" x14ac:dyDescent="0.2">
      <c r="B52" s="213" t="s">
        <v>314</v>
      </c>
      <c r="C52" s="387" t="str">
        <f>IF(B52=0,"",VLOOKUP($B52,Table2[],2,FALSE))</f>
        <v>Scouting</v>
      </c>
      <c r="D52" s="387"/>
      <c r="E52" s="387"/>
      <c r="F52" s="214"/>
      <c r="G52" s="221">
        <v>1</v>
      </c>
      <c r="H52" s="222">
        <v>1</v>
      </c>
      <c r="I52" s="223" t="str">
        <f>IF($B52=0,"",VLOOKUP($B52,Table2[],5,FALSE))</f>
        <v>acre</v>
      </c>
      <c r="J52" s="215">
        <f>IF($B52=0,"",VLOOKUP($B52,Table2[],7,FALSE))</f>
        <v>13</v>
      </c>
      <c r="K52" s="215">
        <f t="shared" si="2"/>
        <v>13</v>
      </c>
      <c r="L52" s="216"/>
    </row>
    <row r="53" spans="1: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1: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1: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 t="shared" si="2"/>
        <v>0</v>
      </c>
      <c r="L57" s="227"/>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2"/>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2"/>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 t="shared" si="2"/>
        <v>0</v>
      </c>
      <c r="L60" s="113"/>
    </row>
    <row r="61" spans="1: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 t="shared" si="2"/>
        <v>0</v>
      </c>
      <c r="L61" s="227"/>
    </row>
    <row r="62" spans="1:12" x14ac:dyDescent="0.2">
      <c r="B62" s="185" t="s">
        <v>430</v>
      </c>
      <c r="C62" s="388" t="s">
        <v>655</v>
      </c>
      <c r="D62" s="388"/>
      <c r="E62" s="388"/>
      <c r="F62" s="112"/>
      <c r="G62" s="177"/>
      <c r="H62" s="178"/>
      <c r="I62" s="170"/>
      <c r="J62" s="109">
        <f ca="1">IF(F5=0,E5,F5)</f>
        <v>4</v>
      </c>
      <c r="K62" s="109">
        <f ca="1">IF(B62=0,0,J62)</f>
        <v>4</v>
      </c>
      <c r="L62" s="113"/>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27">
        <f ca="1">SUM(K37:K62)</f>
        <v>232.64999999999998</v>
      </c>
      <c r="L64" s="110"/>
    </row>
    <row r="65" spans="2:12" x14ac:dyDescent="0.2">
      <c r="B65" s="358" t="s">
        <v>909</v>
      </c>
      <c r="F65" s="352" t="s">
        <v>768</v>
      </c>
      <c r="K65" s="127"/>
    </row>
    <row r="66" spans="2:12" x14ac:dyDescent="0.2">
      <c r="B66" s="358"/>
      <c r="F66" s="352"/>
      <c r="K66" s="127"/>
    </row>
    <row r="67" spans="2:12" x14ac:dyDescent="0.2">
      <c r="B67" s="107" t="s">
        <v>672</v>
      </c>
      <c r="K67" s="127">
        <f ca="1">K33+K64</f>
        <v>373.89</v>
      </c>
      <c r="L67" s="110"/>
    </row>
    <row r="68" spans="2:12" ht="13.5" thickBot="1" x14ac:dyDescent="0.25">
      <c r="D68" s="128" t="s">
        <v>673</v>
      </c>
      <c r="E68" s="129">
        <f ca="1">ROUND(SUM($E$33:$H$33)+$K$64,2)</f>
        <v>323.87</v>
      </c>
      <c r="F68" s="388" t="s">
        <v>674</v>
      </c>
      <c r="G68" s="388"/>
      <c r="H68" s="130">
        <f>'General Variables'!$B$11</f>
        <v>7.4999999999999997E-2</v>
      </c>
      <c r="I68" s="131" t="str">
        <f>CONCATENATE("for ",TEXT('General Variables'!$B$12,"0.0")," mo.")</f>
        <v>for 6.0 mo.</v>
      </c>
      <c r="K68" s="132">
        <f ca="1">E68*H68*'General Variables'!$B$12/12</f>
        <v>12.145125</v>
      </c>
      <c r="L68" s="133"/>
    </row>
    <row r="69" spans="2:12" ht="13.5" thickTop="1" x14ac:dyDescent="0.2">
      <c r="B69" s="107" t="s">
        <v>675</v>
      </c>
      <c r="K69" s="127">
        <f ca="1">SUM(K67:K68)</f>
        <v>386.03512499999999</v>
      </c>
      <c r="L69" s="110"/>
    </row>
    <row r="70" spans="2:12" x14ac:dyDescent="0.2">
      <c r="K70" s="127"/>
    </row>
    <row r="71" spans="2:12" x14ac:dyDescent="0.2">
      <c r="B71" s="104" t="s">
        <v>676</v>
      </c>
      <c r="C71" s="134"/>
      <c r="D71" s="134"/>
      <c r="E71" s="134"/>
      <c r="F71" s="134"/>
      <c r="G71" s="134"/>
      <c r="H71" s="134"/>
      <c r="I71" s="134"/>
      <c r="J71" s="134"/>
      <c r="K71" s="135">
        <f>'General Variables'!B14</f>
        <v>35</v>
      </c>
      <c r="L71" s="110"/>
    </row>
    <row r="72" spans="2:12" x14ac:dyDescent="0.2">
      <c r="B72" s="103" t="s">
        <v>687</v>
      </c>
      <c r="C72" s="398" t="s">
        <v>40</v>
      </c>
      <c r="D72" s="399"/>
      <c r="E72" s="400"/>
      <c r="F72" s="136">
        <f>IF(C72=0,0,VLOOKUP(C72,RETable,2,FALSE))</f>
        <v>9115</v>
      </c>
      <c r="G72" s="388" t="s">
        <v>678</v>
      </c>
      <c r="H72" s="388"/>
      <c r="I72" s="130">
        <f>'General Variables'!$B$10</f>
        <v>0.03</v>
      </c>
      <c r="K72" s="137">
        <f>ROUND(F72*I72,2)</f>
        <v>273.45</v>
      </c>
      <c r="L72" s="110"/>
    </row>
    <row r="73" spans="2:12" ht="13.5" thickBot="1" x14ac:dyDescent="0.25">
      <c r="B73" s="103" t="s">
        <v>679</v>
      </c>
      <c r="F73" s="138">
        <f>IF(C72=0,0,VLOOKUP(C72,RETable,2,FALSE))</f>
        <v>9115</v>
      </c>
      <c r="G73" s="397" t="s">
        <v>678</v>
      </c>
      <c r="H73" s="397"/>
      <c r="I73" s="139">
        <f>'General Variables'!$B$13</f>
        <v>1.2999999999999999E-2</v>
      </c>
      <c r="J73" s="105"/>
      <c r="K73" s="140">
        <f>ROUND(F73*I73,2)</f>
        <v>118.5</v>
      </c>
      <c r="L73" s="133"/>
    </row>
    <row r="74" spans="2:12" ht="13.5" thickTop="1" x14ac:dyDescent="0.2">
      <c r="B74" s="107" t="s">
        <v>680</v>
      </c>
      <c r="K74" s="127">
        <f ca="1">SUM(K69:K73)</f>
        <v>812.98512499999993</v>
      </c>
      <c r="L74" s="110"/>
    </row>
    <row r="75" spans="2:12" x14ac:dyDescent="0.2">
      <c r="K75" s="128"/>
    </row>
    <row r="76" spans="2:12" x14ac:dyDescent="0.2">
      <c r="B76" s="104" t="str">
        <f>IF(G4="","","Cash Cost per "&amp;H4)</f>
        <v>Cash Cost per bushel</v>
      </c>
      <c r="C76" s="261" t="s">
        <v>688</v>
      </c>
      <c r="D76" s="105"/>
      <c r="E76" s="105"/>
      <c r="F76" s="105"/>
      <c r="G76" s="105"/>
      <c r="H76" s="105"/>
      <c r="I76" s="105"/>
      <c r="J76" s="105"/>
      <c r="K76" s="142">
        <f ca="1">IF(G4=0,0,(E68+K68+K71+K73)/G4)</f>
        <v>6.2758349358974357</v>
      </c>
      <c r="L76" s="148"/>
    </row>
    <row r="77" spans="2:12" x14ac:dyDescent="0.2">
      <c r="B77" s="107" t="str">
        <f>IF(G4="","","Cost of production per "&amp;H4)</f>
        <v>Cost of production per bushel</v>
      </c>
      <c r="K77" s="141">
        <f ca="1">IF(G4="","",K74/G4)</f>
        <v>10.422886217948717</v>
      </c>
      <c r="L77" s="110"/>
    </row>
    <row r="79" spans="2:12" x14ac:dyDescent="0.2">
      <c r="B79" s="103" t="s">
        <v>765</v>
      </c>
    </row>
    <row r="80" spans="2:12" x14ac:dyDescent="0.2">
      <c r="D80" s="103" t="s">
        <v>900</v>
      </c>
      <c r="G80" s="105"/>
      <c r="H80" s="105"/>
      <c r="I80" s="105"/>
      <c r="J80" s="105"/>
      <c r="K80" s="355" t="s">
        <v>901</v>
      </c>
      <c r="L80"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9">
    <mergeCell ref="B7:L7"/>
    <mergeCell ref="G2:H2"/>
    <mergeCell ref="K2:L2"/>
    <mergeCell ref="C3:E3"/>
    <mergeCell ref="C4:E4"/>
    <mergeCell ref="A6:M6"/>
    <mergeCell ref="B10:B11"/>
    <mergeCell ref="C10:C11"/>
    <mergeCell ref="E10:E11"/>
    <mergeCell ref="F10:F11"/>
    <mergeCell ref="G10:H10"/>
    <mergeCell ref="K10:K11"/>
    <mergeCell ref="L10:L11"/>
    <mergeCell ref="F35:F36"/>
    <mergeCell ref="G35:G36"/>
    <mergeCell ref="H35:I35"/>
    <mergeCell ref="J35:J36"/>
    <mergeCell ref="L35:L36"/>
    <mergeCell ref="I10:J10"/>
    <mergeCell ref="C49:E49"/>
    <mergeCell ref="C37:E37"/>
    <mergeCell ref="C38:E38"/>
    <mergeCell ref="C39:E39"/>
    <mergeCell ref="C40:E40"/>
    <mergeCell ref="C41:E41"/>
    <mergeCell ref="C43:E43"/>
    <mergeCell ref="C44:E44"/>
    <mergeCell ref="C45:E45"/>
    <mergeCell ref="C46:E46"/>
    <mergeCell ref="C47:E47"/>
    <mergeCell ref="C48:E48"/>
    <mergeCell ref="C42:E42"/>
    <mergeCell ref="C61:E61"/>
    <mergeCell ref="C50:E50"/>
    <mergeCell ref="C51:E51"/>
    <mergeCell ref="C52:E52"/>
    <mergeCell ref="C53:E53"/>
    <mergeCell ref="C54:E54"/>
    <mergeCell ref="C55:E55"/>
    <mergeCell ref="C56:E56"/>
    <mergeCell ref="C57:E57"/>
    <mergeCell ref="C58:E58"/>
    <mergeCell ref="C59:E59"/>
    <mergeCell ref="C60:E60"/>
    <mergeCell ref="C62:E62"/>
    <mergeCell ref="F68:G68"/>
    <mergeCell ref="C72:E72"/>
    <mergeCell ref="G72:H72"/>
    <mergeCell ref="G73:H73"/>
  </mergeCells>
  <dataValidations count="9">
    <dataValidation type="list" allowBlank="1" showInputMessage="1" showErrorMessage="1" sqref="C3" xr:uid="{00000000-0002-0000-4700-000000000000}">
      <formula1>TillageSystem</formula1>
    </dataValidation>
    <dataValidation type="list" allowBlank="1" showInputMessage="1" showErrorMessage="1" sqref="K2" xr:uid="{00000000-0002-0000-4700-000001000000}">
      <formula1>watersource</formula1>
    </dataValidation>
    <dataValidation type="list" allowBlank="1" showInputMessage="1" showErrorMessage="1" sqref="D12:D32" xr:uid="{00000000-0002-0000-4700-000002000000}">
      <formula1>#REF!</formula1>
    </dataValidation>
    <dataValidation type="list" allowBlank="1" showInputMessage="1" showErrorMessage="1" sqref="B12:B31" xr:uid="{00000000-0002-0000-4700-000003000000}">
      <formula1>OperationList</formula1>
    </dataValidation>
    <dataValidation type="list" allowBlank="1" showInputMessage="1" showErrorMessage="1" sqref="C72:E72" xr:uid="{00000000-0002-0000-4700-000004000000}">
      <formula1>RealEstateList</formula1>
    </dataValidation>
    <dataValidation type="list" allowBlank="1" showInputMessage="1" showErrorMessage="1" sqref="B37:B61" xr:uid="{00000000-0002-0000-4700-000005000000}">
      <formula1>MaterialList</formula1>
    </dataValidation>
    <dataValidation type="list" allowBlank="1" showInputMessage="1" showErrorMessage="1" sqref="K4" xr:uid="{00000000-0002-0000-4700-000006000000}">
      <formula1>$K$112:$K$114</formula1>
    </dataValidation>
    <dataValidation type="list" allowBlank="1" showInputMessage="1" showErrorMessage="1" sqref="B63" xr:uid="{00000000-0002-0000-4700-000007000000}">
      <formula1>$C$112:$C$230</formula1>
    </dataValidation>
    <dataValidation type="list" allowBlank="1" showInputMessage="1" showErrorMessage="1" sqref="B32" xr:uid="{00000000-0002-0000-4700-000008000000}">
      <formula1>$B$112:$B$209</formula1>
    </dataValidation>
  </dataValidations>
  <pageMargins left="0.7" right="0.7" top="0.75" bottom="0.75" header="0.3" footer="0.3"/>
  <pageSetup scale="71" orientation="portrait" r:id="rId1"/>
  <ignoredErrors>
    <ignoredError sqref="C17:C18" unlockedFormula="1"/>
    <ignoredError sqref="E18:H18 J18" formula="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3">
    <pageSetUpPr fitToPage="1"/>
  </sheetPr>
  <dimension ref="A2:XFB258"/>
  <sheetViews>
    <sheetView topLeftCell="A7" zoomScaleNormal="100" workbookViewId="0">
      <selection activeCell="P9" sqref="P9"/>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70" customWidth="1"/>
    <col min="12" max="16384" width="9.140625" style="103"/>
  </cols>
  <sheetData>
    <row r="2" spans="1:13" ht="14.25" hidden="1" customHeight="1" x14ac:dyDescent="0.2">
      <c r="B2" s="103" t="s">
        <v>20</v>
      </c>
      <c r="C2" s="187" t="s">
        <v>696</v>
      </c>
      <c r="D2" s="187"/>
      <c r="E2" s="187"/>
      <c r="F2" s="128" t="s">
        <v>648</v>
      </c>
      <c r="G2" s="392" t="s">
        <v>682</v>
      </c>
      <c r="H2" s="392"/>
      <c r="J2" s="128" t="s">
        <v>649</v>
      </c>
      <c r="K2" s="401" t="s">
        <v>73</v>
      </c>
      <c r="L2" s="401"/>
    </row>
    <row r="3" spans="1:13" hidden="1" x14ac:dyDescent="0.2">
      <c r="B3" s="103" t="s">
        <v>38</v>
      </c>
      <c r="C3" s="391" t="s">
        <v>61</v>
      </c>
      <c r="D3" s="391"/>
      <c r="E3" s="391"/>
      <c r="G3" s="128" t="s">
        <v>650</v>
      </c>
      <c r="H3" s="187" t="s">
        <v>779</v>
      </c>
      <c r="J3" s="128" t="s">
        <v>651</v>
      </c>
      <c r="K3" s="343">
        <v>20</v>
      </c>
    </row>
    <row r="4" spans="1:13" hidden="1" x14ac:dyDescent="0.2">
      <c r="B4" s="103" t="s">
        <v>652</v>
      </c>
      <c r="C4" s="392"/>
      <c r="D4" s="392"/>
      <c r="E4" s="392"/>
      <c r="G4" s="103">
        <f>IFERROR(VALUE(LEFT($H$3,FIND(" ",$H$3))),"")</f>
        <v>30</v>
      </c>
      <c r="H4" s="103" t="str">
        <f>IFERROR(RIGHT(H3,LEN(H3)-LEN(G4)-1),"")</f>
        <v>ton</v>
      </c>
      <c r="J4" s="128" t="s">
        <v>653</v>
      </c>
      <c r="K4" s="344"/>
    </row>
    <row r="5" spans="1:13" ht="15.75" hidden="1" customHeight="1" x14ac:dyDescent="0.2">
      <c r="B5" s="103" t="s">
        <v>655</v>
      </c>
      <c r="C5" s="103" t="str">
        <f ca="1">MID(CELL("filename",C5),FIND("]",CELL("filename",C5))+1,255)</f>
        <v>67-Sugarbeet</v>
      </c>
      <c r="E5" s="103">
        <f ca="1">VLOOKUP($C$5,CropInsurance,5,FALSE)</f>
        <v>19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67-Sugarbeet, Roundup Ready®, Panhandle, One Pass Zone-Tillage, 30 ton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67-Sugarbeet, Roundup Ready®, Panhandle, One Pass Zone-Tillage, 30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fed by canal, 20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345">
        <f>IF(C12&gt;9999,"",ROUND(SUM(E12:J12),2))</f>
        <v>18.059999999999999</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345">
        <f t="shared" ref="K13:K31" si="0">IF(C13&gt;9999,"",ROUND(SUM(E13:J13),2))</f>
        <v>7.15</v>
      </c>
      <c r="L13" s="110"/>
    </row>
    <row r="14" spans="1:13" x14ac:dyDescent="0.2">
      <c r="A14" s="170">
        <v>3</v>
      </c>
      <c r="B14" s="180" t="s">
        <v>551</v>
      </c>
      <c r="C14" s="174" t="s">
        <v>184</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345" t="str">
        <f t="shared" si="0"/>
        <v/>
      </c>
      <c r="L14" s="110"/>
    </row>
    <row r="15" spans="1:13" x14ac:dyDescent="0.2">
      <c r="A15" s="170">
        <v>4</v>
      </c>
      <c r="B15" s="213" t="s">
        <v>526</v>
      </c>
      <c r="C15" s="214">
        <v>1</v>
      </c>
      <c r="D15" s="214"/>
      <c r="E15" s="219">
        <f>IF(B15=0,"",IF(C15&gt;9999,"",ROUND('General Variables'!$B$4*VLOOKUP(B15,Operations!$A$2:$U$79,10,FALSE)/VLOOKUP(B15,Operations!$A$2:$U$79,9,FALSE)*C15,2)))</f>
        <v>3.24</v>
      </c>
      <c r="F15" s="219">
        <f>IF(B15=0,0,IF(C15&gt;9999,"",ROUND(IF(VLOOKUP(B15,Operations!$A$2:$U$79,12,FALSE)=0,VLOOKUP(B15,Operations!$A$2:$U$79,13,FALSE)*'General Variables'!$B$8,VLOOKUP(B15,Operations!$A$2:$U$79,12,FALSE)*'General Variables'!$B$7)/VLOOKUP(B15,Operations!$A$2:$U$79,9,FALSE)*C15,2)))</f>
        <v>0.87</v>
      </c>
      <c r="G15" s="219">
        <f>IF(B15=0,0,IF(C15&gt;9999,"",ROUND(VLOOKUP(VLOOKUP(B15,Operations!$A$2:$U$79,11,FALSE),PowerUnits[],10,FALSE)/VLOOKUP(B15,Operations!$A$2:$U$79,9,FALSE)*C15,2)))</f>
        <v>0.08</v>
      </c>
      <c r="H15" s="219">
        <f>IF(B15=0,"",IF(C15&gt;9999,"",ROUND(VLOOKUP($B15,Operations!$A$2:$U$79,15,FALSE)*C15,2)))</f>
        <v>6.97</v>
      </c>
      <c r="I15" s="219">
        <f>IF(B15=0,0,IF(C15&gt;9999,"",ROUND(VLOOKUP(VLOOKUP(B15,Operations!$A$2:$U$79,11,FALSE),PowerUnits[],16,FALSE)/VLOOKUP(B15,Operations!$A$2:$U$79,9,FALSE)*C15,2)))</f>
        <v>4.33</v>
      </c>
      <c r="J15" s="219">
        <f>IF(B15=0,"",IF(C15&gt;9999,"",ROUND(VLOOKUP($B15,Operations!$A$2:$U$79,21,FALSE)*$C15,2)))</f>
        <v>6.61</v>
      </c>
      <c r="K15" s="346">
        <f t="shared" si="0"/>
        <v>22.1</v>
      </c>
      <c r="L15" s="216"/>
    </row>
    <row r="16" spans="1:13" x14ac:dyDescent="0.2">
      <c r="A16" s="170">
        <v>5</v>
      </c>
      <c r="B16" s="180" t="s">
        <v>543</v>
      </c>
      <c r="C16" s="174">
        <v>1</v>
      </c>
      <c r="D16" s="174"/>
      <c r="E16" s="109">
        <f>IF(B16=0,"",IF(C16&gt;9999,"",ROUND('General Variables'!$B$4*VLOOKUP(B16,Operations!$A$2:$U$79,10,FALSE)/VLOOKUP(B16,Operations!$A$2:$U$79,9,FALSE)*C16,2)))</f>
        <v>2.0299999999999998</v>
      </c>
      <c r="F16" s="109">
        <f>IF(B16=0,0,IF(C16&gt;9999,"",ROUND(IF(VLOOKUP(B16,Operations!$A$2:$U$79,12,FALSE)=0,VLOOKUP(B16,Operations!$A$2:$U$79,13,FALSE)*'General Variables'!$B$8,VLOOKUP(B16,Operations!$A$2:$U$79,12,FALSE)*'General Variables'!$B$7)/VLOOKUP(B16,Operations!$A$2:$U$79,9,FALSE)*C16,2)))</f>
        <v>0.8</v>
      </c>
      <c r="G16" s="109">
        <f>IF(B16=0,0,IF(C16&gt;9999,"",ROUND(VLOOKUP(VLOOKUP(B16,Operations!$A$2:$U$79,11,FALSE),PowerUnits[],10,FALSE)/VLOOKUP(B16,Operations!$A$2:$U$79,9,FALSE)*C16,2)))</f>
        <v>0.06</v>
      </c>
      <c r="H16" s="109">
        <f>IF(B16=0,"",IF(C16&gt;9999,"",ROUND(VLOOKUP($B16,Operations!$A$2:$U$79,15,FALSE)*C16,2)))</f>
        <v>0.32</v>
      </c>
      <c r="I16" s="109">
        <f>IF(B16=0,0,IF(C16&gt;9999,"",ROUND(VLOOKUP(VLOOKUP(B16,Operations!$A$2:$U$79,11,FALSE),PowerUnits[],16,FALSE)/VLOOKUP(B16,Operations!$A$2:$U$79,9,FALSE)*C16,2)))</f>
        <v>2.95</v>
      </c>
      <c r="J16" s="109">
        <f>IF(B16=0,"",IF(C16&gt;9999,"",ROUND(VLOOKUP($B16,Operations!$A$2:$U$79,21,FALSE)*$C16,2)))</f>
        <v>1.0900000000000001</v>
      </c>
      <c r="K16" s="345">
        <f t="shared" si="0"/>
        <v>7.25</v>
      </c>
      <c r="L16" s="110"/>
    </row>
    <row r="17" spans="1:16382" x14ac:dyDescent="0.2">
      <c r="A17" s="170">
        <v>6</v>
      </c>
      <c r="B17" s="180" t="s">
        <v>545</v>
      </c>
      <c r="C17" s="174">
        <v>1</v>
      </c>
      <c r="D17" s="174"/>
      <c r="E17" s="109">
        <f>IF(B17=0,"",IF(C17&gt;9999,"",ROUND('General Variables'!$B$4*VLOOKUP(B17,Operations!$A$2:$U$79,10,FALSE)/VLOOKUP(B17,Operations!$A$2:$U$79,9,FALSE)*C17,2)))</f>
        <v>2.7</v>
      </c>
      <c r="F17" s="109">
        <f>IF(B17=0,0,IF(C17&gt;9999,"",ROUND(IF(VLOOKUP(B17,Operations!$A$2:$U$79,12,FALSE)=0,VLOOKUP(B17,Operations!$A$2:$U$79,13,FALSE)*'General Variables'!$B$8,VLOOKUP(B17,Operations!$A$2:$U$79,12,FALSE)*'General Variables'!$B$7)/VLOOKUP(B17,Operations!$A$2:$U$79,9,FALSE)*C17,2)))</f>
        <v>1.02</v>
      </c>
      <c r="G17" s="109">
        <f>IF(B17=0,0,IF(C17&gt;9999,"",ROUND(VLOOKUP(VLOOKUP(B17,Operations!$A$2:$U$79,11,FALSE),PowerUnits[],10,FALSE)/VLOOKUP(B17,Operations!$A$2:$U$79,9,FALSE)*C17,2)))</f>
        <v>0.08</v>
      </c>
      <c r="H17" s="109">
        <f>IF(B17=0,"",IF(C17&gt;9999,"",ROUND(VLOOKUP($B17,Operations!$A$2:$U$79,15,FALSE)*C17,2)))</f>
        <v>1.4</v>
      </c>
      <c r="I17" s="109">
        <f>IF(B17=0,0,IF(C17&gt;9999,"",ROUND(VLOOKUP(VLOOKUP(B17,Operations!$A$2:$U$79,11,FALSE),PowerUnits[],16,FALSE)/VLOOKUP(B17,Operations!$A$2:$U$79,9,FALSE)*C17,2)))</f>
        <v>3.93</v>
      </c>
      <c r="J17" s="109">
        <f>IF(B17=0,"",IF(C17&gt;9999,"",ROUND(VLOOKUP($B17,Operations!$A$2:$U$79,21,FALSE)*$C17,2)))</f>
        <v>3.2</v>
      </c>
      <c r="K17" s="345">
        <f t="shared" si="0"/>
        <v>12.33</v>
      </c>
      <c r="L17" s="110"/>
    </row>
    <row r="18" spans="1:16382" x14ac:dyDescent="0.2">
      <c r="A18" s="170">
        <v>7</v>
      </c>
      <c r="B18" s="180" t="s">
        <v>533</v>
      </c>
      <c r="C18" s="174">
        <v>1</v>
      </c>
      <c r="D18" s="174"/>
      <c r="E18" s="109">
        <f>IF(B18=0,"",IF(C18&gt;9999,"",ROUND('General Variables'!$B$4*VLOOKUP(B18,Operations!$A$2:$U$79,10,FALSE)/VLOOKUP(B18,Operations!$A$2:$U$79,9,FALSE)*C18,2)))</f>
        <v>2.97</v>
      </c>
      <c r="F18" s="109">
        <f>IF(B18=0,0,IF(C18&gt;9999,"",ROUND(IF(VLOOKUP(B18,Operations!$A$2:$U$79,12,FALSE)=0,VLOOKUP(B18,Operations!$A$2:$U$79,13,FALSE)*'General Variables'!$B$8,VLOOKUP(B18,Operations!$A$2:$U$79,12,FALSE)*'General Variables'!$B$7)/VLOOKUP(B18,Operations!$A$2:$U$79,9,FALSE)*C18,2)))</f>
        <v>1.7</v>
      </c>
      <c r="G18" s="109">
        <f>IF(B18=0,0,IF(C18&gt;9999,"",ROUND(VLOOKUP(VLOOKUP(B18,Operations!$A$2:$U$79,11,FALSE),PowerUnits[],10,FALSE)/VLOOKUP(B18,Operations!$A$2:$U$79,9,FALSE)*C18,2)))</f>
        <v>0.34</v>
      </c>
      <c r="H18" s="109">
        <f>IF(B18=0,"",IF(C18&gt;9999,"",ROUND(VLOOKUP($B18,Operations!$A$2:$U$79,15,FALSE)*C18,2)))</f>
        <v>1.87</v>
      </c>
      <c r="I18" s="109">
        <f>IF(B18=0,0,IF(C18&gt;9999,"",ROUND(VLOOKUP(VLOOKUP(B18,Operations!$A$2:$U$79,11,FALSE),PowerUnits[],16,FALSE)/VLOOKUP(B18,Operations!$A$2:$U$79,9,FALSE)*C18,2)))</f>
        <v>9.23</v>
      </c>
      <c r="J18" s="109">
        <f>IF(B18=0,"",IF(C18&gt;9999,"",ROUND(VLOOKUP($B18,Operations!$A$2:$U$79,21,FALSE)*$C18,2)))</f>
        <v>5.18</v>
      </c>
      <c r="K18" s="345">
        <f t="shared" si="0"/>
        <v>21.29</v>
      </c>
      <c r="L18" s="110"/>
    </row>
    <row r="19" spans="1:16382" x14ac:dyDescent="0.2">
      <c r="A19" s="170">
        <v>8</v>
      </c>
      <c r="B19" s="213" t="s">
        <v>551</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347" t="str">
        <f>IF(C19&gt;9999,"",ROUND(SUM(E19:J19),2))</f>
        <v/>
      </c>
      <c r="L19" s="216"/>
    </row>
    <row r="20" spans="1:16382" x14ac:dyDescent="0.2">
      <c r="A20" s="170">
        <v>9</v>
      </c>
      <c r="B20" s="180" t="s">
        <v>482</v>
      </c>
      <c r="C20" s="174">
        <f>K3</f>
        <v>20</v>
      </c>
      <c r="D20" s="174" t="s">
        <v>693</v>
      </c>
      <c r="E20" s="109">
        <f>IF(B20=0,"",IF(C20&gt;9999,"",ROUND('General Variables'!$B$4*VLOOKUP(B20,Operations!$A$2:$U$79,10,FALSE)/VLOOKUP(B20,Operations!$A$2:$U$79,9,FALSE)*C20,2)))</f>
        <v>30</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9.58</v>
      </c>
      <c r="H20" s="109">
        <f>IF(B20=0,"",IF(C20&gt;9999,"",ROUND(VLOOKUP($B20,Operations!$A$2:$U$79,15,FALSE)*C20,2)))</f>
        <v>0</v>
      </c>
      <c r="I20" s="109">
        <f>IF(B20=0,0,IF(C20&gt;9999,"",ROUND(VLOOKUP(VLOOKUP(B20,Operations!$A$2:$U$79,11,FALSE),PowerUnits[],16,FALSE)/VLOOKUP(B20,Operations!$A$2:$U$79,9,FALSE)*C20,2)))</f>
        <v>21.47</v>
      </c>
      <c r="J20" s="109">
        <f>IF(B20=0,"",IF(C20&gt;9999,"",ROUND(VLOOKUP($B20,Operations!$A$2:$U$79,21,FALSE)*$C20,2)))</f>
        <v>0</v>
      </c>
      <c r="K20" s="345">
        <f t="shared" si="0"/>
        <v>61.05</v>
      </c>
      <c r="L20" s="110"/>
    </row>
    <row r="21" spans="1:16382" x14ac:dyDescent="0.2">
      <c r="A21" s="170">
        <v>10</v>
      </c>
      <c r="B21" s="180" t="s">
        <v>551</v>
      </c>
      <c r="C21" s="174" t="s">
        <v>184</v>
      </c>
      <c r="D21" s="174"/>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345" t="str">
        <f t="shared" si="0"/>
        <v/>
      </c>
      <c r="L21" s="110"/>
    </row>
    <row r="22" spans="1:16382" x14ac:dyDescent="0.2">
      <c r="A22" s="170">
        <v>11</v>
      </c>
      <c r="B22" s="180" t="s">
        <v>183</v>
      </c>
      <c r="C22" s="174" t="s">
        <v>184</v>
      </c>
      <c r="D22" s="174"/>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345" t="str">
        <f t="shared" si="0"/>
        <v/>
      </c>
      <c r="L22" s="110"/>
    </row>
    <row r="23" spans="1:16382" x14ac:dyDescent="0.2">
      <c r="A23" s="170">
        <v>12</v>
      </c>
      <c r="B23" s="213" t="s">
        <v>183</v>
      </c>
      <c r="C23" s="214" t="s">
        <v>184</v>
      </c>
      <c r="D23" s="214"/>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347" t="str">
        <f t="shared" si="0"/>
        <v/>
      </c>
      <c r="L23" s="216"/>
    </row>
    <row r="24" spans="1:16382" x14ac:dyDescent="0.2">
      <c r="A24" s="170">
        <v>13</v>
      </c>
      <c r="B24" s="254" t="s">
        <v>563</v>
      </c>
      <c r="C24" s="255">
        <v>1</v>
      </c>
      <c r="D24" s="255"/>
      <c r="E24" s="256">
        <f>IF(B24=0,"",IF(C24&gt;9999,"",ROUND('General Variables'!$B$4*VLOOKUP(B24,Operations!$A$2:$U$79,10,FALSE)/VLOOKUP(B24,Operations!$A$2:$U$79,9,FALSE)*C24,2)))</f>
        <v>4.66</v>
      </c>
      <c r="F24" s="256">
        <f>IF(B24=0,0,IF(C24&gt;9999,"",ROUND(IF(VLOOKUP(B24,Operations!$A$2:$U$79,12,FALSE)=0,VLOOKUP(B24,Operations!$A$2:$U$79,13,FALSE)*'General Variables'!$B$8,VLOOKUP(B24,Operations!$A$2:$U$79,12,FALSE)*'General Variables'!$B$7)/VLOOKUP(B24,Operations!$A$2:$U$79,9,FALSE)*C24,2)))</f>
        <v>1.93</v>
      </c>
      <c r="G24" s="256">
        <f>IF(B24=0,0,IF(C24&gt;9999,"",ROUND(VLOOKUP(VLOOKUP(B24,Operations!$A$2:$U$79,11,FALSE),PowerUnits[],10,FALSE)/VLOOKUP(B24,Operations!$A$2:$U$79,9,FALSE)*C24,2)))</f>
        <v>0.14000000000000001</v>
      </c>
      <c r="H24" s="256">
        <f>IF(B24=0,"",IF(C24&gt;9999,"",ROUND(VLOOKUP($B24,Operations!$A$2:$U$79,15,FALSE)*C24,2)))</f>
        <v>10.11</v>
      </c>
      <c r="I24" s="256">
        <f>IF(B24=0,0,IF(C24&gt;9999,"",ROUND(VLOOKUP(VLOOKUP(B24,Operations!$A$2:$U$79,11,FALSE),PowerUnits[],16,FALSE)/VLOOKUP(B24,Operations!$A$2:$U$79,9,FALSE)*C24,2)))</f>
        <v>7.48</v>
      </c>
      <c r="J24" s="256">
        <f>IF(B24=0,"",IF(C24&gt;9999,"",ROUND(VLOOKUP($B24,Operations!$A$2:$U$79,21,FALSE)*$C24,2)))</f>
        <v>6.05</v>
      </c>
      <c r="K24" s="348">
        <f t="shared" ref="K24:K27" si="1">IF(C24&gt;9999,"",ROUND(SUM(E24:J24),2))</f>
        <v>30.37</v>
      </c>
      <c r="L24" s="257"/>
    </row>
    <row r="25" spans="1:16382" x14ac:dyDescent="0.2">
      <c r="A25" s="170">
        <v>14</v>
      </c>
      <c r="B25" s="180" t="s">
        <v>505</v>
      </c>
      <c r="C25" s="174">
        <v>1</v>
      </c>
      <c r="D25" s="174"/>
      <c r="E25" s="109">
        <f>IF(B25=0,"",IF(C25&gt;9999,"",ROUND('General Variables'!$B$4*VLOOKUP(B25,Operations!$A$2:$U$79,10,FALSE)/VLOOKUP(B25,Operations!$A$2:$U$79,9,FALSE)*C25,2)))</f>
        <v>4.95</v>
      </c>
      <c r="F25" s="109">
        <f>IF(B25=0,0,IF(C25&gt;9999,"",ROUND(IF(VLOOKUP(B25,Operations!$A$2:$U$79,12,FALSE)=0,VLOOKUP(B25,Operations!$A$2:$U$79,13,FALSE)*'General Variables'!$B$8,VLOOKUP(B25,Operations!$A$2:$U$79,12,FALSE)*'General Variables'!$B$7)/VLOOKUP(B25,Operations!$A$2:$U$79,9,FALSE)*C25,2)))</f>
        <v>3.3</v>
      </c>
      <c r="G25" s="109">
        <f>IF(B25=0,0,IF(C25&gt;9999,"",ROUND(VLOOKUP(VLOOKUP(B25,Operations!$A$2:$U$79,11,FALSE),PowerUnits[],10,FALSE)/VLOOKUP(B25,Operations!$A$2:$U$79,9,FALSE)*C25,2)))</f>
        <v>0.56000000000000005</v>
      </c>
      <c r="H25" s="109">
        <f>IF(B25=0,"",IF(C25&gt;9999,"",ROUND(VLOOKUP($B25,Operations!$A$2:$U$79,15,FALSE)*C25,2)))</f>
        <v>36.020000000000003</v>
      </c>
      <c r="I25" s="109">
        <f>IF(B25=0,0,IF(C25&gt;9999,"",ROUND(VLOOKUP(VLOOKUP(B25,Operations!$A$2:$U$79,11,FALSE),PowerUnits[],16,FALSE)/VLOOKUP(B25,Operations!$A$2:$U$79,9,FALSE)*C25,2)))</f>
        <v>15.38</v>
      </c>
      <c r="J25" s="109">
        <f>IF(B25=0,"",IF(C25&gt;9999,"",ROUND(VLOOKUP($B25,Operations!$A$2:$U$79,21,FALSE)*$C25,2)))</f>
        <v>12.08</v>
      </c>
      <c r="K25" s="345">
        <f t="shared" si="1"/>
        <v>72.290000000000006</v>
      </c>
      <c r="L25" s="110"/>
    </row>
    <row r="26" spans="1:16382" x14ac:dyDescent="0.2">
      <c r="A26" s="170">
        <v>15</v>
      </c>
      <c r="B26" s="111" t="s">
        <v>565</v>
      </c>
      <c r="C26" s="112" t="s">
        <v>184</v>
      </c>
      <c r="D26" s="174"/>
      <c r="E26" s="109" t="str">
        <f>IF(B26=0,"",IF(C26&gt;9999,"",ROUND('General Variables'!$B$4*VLOOKUP(B26,Operations!$A$2:$U$79,10,FALSE)/VLOOKUP(B26,Operations!$A$2:$U$79,9,FALSE)*C26,2)))</f>
        <v/>
      </c>
      <c r="F26" s="109" t="str">
        <f>IF(B26=0,0,IF(C26&gt;9999,"",ROUND(IF(VLOOKUP(B26,Operations!$A$2:$U$79,12,FALSE)=0,VLOOKUP(B26,Operations!$A$2:$U$79,13,FALSE)*'General Variables'!$B$8,VLOOKUP(B26,Operations!$A$2:$U$79,12,FALSE)*'General Variables'!$B$7)/VLOOKUP(B26,Operations!$A$2:$U$79,9,FALSE)*C26,2)))</f>
        <v/>
      </c>
      <c r="G26" s="109" t="str">
        <f>IF(B26=0,0,IF(C26&gt;9999,"",ROUND(VLOOKUP(VLOOKUP(B26,Operations!$A$2:$U$79,11,FALSE),PowerUnits[],10,FALSE)/VLOOKUP(B26,Operations!$A$2:$U$79,9,FALSE)*C26,2)))</f>
        <v/>
      </c>
      <c r="H26" s="109" t="str">
        <f>IF(B26=0,"",IF(C26&gt;9999,"",ROUND(VLOOKUP($B26,Operations!$A$2:$U$79,15,FALSE)*C26,2)))</f>
        <v/>
      </c>
      <c r="I26" s="109" t="str">
        <f>IF(B26=0,0,IF(C26&gt;9999,"",ROUND(VLOOKUP(VLOOKUP(B26,Operations!$A$2:$U$79,11,FALSE),PowerUnits[],16,FALSE)/VLOOKUP(B26,Operations!$A$2:$U$79,9,FALSE)*C26,2)))</f>
        <v/>
      </c>
      <c r="J26" s="109" t="str">
        <f>IF(B26=0,"",IF(C26&gt;9999,"",ROUND(VLOOKUP($B26,Operations!$A$2:$U$79,21,FALSE)*$C26,2)))</f>
        <v/>
      </c>
      <c r="K26" s="345" t="str">
        <f t="shared" si="1"/>
        <v/>
      </c>
      <c r="L26" s="110"/>
      <c r="M26" s="170"/>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c r="BV26" s="388"/>
      <c r="BW26" s="388"/>
      <c r="BX26" s="388"/>
      <c r="BY26" s="388"/>
      <c r="BZ26" s="388"/>
      <c r="CA26" s="388"/>
      <c r="CB26" s="388"/>
      <c r="CC26" s="388"/>
      <c r="CD26" s="388"/>
      <c r="CE26" s="388"/>
      <c r="CF26" s="388"/>
      <c r="CG26" s="388"/>
      <c r="CH26" s="388"/>
      <c r="CI26" s="388"/>
      <c r="CJ26" s="388"/>
      <c r="CK26" s="388"/>
      <c r="CL26" s="388"/>
      <c r="CM26" s="388"/>
      <c r="CN26" s="388"/>
      <c r="CO26" s="388"/>
      <c r="CP26" s="388"/>
      <c r="CQ26" s="388"/>
      <c r="CR26" s="388"/>
      <c r="CS26" s="388"/>
      <c r="CT26" s="388"/>
      <c r="CU26" s="388"/>
      <c r="CV26" s="388"/>
      <c r="CW26" s="388"/>
      <c r="CX26" s="388"/>
      <c r="CY26" s="388"/>
      <c r="CZ26" s="388"/>
      <c r="DA26" s="388"/>
      <c r="DB26" s="388"/>
      <c r="DC26" s="388"/>
      <c r="DD26" s="388"/>
      <c r="DE26" s="388"/>
      <c r="DF26" s="388"/>
      <c r="DG26" s="388"/>
      <c r="DH26" s="388"/>
      <c r="DI26" s="388"/>
      <c r="DJ26" s="388"/>
      <c r="DK26" s="388"/>
      <c r="DL26" s="388"/>
      <c r="DM26" s="388"/>
      <c r="DN26" s="388"/>
      <c r="DO26" s="388"/>
      <c r="DP26" s="388"/>
      <c r="DQ26" s="388"/>
      <c r="DR26" s="388"/>
      <c r="DS26" s="388"/>
      <c r="DT26" s="388"/>
      <c r="DU26" s="388"/>
      <c r="DV26" s="388"/>
      <c r="DW26" s="388"/>
      <c r="DX26" s="388"/>
      <c r="DY26" s="388"/>
      <c r="DZ26" s="388"/>
      <c r="EA26" s="388"/>
      <c r="EB26" s="388"/>
      <c r="EC26" s="388"/>
      <c r="ED26" s="388"/>
      <c r="EE26" s="388"/>
      <c r="EF26" s="388"/>
      <c r="EG26" s="388"/>
      <c r="EH26" s="388"/>
      <c r="EI26" s="388"/>
      <c r="EJ26" s="388"/>
      <c r="EK26" s="388"/>
      <c r="EL26" s="388"/>
      <c r="EM26" s="388"/>
      <c r="EN26" s="388"/>
      <c r="EO26" s="388"/>
      <c r="EP26" s="388"/>
      <c r="EQ26" s="388"/>
      <c r="ER26" s="388"/>
      <c r="ES26" s="388"/>
      <c r="ET26" s="388"/>
      <c r="EU26" s="388"/>
      <c r="EV26" s="388"/>
      <c r="EW26" s="388"/>
      <c r="EX26" s="388"/>
      <c r="EY26" s="388"/>
      <c r="EZ26" s="388"/>
      <c r="FA26" s="388"/>
      <c r="FB26" s="388"/>
      <c r="FC26" s="388"/>
      <c r="FD26" s="388"/>
      <c r="FE26" s="388"/>
      <c r="FF26" s="388"/>
      <c r="FG26" s="388"/>
      <c r="FH26" s="388"/>
      <c r="FI26" s="388"/>
      <c r="FJ26" s="388"/>
      <c r="FK26" s="388"/>
      <c r="FL26" s="388"/>
      <c r="FM26" s="388"/>
      <c r="FN26" s="388"/>
      <c r="FO26" s="388"/>
      <c r="FP26" s="388"/>
      <c r="FQ26" s="388"/>
      <c r="FR26" s="388"/>
      <c r="FS26" s="388"/>
      <c r="FT26" s="388"/>
      <c r="FU26" s="388"/>
      <c r="FV26" s="388"/>
      <c r="FW26" s="388"/>
      <c r="FX26" s="388"/>
      <c r="FY26" s="388"/>
      <c r="FZ26" s="388"/>
      <c r="GA26" s="388"/>
      <c r="GB26" s="388"/>
      <c r="GC26" s="388"/>
      <c r="GD26" s="388"/>
      <c r="GE26" s="388"/>
      <c r="GF26" s="388"/>
      <c r="GG26" s="388"/>
      <c r="GH26" s="388"/>
      <c r="GI26" s="388"/>
      <c r="GJ26" s="388"/>
      <c r="GK26" s="388"/>
      <c r="GL26" s="388"/>
      <c r="GM26" s="388"/>
      <c r="GN26" s="388"/>
      <c r="GO26" s="388"/>
      <c r="GP26" s="388"/>
      <c r="GQ26" s="388"/>
      <c r="GR26" s="388"/>
      <c r="GS26" s="388"/>
      <c r="GT26" s="388"/>
      <c r="GU26" s="388"/>
      <c r="GV26" s="388"/>
      <c r="GW26" s="388"/>
      <c r="GX26" s="388"/>
      <c r="GY26" s="388"/>
      <c r="GZ26" s="388"/>
      <c r="HA26" s="388"/>
      <c r="HB26" s="388"/>
      <c r="HC26" s="388"/>
      <c r="HD26" s="388"/>
      <c r="HE26" s="388"/>
      <c r="HF26" s="388"/>
      <c r="HG26" s="388"/>
      <c r="HH26" s="388"/>
      <c r="HI26" s="388"/>
      <c r="HJ26" s="388"/>
      <c r="HK26" s="388"/>
      <c r="HL26" s="388"/>
      <c r="HM26" s="388"/>
      <c r="HN26" s="388"/>
      <c r="HO26" s="388"/>
      <c r="HP26" s="388"/>
      <c r="HQ26" s="388"/>
      <c r="HR26" s="388"/>
      <c r="HS26" s="388"/>
      <c r="HT26" s="388"/>
      <c r="HU26" s="388"/>
      <c r="HV26" s="388"/>
      <c r="HW26" s="388"/>
      <c r="HX26" s="388"/>
      <c r="HY26" s="388"/>
      <c r="HZ26" s="388"/>
      <c r="IA26" s="388"/>
      <c r="IB26" s="388"/>
      <c r="IC26" s="388"/>
      <c r="ID26" s="388"/>
      <c r="IE26" s="388"/>
      <c r="IF26" s="388"/>
      <c r="IG26" s="388"/>
      <c r="IH26" s="388"/>
      <c r="II26" s="388"/>
      <c r="IJ26" s="388"/>
      <c r="IK26" s="388"/>
      <c r="IL26" s="388"/>
      <c r="IM26" s="388"/>
      <c r="IN26" s="388"/>
      <c r="IO26" s="388"/>
      <c r="IP26" s="388"/>
      <c r="IQ26" s="388"/>
      <c r="IR26" s="388"/>
      <c r="IS26" s="388"/>
      <c r="IT26" s="388"/>
      <c r="IU26" s="388"/>
      <c r="IV26" s="388"/>
      <c r="IW26" s="388"/>
      <c r="IX26" s="388"/>
      <c r="IY26" s="388"/>
      <c r="IZ26" s="388"/>
      <c r="JA26" s="388"/>
      <c r="JB26" s="388"/>
      <c r="JC26" s="388"/>
      <c r="JD26" s="388"/>
      <c r="JE26" s="388"/>
      <c r="JF26" s="388"/>
      <c r="JG26" s="388"/>
      <c r="JH26" s="388"/>
      <c r="JI26" s="388"/>
      <c r="JJ26" s="388"/>
      <c r="JK26" s="388"/>
      <c r="JL26" s="388"/>
      <c r="JM26" s="388"/>
      <c r="JN26" s="388"/>
      <c r="JO26" s="388"/>
      <c r="JP26" s="388"/>
      <c r="JQ26" s="388"/>
      <c r="JR26" s="388"/>
      <c r="JS26" s="388"/>
      <c r="JT26" s="388"/>
      <c r="JU26" s="388"/>
      <c r="JV26" s="388"/>
      <c r="JW26" s="388"/>
      <c r="JX26" s="388"/>
      <c r="JY26" s="388"/>
      <c r="JZ26" s="388"/>
      <c r="KA26" s="388"/>
      <c r="KB26" s="388"/>
      <c r="KC26" s="388"/>
      <c r="KD26" s="388"/>
      <c r="KE26" s="388"/>
      <c r="KF26" s="388"/>
      <c r="KG26" s="388"/>
      <c r="KH26" s="388"/>
      <c r="KI26" s="388"/>
      <c r="KJ26" s="388"/>
      <c r="KK26" s="388"/>
      <c r="KL26" s="388"/>
      <c r="KM26" s="388"/>
      <c r="KN26" s="388"/>
      <c r="KO26" s="388"/>
      <c r="KP26" s="388"/>
      <c r="KQ26" s="388"/>
      <c r="KR26" s="388"/>
      <c r="KS26" s="388"/>
      <c r="KT26" s="388"/>
      <c r="KU26" s="388"/>
      <c r="KV26" s="388"/>
      <c r="KW26" s="388"/>
      <c r="KX26" s="388"/>
      <c r="KY26" s="388"/>
      <c r="KZ26" s="388"/>
      <c r="LA26" s="388"/>
      <c r="LB26" s="388"/>
      <c r="LC26" s="388"/>
      <c r="LD26" s="388"/>
      <c r="LE26" s="388"/>
      <c r="LF26" s="388"/>
      <c r="LG26" s="388"/>
      <c r="LH26" s="388"/>
      <c r="LI26" s="388"/>
      <c r="LJ26" s="388"/>
      <c r="LK26" s="388"/>
      <c r="LL26" s="388"/>
      <c r="LM26" s="388"/>
      <c r="LN26" s="388"/>
      <c r="LO26" s="388"/>
      <c r="LP26" s="388"/>
      <c r="LQ26" s="388"/>
      <c r="LR26" s="388"/>
      <c r="LS26" s="388"/>
      <c r="LT26" s="388"/>
      <c r="LU26" s="388"/>
      <c r="LV26" s="388"/>
      <c r="LW26" s="388"/>
      <c r="LX26" s="388"/>
      <c r="LY26" s="388"/>
      <c r="LZ26" s="388"/>
      <c r="MA26" s="388"/>
      <c r="MB26" s="388"/>
      <c r="MC26" s="388"/>
      <c r="MD26" s="388"/>
      <c r="ME26" s="388"/>
      <c r="MF26" s="388"/>
      <c r="MG26" s="388"/>
      <c r="MH26" s="388"/>
      <c r="MI26" s="388"/>
      <c r="MJ26" s="388"/>
      <c r="MK26" s="388"/>
      <c r="ML26" s="388"/>
      <c r="MM26" s="388"/>
      <c r="MN26" s="388"/>
      <c r="MO26" s="388"/>
      <c r="MP26" s="388"/>
      <c r="MQ26" s="388"/>
      <c r="MR26" s="388"/>
      <c r="MS26" s="388"/>
      <c r="MT26" s="388"/>
      <c r="MU26" s="388"/>
      <c r="MV26" s="388"/>
      <c r="MW26" s="388"/>
      <c r="MX26" s="388"/>
      <c r="MY26" s="388"/>
      <c r="MZ26" s="388"/>
      <c r="NA26" s="388"/>
      <c r="NB26" s="388"/>
      <c r="NC26" s="388"/>
      <c r="ND26" s="388"/>
      <c r="NE26" s="388"/>
      <c r="NF26" s="388"/>
      <c r="NG26" s="388"/>
      <c r="NH26" s="388"/>
      <c r="NI26" s="388"/>
      <c r="NJ26" s="388"/>
      <c r="NK26" s="388"/>
      <c r="NL26" s="388"/>
      <c r="NM26" s="388"/>
      <c r="NN26" s="388"/>
      <c r="NO26" s="388"/>
      <c r="NP26" s="388"/>
      <c r="NQ26" s="388"/>
      <c r="NR26" s="388"/>
      <c r="NS26" s="388"/>
      <c r="NT26" s="388"/>
      <c r="NU26" s="388"/>
      <c r="NV26" s="388"/>
      <c r="NW26" s="388"/>
      <c r="NX26" s="388"/>
      <c r="NY26" s="388"/>
      <c r="NZ26" s="388"/>
      <c r="OA26" s="388"/>
      <c r="OB26" s="388"/>
      <c r="OC26" s="388"/>
      <c r="OD26" s="388"/>
      <c r="OE26" s="388"/>
      <c r="OF26" s="388"/>
      <c r="OG26" s="388"/>
      <c r="OH26" s="388"/>
      <c r="OI26" s="388"/>
      <c r="OJ26" s="388"/>
      <c r="OK26" s="388"/>
      <c r="OL26" s="388"/>
      <c r="OM26" s="388"/>
      <c r="ON26" s="388"/>
      <c r="OO26" s="388"/>
      <c r="OP26" s="388"/>
      <c r="OQ26" s="388"/>
      <c r="OR26" s="388"/>
      <c r="OS26" s="388"/>
      <c r="OT26" s="388"/>
      <c r="OU26" s="388"/>
      <c r="OV26" s="388"/>
      <c r="OW26" s="388"/>
      <c r="OX26" s="388"/>
      <c r="OY26" s="388"/>
      <c r="OZ26" s="388"/>
      <c r="PA26" s="388"/>
      <c r="PB26" s="388"/>
      <c r="PC26" s="388"/>
      <c r="PD26" s="388"/>
      <c r="PE26" s="388"/>
      <c r="PF26" s="388"/>
      <c r="PG26" s="388"/>
      <c r="PH26" s="388"/>
      <c r="PI26" s="388"/>
      <c r="PJ26" s="388"/>
      <c r="PK26" s="388"/>
      <c r="PL26" s="388"/>
      <c r="PM26" s="388"/>
      <c r="PN26" s="388"/>
      <c r="PO26" s="388"/>
      <c r="PP26" s="388"/>
      <c r="PQ26" s="388"/>
      <c r="PR26" s="388"/>
      <c r="PS26" s="388"/>
      <c r="PT26" s="388"/>
      <c r="PU26" s="388"/>
      <c r="PV26" s="388"/>
      <c r="PW26" s="388"/>
      <c r="PX26" s="388"/>
      <c r="PY26" s="388"/>
      <c r="PZ26" s="388"/>
      <c r="QA26" s="388"/>
      <c r="QB26" s="388"/>
      <c r="QC26" s="388"/>
      <c r="QD26" s="388"/>
      <c r="QE26" s="388"/>
      <c r="QF26" s="388"/>
      <c r="QG26" s="388"/>
      <c r="QH26" s="388"/>
      <c r="QI26" s="388"/>
      <c r="QJ26" s="388"/>
      <c r="QK26" s="388"/>
      <c r="QL26" s="388"/>
      <c r="QM26" s="388"/>
      <c r="QN26" s="388"/>
      <c r="QO26" s="388"/>
      <c r="QP26" s="388"/>
      <c r="QQ26" s="388"/>
      <c r="QR26" s="388"/>
      <c r="QS26" s="388"/>
      <c r="QT26" s="388"/>
      <c r="QU26" s="388"/>
      <c r="QV26" s="388"/>
      <c r="QW26" s="388"/>
      <c r="QX26" s="388"/>
      <c r="QY26" s="388"/>
      <c r="QZ26" s="388"/>
      <c r="RA26" s="388"/>
      <c r="RB26" s="388"/>
      <c r="RC26" s="388"/>
      <c r="RD26" s="388"/>
      <c r="RE26" s="388"/>
      <c r="RF26" s="388"/>
      <c r="RG26" s="388"/>
      <c r="RH26" s="388"/>
      <c r="RI26" s="388"/>
      <c r="RJ26" s="388"/>
      <c r="RK26" s="388"/>
      <c r="RL26" s="388"/>
      <c r="RM26" s="388"/>
      <c r="RN26" s="388"/>
      <c r="RO26" s="388"/>
      <c r="RP26" s="388"/>
      <c r="RQ26" s="388"/>
      <c r="RR26" s="388"/>
      <c r="RS26" s="388"/>
      <c r="RT26" s="388"/>
      <c r="RU26" s="388"/>
      <c r="RV26" s="388"/>
      <c r="RW26" s="388"/>
      <c r="RX26" s="388"/>
      <c r="RY26" s="388"/>
      <c r="RZ26" s="388"/>
      <c r="SA26" s="388"/>
      <c r="SB26" s="388"/>
      <c r="SC26" s="388"/>
      <c r="SD26" s="388"/>
      <c r="SE26" s="388"/>
      <c r="SF26" s="388"/>
      <c r="SG26" s="388"/>
      <c r="SH26" s="388"/>
      <c r="SI26" s="388"/>
      <c r="SJ26" s="388"/>
      <c r="SK26" s="388"/>
      <c r="SL26" s="388"/>
      <c r="SM26" s="388"/>
      <c r="SN26" s="388"/>
      <c r="SO26" s="388"/>
      <c r="SP26" s="388"/>
      <c r="SQ26" s="388"/>
      <c r="SR26" s="388"/>
      <c r="SS26" s="388"/>
      <c r="ST26" s="388"/>
      <c r="SU26" s="388"/>
      <c r="SV26" s="388"/>
      <c r="SW26" s="388"/>
      <c r="SX26" s="388"/>
      <c r="SY26" s="388"/>
      <c r="SZ26" s="388"/>
      <c r="TA26" s="388"/>
      <c r="TB26" s="388"/>
      <c r="TC26" s="388"/>
      <c r="TD26" s="388"/>
      <c r="TE26" s="388"/>
      <c r="TF26" s="388"/>
      <c r="TG26" s="388"/>
      <c r="TH26" s="388"/>
      <c r="TI26" s="388"/>
      <c r="TJ26" s="388"/>
      <c r="TK26" s="388"/>
      <c r="TL26" s="388"/>
      <c r="TM26" s="388"/>
      <c r="TN26" s="388"/>
      <c r="TO26" s="388"/>
      <c r="TP26" s="388"/>
      <c r="TQ26" s="388"/>
      <c r="TR26" s="388"/>
      <c r="TS26" s="388"/>
      <c r="TT26" s="388"/>
      <c r="TU26" s="388"/>
      <c r="TV26" s="388"/>
      <c r="TW26" s="388"/>
      <c r="TX26" s="388"/>
      <c r="TY26" s="388"/>
      <c r="TZ26" s="388"/>
      <c r="UA26" s="388"/>
      <c r="UB26" s="388"/>
      <c r="UC26" s="388"/>
      <c r="UD26" s="388"/>
      <c r="UE26" s="388"/>
      <c r="UF26" s="388"/>
      <c r="UG26" s="388"/>
      <c r="UH26" s="388"/>
      <c r="UI26" s="388"/>
      <c r="UJ26" s="388"/>
      <c r="UK26" s="388"/>
      <c r="UL26" s="388"/>
      <c r="UM26" s="388"/>
      <c r="UN26" s="388"/>
      <c r="UO26" s="388"/>
      <c r="UP26" s="388"/>
      <c r="UQ26" s="388"/>
      <c r="UR26" s="388"/>
      <c r="US26" s="388"/>
      <c r="UT26" s="388"/>
      <c r="UU26" s="388"/>
      <c r="UV26" s="388"/>
      <c r="UW26" s="388"/>
      <c r="UX26" s="388"/>
      <c r="UY26" s="388"/>
      <c r="UZ26" s="388"/>
      <c r="VA26" s="388"/>
      <c r="VB26" s="388"/>
      <c r="VC26" s="388"/>
      <c r="VD26" s="388"/>
      <c r="VE26" s="388"/>
      <c r="VF26" s="388"/>
      <c r="VG26" s="388"/>
      <c r="VH26" s="388"/>
      <c r="VI26" s="388"/>
      <c r="VJ26" s="388"/>
      <c r="VK26" s="388"/>
      <c r="VL26" s="388"/>
      <c r="VM26" s="388"/>
      <c r="VN26" s="388"/>
      <c r="VO26" s="388"/>
      <c r="VP26" s="388"/>
      <c r="VQ26" s="388"/>
      <c r="VR26" s="388"/>
      <c r="VS26" s="388"/>
      <c r="VT26" s="388"/>
      <c r="VU26" s="388"/>
      <c r="VV26" s="388"/>
      <c r="VW26" s="388"/>
      <c r="VX26" s="388"/>
      <c r="VY26" s="388"/>
      <c r="VZ26" s="388"/>
      <c r="WA26" s="388"/>
      <c r="WB26" s="388"/>
      <c r="WC26" s="388"/>
      <c r="WD26" s="388"/>
      <c r="WE26" s="388"/>
      <c r="WF26" s="388"/>
      <c r="WG26" s="388"/>
      <c r="WH26" s="388"/>
      <c r="WI26" s="388"/>
      <c r="WJ26" s="388"/>
      <c r="WK26" s="388"/>
      <c r="WL26" s="388"/>
      <c r="WM26" s="388"/>
      <c r="WN26" s="388"/>
      <c r="WO26" s="388"/>
      <c r="WP26" s="388"/>
      <c r="WQ26" s="388"/>
      <c r="WR26" s="388"/>
      <c r="WS26" s="388"/>
      <c r="WT26" s="388"/>
      <c r="WU26" s="388"/>
      <c r="WV26" s="388"/>
      <c r="WW26" s="388"/>
      <c r="WX26" s="388"/>
      <c r="WY26" s="388"/>
      <c r="WZ26" s="388"/>
      <c r="XA26" s="388"/>
      <c r="XB26" s="388"/>
      <c r="XC26" s="388"/>
      <c r="XD26" s="388"/>
      <c r="XE26" s="388"/>
      <c r="XF26" s="388"/>
      <c r="XG26" s="388"/>
      <c r="XH26" s="388"/>
      <c r="XI26" s="388"/>
      <c r="XJ26" s="388"/>
      <c r="XK26" s="388"/>
      <c r="XL26" s="388"/>
      <c r="XM26" s="388"/>
      <c r="XN26" s="388"/>
      <c r="XO26" s="388"/>
      <c r="XP26" s="388"/>
      <c r="XQ26" s="388"/>
      <c r="XR26" s="388"/>
      <c r="XS26" s="388"/>
      <c r="XT26" s="388"/>
      <c r="XU26" s="388"/>
      <c r="XV26" s="388"/>
      <c r="XW26" s="388"/>
      <c r="XX26" s="388"/>
      <c r="XY26" s="388"/>
      <c r="XZ26" s="388"/>
      <c r="YA26" s="388"/>
      <c r="YB26" s="388"/>
      <c r="YC26" s="388"/>
      <c r="YD26" s="388"/>
      <c r="YE26" s="388"/>
      <c r="YF26" s="388"/>
      <c r="YG26" s="388"/>
      <c r="YH26" s="388"/>
      <c r="YI26" s="388"/>
      <c r="YJ26" s="388"/>
      <c r="YK26" s="388"/>
      <c r="YL26" s="388"/>
      <c r="YM26" s="388"/>
      <c r="YN26" s="388"/>
      <c r="YO26" s="388"/>
      <c r="YP26" s="388"/>
      <c r="YQ26" s="388"/>
      <c r="YR26" s="388"/>
      <c r="YS26" s="388"/>
      <c r="YT26" s="388"/>
      <c r="YU26" s="388"/>
      <c r="YV26" s="388"/>
      <c r="YW26" s="388"/>
      <c r="YX26" s="388"/>
      <c r="YY26" s="388"/>
      <c r="YZ26" s="388"/>
      <c r="ZA26" s="388"/>
      <c r="ZB26" s="388"/>
      <c r="ZC26" s="388"/>
      <c r="ZD26" s="388"/>
      <c r="ZE26" s="388"/>
      <c r="ZF26" s="388"/>
      <c r="ZG26" s="388"/>
      <c r="ZH26" s="388"/>
      <c r="ZI26" s="388"/>
      <c r="ZJ26" s="388"/>
      <c r="ZK26" s="388"/>
      <c r="ZL26" s="388"/>
      <c r="ZM26" s="388"/>
      <c r="ZN26" s="388"/>
      <c r="ZO26" s="388"/>
      <c r="ZP26" s="388"/>
      <c r="ZQ26" s="388"/>
      <c r="ZR26" s="388"/>
      <c r="ZS26" s="388"/>
      <c r="ZT26" s="388"/>
      <c r="ZU26" s="388"/>
      <c r="ZV26" s="388"/>
      <c r="ZW26" s="388"/>
      <c r="ZX26" s="388"/>
      <c r="ZY26" s="388"/>
      <c r="ZZ26" s="388"/>
      <c r="AAA26" s="388"/>
      <c r="AAB26" s="388"/>
      <c r="AAC26" s="388"/>
      <c r="AAD26" s="388"/>
      <c r="AAE26" s="388"/>
      <c r="AAF26" s="388"/>
      <c r="AAG26" s="388"/>
      <c r="AAH26" s="388"/>
      <c r="AAI26" s="388"/>
      <c r="AAJ26" s="388"/>
      <c r="AAK26" s="388"/>
      <c r="AAL26" s="388"/>
      <c r="AAM26" s="388"/>
      <c r="AAN26" s="388"/>
      <c r="AAO26" s="388"/>
      <c r="AAP26" s="388"/>
      <c r="AAQ26" s="388"/>
      <c r="AAR26" s="388"/>
      <c r="AAS26" s="388"/>
      <c r="AAT26" s="388"/>
      <c r="AAU26" s="388"/>
      <c r="AAV26" s="388"/>
      <c r="AAW26" s="388"/>
      <c r="AAX26" s="388"/>
      <c r="AAY26" s="388"/>
      <c r="AAZ26" s="388"/>
      <c r="ABA26" s="388"/>
      <c r="ABB26" s="388"/>
      <c r="ABC26" s="388"/>
      <c r="ABD26" s="388"/>
      <c r="ABE26" s="388"/>
      <c r="ABF26" s="388"/>
      <c r="ABG26" s="388"/>
      <c r="ABH26" s="388"/>
      <c r="ABI26" s="388"/>
      <c r="ABJ26" s="388"/>
      <c r="ABK26" s="388"/>
      <c r="ABL26" s="388"/>
      <c r="ABM26" s="388"/>
      <c r="ABN26" s="388"/>
      <c r="ABO26" s="388"/>
      <c r="ABP26" s="388"/>
      <c r="ABQ26" s="388"/>
      <c r="ABR26" s="388"/>
      <c r="ABS26" s="388"/>
      <c r="ABT26" s="388"/>
      <c r="ABU26" s="388"/>
      <c r="ABV26" s="388"/>
      <c r="ABW26" s="388"/>
      <c r="ABX26" s="388"/>
      <c r="ABY26" s="388"/>
      <c r="ABZ26" s="388"/>
      <c r="ACA26" s="388"/>
      <c r="ACB26" s="388"/>
      <c r="ACC26" s="388"/>
      <c r="ACD26" s="388"/>
      <c r="ACE26" s="388"/>
      <c r="ACF26" s="388"/>
      <c r="ACG26" s="388"/>
      <c r="ACH26" s="388"/>
      <c r="ACI26" s="388"/>
      <c r="ACJ26" s="388"/>
      <c r="ACK26" s="388"/>
      <c r="ACL26" s="388"/>
      <c r="ACM26" s="388"/>
      <c r="ACN26" s="388"/>
      <c r="ACO26" s="388"/>
      <c r="ACP26" s="388"/>
      <c r="ACQ26" s="388"/>
      <c r="ACR26" s="388"/>
      <c r="ACS26" s="388"/>
      <c r="ACT26" s="388"/>
      <c r="ACU26" s="388"/>
      <c r="ACV26" s="388"/>
      <c r="ACW26" s="388"/>
      <c r="ACX26" s="388"/>
      <c r="ACY26" s="388"/>
      <c r="ACZ26" s="388"/>
      <c r="ADA26" s="388"/>
      <c r="ADB26" s="388"/>
      <c r="ADC26" s="388"/>
      <c r="ADD26" s="388"/>
      <c r="ADE26" s="388"/>
      <c r="ADF26" s="388"/>
      <c r="ADG26" s="388"/>
      <c r="ADH26" s="388"/>
      <c r="ADI26" s="388"/>
      <c r="ADJ26" s="388"/>
      <c r="ADK26" s="388"/>
      <c r="ADL26" s="388"/>
      <c r="ADM26" s="388"/>
      <c r="ADN26" s="388"/>
      <c r="ADO26" s="388"/>
      <c r="ADP26" s="388"/>
      <c r="ADQ26" s="388"/>
      <c r="ADR26" s="388"/>
      <c r="ADS26" s="388"/>
      <c r="ADT26" s="388"/>
      <c r="ADU26" s="388"/>
      <c r="ADV26" s="388"/>
      <c r="ADW26" s="388"/>
      <c r="ADX26" s="388"/>
      <c r="ADY26" s="388"/>
      <c r="ADZ26" s="388"/>
      <c r="AEA26" s="388"/>
      <c r="AEB26" s="388"/>
      <c r="AEC26" s="388"/>
      <c r="AED26" s="388"/>
      <c r="AEE26" s="388"/>
      <c r="AEF26" s="388"/>
      <c r="AEG26" s="388"/>
      <c r="AEH26" s="388"/>
      <c r="AEI26" s="388"/>
      <c r="AEJ26" s="388"/>
      <c r="AEK26" s="388"/>
      <c r="AEL26" s="388"/>
      <c r="AEM26" s="388"/>
      <c r="AEN26" s="388"/>
      <c r="AEO26" s="388"/>
      <c r="AEP26" s="388"/>
      <c r="AEQ26" s="388"/>
      <c r="AER26" s="388"/>
      <c r="AES26" s="388"/>
      <c r="AET26" s="388"/>
      <c r="AEU26" s="388"/>
      <c r="AEV26" s="388"/>
      <c r="AEW26" s="388"/>
      <c r="AEX26" s="388"/>
      <c r="AEY26" s="388"/>
      <c r="AEZ26" s="388"/>
      <c r="AFA26" s="388"/>
      <c r="AFB26" s="388"/>
      <c r="AFC26" s="388"/>
      <c r="AFD26" s="388"/>
      <c r="AFE26" s="388"/>
      <c r="AFF26" s="388"/>
      <c r="AFG26" s="388"/>
      <c r="AFH26" s="388"/>
      <c r="AFI26" s="388"/>
      <c r="AFJ26" s="388"/>
      <c r="AFK26" s="388"/>
      <c r="AFL26" s="388"/>
      <c r="AFM26" s="388"/>
      <c r="AFN26" s="388"/>
      <c r="AFO26" s="388"/>
      <c r="AFP26" s="388"/>
      <c r="AFQ26" s="388"/>
      <c r="AFR26" s="388"/>
      <c r="AFS26" s="388"/>
      <c r="AFT26" s="388"/>
      <c r="AFU26" s="388"/>
      <c r="AFV26" s="388"/>
      <c r="AFW26" s="388"/>
      <c r="AFX26" s="388"/>
      <c r="AFY26" s="388"/>
      <c r="AFZ26" s="388"/>
      <c r="AGA26" s="388"/>
      <c r="AGB26" s="388"/>
      <c r="AGC26" s="388"/>
      <c r="AGD26" s="388"/>
      <c r="AGE26" s="388"/>
      <c r="AGF26" s="388"/>
      <c r="AGG26" s="388"/>
      <c r="AGH26" s="388"/>
      <c r="AGI26" s="388"/>
      <c r="AGJ26" s="388"/>
      <c r="AGK26" s="388"/>
      <c r="AGL26" s="388"/>
      <c r="AGM26" s="388"/>
      <c r="AGN26" s="388"/>
      <c r="AGO26" s="388"/>
      <c r="AGP26" s="388"/>
      <c r="AGQ26" s="388"/>
      <c r="AGR26" s="388"/>
      <c r="AGS26" s="388"/>
      <c r="AGT26" s="388"/>
      <c r="AGU26" s="388"/>
      <c r="AGV26" s="388"/>
      <c r="AGW26" s="388"/>
      <c r="AGX26" s="388"/>
      <c r="AGY26" s="388"/>
      <c r="AGZ26" s="388"/>
      <c r="AHA26" s="388"/>
      <c r="AHB26" s="388"/>
      <c r="AHC26" s="388"/>
      <c r="AHD26" s="388"/>
      <c r="AHE26" s="388"/>
      <c r="AHF26" s="388"/>
      <c r="AHG26" s="388"/>
      <c r="AHH26" s="388"/>
      <c r="AHI26" s="388"/>
      <c r="AHJ26" s="388"/>
      <c r="AHK26" s="388"/>
      <c r="AHL26" s="388"/>
      <c r="AHM26" s="388"/>
      <c r="AHN26" s="388"/>
      <c r="AHO26" s="388"/>
      <c r="AHP26" s="388"/>
      <c r="AHQ26" s="388"/>
      <c r="AHR26" s="388"/>
      <c r="AHS26" s="388"/>
      <c r="AHT26" s="388"/>
      <c r="AHU26" s="388"/>
      <c r="AHV26" s="388"/>
      <c r="AHW26" s="388"/>
      <c r="AHX26" s="388"/>
      <c r="AHY26" s="388"/>
      <c r="AHZ26" s="388"/>
      <c r="AIA26" s="388"/>
      <c r="AIB26" s="388"/>
      <c r="AIC26" s="388"/>
      <c r="AID26" s="388"/>
      <c r="AIE26" s="388"/>
      <c r="AIF26" s="388"/>
      <c r="AIG26" s="388"/>
      <c r="AIH26" s="388"/>
      <c r="AII26" s="388"/>
      <c r="AIJ26" s="388"/>
      <c r="AIK26" s="388"/>
      <c r="AIL26" s="388"/>
      <c r="AIM26" s="388"/>
      <c r="AIN26" s="388"/>
      <c r="AIO26" s="388"/>
      <c r="AIP26" s="388"/>
      <c r="AIQ26" s="388"/>
      <c r="AIR26" s="388"/>
      <c r="AIS26" s="388"/>
      <c r="AIT26" s="388"/>
      <c r="AIU26" s="388"/>
      <c r="AIV26" s="388"/>
      <c r="AIW26" s="388"/>
      <c r="AIX26" s="388"/>
      <c r="AIY26" s="388"/>
      <c r="AIZ26" s="388"/>
      <c r="AJA26" s="388"/>
      <c r="AJB26" s="388"/>
      <c r="AJC26" s="388"/>
      <c r="AJD26" s="388"/>
      <c r="AJE26" s="388"/>
      <c r="AJF26" s="388"/>
      <c r="AJG26" s="388"/>
      <c r="AJH26" s="388"/>
      <c r="AJI26" s="388"/>
      <c r="AJJ26" s="388"/>
      <c r="AJK26" s="388"/>
      <c r="AJL26" s="388"/>
      <c r="AJM26" s="388"/>
      <c r="AJN26" s="388"/>
      <c r="AJO26" s="388"/>
      <c r="AJP26" s="388"/>
      <c r="AJQ26" s="388"/>
      <c r="AJR26" s="388"/>
      <c r="AJS26" s="388"/>
      <c r="AJT26" s="388"/>
      <c r="AJU26" s="388"/>
      <c r="AJV26" s="388"/>
      <c r="AJW26" s="388"/>
      <c r="AJX26" s="388"/>
      <c r="AJY26" s="388"/>
      <c r="AJZ26" s="388"/>
      <c r="AKA26" s="388"/>
      <c r="AKB26" s="388"/>
      <c r="AKC26" s="388"/>
      <c r="AKD26" s="388"/>
      <c r="AKE26" s="388"/>
      <c r="AKF26" s="388"/>
      <c r="AKG26" s="388"/>
      <c r="AKH26" s="388"/>
      <c r="AKI26" s="388"/>
      <c r="AKJ26" s="388"/>
      <c r="AKK26" s="388"/>
      <c r="AKL26" s="388"/>
      <c r="AKM26" s="388"/>
      <c r="AKN26" s="388"/>
      <c r="AKO26" s="388"/>
      <c r="AKP26" s="388"/>
      <c r="AKQ26" s="388"/>
      <c r="AKR26" s="388"/>
      <c r="AKS26" s="388"/>
      <c r="AKT26" s="388"/>
      <c r="AKU26" s="388"/>
      <c r="AKV26" s="388"/>
      <c r="AKW26" s="388"/>
      <c r="AKX26" s="388"/>
      <c r="AKY26" s="388"/>
      <c r="AKZ26" s="388"/>
      <c r="ALA26" s="388"/>
      <c r="ALB26" s="388"/>
      <c r="ALC26" s="388"/>
      <c r="ALD26" s="388"/>
      <c r="ALE26" s="388"/>
      <c r="ALF26" s="388"/>
      <c r="ALG26" s="388"/>
      <c r="ALH26" s="388"/>
      <c r="ALI26" s="388"/>
      <c r="ALJ26" s="388"/>
      <c r="ALK26" s="388"/>
      <c r="ALL26" s="388"/>
      <c r="ALM26" s="388"/>
      <c r="ALN26" s="388"/>
      <c r="ALO26" s="388"/>
      <c r="ALP26" s="388"/>
      <c r="ALQ26" s="388"/>
      <c r="ALR26" s="388"/>
      <c r="ALS26" s="388"/>
      <c r="ALT26" s="388"/>
      <c r="ALU26" s="388"/>
      <c r="ALV26" s="388"/>
      <c r="ALW26" s="388"/>
      <c r="ALX26" s="388"/>
      <c r="ALY26" s="388"/>
      <c r="ALZ26" s="388"/>
      <c r="AMA26" s="388"/>
      <c r="AMB26" s="388"/>
      <c r="AMC26" s="388"/>
      <c r="AMD26" s="388"/>
      <c r="AME26" s="388"/>
      <c r="AMF26" s="388"/>
      <c r="AMG26" s="388"/>
      <c r="AMH26" s="388"/>
      <c r="AMI26" s="388"/>
      <c r="AMJ26" s="388"/>
      <c r="AMK26" s="388"/>
      <c r="AML26" s="388"/>
      <c r="AMM26" s="388"/>
      <c r="AMN26" s="388"/>
      <c r="AMO26" s="388"/>
      <c r="AMP26" s="388"/>
      <c r="AMQ26" s="388"/>
      <c r="AMR26" s="388"/>
      <c r="AMS26" s="388"/>
      <c r="AMT26" s="388"/>
      <c r="AMU26" s="388"/>
      <c r="AMV26" s="388"/>
      <c r="AMW26" s="388"/>
      <c r="AMX26" s="388"/>
      <c r="AMY26" s="388"/>
      <c r="AMZ26" s="388"/>
      <c r="ANA26" s="388"/>
      <c r="ANB26" s="388"/>
      <c r="ANC26" s="388"/>
      <c r="AND26" s="388"/>
      <c r="ANE26" s="388"/>
      <c r="ANF26" s="388"/>
      <c r="ANG26" s="388"/>
      <c r="ANH26" s="388"/>
      <c r="ANI26" s="388"/>
      <c r="ANJ26" s="388"/>
      <c r="ANK26" s="388"/>
      <c r="ANL26" s="388"/>
      <c r="ANM26" s="388"/>
      <c r="ANN26" s="388"/>
      <c r="ANO26" s="388"/>
      <c r="ANP26" s="388"/>
      <c r="ANQ26" s="388"/>
      <c r="ANR26" s="388"/>
      <c r="ANS26" s="388"/>
      <c r="ANT26" s="388"/>
      <c r="ANU26" s="388"/>
      <c r="ANV26" s="388"/>
      <c r="ANW26" s="388"/>
      <c r="ANX26" s="388"/>
      <c r="ANY26" s="388"/>
      <c r="ANZ26" s="388"/>
      <c r="AOA26" s="388"/>
      <c r="AOB26" s="388"/>
      <c r="AOC26" s="388"/>
      <c r="AOD26" s="388"/>
      <c r="AOE26" s="388"/>
      <c r="AOF26" s="388"/>
      <c r="AOG26" s="388"/>
      <c r="AOH26" s="388"/>
      <c r="AOI26" s="388"/>
      <c r="AOJ26" s="388"/>
      <c r="AOK26" s="388"/>
      <c r="AOL26" s="388"/>
      <c r="AOM26" s="388"/>
      <c r="AON26" s="388"/>
      <c r="AOO26" s="388"/>
      <c r="AOP26" s="388"/>
      <c r="AOQ26" s="388"/>
      <c r="AOR26" s="388"/>
      <c r="AOS26" s="388"/>
      <c r="AOT26" s="388"/>
      <c r="AOU26" s="388"/>
      <c r="AOV26" s="388"/>
      <c r="AOW26" s="388"/>
      <c r="AOX26" s="388"/>
      <c r="AOY26" s="388"/>
      <c r="AOZ26" s="388"/>
      <c r="APA26" s="388"/>
      <c r="APB26" s="388"/>
      <c r="APC26" s="388"/>
      <c r="APD26" s="388"/>
      <c r="APE26" s="388"/>
      <c r="APF26" s="388"/>
      <c r="APG26" s="388"/>
      <c r="APH26" s="388"/>
      <c r="API26" s="388"/>
      <c r="APJ26" s="388"/>
      <c r="APK26" s="388"/>
      <c r="APL26" s="388"/>
      <c r="APM26" s="388"/>
      <c r="APN26" s="388"/>
      <c r="APO26" s="388"/>
      <c r="APP26" s="388"/>
      <c r="APQ26" s="388"/>
      <c r="APR26" s="388"/>
      <c r="APS26" s="388"/>
      <c r="APT26" s="388"/>
      <c r="APU26" s="388"/>
      <c r="APV26" s="388"/>
      <c r="APW26" s="388"/>
      <c r="APX26" s="388"/>
      <c r="APY26" s="388"/>
      <c r="APZ26" s="388"/>
      <c r="AQA26" s="388"/>
      <c r="AQB26" s="388"/>
      <c r="AQC26" s="388"/>
      <c r="AQD26" s="388"/>
      <c r="AQE26" s="388"/>
      <c r="AQF26" s="388"/>
      <c r="AQG26" s="388"/>
      <c r="AQH26" s="388"/>
      <c r="AQI26" s="388"/>
      <c r="AQJ26" s="388"/>
      <c r="AQK26" s="388"/>
      <c r="AQL26" s="388"/>
      <c r="AQM26" s="388"/>
      <c r="AQN26" s="388"/>
      <c r="AQO26" s="388"/>
      <c r="AQP26" s="388"/>
      <c r="AQQ26" s="388"/>
      <c r="AQR26" s="388"/>
      <c r="AQS26" s="388"/>
      <c r="AQT26" s="388"/>
      <c r="AQU26" s="388"/>
      <c r="AQV26" s="388"/>
      <c r="AQW26" s="388"/>
      <c r="AQX26" s="388"/>
      <c r="AQY26" s="388"/>
      <c r="AQZ26" s="388"/>
      <c r="ARA26" s="388"/>
      <c r="ARB26" s="388"/>
      <c r="ARC26" s="388"/>
      <c r="ARD26" s="388"/>
      <c r="ARE26" s="388"/>
      <c r="ARF26" s="388"/>
      <c r="ARG26" s="388"/>
      <c r="ARH26" s="388"/>
      <c r="ARI26" s="388"/>
      <c r="ARJ26" s="388"/>
      <c r="ARK26" s="388"/>
      <c r="ARL26" s="388"/>
      <c r="ARM26" s="388"/>
      <c r="ARN26" s="388"/>
      <c r="ARO26" s="388"/>
      <c r="ARP26" s="388"/>
      <c r="ARQ26" s="388"/>
      <c r="ARR26" s="388"/>
      <c r="ARS26" s="388"/>
      <c r="ART26" s="388"/>
      <c r="ARU26" s="388"/>
      <c r="ARV26" s="388"/>
      <c r="ARW26" s="388"/>
      <c r="ARX26" s="388"/>
      <c r="ARY26" s="388"/>
      <c r="ARZ26" s="388"/>
      <c r="ASA26" s="388"/>
      <c r="ASB26" s="388"/>
      <c r="ASC26" s="388"/>
      <c r="ASD26" s="388"/>
      <c r="ASE26" s="388"/>
      <c r="ASF26" s="388"/>
      <c r="ASG26" s="388"/>
      <c r="ASH26" s="388"/>
      <c r="ASI26" s="388"/>
      <c r="ASJ26" s="388"/>
      <c r="ASK26" s="388"/>
      <c r="ASL26" s="388"/>
      <c r="ASM26" s="388"/>
      <c r="ASN26" s="388"/>
      <c r="ASO26" s="388"/>
      <c r="ASP26" s="388"/>
      <c r="ASQ26" s="388"/>
      <c r="ASR26" s="388"/>
      <c r="ASS26" s="388"/>
      <c r="AST26" s="388"/>
      <c r="ASU26" s="388"/>
      <c r="ASV26" s="388"/>
      <c r="ASW26" s="388"/>
      <c r="ASX26" s="388"/>
      <c r="ASY26" s="388"/>
      <c r="ASZ26" s="388"/>
      <c r="ATA26" s="388"/>
      <c r="ATB26" s="388"/>
      <c r="ATC26" s="388"/>
      <c r="ATD26" s="388"/>
      <c r="ATE26" s="388"/>
      <c r="ATF26" s="388"/>
      <c r="ATG26" s="388"/>
      <c r="ATH26" s="388"/>
      <c r="ATI26" s="388"/>
      <c r="ATJ26" s="388"/>
      <c r="ATK26" s="388"/>
      <c r="ATL26" s="388"/>
      <c r="ATM26" s="388"/>
      <c r="ATN26" s="388"/>
      <c r="ATO26" s="388"/>
      <c r="ATP26" s="388"/>
      <c r="ATQ26" s="388"/>
      <c r="ATR26" s="388"/>
      <c r="ATS26" s="388"/>
      <c r="ATT26" s="388"/>
      <c r="ATU26" s="388"/>
      <c r="ATV26" s="388"/>
      <c r="ATW26" s="388"/>
      <c r="ATX26" s="388"/>
      <c r="ATY26" s="388"/>
      <c r="ATZ26" s="388"/>
      <c r="AUA26" s="388"/>
      <c r="AUB26" s="388"/>
      <c r="AUC26" s="388"/>
      <c r="AUD26" s="388"/>
      <c r="AUE26" s="388"/>
      <c r="AUF26" s="388"/>
      <c r="AUG26" s="388"/>
      <c r="AUH26" s="388"/>
      <c r="AUI26" s="388"/>
      <c r="AUJ26" s="388"/>
      <c r="AUK26" s="388"/>
      <c r="AUL26" s="388"/>
      <c r="AUM26" s="388"/>
      <c r="AUN26" s="388"/>
      <c r="AUO26" s="388"/>
      <c r="AUP26" s="388"/>
      <c r="AUQ26" s="388"/>
      <c r="AUR26" s="388"/>
      <c r="AUS26" s="388"/>
      <c r="AUT26" s="388"/>
      <c r="AUU26" s="388"/>
      <c r="AUV26" s="388"/>
      <c r="AUW26" s="388"/>
      <c r="AUX26" s="388"/>
      <c r="AUY26" s="388"/>
      <c r="AUZ26" s="388"/>
      <c r="AVA26" s="388"/>
      <c r="AVB26" s="388"/>
      <c r="AVC26" s="388"/>
      <c r="AVD26" s="388"/>
      <c r="AVE26" s="388"/>
      <c r="AVF26" s="388"/>
      <c r="AVG26" s="388"/>
      <c r="AVH26" s="388"/>
      <c r="AVI26" s="388"/>
      <c r="AVJ26" s="388"/>
      <c r="AVK26" s="388"/>
      <c r="AVL26" s="388"/>
      <c r="AVM26" s="388"/>
      <c r="AVN26" s="388"/>
      <c r="AVO26" s="388"/>
      <c r="AVP26" s="388"/>
      <c r="AVQ26" s="388"/>
      <c r="AVR26" s="388"/>
      <c r="AVS26" s="388"/>
      <c r="AVT26" s="388"/>
      <c r="AVU26" s="388"/>
      <c r="AVV26" s="388"/>
      <c r="AVW26" s="388"/>
      <c r="AVX26" s="388"/>
      <c r="AVY26" s="388"/>
      <c r="AVZ26" s="388"/>
      <c r="AWA26" s="388"/>
      <c r="AWB26" s="388"/>
      <c r="AWC26" s="388"/>
      <c r="AWD26" s="388"/>
      <c r="AWE26" s="388"/>
      <c r="AWF26" s="388"/>
      <c r="AWG26" s="388"/>
      <c r="AWH26" s="388"/>
      <c r="AWI26" s="388"/>
      <c r="AWJ26" s="388"/>
      <c r="AWK26" s="388"/>
      <c r="AWL26" s="388"/>
      <c r="AWM26" s="388"/>
      <c r="AWN26" s="388"/>
      <c r="AWO26" s="388"/>
      <c r="AWP26" s="388"/>
      <c r="AWQ26" s="388"/>
      <c r="AWR26" s="388"/>
      <c r="AWS26" s="388"/>
      <c r="AWT26" s="388"/>
      <c r="AWU26" s="388"/>
      <c r="AWV26" s="388"/>
      <c r="AWW26" s="388"/>
      <c r="AWX26" s="388"/>
      <c r="AWY26" s="388"/>
      <c r="AWZ26" s="388"/>
      <c r="AXA26" s="388"/>
      <c r="AXB26" s="388"/>
      <c r="AXC26" s="388"/>
      <c r="AXD26" s="388"/>
      <c r="AXE26" s="388"/>
      <c r="AXF26" s="388"/>
      <c r="AXG26" s="388"/>
      <c r="AXH26" s="388"/>
      <c r="AXI26" s="388"/>
      <c r="AXJ26" s="388"/>
      <c r="AXK26" s="388"/>
      <c r="AXL26" s="388"/>
      <c r="AXM26" s="388"/>
      <c r="AXN26" s="388"/>
      <c r="AXO26" s="388"/>
      <c r="AXP26" s="388"/>
      <c r="AXQ26" s="388"/>
      <c r="AXR26" s="388"/>
      <c r="AXS26" s="388"/>
      <c r="AXT26" s="388"/>
      <c r="AXU26" s="388"/>
      <c r="AXV26" s="388"/>
      <c r="AXW26" s="388"/>
      <c r="AXX26" s="388"/>
      <c r="AXY26" s="388"/>
      <c r="AXZ26" s="388"/>
      <c r="AYA26" s="388"/>
      <c r="AYB26" s="388"/>
      <c r="AYC26" s="388"/>
      <c r="AYD26" s="388"/>
      <c r="AYE26" s="388"/>
      <c r="AYF26" s="388"/>
      <c r="AYG26" s="388"/>
      <c r="AYH26" s="388"/>
      <c r="AYI26" s="388"/>
      <c r="AYJ26" s="388"/>
      <c r="AYK26" s="388"/>
      <c r="AYL26" s="388"/>
      <c r="AYM26" s="388"/>
      <c r="AYN26" s="388"/>
      <c r="AYO26" s="388"/>
      <c r="AYP26" s="388"/>
      <c r="AYQ26" s="388"/>
      <c r="AYR26" s="388"/>
      <c r="AYS26" s="388"/>
      <c r="AYT26" s="388"/>
      <c r="AYU26" s="388"/>
      <c r="AYV26" s="388"/>
      <c r="AYW26" s="388"/>
      <c r="AYX26" s="388"/>
      <c r="AYY26" s="388"/>
      <c r="AYZ26" s="388"/>
      <c r="AZA26" s="388"/>
      <c r="AZB26" s="388"/>
      <c r="AZC26" s="388"/>
      <c r="AZD26" s="388"/>
      <c r="AZE26" s="388"/>
      <c r="AZF26" s="388"/>
      <c r="AZG26" s="388"/>
      <c r="AZH26" s="388"/>
      <c r="AZI26" s="388"/>
      <c r="AZJ26" s="388"/>
      <c r="AZK26" s="388"/>
      <c r="AZL26" s="388"/>
      <c r="AZM26" s="388"/>
      <c r="AZN26" s="388"/>
      <c r="AZO26" s="388"/>
      <c r="AZP26" s="388"/>
      <c r="AZQ26" s="388"/>
      <c r="AZR26" s="388"/>
      <c r="AZS26" s="388"/>
      <c r="AZT26" s="388"/>
      <c r="AZU26" s="388"/>
      <c r="AZV26" s="388"/>
      <c r="AZW26" s="388"/>
      <c r="AZX26" s="388"/>
      <c r="AZY26" s="388"/>
      <c r="AZZ26" s="388"/>
      <c r="BAA26" s="388"/>
      <c r="BAB26" s="388"/>
      <c r="BAC26" s="388"/>
      <c r="BAD26" s="388"/>
      <c r="BAE26" s="388"/>
      <c r="BAF26" s="388"/>
      <c r="BAG26" s="388"/>
      <c r="BAH26" s="388"/>
      <c r="BAI26" s="388"/>
      <c r="BAJ26" s="388"/>
      <c r="BAK26" s="388"/>
      <c r="BAL26" s="388"/>
      <c r="BAM26" s="388"/>
      <c r="BAN26" s="388"/>
      <c r="BAO26" s="388"/>
      <c r="BAP26" s="388"/>
      <c r="BAQ26" s="388"/>
      <c r="BAR26" s="388"/>
      <c r="BAS26" s="388"/>
      <c r="BAT26" s="388"/>
      <c r="BAU26" s="388"/>
      <c r="BAV26" s="388"/>
      <c r="BAW26" s="388"/>
      <c r="BAX26" s="388"/>
      <c r="BAY26" s="388"/>
      <c r="BAZ26" s="388"/>
      <c r="BBA26" s="388"/>
      <c r="BBB26" s="388"/>
      <c r="BBC26" s="388"/>
      <c r="BBD26" s="388"/>
      <c r="BBE26" s="388"/>
      <c r="BBF26" s="388"/>
      <c r="BBG26" s="388"/>
      <c r="BBH26" s="388"/>
      <c r="BBI26" s="388"/>
      <c r="BBJ26" s="388"/>
      <c r="BBK26" s="388"/>
      <c r="BBL26" s="388"/>
      <c r="BBM26" s="388"/>
      <c r="BBN26" s="388"/>
      <c r="BBO26" s="388"/>
      <c r="BBP26" s="388"/>
      <c r="BBQ26" s="388"/>
      <c r="BBR26" s="388"/>
      <c r="BBS26" s="388"/>
      <c r="BBT26" s="388"/>
      <c r="BBU26" s="388"/>
      <c r="BBV26" s="388"/>
      <c r="BBW26" s="388"/>
      <c r="BBX26" s="388"/>
      <c r="BBY26" s="388"/>
      <c r="BBZ26" s="388"/>
      <c r="BCA26" s="388"/>
      <c r="BCB26" s="388"/>
      <c r="BCC26" s="388"/>
      <c r="BCD26" s="388"/>
      <c r="BCE26" s="388"/>
      <c r="BCF26" s="388"/>
      <c r="BCG26" s="388"/>
      <c r="BCH26" s="388"/>
      <c r="BCI26" s="388"/>
      <c r="BCJ26" s="388"/>
      <c r="BCK26" s="388"/>
      <c r="BCL26" s="388"/>
      <c r="BCM26" s="388"/>
      <c r="BCN26" s="388"/>
      <c r="BCO26" s="388"/>
      <c r="BCP26" s="388"/>
      <c r="BCQ26" s="388"/>
      <c r="BCR26" s="388"/>
      <c r="BCS26" s="388"/>
      <c r="BCT26" s="388"/>
      <c r="BCU26" s="388"/>
      <c r="BCV26" s="388"/>
      <c r="BCW26" s="388"/>
      <c r="BCX26" s="388"/>
      <c r="BCY26" s="388"/>
      <c r="BCZ26" s="388"/>
      <c r="BDA26" s="388"/>
      <c r="BDB26" s="388"/>
      <c r="BDC26" s="388"/>
      <c r="BDD26" s="388"/>
      <c r="BDE26" s="388"/>
      <c r="BDF26" s="388"/>
      <c r="BDG26" s="388"/>
      <c r="BDH26" s="388"/>
      <c r="BDI26" s="388"/>
      <c r="BDJ26" s="388"/>
      <c r="BDK26" s="388"/>
      <c r="BDL26" s="388"/>
      <c r="BDM26" s="388"/>
      <c r="BDN26" s="388"/>
      <c r="BDO26" s="388"/>
      <c r="BDP26" s="388"/>
      <c r="BDQ26" s="388"/>
      <c r="BDR26" s="388"/>
      <c r="BDS26" s="388"/>
      <c r="BDT26" s="388"/>
      <c r="BDU26" s="388"/>
      <c r="BDV26" s="388"/>
      <c r="BDW26" s="388"/>
      <c r="BDX26" s="388"/>
      <c r="BDY26" s="388"/>
      <c r="BDZ26" s="388"/>
      <c r="BEA26" s="388"/>
      <c r="BEB26" s="388"/>
      <c r="BEC26" s="388"/>
      <c r="BED26" s="388"/>
      <c r="BEE26" s="388"/>
      <c r="BEF26" s="388"/>
      <c r="BEG26" s="388"/>
      <c r="BEH26" s="388"/>
      <c r="BEI26" s="388"/>
      <c r="BEJ26" s="388"/>
      <c r="BEK26" s="388"/>
      <c r="BEL26" s="388"/>
      <c r="BEM26" s="388"/>
      <c r="BEN26" s="388"/>
      <c r="BEO26" s="388"/>
      <c r="BEP26" s="388"/>
      <c r="BEQ26" s="388"/>
      <c r="BER26" s="388"/>
      <c r="BES26" s="388"/>
      <c r="BET26" s="388"/>
      <c r="BEU26" s="388"/>
      <c r="BEV26" s="388"/>
      <c r="BEW26" s="388"/>
      <c r="BEX26" s="388"/>
      <c r="BEY26" s="388"/>
      <c r="BEZ26" s="388"/>
      <c r="BFA26" s="388"/>
      <c r="BFB26" s="388"/>
      <c r="BFC26" s="388"/>
      <c r="BFD26" s="388"/>
      <c r="BFE26" s="388"/>
      <c r="BFF26" s="388"/>
      <c r="BFG26" s="388"/>
      <c r="BFH26" s="388"/>
      <c r="BFI26" s="388"/>
      <c r="BFJ26" s="388"/>
      <c r="BFK26" s="388"/>
      <c r="BFL26" s="388"/>
      <c r="BFM26" s="388"/>
      <c r="BFN26" s="388"/>
      <c r="BFO26" s="388"/>
      <c r="BFP26" s="388"/>
      <c r="BFQ26" s="388"/>
      <c r="BFR26" s="388"/>
      <c r="BFS26" s="388"/>
      <c r="BFT26" s="388"/>
      <c r="BFU26" s="388"/>
      <c r="BFV26" s="388"/>
      <c r="BFW26" s="388"/>
      <c r="BFX26" s="388"/>
      <c r="BFY26" s="388"/>
      <c r="BFZ26" s="388"/>
      <c r="BGA26" s="388"/>
      <c r="BGB26" s="388"/>
      <c r="BGC26" s="388"/>
      <c r="BGD26" s="388"/>
      <c r="BGE26" s="388"/>
      <c r="BGF26" s="388"/>
      <c r="BGG26" s="388"/>
      <c r="BGH26" s="388"/>
      <c r="BGI26" s="388"/>
      <c r="BGJ26" s="388"/>
      <c r="BGK26" s="388"/>
      <c r="BGL26" s="388"/>
      <c r="BGM26" s="388"/>
      <c r="BGN26" s="388"/>
      <c r="BGO26" s="388"/>
      <c r="BGP26" s="388"/>
      <c r="BGQ26" s="388"/>
      <c r="BGR26" s="388"/>
      <c r="BGS26" s="388"/>
      <c r="BGT26" s="388"/>
      <c r="BGU26" s="388"/>
      <c r="BGV26" s="388"/>
      <c r="BGW26" s="388"/>
      <c r="BGX26" s="388"/>
      <c r="BGY26" s="388"/>
      <c r="BGZ26" s="388"/>
      <c r="BHA26" s="388"/>
      <c r="BHB26" s="388"/>
      <c r="BHC26" s="388"/>
      <c r="BHD26" s="388"/>
      <c r="BHE26" s="388"/>
      <c r="BHF26" s="388"/>
      <c r="BHG26" s="388"/>
      <c r="BHH26" s="388"/>
      <c r="BHI26" s="388"/>
      <c r="BHJ26" s="388"/>
      <c r="BHK26" s="388"/>
      <c r="BHL26" s="388"/>
      <c r="BHM26" s="388"/>
      <c r="BHN26" s="388"/>
      <c r="BHO26" s="388"/>
      <c r="BHP26" s="388"/>
      <c r="BHQ26" s="388"/>
      <c r="BHR26" s="388"/>
      <c r="BHS26" s="388"/>
      <c r="BHT26" s="388"/>
      <c r="BHU26" s="388"/>
      <c r="BHV26" s="388"/>
      <c r="BHW26" s="388"/>
      <c r="BHX26" s="388"/>
      <c r="BHY26" s="388"/>
      <c r="BHZ26" s="388"/>
      <c r="BIA26" s="388"/>
      <c r="BIB26" s="388"/>
      <c r="BIC26" s="388"/>
      <c r="BID26" s="388"/>
      <c r="BIE26" s="388"/>
      <c r="BIF26" s="388"/>
      <c r="BIG26" s="388"/>
      <c r="BIH26" s="388"/>
      <c r="BII26" s="388"/>
      <c r="BIJ26" s="388"/>
      <c r="BIK26" s="388"/>
      <c r="BIL26" s="388"/>
      <c r="BIM26" s="388"/>
      <c r="BIN26" s="388"/>
      <c r="BIO26" s="388"/>
      <c r="BIP26" s="388"/>
      <c r="BIQ26" s="388"/>
      <c r="BIR26" s="388"/>
      <c r="BIS26" s="388"/>
      <c r="BIT26" s="388"/>
      <c r="BIU26" s="388"/>
      <c r="BIV26" s="388"/>
      <c r="BIW26" s="388"/>
      <c r="BIX26" s="388"/>
      <c r="BIY26" s="388"/>
      <c r="BIZ26" s="388"/>
      <c r="BJA26" s="388"/>
      <c r="BJB26" s="388"/>
      <c r="BJC26" s="388"/>
      <c r="BJD26" s="388"/>
      <c r="BJE26" s="388"/>
      <c r="BJF26" s="388"/>
      <c r="BJG26" s="388"/>
      <c r="BJH26" s="388"/>
      <c r="BJI26" s="388"/>
      <c r="BJJ26" s="388"/>
      <c r="BJK26" s="388"/>
      <c r="BJL26" s="388"/>
      <c r="BJM26" s="388"/>
      <c r="BJN26" s="388"/>
      <c r="BJO26" s="388"/>
      <c r="BJP26" s="388"/>
      <c r="BJQ26" s="388"/>
      <c r="BJR26" s="388"/>
      <c r="BJS26" s="388"/>
      <c r="BJT26" s="388"/>
      <c r="BJU26" s="388"/>
      <c r="BJV26" s="388"/>
      <c r="BJW26" s="388"/>
      <c r="BJX26" s="388"/>
      <c r="BJY26" s="388"/>
      <c r="BJZ26" s="388"/>
      <c r="BKA26" s="388"/>
      <c r="BKB26" s="388"/>
      <c r="BKC26" s="388"/>
      <c r="BKD26" s="388"/>
      <c r="BKE26" s="388"/>
      <c r="BKF26" s="388"/>
      <c r="BKG26" s="388"/>
      <c r="BKH26" s="388"/>
      <c r="BKI26" s="388"/>
      <c r="BKJ26" s="388"/>
      <c r="BKK26" s="388"/>
      <c r="BKL26" s="388"/>
      <c r="BKM26" s="388"/>
      <c r="BKN26" s="388"/>
      <c r="BKO26" s="388"/>
      <c r="BKP26" s="388"/>
      <c r="BKQ26" s="388"/>
      <c r="BKR26" s="388"/>
      <c r="BKS26" s="388"/>
      <c r="BKT26" s="388"/>
      <c r="BKU26" s="388"/>
      <c r="BKV26" s="388"/>
      <c r="BKW26" s="388"/>
      <c r="BKX26" s="388"/>
      <c r="BKY26" s="388"/>
      <c r="BKZ26" s="388"/>
      <c r="BLA26" s="388"/>
      <c r="BLB26" s="388"/>
      <c r="BLC26" s="388"/>
      <c r="BLD26" s="388"/>
      <c r="BLE26" s="388"/>
      <c r="BLF26" s="388"/>
      <c r="BLG26" s="388"/>
      <c r="BLH26" s="388"/>
      <c r="BLI26" s="388"/>
      <c r="BLJ26" s="388"/>
      <c r="BLK26" s="388"/>
      <c r="BLL26" s="388"/>
      <c r="BLM26" s="388"/>
      <c r="BLN26" s="388"/>
      <c r="BLO26" s="388"/>
      <c r="BLP26" s="388"/>
      <c r="BLQ26" s="388"/>
      <c r="BLR26" s="388"/>
      <c r="BLS26" s="388"/>
      <c r="BLT26" s="388"/>
      <c r="BLU26" s="388"/>
      <c r="BLV26" s="388"/>
      <c r="BLW26" s="388"/>
      <c r="BLX26" s="388"/>
      <c r="BLY26" s="388"/>
      <c r="BLZ26" s="388"/>
      <c r="BMA26" s="388"/>
      <c r="BMB26" s="388"/>
      <c r="BMC26" s="388"/>
      <c r="BMD26" s="388"/>
      <c r="BME26" s="388"/>
      <c r="BMF26" s="388"/>
      <c r="BMG26" s="388"/>
      <c r="BMH26" s="388"/>
      <c r="BMI26" s="388"/>
      <c r="BMJ26" s="388"/>
      <c r="BMK26" s="388"/>
      <c r="BML26" s="388"/>
      <c r="BMM26" s="388"/>
      <c r="BMN26" s="388"/>
      <c r="BMO26" s="388"/>
      <c r="BMP26" s="388"/>
      <c r="BMQ26" s="388"/>
      <c r="BMR26" s="388"/>
      <c r="BMS26" s="388"/>
      <c r="BMT26" s="388"/>
      <c r="BMU26" s="388"/>
      <c r="BMV26" s="388"/>
      <c r="BMW26" s="388"/>
      <c r="BMX26" s="388"/>
      <c r="BMY26" s="388"/>
      <c r="BMZ26" s="388"/>
      <c r="BNA26" s="388"/>
      <c r="BNB26" s="388"/>
      <c r="BNC26" s="388"/>
      <c r="BND26" s="388"/>
      <c r="BNE26" s="388"/>
      <c r="BNF26" s="388"/>
      <c r="BNG26" s="388"/>
      <c r="BNH26" s="388"/>
      <c r="BNI26" s="388"/>
      <c r="BNJ26" s="388"/>
      <c r="BNK26" s="388"/>
      <c r="BNL26" s="388"/>
      <c r="BNM26" s="388"/>
      <c r="BNN26" s="388"/>
      <c r="BNO26" s="388"/>
      <c r="BNP26" s="388"/>
      <c r="BNQ26" s="388"/>
      <c r="BNR26" s="388"/>
      <c r="BNS26" s="388"/>
      <c r="BNT26" s="388"/>
      <c r="BNU26" s="388"/>
      <c r="BNV26" s="388"/>
      <c r="BNW26" s="388"/>
      <c r="BNX26" s="388"/>
      <c r="BNY26" s="388"/>
      <c r="BNZ26" s="388"/>
      <c r="BOA26" s="388"/>
      <c r="BOB26" s="388"/>
      <c r="BOC26" s="388"/>
      <c r="BOD26" s="388"/>
      <c r="BOE26" s="388"/>
      <c r="BOF26" s="388"/>
      <c r="BOG26" s="388"/>
      <c r="BOH26" s="388"/>
      <c r="BOI26" s="388"/>
      <c r="BOJ26" s="388"/>
      <c r="BOK26" s="388"/>
      <c r="BOL26" s="388"/>
      <c r="BOM26" s="388"/>
      <c r="BON26" s="388"/>
      <c r="BOO26" s="388"/>
      <c r="BOP26" s="388"/>
      <c r="BOQ26" s="388"/>
      <c r="BOR26" s="388"/>
      <c r="BOS26" s="388"/>
      <c r="BOT26" s="388"/>
      <c r="BOU26" s="388"/>
      <c r="BOV26" s="388"/>
      <c r="BOW26" s="388"/>
      <c r="BOX26" s="388"/>
      <c r="BOY26" s="388"/>
      <c r="BOZ26" s="388"/>
      <c r="BPA26" s="388"/>
      <c r="BPB26" s="388"/>
      <c r="BPC26" s="388"/>
      <c r="BPD26" s="388"/>
      <c r="BPE26" s="388"/>
      <c r="BPF26" s="388"/>
      <c r="BPG26" s="388"/>
      <c r="BPH26" s="388"/>
      <c r="BPI26" s="388"/>
      <c r="BPJ26" s="388"/>
      <c r="BPK26" s="388"/>
      <c r="BPL26" s="388"/>
      <c r="BPM26" s="388"/>
      <c r="BPN26" s="388"/>
      <c r="BPO26" s="388"/>
      <c r="BPP26" s="388"/>
      <c r="BPQ26" s="388"/>
      <c r="BPR26" s="388"/>
      <c r="BPS26" s="388"/>
      <c r="BPT26" s="388"/>
      <c r="BPU26" s="388"/>
      <c r="BPV26" s="388"/>
      <c r="BPW26" s="388"/>
      <c r="BPX26" s="388"/>
      <c r="BPY26" s="388"/>
      <c r="BPZ26" s="388"/>
      <c r="BQA26" s="388"/>
      <c r="BQB26" s="388"/>
      <c r="BQC26" s="388"/>
      <c r="BQD26" s="388"/>
      <c r="BQE26" s="388"/>
      <c r="BQF26" s="388"/>
      <c r="BQG26" s="388"/>
      <c r="BQH26" s="388"/>
      <c r="BQI26" s="388"/>
      <c r="BQJ26" s="388"/>
      <c r="BQK26" s="388"/>
      <c r="BQL26" s="388"/>
      <c r="BQM26" s="388"/>
      <c r="BQN26" s="388"/>
      <c r="BQO26" s="388"/>
      <c r="BQP26" s="388"/>
      <c r="BQQ26" s="388"/>
      <c r="BQR26" s="388"/>
      <c r="BQS26" s="388"/>
      <c r="BQT26" s="388"/>
      <c r="BQU26" s="388"/>
      <c r="BQV26" s="388"/>
      <c r="BQW26" s="388"/>
      <c r="BQX26" s="388"/>
      <c r="BQY26" s="388"/>
      <c r="BQZ26" s="388"/>
      <c r="BRA26" s="388"/>
      <c r="BRB26" s="388"/>
      <c r="BRC26" s="388"/>
      <c r="BRD26" s="388"/>
      <c r="BRE26" s="388"/>
      <c r="BRF26" s="388"/>
      <c r="BRG26" s="388"/>
      <c r="BRH26" s="388"/>
      <c r="BRI26" s="388"/>
      <c r="BRJ26" s="388"/>
      <c r="BRK26" s="388"/>
      <c r="BRL26" s="388"/>
      <c r="BRM26" s="388"/>
      <c r="BRN26" s="388"/>
      <c r="BRO26" s="388"/>
      <c r="BRP26" s="388"/>
      <c r="BRQ26" s="388"/>
      <c r="BRR26" s="388"/>
      <c r="BRS26" s="388"/>
      <c r="BRT26" s="388"/>
      <c r="BRU26" s="388"/>
      <c r="BRV26" s="388"/>
      <c r="BRW26" s="388"/>
      <c r="BRX26" s="388"/>
      <c r="BRY26" s="388"/>
      <c r="BRZ26" s="388"/>
      <c r="BSA26" s="388"/>
      <c r="BSB26" s="388"/>
      <c r="BSC26" s="388"/>
      <c r="BSD26" s="388"/>
      <c r="BSE26" s="388"/>
      <c r="BSF26" s="388"/>
      <c r="BSG26" s="388"/>
      <c r="BSH26" s="388"/>
      <c r="BSI26" s="388"/>
      <c r="BSJ26" s="388"/>
      <c r="BSK26" s="388"/>
      <c r="BSL26" s="388"/>
      <c r="BSM26" s="388"/>
      <c r="BSN26" s="388"/>
      <c r="BSO26" s="388"/>
      <c r="BSP26" s="388"/>
      <c r="BSQ26" s="388"/>
      <c r="BSR26" s="388"/>
      <c r="BSS26" s="388"/>
      <c r="BST26" s="388"/>
      <c r="BSU26" s="388"/>
      <c r="BSV26" s="388"/>
      <c r="BSW26" s="388"/>
      <c r="BSX26" s="388"/>
      <c r="BSY26" s="388"/>
      <c r="BSZ26" s="388"/>
      <c r="BTA26" s="388"/>
      <c r="BTB26" s="388"/>
      <c r="BTC26" s="388"/>
      <c r="BTD26" s="388"/>
      <c r="BTE26" s="388"/>
      <c r="BTF26" s="388"/>
      <c r="BTG26" s="388"/>
      <c r="BTH26" s="388"/>
      <c r="BTI26" s="388"/>
      <c r="BTJ26" s="388"/>
      <c r="BTK26" s="388"/>
      <c r="BTL26" s="388"/>
      <c r="BTM26" s="388"/>
      <c r="BTN26" s="388"/>
      <c r="BTO26" s="388"/>
      <c r="BTP26" s="388"/>
      <c r="BTQ26" s="388"/>
      <c r="BTR26" s="388"/>
      <c r="BTS26" s="388"/>
      <c r="BTT26" s="388"/>
      <c r="BTU26" s="388"/>
      <c r="BTV26" s="388"/>
      <c r="BTW26" s="388"/>
      <c r="BTX26" s="388"/>
      <c r="BTY26" s="388"/>
      <c r="BTZ26" s="388"/>
      <c r="BUA26" s="388"/>
      <c r="BUB26" s="388"/>
      <c r="BUC26" s="388"/>
      <c r="BUD26" s="388"/>
      <c r="BUE26" s="388"/>
      <c r="BUF26" s="388"/>
      <c r="BUG26" s="388"/>
      <c r="BUH26" s="388"/>
      <c r="BUI26" s="388"/>
      <c r="BUJ26" s="388"/>
      <c r="BUK26" s="388"/>
      <c r="BUL26" s="388"/>
      <c r="BUM26" s="388"/>
      <c r="BUN26" s="388"/>
      <c r="BUO26" s="388"/>
      <c r="BUP26" s="388"/>
      <c r="BUQ26" s="388"/>
      <c r="BUR26" s="388"/>
      <c r="BUS26" s="388"/>
      <c r="BUT26" s="388"/>
      <c r="BUU26" s="388"/>
      <c r="BUV26" s="388"/>
      <c r="BUW26" s="388"/>
      <c r="BUX26" s="388"/>
      <c r="BUY26" s="388"/>
      <c r="BUZ26" s="388"/>
      <c r="BVA26" s="388"/>
      <c r="BVB26" s="388"/>
      <c r="BVC26" s="388"/>
      <c r="BVD26" s="388"/>
      <c r="BVE26" s="388"/>
      <c r="BVF26" s="388"/>
      <c r="BVG26" s="388"/>
      <c r="BVH26" s="388"/>
      <c r="BVI26" s="388"/>
      <c r="BVJ26" s="388"/>
      <c r="BVK26" s="388"/>
      <c r="BVL26" s="388"/>
      <c r="BVM26" s="388"/>
      <c r="BVN26" s="388"/>
      <c r="BVO26" s="388"/>
      <c r="BVP26" s="388"/>
      <c r="BVQ26" s="388"/>
      <c r="BVR26" s="388"/>
      <c r="BVS26" s="388"/>
      <c r="BVT26" s="388"/>
      <c r="BVU26" s="388"/>
      <c r="BVV26" s="388"/>
      <c r="BVW26" s="388"/>
      <c r="BVX26" s="388"/>
      <c r="BVY26" s="388"/>
      <c r="BVZ26" s="388"/>
      <c r="BWA26" s="388"/>
      <c r="BWB26" s="388"/>
      <c r="BWC26" s="388"/>
      <c r="BWD26" s="388"/>
      <c r="BWE26" s="388"/>
      <c r="BWF26" s="388"/>
      <c r="BWG26" s="388"/>
      <c r="BWH26" s="388"/>
      <c r="BWI26" s="388"/>
      <c r="BWJ26" s="388"/>
      <c r="BWK26" s="388"/>
      <c r="BWL26" s="388"/>
      <c r="BWM26" s="388"/>
      <c r="BWN26" s="388"/>
      <c r="BWO26" s="388"/>
      <c r="BWP26" s="388"/>
      <c r="BWQ26" s="388"/>
      <c r="BWR26" s="388"/>
      <c r="BWS26" s="388"/>
      <c r="BWT26" s="388"/>
      <c r="BWU26" s="388"/>
      <c r="BWV26" s="388"/>
      <c r="BWW26" s="388"/>
      <c r="BWX26" s="388"/>
      <c r="BWY26" s="388"/>
      <c r="BWZ26" s="388"/>
      <c r="BXA26" s="388"/>
      <c r="BXB26" s="388"/>
      <c r="BXC26" s="388"/>
      <c r="BXD26" s="388"/>
      <c r="BXE26" s="388"/>
      <c r="BXF26" s="388"/>
      <c r="BXG26" s="388"/>
      <c r="BXH26" s="388"/>
      <c r="BXI26" s="388"/>
      <c r="BXJ26" s="388"/>
      <c r="BXK26" s="388"/>
      <c r="BXL26" s="388"/>
      <c r="BXM26" s="388"/>
      <c r="BXN26" s="388"/>
      <c r="BXO26" s="388"/>
      <c r="BXP26" s="388"/>
      <c r="BXQ26" s="388"/>
      <c r="BXR26" s="388"/>
      <c r="BXS26" s="388"/>
      <c r="BXT26" s="388"/>
      <c r="BXU26" s="388"/>
      <c r="BXV26" s="388"/>
      <c r="BXW26" s="388"/>
      <c r="BXX26" s="388"/>
      <c r="BXY26" s="388"/>
      <c r="BXZ26" s="388"/>
      <c r="BYA26" s="388"/>
      <c r="BYB26" s="388"/>
      <c r="BYC26" s="388"/>
      <c r="BYD26" s="388"/>
      <c r="BYE26" s="388"/>
      <c r="BYF26" s="388"/>
      <c r="BYG26" s="388"/>
      <c r="BYH26" s="388"/>
      <c r="BYI26" s="388"/>
      <c r="BYJ26" s="388"/>
      <c r="BYK26" s="388"/>
      <c r="BYL26" s="388"/>
      <c r="BYM26" s="388"/>
      <c r="BYN26" s="388"/>
      <c r="BYO26" s="388"/>
      <c r="BYP26" s="388"/>
      <c r="BYQ26" s="388"/>
      <c r="BYR26" s="388"/>
      <c r="BYS26" s="388"/>
      <c r="BYT26" s="388"/>
      <c r="BYU26" s="388"/>
      <c r="BYV26" s="388"/>
      <c r="BYW26" s="388"/>
      <c r="BYX26" s="388"/>
      <c r="BYY26" s="388"/>
      <c r="BYZ26" s="388"/>
      <c r="BZA26" s="388"/>
      <c r="BZB26" s="388"/>
      <c r="BZC26" s="388"/>
      <c r="BZD26" s="388"/>
      <c r="BZE26" s="388"/>
      <c r="BZF26" s="388"/>
      <c r="BZG26" s="388"/>
      <c r="BZH26" s="388"/>
      <c r="BZI26" s="388"/>
      <c r="BZJ26" s="388"/>
      <c r="BZK26" s="388"/>
      <c r="BZL26" s="388"/>
      <c r="BZM26" s="388"/>
      <c r="BZN26" s="388"/>
      <c r="BZO26" s="388"/>
      <c r="BZP26" s="388"/>
      <c r="BZQ26" s="388"/>
      <c r="BZR26" s="388"/>
      <c r="BZS26" s="388"/>
      <c r="BZT26" s="388"/>
      <c r="BZU26" s="388"/>
      <c r="BZV26" s="388"/>
      <c r="BZW26" s="388"/>
      <c r="BZX26" s="388"/>
      <c r="BZY26" s="388"/>
      <c r="BZZ26" s="388"/>
      <c r="CAA26" s="388"/>
      <c r="CAB26" s="388"/>
      <c r="CAC26" s="388"/>
      <c r="CAD26" s="388"/>
      <c r="CAE26" s="388"/>
      <c r="CAF26" s="388"/>
      <c r="CAG26" s="388"/>
      <c r="CAH26" s="388"/>
      <c r="CAI26" s="388"/>
      <c r="CAJ26" s="388"/>
      <c r="CAK26" s="388"/>
      <c r="CAL26" s="388"/>
      <c r="CAM26" s="388"/>
      <c r="CAN26" s="388"/>
      <c r="CAO26" s="388"/>
      <c r="CAP26" s="388"/>
      <c r="CAQ26" s="388"/>
      <c r="CAR26" s="388"/>
      <c r="CAS26" s="388"/>
      <c r="CAT26" s="388"/>
      <c r="CAU26" s="388"/>
      <c r="CAV26" s="388"/>
      <c r="CAW26" s="388"/>
      <c r="CAX26" s="388"/>
      <c r="CAY26" s="388"/>
      <c r="CAZ26" s="388"/>
      <c r="CBA26" s="388"/>
      <c r="CBB26" s="388"/>
      <c r="CBC26" s="388"/>
      <c r="CBD26" s="388"/>
      <c r="CBE26" s="388"/>
      <c r="CBF26" s="388"/>
      <c r="CBG26" s="388"/>
      <c r="CBH26" s="388"/>
      <c r="CBI26" s="388"/>
      <c r="CBJ26" s="388"/>
      <c r="CBK26" s="388"/>
      <c r="CBL26" s="388"/>
      <c r="CBM26" s="388"/>
      <c r="CBN26" s="388"/>
      <c r="CBO26" s="388"/>
      <c r="CBP26" s="388"/>
      <c r="CBQ26" s="388"/>
      <c r="CBR26" s="388"/>
      <c r="CBS26" s="388"/>
      <c r="CBT26" s="388"/>
      <c r="CBU26" s="388"/>
      <c r="CBV26" s="388"/>
      <c r="CBW26" s="388"/>
      <c r="CBX26" s="388"/>
      <c r="CBY26" s="388"/>
      <c r="CBZ26" s="388"/>
      <c r="CCA26" s="388"/>
      <c r="CCB26" s="388"/>
      <c r="CCC26" s="388"/>
      <c r="CCD26" s="388"/>
      <c r="CCE26" s="388"/>
      <c r="CCF26" s="388"/>
      <c r="CCG26" s="388"/>
      <c r="CCH26" s="388"/>
      <c r="CCI26" s="388"/>
      <c r="CCJ26" s="388"/>
      <c r="CCK26" s="388"/>
      <c r="CCL26" s="388"/>
      <c r="CCM26" s="388"/>
      <c r="CCN26" s="388"/>
      <c r="CCO26" s="388"/>
      <c r="CCP26" s="388"/>
      <c r="CCQ26" s="388"/>
      <c r="CCR26" s="388"/>
      <c r="CCS26" s="388"/>
      <c r="CCT26" s="388"/>
      <c r="CCU26" s="388"/>
      <c r="CCV26" s="388"/>
      <c r="CCW26" s="388"/>
      <c r="CCX26" s="388"/>
      <c r="CCY26" s="388"/>
      <c r="CCZ26" s="388"/>
      <c r="CDA26" s="388"/>
      <c r="CDB26" s="388"/>
      <c r="CDC26" s="388"/>
      <c r="CDD26" s="388"/>
      <c r="CDE26" s="388"/>
      <c r="CDF26" s="388"/>
      <c r="CDG26" s="388"/>
      <c r="CDH26" s="388"/>
      <c r="CDI26" s="388"/>
      <c r="CDJ26" s="388"/>
      <c r="CDK26" s="388"/>
      <c r="CDL26" s="388"/>
      <c r="CDM26" s="388"/>
      <c r="CDN26" s="388"/>
      <c r="CDO26" s="388"/>
      <c r="CDP26" s="388"/>
      <c r="CDQ26" s="388"/>
      <c r="CDR26" s="388"/>
      <c r="CDS26" s="388"/>
      <c r="CDT26" s="388"/>
      <c r="CDU26" s="388"/>
      <c r="CDV26" s="388"/>
      <c r="CDW26" s="388"/>
      <c r="CDX26" s="388"/>
      <c r="CDY26" s="388"/>
      <c r="CDZ26" s="388"/>
      <c r="CEA26" s="388"/>
      <c r="CEB26" s="388"/>
      <c r="CEC26" s="388"/>
      <c r="CED26" s="388"/>
      <c r="CEE26" s="388"/>
      <c r="CEF26" s="388"/>
      <c r="CEG26" s="388"/>
      <c r="CEH26" s="388"/>
      <c r="CEI26" s="388"/>
      <c r="CEJ26" s="388"/>
      <c r="CEK26" s="388"/>
      <c r="CEL26" s="388"/>
      <c r="CEM26" s="388"/>
      <c r="CEN26" s="388"/>
      <c r="CEO26" s="388"/>
      <c r="CEP26" s="388"/>
      <c r="CEQ26" s="388"/>
      <c r="CER26" s="388"/>
      <c r="CES26" s="388"/>
      <c r="CET26" s="388"/>
      <c r="CEU26" s="388"/>
      <c r="CEV26" s="388"/>
      <c r="CEW26" s="388"/>
      <c r="CEX26" s="388"/>
      <c r="CEY26" s="388"/>
      <c r="CEZ26" s="388"/>
      <c r="CFA26" s="388"/>
      <c r="CFB26" s="388"/>
      <c r="CFC26" s="388"/>
      <c r="CFD26" s="388"/>
      <c r="CFE26" s="388"/>
      <c r="CFF26" s="388"/>
      <c r="CFG26" s="388"/>
      <c r="CFH26" s="388"/>
      <c r="CFI26" s="388"/>
      <c r="CFJ26" s="388"/>
      <c r="CFK26" s="388"/>
      <c r="CFL26" s="388"/>
      <c r="CFM26" s="388"/>
      <c r="CFN26" s="388"/>
      <c r="CFO26" s="388"/>
      <c r="CFP26" s="388"/>
      <c r="CFQ26" s="388"/>
      <c r="CFR26" s="388"/>
      <c r="CFS26" s="388"/>
      <c r="CFT26" s="388"/>
      <c r="CFU26" s="388"/>
      <c r="CFV26" s="388"/>
      <c r="CFW26" s="388"/>
      <c r="CFX26" s="388"/>
      <c r="CFY26" s="388"/>
      <c r="CFZ26" s="388"/>
      <c r="CGA26" s="388"/>
      <c r="CGB26" s="388"/>
      <c r="CGC26" s="388"/>
      <c r="CGD26" s="388"/>
      <c r="CGE26" s="388"/>
      <c r="CGF26" s="388"/>
      <c r="CGG26" s="388"/>
      <c r="CGH26" s="388"/>
      <c r="CGI26" s="388"/>
      <c r="CGJ26" s="388"/>
      <c r="CGK26" s="388"/>
      <c r="CGL26" s="388"/>
      <c r="CGM26" s="388"/>
      <c r="CGN26" s="388"/>
      <c r="CGO26" s="388"/>
      <c r="CGP26" s="388"/>
      <c r="CGQ26" s="388"/>
      <c r="CGR26" s="388"/>
      <c r="CGS26" s="388"/>
      <c r="CGT26" s="388"/>
      <c r="CGU26" s="388"/>
      <c r="CGV26" s="388"/>
      <c r="CGW26" s="388"/>
      <c r="CGX26" s="388"/>
      <c r="CGY26" s="388"/>
      <c r="CGZ26" s="388"/>
      <c r="CHA26" s="388"/>
      <c r="CHB26" s="388"/>
      <c r="CHC26" s="388"/>
      <c r="CHD26" s="388"/>
      <c r="CHE26" s="388"/>
      <c r="CHF26" s="388"/>
      <c r="CHG26" s="388"/>
      <c r="CHH26" s="388"/>
      <c r="CHI26" s="388"/>
      <c r="CHJ26" s="388"/>
      <c r="CHK26" s="388"/>
      <c r="CHL26" s="388"/>
      <c r="CHM26" s="388"/>
      <c r="CHN26" s="388"/>
      <c r="CHO26" s="388"/>
      <c r="CHP26" s="388"/>
      <c r="CHQ26" s="388"/>
      <c r="CHR26" s="388"/>
      <c r="CHS26" s="388"/>
      <c r="CHT26" s="388"/>
      <c r="CHU26" s="388"/>
      <c r="CHV26" s="388"/>
      <c r="CHW26" s="388"/>
      <c r="CHX26" s="388"/>
      <c r="CHY26" s="388"/>
      <c r="CHZ26" s="388"/>
      <c r="CIA26" s="388"/>
      <c r="CIB26" s="388"/>
      <c r="CIC26" s="388"/>
      <c r="CID26" s="388"/>
      <c r="CIE26" s="388"/>
      <c r="CIF26" s="388"/>
      <c r="CIG26" s="388"/>
      <c r="CIH26" s="388"/>
      <c r="CII26" s="388"/>
      <c r="CIJ26" s="388"/>
      <c r="CIK26" s="388"/>
      <c r="CIL26" s="388"/>
      <c r="CIM26" s="388"/>
      <c r="CIN26" s="388"/>
      <c r="CIO26" s="388"/>
      <c r="CIP26" s="388"/>
      <c r="CIQ26" s="388"/>
      <c r="CIR26" s="388"/>
      <c r="CIS26" s="388"/>
      <c r="CIT26" s="388"/>
      <c r="CIU26" s="388"/>
      <c r="CIV26" s="388"/>
      <c r="CIW26" s="388"/>
      <c r="CIX26" s="388"/>
      <c r="CIY26" s="388"/>
      <c r="CIZ26" s="388"/>
      <c r="CJA26" s="388"/>
      <c r="CJB26" s="388"/>
      <c r="CJC26" s="388"/>
      <c r="CJD26" s="388"/>
      <c r="CJE26" s="388"/>
      <c r="CJF26" s="388"/>
      <c r="CJG26" s="388"/>
      <c r="CJH26" s="388"/>
      <c r="CJI26" s="388"/>
      <c r="CJJ26" s="388"/>
      <c r="CJK26" s="388"/>
      <c r="CJL26" s="388"/>
      <c r="CJM26" s="388"/>
      <c r="CJN26" s="388"/>
      <c r="CJO26" s="388"/>
      <c r="CJP26" s="388"/>
      <c r="CJQ26" s="388"/>
      <c r="CJR26" s="388"/>
      <c r="CJS26" s="388"/>
      <c r="CJT26" s="388"/>
      <c r="CJU26" s="388"/>
      <c r="CJV26" s="388"/>
      <c r="CJW26" s="388"/>
      <c r="CJX26" s="388"/>
      <c r="CJY26" s="388"/>
      <c r="CJZ26" s="388"/>
      <c r="CKA26" s="388"/>
      <c r="CKB26" s="388"/>
      <c r="CKC26" s="388"/>
      <c r="CKD26" s="388"/>
      <c r="CKE26" s="388"/>
      <c r="CKF26" s="388"/>
      <c r="CKG26" s="388"/>
      <c r="CKH26" s="388"/>
      <c r="CKI26" s="388"/>
      <c r="CKJ26" s="388"/>
      <c r="CKK26" s="388"/>
      <c r="CKL26" s="388"/>
      <c r="CKM26" s="388"/>
      <c r="CKN26" s="388"/>
      <c r="CKO26" s="388"/>
      <c r="CKP26" s="388"/>
      <c r="CKQ26" s="388"/>
      <c r="CKR26" s="388"/>
      <c r="CKS26" s="388"/>
      <c r="CKT26" s="388"/>
      <c r="CKU26" s="388"/>
      <c r="CKV26" s="388"/>
      <c r="CKW26" s="388"/>
      <c r="CKX26" s="388"/>
      <c r="CKY26" s="388"/>
      <c r="CKZ26" s="388"/>
      <c r="CLA26" s="388"/>
      <c r="CLB26" s="388"/>
      <c r="CLC26" s="388"/>
      <c r="CLD26" s="388"/>
      <c r="CLE26" s="388"/>
      <c r="CLF26" s="388"/>
      <c r="CLG26" s="388"/>
      <c r="CLH26" s="388"/>
      <c r="CLI26" s="388"/>
      <c r="CLJ26" s="388"/>
      <c r="CLK26" s="388"/>
      <c r="CLL26" s="388"/>
      <c r="CLM26" s="388"/>
      <c r="CLN26" s="388"/>
      <c r="CLO26" s="388"/>
      <c r="CLP26" s="388"/>
      <c r="CLQ26" s="388"/>
      <c r="CLR26" s="388"/>
      <c r="CLS26" s="388"/>
      <c r="CLT26" s="388"/>
      <c r="CLU26" s="388"/>
      <c r="CLV26" s="388"/>
      <c r="CLW26" s="388"/>
      <c r="CLX26" s="388"/>
      <c r="CLY26" s="388"/>
      <c r="CLZ26" s="388"/>
      <c r="CMA26" s="388"/>
      <c r="CMB26" s="388"/>
      <c r="CMC26" s="388"/>
      <c r="CMD26" s="388"/>
      <c r="CME26" s="388"/>
      <c r="CMF26" s="388"/>
      <c r="CMG26" s="388"/>
      <c r="CMH26" s="388"/>
      <c r="CMI26" s="388"/>
      <c r="CMJ26" s="388"/>
      <c r="CMK26" s="388"/>
      <c r="CML26" s="388"/>
      <c r="CMM26" s="388"/>
      <c r="CMN26" s="388"/>
      <c r="CMO26" s="388"/>
      <c r="CMP26" s="388"/>
      <c r="CMQ26" s="388"/>
      <c r="CMR26" s="388"/>
      <c r="CMS26" s="388"/>
      <c r="CMT26" s="388"/>
      <c r="CMU26" s="388"/>
      <c r="CMV26" s="388"/>
      <c r="CMW26" s="388"/>
      <c r="CMX26" s="388"/>
      <c r="CMY26" s="388"/>
      <c r="CMZ26" s="388"/>
      <c r="CNA26" s="388"/>
      <c r="CNB26" s="388"/>
      <c r="CNC26" s="388"/>
      <c r="CND26" s="388"/>
      <c r="CNE26" s="388"/>
      <c r="CNF26" s="388"/>
      <c r="CNG26" s="388"/>
      <c r="CNH26" s="388"/>
      <c r="CNI26" s="388"/>
      <c r="CNJ26" s="388"/>
      <c r="CNK26" s="388"/>
      <c r="CNL26" s="388"/>
      <c r="CNM26" s="388"/>
      <c r="CNN26" s="388"/>
      <c r="CNO26" s="388"/>
      <c r="CNP26" s="388"/>
      <c r="CNQ26" s="388"/>
      <c r="CNR26" s="388"/>
      <c r="CNS26" s="388"/>
      <c r="CNT26" s="388"/>
      <c r="CNU26" s="388"/>
      <c r="CNV26" s="388"/>
      <c r="CNW26" s="388"/>
      <c r="CNX26" s="388"/>
      <c r="CNY26" s="388"/>
      <c r="CNZ26" s="388"/>
      <c r="COA26" s="388"/>
      <c r="COB26" s="388"/>
      <c r="COC26" s="388"/>
      <c r="COD26" s="388"/>
      <c r="COE26" s="388"/>
      <c r="COF26" s="388"/>
      <c r="COG26" s="388"/>
      <c r="COH26" s="388"/>
      <c r="COI26" s="388"/>
      <c r="COJ26" s="388"/>
      <c r="COK26" s="388"/>
      <c r="COL26" s="388"/>
      <c r="COM26" s="388"/>
      <c r="CON26" s="388"/>
      <c r="COO26" s="388"/>
      <c r="COP26" s="388"/>
      <c r="COQ26" s="388"/>
      <c r="COR26" s="388"/>
      <c r="COS26" s="388"/>
      <c r="COT26" s="388"/>
      <c r="COU26" s="388"/>
      <c r="COV26" s="388"/>
      <c r="COW26" s="388"/>
      <c r="COX26" s="388"/>
      <c r="COY26" s="388"/>
      <c r="COZ26" s="388"/>
      <c r="CPA26" s="388"/>
      <c r="CPB26" s="388"/>
      <c r="CPC26" s="388"/>
      <c r="CPD26" s="388"/>
      <c r="CPE26" s="388"/>
      <c r="CPF26" s="388"/>
      <c r="CPG26" s="388"/>
      <c r="CPH26" s="388"/>
      <c r="CPI26" s="388"/>
      <c r="CPJ26" s="388"/>
      <c r="CPK26" s="388"/>
      <c r="CPL26" s="388"/>
      <c r="CPM26" s="388"/>
      <c r="CPN26" s="388"/>
      <c r="CPO26" s="388"/>
      <c r="CPP26" s="388"/>
      <c r="CPQ26" s="388"/>
      <c r="CPR26" s="388"/>
      <c r="CPS26" s="388"/>
      <c r="CPT26" s="388"/>
      <c r="CPU26" s="388"/>
      <c r="CPV26" s="388"/>
      <c r="CPW26" s="388"/>
      <c r="CPX26" s="388"/>
      <c r="CPY26" s="388"/>
      <c r="CPZ26" s="388"/>
      <c r="CQA26" s="388"/>
      <c r="CQB26" s="388"/>
      <c r="CQC26" s="388"/>
      <c r="CQD26" s="388"/>
      <c r="CQE26" s="388"/>
      <c r="CQF26" s="388"/>
      <c r="CQG26" s="388"/>
      <c r="CQH26" s="388"/>
      <c r="CQI26" s="388"/>
      <c r="CQJ26" s="388"/>
      <c r="CQK26" s="388"/>
      <c r="CQL26" s="388"/>
      <c r="CQM26" s="388"/>
      <c r="CQN26" s="388"/>
      <c r="CQO26" s="388"/>
      <c r="CQP26" s="388"/>
      <c r="CQQ26" s="388"/>
      <c r="CQR26" s="388"/>
      <c r="CQS26" s="388"/>
      <c r="CQT26" s="388"/>
      <c r="CQU26" s="388"/>
      <c r="CQV26" s="388"/>
      <c r="CQW26" s="388"/>
      <c r="CQX26" s="388"/>
      <c r="CQY26" s="388"/>
      <c r="CQZ26" s="388"/>
      <c r="CRA26" s="388"/>
      <c r="CRB26" s="388"/>
      <c r="CRC26" s="388"/>
      <c r="CRD26" s="388"/>
      <c r="CRE26" s="388"/>
      <c r="CRF26" s="388"/>
      <c r="CRG26" s="388"/>
      <c r="CRH26" s="388"/>
      <c r="CRI26" s="388"/>
      <c r="CRJ26" s="388"/>
      <c r="CRK26" s="388"/>
      <c r="CRL26" s="388"/>
      <c r="CRM26" s="388"/>
      <c r="CRN26" s="388"/>
      <c r="CRO26" s="388"/>
      <c r="CRP26" s="388"/>
      <c r="CRQ26" s="388"/>
      <c r="CRR26" s="388"/>
      <c r="CRS26" s="388"/>
      <c r="CRT26" s="388"/>
      <c r="CRU26" s="388"/>
      <c r="CRV26" s="388"/>
      <c r="CRW26" s="388"/>
      <c r="CRX26" s="388"/>
      <c r="CRY26" s="388"/>
      <c r="CRZ26" s="388"/>
      <c r="CSA26" s="388"/>
      <c r="CSB26" s="388"/>
      <c r="CSC26" s="388"/>
      <c r="CSD26" s="388"/>
      <c r="CSE26" s="388"/>
      <c r="CSF26" s="388"/>
      <c r="CSG26" s="388"/>
      <c r="CSH26" s="388"/>
      <c r="CSI26" s="388"/>
      <c r="CSJ26" s="388"/>
      <c r="CSK26" s="388"/>
      <c r="CSL26" s="388"/>
      <c r="CSM26" s="388"/>
      <c r="CSN26" s="388"/>
      <c r="CSO26" s="388"/>
      <c r="CSP26" s="388"/>
      <c r="CSQ26" s="388"/>
      <c r="CSR26" s="388"/>
      <c r="CSS26" s="388"/>
      <c r="CST26" s="388"/>
      <c r="CSU26" s="388"/>
      <c r="CSV26" s="388"/>
      <c r="CSW26" s="388"/>
      <c r="CSX26" s="388"/>
      <c r="CSY26" s="388"/>
      <c r="CSZ26" s="388"/>
      <c r="CTA26" s="388"/>
      <c r="CTB26" s="388"/>
      <c r="CTC26" s="388"/>
      <c r="CTD26" s="388"/>
      <c r="CTE26" s="388"/>
      <c r="CTF26" s="388"/>
      <c r="CTG26" s="388"/>
      <c r="CTH26" s="388"/>
      <c r="CTI26" s="388"/>
      <c r="CTJ26" s="388"/>
      <c r="CTK26" s="388"/>
      <c r="CTL26" s="388"/>
      <c r="CTM26" s="388"/>
      <c r="CTN26" s="388"/>
      <c r="CTO26" s="388"/>
      <c r="CTP26" s="388"/>
      <c r="CTQ26" s="388"/>
      <c r="CTR26" s="388"/>
      <c r="CTS26" s="388"/>
      <c r="CTT26" s="388"/>
      <c r="CTU26" s="388"/>
      <c r="CTV26" s="388"/>
      <c r="CTW26" s="388"/>
      <c r="CTX26" s="388"/>
      <c r="CTY26" s="388"/>
      <c r="CTZ26" s="388"/>
      <c r="CUA26" s="388"/>
      <c r="CUB26" s="388"/>
      <c r="CUC26" s="388"/>
      <c r="CUD26" s="388"/>
      <c r="CUE26" s="388"/>
      <c r="CUF26" s="388"/>
      <c r="CUG26" s="388"/>
      <c r="CUH26" s="388"/>
      <c r="CUI26" s="388"/>
      <c r="CUJ26" s="388"/>
      <c r="CUK26" s="388"/>
      <c r="CUL26" s="388"/>
      <c r="CUM26" s="388"/>
      <c r="CUN26" s="388"/>
      <c r="CUO26" s="388"/>
      <c r="CUP26" s="388"/>
      <c r="CUQ26" s="388"/>
      <c r="CUR26" s="388"/>
      <c r="CUS26" s="388"/>
      <c r="CUT26" s="388"/>
      <c r="CUU26" s="388"/>
      <c r="CUV26" s="388"/>
      <c r="CUW26" s="388"/>
      <c r="CUX26" s="388"/>
      <c r="CUY26" s="388"/>
      <c r="CUZ26" s="388"/>
      <c r="CVA26" s="388"/>
      <c r="CVB26" s="388"/>
      <c r="CVC26" s="388"/>
      <c r="CVD26" s="388"/>
      <c r="CVE26" s="388"/>
      <c r="CVF26" s="388"/>
      <c r="CVG26" s="388"/>
      <c r="CVH26" s="388"/>
      <c r="CVI26" s="388"/>
      <c r="CVJ26" s="388"/>
      <c r="CVK26" s="388"/>
      <c r="CVL26" s="388"/>
      <c r="CVM26" s="388"/>
      <c r="CVN26" s="388"/>
      <c r="CVO26" s="388"/>
      <c r="CVP26" s="388"/>
      <c r="CVQ26" s="388"/>
      <c r="CVR26" s="388"/>
      <c r="CVS26" s="388"/>
      <c r="CVT26" s="388"/>
      <c r="CVU26" s="388"/>
      <c r="CVV26" s="388"/>
      <c r="CVW26" s="388"/>
      <c r="CVX26" s="388"/>
      <c r="CVY26" s="388"/>
      <c r="CVZ26" s="388"/>
      <c r="CWA26" s="388"/>
      <c r="CWB26" s="388"/>
      <c r="CWC26" s="388"/>
      <c r="CWD26" s="388"/>
      <c r="CWE26" s="388"/>
      <c r="CWF26" s="388"/>
      <c r="CWG26" s="388"/>
      <c r="CWH26" s="388"/>
      <c r="CWI26" s="388"/>
      <c r="CWJ26" s="388"/>
      <c r="CWK26" s="388"/>
      <c r="CWL26" s="388"/>
      <c r="CWM26" s="388"/>
      <c r="CWN26" s="388"/>
      <c r="CWO26" s="388"/>
      <c r="CWP26" s="388"/>
      <c r="CWQ26" s="388"/>
      <c r="CWR26" s="388"/>
      <c r="CWS26" s="388"/>
      <c r="CWT26" s="388"/>
      <c r="CWU26" s="388"/>
      <c r="CWV26" s="388"/>
      <c r="CWW26" s="388"/>
      <c r="CWX26" s="388"/>
      <c r="CWY26" s="388"/>
      <c r="CWZ26" s="388"/>
      <c r="CXA26" s="388"/>
      <c r="CXB26" s="388"/>
      <c r="CXC26" s="388"/>
      <c r="CXD26" s="388"/>
      <c r="CXE26" s="388"/>
      <c r="CXF26" s="388"/>
      <c r="CXG26" s="388"/>
      <c r="CXH26" s="388"/>
      <c r="CXI26" s="388"/>
      <c r="CXJ26" s="388"/>
      <c r="CXK26" s="388"/>
      <c r="CXL26" s="388"/>
      <c r="CXM26" s="388"/>
      <c r="CXN26" s="388"/>
      <c r="CXO26" s="388"/>
      <c r="CXP26" s="388"/>
      <c r="CXQ26" s="388"/>
      <c r="CXR26" s="388"/>
      <c r="CXS26" s="388"/>
      <c r="CXT26" s="388"/>
      <c r="CXU26" s="388"/>
      <c r="CXV26" s="388"/>
      <c r="CXW26" s="388"/>
      <c r="CXX26" s="388"/>
      <c r="CXY26" s="388"/>
      <c r="CXZ26" s="388"/>
      <c r="CYA26" s="388"/>
      <c r="CYB26" s="388"/>
      <c r="CYC26" s="388"/>
      <c r="CYD26" s="388"/>
      <c r="CYE26" s="388"/>
      <c r="CYF26" s="388"/>
      <c r="CYG26" s="388"/>
      <c r="CYH26" s="388"/>
      <c r="CYI26" s="388"/>
      <c r="CYJ26" s="388"/>
      <c r="CYK26" s="388"/>
      <c r="CYL26" s="388"/>
      <c r="CYM26" s="388"/>
      <c r="CYN26" s="388"/>
      <c r="CYO26" s="388"/>
      <c r="CYP26" s="388"/>
      <c r="CYQ26" s="388"/>
      <c r="CYR26" s="388"/>
      <c r="CYS26" s="388"/>
      <c r="CYT26" s="388"/>
      <c r="CYU26" s="388"/>
      <c r="CYV26" s="388"/>
      <c r="CYW26" s="388"/>
      <c r="CYX26" s="388"/>
      <c r="CYY26" s="388"/>
      <c r="CYZ26" s="388"/>
      <c r="CZA26" s="388"/>
      <c r="CZB26" s="388"/>
      <c r="CZC26" s="388"/>
      <c r="CZD26" s="388"/>
      <c r="CZE26" s="388"/>
      <c r="CZF26" s="388"/>
      <c r="CZG26" s="388"/>
      <c r="CZH26" s="388"/>
      <c r="CZI26" s="388"/>
      <c r="CZJ26" s="388"/>
      <c r="CZK26" s="388"/>
      <c r="CZL26" s="388"/>
      <c r="CZM26" s="388"/>
      <c r="CZN26" s="388"/>
      <c r="CZO26" s="388"/>
      <c r="CZP26" s="388"/>
      <c r="CZQ26" s="388"/>
      <c r="CZR26" s="388"/>
      <c r="CZS26" s="388"/>
      <c r="CZT26" s="388"/>
      <c r="CZU26" s="388"/>
      <c r="CZV26" s="388"/>
      <c r="CZW26" s="388"/>
      <c r="CZX26" s="388"/>
      <c r="CZY26" s="388"/>
      <c r="CZZ26" s="388"/>
      <c r="DAA26" s="388"/>
      <c r="DAB26" s="388"/>
      <c r="DAC26" s="388"/>
      <c r="DAD26" s="388"/>
      <c r="DAE26" s="388"/>
      <c r="DAF26" s="388"/>
      <c r="DAG26" s="388"/>
      <c r="DAH26" s="388"/>
      <c r="DAI26" s="388"/>
      <c r="DAJ26" s="388"/>
      <c r="DAK26" s="388"/>
      <c r="DAL26" s="388"/>
      <c r="DAM26" s="388"/>
      <c r="DAN26" s="388"/>
      <c r="DAO26" s="388"/>
      <c r="DAP26" s="388"/>
      <c r="DAQ26" s="388"/>
      <c r="DAR26" s="388"/>
      <c r="DAS26" s="388"/>
      <c r="DAT26" s="388"/>
      <c r="DAU26" s="388"/>
      <c r="DAV26" s="388"/>
      <c r="DAW26" s="388"/>
      <c r="DAX26" s="388"/>
      <c r="DAY26" s="388"/>
      <c r="DAZ26" s="388"/>
      <c r="DBA26" s="388"/>
      <c r="DBB26" s="388"/>
      <c r="DBC26" s="388"/>
      <c r="DBD26" s="388"/>
      <c r="DBE26" s="388"/>
      <c r="DBF26" s="388"/>
      <c r="DBG26" s="388"/>
      <c r="DBH26" s="388"/>
      <c r="DBI26" s="388"/>
      <c r="DBJ26" s="388"/>
      <c r="DBK26" s="388"/>
      <c r="DBL26" s="388"/>
      <c r="DBM26" s="388"/>
      <c r="DBN26" s="388"/>
      <c r="DBO26" s="388"/>
      <c r="DBP26" s="388"/>
      <c r="DBQ26" s="388"/>
      <c r="DBR26" s="388"/>
      <c r="DBS26" s="388"/>
      <c r="DBT26" s="388"/>
      <c r="DBU26" s="388"/>
      <c r="DBV26" s="388"/>
      <c r="DBW26" s="388"/>
      <c r="DBX26" s="388"/>
      <c r="DBY26" s="388"/>
      <c r="DBZ26" s="388"/>
      <c r="DCA26" s="388"/>
      <c r="DCB26" s="388"/>
      <c r="DCC26" s="388"/>
      <c r="DCD26" s="388"/>
      <c r="DCE26" s="388"/>
      <c r="DCF26" s="388"/>
      <c r="DCG26" s="388"/>
      <c r="DCH26" s="388"/>
      <c r="DCI26" s="388"/>
      <c r="DCJ26" s="388"/>
      <c r="DCK26" s="388"/>
      <c r="DCL26" s="388"/>
      <c r="DCM26" s="388"/>
      <c r="DCN26" s="388"/>
      <c r="DCO26" s="388"/>
      <c r="DCP26" s="388"/>
      <c r="DCQ26" s="388"/>
      <c r="DCR26" s="388"/>
      <c r="DCS26" s="388"/>
      <c r="DCT26" s="388"/>
      <c r="DCU26" s="388"/>
      <c r="DCV26" s="388"/>
      <c r="DCW26" s="388"/>
      <c r="DCX26" s="388"/>
      <c r="DCY26" s="388"/>
      <c r="DCZ26" s="388"/>
      <c r="DDA26" s="388"/>
      <c r="DDB26" s="388"/>
      <c r="DDC26" s="388"/>
      <c r="DDD26" s="388"/>
      <c r="DDE26" s="388"/>
      <c r="DDF26" s="388"/>
      <c r="DDG26" s="388"/>
      <c r="DDH26" s="388"/>
      <c r="DDI26" s="388"/>
      <c r="DDJ26" s="388"/>
      <c r="DDK26" s="388"/>
      <c r="DDL26" s="388"/>
      <c r="DDM26" s="388"/>
      <c r="DDN26" s="388"/>
      <c r="DDO26" s="388"/>
      <c r="DDP26" s="388"/>
      <c r="DDQ26" s="388"/>
      <c r="DDR26" s="388"/>
      <c r="DDS26" s="388"/>
      <c r="DDT26" s="388"/>
      <c r="DDU26" s="388"/>
      <c r="DDV26" s="388"/>
      <c r="DDW26" s="388"/>
      <c r="DDX26" s="388"/>
      <c r="DDY26" s="388"/>
      <c r="DDZ26" s="388"/>
      <c r="DEA26" s="388"/>
      <c r="DEB26" s="388"/>
      <c r="DEC26" s="388"/>
      <c r="DED26" s="388"/>
      <c r="DEE26" s="388"/>
      <c r="DEF26" s="388"/>
      <c r="DEG26" s="388"/>
      <c r="DEH26" s="388"/>
      <c r="DEI26" s="388"/>
      <c r="DEJ26" s="388"/>
      <c r="DEK26" s="388"/>
      <c r="DEL26" s="388"/>
      <c r="DEM26" s="388"/>
      <c r="DEN26" s="388"/>
      <c r="DEO26" s="388"/>
      <c r="DEP26" s="388"/>
      <c r="DEQ26" s="388"/>
      <c r="DER26" s="388"/>
      <c r="DES26" s="388"/>
      <c r="DET26" s="388"/>
      <c r="DEU26" s="388"/>
      <c r="DEV26" s="388"/>
      <c r="DEW26" s="388"/>
      <c r="DEX26" s="388"/>
      <c r="DEY26" s="388"/>
      <c r="DEZ26" s="388"/>
      <c r="DFA26" s="388"/>
      <c r="DFB26" s="388"/>
      <c r="DFC26" s="388"/>
      <c r="DFD26" s="388"/>
      <c r="DFE26" s="388"/>
      <c r="DFF26" s="388"/>
      <c r="DFG26" s="388"/>
      <c r="DFH26" s="388"/>
      <c r="DFI26" s="388"/>
      <c r="DFJ26" s="388"/>
      <c r="DFK26" s="388"/>
      <c r="DFL26" s="388"/>
      <c r="DFM26" s="388"/>
      <c r="DFN26" s="388"/>
      <c r="DFO26" s="388"/>
      <c r="DFP26" s="388"/>
      <c r="DFQ26" s="388"/>
      <c r="DFR26" s="388"/>
      <c r="DFS26" s="388"/>
      <c r="DFT26" s="388"/>
      <c r="DFU26" s="388"/>
      <c r="DFV26" s="388"/>
      <c r="DFW26" s="388"/>
      <c r="DFX26" s="388"/>
      <c r="DFY26" s="388"/>
      <c r="DFZ26" s="388"/>
      <c r="DGA26" s="388"/>
      <c r="DGB26" s="388"/>
      <c r="DGC26" s="388"/>
      <c r="DGD26" s="388"/>
      <c r="DGE26" s="388"/>
      <c r="DGF26" s="388"/>
      <c r="DGG26" s="388"/>
      <c r="DGH26" s="388"/>
      <c r="DGI26" s="388"/>
      <c r="DGJ26" s="388"/>
      <c r="DGK26" s="388"/>
      <c r="DGL26" s="388"/>
      <c r="DGM26" s="388"/>
      <c r="DGN26" s="388"/>
      <c r="DGO26" s="388"/>
      <c r="DGP26" s="388"/>
      <c r="DGQ26" s="388"/>
      <c r="DGR26" s="388"/>
      <c r="DGS26" s="388"/>
      <c r="DGT26" s="388"/>
      <c r="DGU26" s="388"/>
      <c r="DGV26" s="388"/>
      <c r="DGW26" s="388"/>
      <c r="DGX26" s="388"/>
      <c r="DGY26" s="388"/>
      <c r="DGZ26" s="388"/>
      <c r="DHA26" s="388"/>
      <c r="DHB26" s="388"/>
      <c r="DHC26" s="388"/>
      <c r="DHD26" s="388"/>
      <c r="DHE26" s="388"/>
      <c r="DHF26" s="388"/>
      <c r="DHG26" s="388"/>
      <c r="DHH26" s="388"/>
      <c r="DHI26" s="388"/>
      <c r="DHJ26" s="388"/>
      <c r="DHK26" s="388"/>
      <c r="DHL26" s="388"/>
      <c r="DHM26" s="388"/>
      <c r="DHN26" s="388"/>
      <c r="DHO26" s="388"/>
      <c r="DHP26" s="388"/>
      <c r="DHQ26" s="388"/>
      <c r="DHR26" s="388"/>
      <c r="DHS26" s="388"/>
      <c r="DHT26" s="388"/>
      <c r="DHU26" s="388"/>
      <c r="DHV26" s="388"/>
      <c r="DHW26" s="388"/>
      <c r="DHX26" s="388"/>
      <c r="DHY26" s="388"/>
      <c r="DHZ26" s="388"/>
      <c r="DIA26" s="388"/>
      <c r="DIB26" s="388"/>
      <c r="DIC26" s="388"/>
      <c r="DID26" s="388"/>
      <c r="DIE26" s="388"/>
      <c r="DIF26" s="388"/>
      <c r="DIG26" s="388"/>
      <c r="DIH26" s="388"/>
      <c r="DII26" s="388"/>
      <c r="DIJ26" s="388"/>
      <c r="DIK26" s="388"/>
      <c r="DIL26" s="388"/>
      <c r="DIM26" s="388"/>
      <c r="DIN26" s="388"/>
      <c r="DIO26" s="388"/>
      <c r="DIP26" s="388"/>
      <c r="DIQ26" s="388"/>
      <c r="DIR26" s="388"/>
      <c r="DIS26" s="388"/>
      <c r="DIT26" s="388"/>
      <c r="DIU26" s="388"/>
      <c r="DIV26" s="388"/>
      <c r="DIW26" s="388"/>
      <c r="DIX26" s="388"/>
      <c r="DIY26" s="388"/>
      <c r="DIZ26" s="388"/>
      <c r="DJA26" s="388"/>
      <c r="DJB26" s="388"/>
      <c r="DJC26" s="388"/>
      <c r="DJD26" s="388"/>
      <c r="DJE26" s="388"/>
      <c r="DJF26" s="388"/>
      <c r="DJG26" s="388"/>
      <c r="DJH26" s="388"/>
      <c r="DJI26" s="388"/>
      <c r="DJJ26" s="388"/>
      <c r="DJK26" s="388"/>
      <c r="DJL26" s="388"/>
      <c r="DJM26" s="388"/>
      <c r="DJN26" s="388"/>
      <c r="DJO26" s="388"/>
      <c r="DJP26" s="388"/>
      <c r="DJQ26" s="388"/>
      <c r="DJR26" s="388"/>
      <c r="DJS26" s="388"/>
      <c r="DJT26" s="388"/>
      <c r="DJU26" s="388"/>
      <c r="DJV26" s="388"/>
      <c r="DJW26" s="388"/>
      <c r="DJX26" s="388"/>
      <c r="DJY26" s="388"/>
      <c r="DJZ26" s="388"/>
      <c r="DKA26" s="388"/>
      <c r="DKB26" s="388"/>
      <c r="DKC26" s="388"/>
      <c r="DKD26" s="388"/>
      <c r="DKE26" s="388"/>
      <c r="DKF26" s="388"/>
      <c r="DKG26" s="388"/>
      <c r="DKH26" s="388"/>
      <c r="DKI26" s="388"/>
      <c r="DKJ26" s="388"/>
      <c r="DKK26" s="388"/>
      <c r="DKL26" s="388"/>
      <c r="DKM26" s="388"/>
      <c r="DKN26" s="388"/>
      <c r="DKO26" s="388"/>
      <c r="DKP26" s="388"/>
      <c r="DKQ26" s="388"/>
      <c r="DKR26" s="388"/>
      <c r="DKS26" s="388"/>
      <c r="DKT26" s="388"/>
      <c r="DKU26" s="388"/>
      <c r="DKV26" s="388"/>
      <c r="DKW26" s="388"/>
      <c r="DKX26" s="388"/>
      <c r="DKY26" s="388"/>
      <c r="DKZ26" s="388"/>
      <c r="DLA26" s="388"/>
      <c r="DLB26" s="388"/>
      <c r="DLC26" s="388"/>
      <c r="DLD26" s="388"/>
      <c r="DLE26" s="388"/>
      <c r="DLF26" s="388"/>
      <c r="DLG26" s="388"/>
      <c r="DLH26" s="388"/>
      <c r="DLI26" s="388"/>
      <c r="DLJ26" s="388"/>
      <c r="DLK26" s="388"/>
      <c r="DLL26" s="388"/>
      <c r="DLM26" s="388"/>
      <c r="DLN26" s="388"/>
      <c r="DLO26" s="388"/>
      <c r="DLP26" s="388"/>
      <c r="DLQ26" s="388"/>
      <c r="DLR26" s="388"/>
      <c r="DLS26" s="388"/>
      <c r="DLT26" s="388"/>
      <c r="DLU26" s="388"/>
      <c r="DLV26" s="388"/>
      <c r="DLW26" s="388"/>
      <c r="DLX26" s="388"/>
      <c r="DLY26" s="388"/>
      <c r="DLZ26" s="388"/>
      <c r="DMA26" s="388"/>
      <c r="DMB26" s="388"/>
      <c r="DMC26" s="388"/>
      <c r="DMD26" s="388"/>
      <c r="DME26" s="388"/>
      <c r="DMF26" s="388"/>
      <c r="DMG26" s="388"/>
      <c r="DMH26" s="388"/>
      <c r="DMI26" s="388"/>
      <c r="DMJ26" s="388"/>
      <c r="DMK26" s="388"/>
      <c r="DML26" s="388"/>
      <c r="DMM26" s="388"/>
      <c r="DMN26" s="388"/>
      <c r="DMO26" s="388"/>
      <c r="DMP26" s="388"/>
      <c r="DMQ26" s="388"/>
      <c r="DMR26" s="388"/>
      <c r="DMS26" s="388"/>
      <c r="DMT26" s="388"/>
      <c r="DMU26" s="388"/>
      <c r="DMV26" s="388"/>
      <c r="DMW26" s="388"/>
      <c r="DMX26" s="388"/>
      <c r="DMY26" s="388"/>
      <c r="DMZ26" s="388"/>
      <c r="DNA26" s="388"/>
      <c r="DNB26" s="388"/>
      <c r="DNC26" s="388"/>
      <c r="DND26" s="388"/>
      <c r="DNE26" s="388"/>
      <c r="DNF26" s="388"/>
      <c r="DNG26" s="388"/>
      <c r="DNH26" s="388"/>
      <c r="DNI26" s="388"/>
      <c r="DNJ26" s="388"/>
      <c r="DNK26" s="388"/>
      <c r="DNL26" s="388"/>
      <c r="DNM26" s="388"/>
      <c r="DNN26" s="388"/>
      <c r="DNO26" s="388"/>
      <c r="DNP26" s="388"/>
      <c r="DNQ26" s="388"/>
      <c r="DNR26" s="388"/>
      <c r="DNS26" s="388"/>
      <c r="DNT26" s="388"/>
      <c r="DNU26" s="388"/>
      <c r="DNV26" s="388"/>
      <c r="DNW26" s="388"/>
      <c r="DNX26" s="388"/>
      <c r="DNY26" s="388"/>
      <c r="DNZ26" s="388"/>
      <c r="DOA26" s="388"/>
      <c r="DOB26" s="388"/>
      <c r="DOC26" s="388"/>
      <c r="DOD26" s="388"/>
      <c r="DOE26" s="388"/>
      <c r="DOF26" s="388"/>
      <c r="DOG26" s="388"/>
      <c r="DOH26" s="388"/>
      <c r="DOI26" s="388"/>
      <c r="DOJ26" s="388"/>
      <c r="DOK26" s="388"/>
      <c r="DOL26" s="388"/>
      <c r="DOM26" s="388"/>
      <c r="DON26" s="388"/>
      <c r="DOO26" s="388"/>
      <c r="DOP26" s="388"/>
      <c r="DOQ26" s="388"/>
      <c r="DOR26" s="388"/>
      <c r="DOS26" s="388"/>
      <c r="DOT26" s="388"/>
      <c r="DOU26" s="388"/>
      <c r="DOV26" s="388"/>
      <c r="DOW26" s="388"/>
      <c r="DOX26" s="388"/>
      <c r="DOY26" s="388"/>
      <c r="DOZ26" s="388"/>
      <c r="DPA26" s="388"/>
      <c r="DPB26" s="388"/>
      <c r="DPC26" s="388"/>
      <c r="DPD26" s="388"/>
      <c r="DPE26" s="388"/>
      <c r="DPF26" s="388"/>
      <c r="DPG26" s="388"/>
      <c r="DPH26" s="388"/>
      <c r="DPI26" s="388"/>
      <c r="DPJ26" s="388"/>
      <c r="DPK26" s="388"/>
      <c r="DPL26" s="388"/>
      <c r="DPM26" s="388"/>
      <c r="DPN26" s="388"/>
      <c r="DPO26" s="388"/>
      <c r="DPP26" s="388"/>
      <c r="DPQ26" s="388"/>
      <c r="DPR26" s="388"/>
      <c r="DPS26" s="388"/>
      <c r="DPT26" s="388"/>
      <c r="DPU26" s="388"/>
      <c r="DPV26" s="388"/>
      <c r="DPW26" s="388"/>
      <c r="DPX26" s="388"/>
      <c r="DPY26" s="388"/>
      <c r="DPZ26" s="388"/>
      <c r="DQA26" s="388"/>
      <c r="DQB26" s="388"/>
      <c r="DQC26" s="388"/>
      <c r="DQD26" s="388"/>
      <c r="DQE26" s="388"/>
      <c r="DQF26" s="388"/>
      <c r="DQG26" s="388"/>
      <c r="DQH26" s="388"/>
      <c r="DQI26" s="388"/>
      <c r="DQJ26" s="388"/>
      <c r="DQK26" s="388"/>
      <c r="DQL26" s="388"/>
      <c r="DQM26" s="388"/>
      <c r="DQN26" s="388"/>
      <c r="DQO26" s="388"/>
      <c r="DQP26" s="388"/>
      <c r="DQQ26" s="388"/>
      <c r="DQR26" s="388"/>
      <c r="DQS26" s="388"/>
      <c r="DQT26" s="388"/>
      <c r="DQU26" s="388"/>
      <c r="DQV26" s="388"/>
      <c r="DQW26" s="388"/>
      <c r="DQX26" s="388"/>
      <c r="DQY26" s="388"/>
      <c r="DQZ26" s="388"/>
      <c r="DRA26" s="388"/>
      <c r="DRB26" s="388"/>
      <c r="DRC26" s="388"/>
      <c r="DRD26" s="388"/>
      <c r="DRE26" s="388"/>
      <c r="DRF26" s="388"/>
      <c r="DRG26" s="388"/>
      <c r="DRH26" s="388"/>
      <c r="DRI26" s="388"/>
      <c r="DRJ26" s="388"/>
      <c r="DRK26" s="388"/>
      <c r="DRL26" s="388"/>
      <c r="DRM26" s="388"/>
      <c r="DRN26" s="388"/>
      <c r="DRO26" s="388"/>
      <c r="DRP26" s="388"/>
      <c r="DRQ26" s="388"/>
      <c r="DRR26" s="388"/>
      <c r="DRS26" s="388"/>
      <c r="DRT26" s="388"/>
      <c r="DRU26" s="388"/>
      <c r="DRV26" s="388"/>
      <c r="DRW26" s="388"/>
      <c r="DRX26" s="388"/>
      <c r="DRY26" s="388"/>
      <c r="DRZ26" s="388"/>
      <c r="DSA26" s="388"/>
      <c r="DSB26" s="388"/>
      <c r="DSC26" s="388"/>
      <c r="DSD26" s="388"/>
      <c r="DSE26" s="388"/>
      <c r="DSF26" s="388"/>
      <c r="DSG26" s="388"/>
      <c r="DSH26" s="388"/>
      <c r="DSI26" s="388"/>
      <c r="DSJ26" s="388"/>
      <c r="DSK26" s="388"/>
      <c r="DSL26" s="388"/>
      <c r="DSM26" s="388"/>
      <c r="DSN26" s="388"/>
      <c r="DSO26" s="388"/>
      <c r="DSP26" s="388"/>
      <c r="DSQ26" s="388"/>
      <c r="DSR26" s="388"/>
      <c r="DSS26" s="388"/>
      <c r="DST26" s="388"/>
      <c r="DSU26" s="388"/>
      <c r="DSV26" s="388"/>
      <c r="DSW26" s="388"/>
      <c r="DSX26" s="388"/>
      <c r="DSY26" s="388"/>
      <c r="DSZ26" s="388"/>
      <c r="DTA26" s="388"/>
      <c r="DTB26" s="388"/>
      <c r="DTC26" s="388"/>
      <c r="DTD26" s="388"/>
      <c r="DTE26" s="388"/>
      <c r="DTF26" s="388"/>
      <c r="DTG26" s="388"/>
      <c r="DTH26" s="388"/>
      <c r="DTI26" s="388"/>
      <c r="DTJ26" s="388"/>
      <c r="DTK26" s="388"/>
      <c r="DTL26" s="388"/>
      <c r="DTM26" s="388"/>
      <c r="DTN26" s="388"/>
      <c r="DTO26" s="388"/>
      <c r="DTP26" s="388"/>
      <c r="DTQ26" s="388"/>
      <c r="DTR26" s="388"/>
      <c r="DTS26" s="388"/>
      <c r="DTT26" s="388"/>
      <c r="DTU26" s="388"/>
      <c r="DTV26" s="388"/>
      <c r="DTW26" s="388"/>
      <c r="DTX26" s="388"/>
      <c r="DTY26" s="388"/>
      <c r="DTZ26" s="388"/>
      <c r="DUA26" s="388"/>
      <c r="DUB26" s="388"/>
      <c r="DUC26" s="388"/>
      <c r="DUD26" s="388"/>
      <c r="DUE26" s="388"/>
      <c r="DUF26" s="388"/>
      <c r="DUG26" s="388"/>
      <c r="DUH26" s="388"/>
      <c r="DUI26" s="388"/>
      <c r="DUJ26" s="388"/>
      <c r="DUK26" s="388"/>
      <c r="DUL26" s="388"/>
      <c r="DUM26" s="388"/>
      <c r="DUN26" s="388"/>
      <c r="DUO26" s="388"/>
      <c r="DUP26" s="388"/>
      <c r="DUQ26" s="388"/>
      <c r="DUR26" s="388"/>
      <c r="DUS26" s="388"/>
      <c r="DUT26" s="388"/>
      <c r="DUU26" s="388"/>
      <c r="DUV26" s="388"/>
      <c r="DUW26" s="388"/>
      <c r="DUX26" s="388"/>
      <c r="DUY26" s="388"/>
      <c r="DUZ26" s="388"/>
      <c r="DVA26" s="388"/>
      <c r="DVB26" s="388"/>
      <c r="DVC26" s="388"/>
      <c r="DVD26" s="388"/>
      <c r="DVE26" s="388"/>
      <c r="DVF26" s="388"/>
      <c r="DVG26" s="388"/>
      <c r="DVH26" s="388"/>
      <c r="DVI26" s="388"/>
      <c r="DVJ26" s="388"/>
      <c r="DVK26" s="388"/>
      <c r="DVL26" s="388"/>
      <c r="DVM26" s="388"/>
      <c r="DVN26" s="388"/>
      <c r="DVO26" s="388"/>
      <c r="DVP26" s="388"/>
      <c r="DVQ26" s="388"/>
      <c r="DVR26" s="388"/>
      <c r="DVS26" s="388"/>
      <c r="DVT26" s="388"/>
      <c r="DVU26" s="388"/>
      <c r="DVV26" s="388"/>
      <c r="DVW26" s="388"/>
      <c r="DVX26" s="388"/>
      <c r="DVY26" s="388"/>
      <c r="DVZ26" s="388"/>
      <c r="DWA26" s="388"/>
      <c r="DWB26" s="388"/>
      <c r="DWC26" s="388"/>
      <c r="DWD26" s="388"/>
      <c r="DWE26" s="388"/>
      <c r="DWF26" s="388"/>
      <c r="DWG26" s="388"/>
      <c r="DWH26" s="388"/>
      <c r="DWI26" s="388"/>
      <c r="DWJ26" s="388"/>
      <c r="DWK26" s="388"/>
      <c r="DWL26" s="388"/>
      <c r="DWM26" s="388"/>
      <c r="DWN26" s="388"/>
      <c r="DWO26" s="388"/>
      <c r="DWP26" s="388"/>
      <c r="DWQ26" s="388"/>
      <c r="DWR26" s="388"/>
      <c r="DWS26" s="388"/>
      <c r="DWT26" s="388"/>
      <c r="DWU26" s="388"/>
      <c r="DWV26" s="388"/>
      <c r="DWW26" s="388"/>
      <c r="DWX26" s="388"/>
      <c r="DWY26" s="388"/>
      <c r="DWZ26" s="388"/>
      <c r="DXA26" s="388"/>
      <c r="DXB26" s="388"/>
      <c r="DXC26" s="388"/>
      <c r="DXD26" s="388"/>
      <c r="DXE26" s="388"/>
      <c r="DXF26" s="388"/>
      <c r="DXG26" s="388"/>
      <c r="DXH26" s="388"/>
      <c r="DXI26" s="388"/>
      <c r="DXJ26" s="388"/>
      <c r="DXK26" s="388"/>
      <c r="DXL26" s="388"/>
      <c r="DXM26" s="388"/>
      <c r="DXN26" s="388"/>
      <c r="DXO26" s="388"/>
      <c r="DXP26" s="388"/>
      <c r="DXQ26" s="388"/>
      <c r="DXR26" s="388"/>
      <c r="DXS26" s="388"/>
      <c r="DXT26" s="388"/>
      <c r="DXU26" s="388"/>
      <c r="DXV26" s="388"/>
      <c r="DXW26" s="388"/>
      <c r="DXX26" s="388"/>
      <c r="DXY26" s="388"/>
      <c r="DXZ26" s="388"/>
      <c r="DYA26" s="388"/>
      <c r="DYB26" s="388"/>
      <c r="DYC26" s="388"/>
      <c r="DYD26" s="388"/>
      <c r="DYE26" s="388"/>
      <c r="DYF26" s="388"/>
      <c r="DYG26" s="388"/>
      <c r="DYH26" s="388"/>
      <c r="DYI26" s="388"/>
      <c r="DYJ26" s="388"/>
      <c r="DYK26" s="388"/>
      <c r="DYL26" s="388"/>
      <c r="DYM26" s="388"/>
      <c r="DYN26" s="388"/>
      <c r="DYO26" s="388"/>
      <c r="DYP26" s="388"/>
      <c r="DYQ26" s="388"/>
      <c r="DYR26" s="388"/>
      <c r="DYS26" s="388"/>
      <c r="DYT26" s="388"/>
      <c r="DYU26" s="388"/>
      <c r="DYV26" s="388"/>
      <c r="DYW26" s="388"/>
      <c r="DYX26" s="388"/>
      <c r="DYY26" s="388"/>
      <c r="DYZ26" s="388"/>
      <c r="DZA26" s="388"/>
      <c r="DZB26" s="388"/>
      <c r="DZC26" s="388"/>
      <c r="DZD26" s="388"/>
      <c r="DZE26" s="388"/>
      <c r="DZF26" s="388"/>
      <c r="DZG26" s="388"/>
      <c r="DZH26" s="388"/>
      <c r="DZI26" s="388"/>
      <c r="DZJ26" s="388"/>
      <c r="DZK26" s="388"/>
      <c r="DZL26" s="388"/>
      <c r="DZM26" s="388"/>
      <c r="DZN26" s="388"/>
      <c r="DZO26" s="388"/>
      <c r="DZP26" s="388"/>
      <c r="DZQ26" s="388"/>
      <c r="DZR26" s="388"/>
      <c r="DZS26" s="388"/>
      <c r="DZT26" s="388"/>
      <c r="DZU26" s="388"/>
      <c r="DZV26" s="388"/>
      <c r="DZW26" s="388"/>
      <c r="DZX26" s="388"/>
      <c r="DZY26" s="388"/>
      <c r="DZZ26" s="388"/>
      <c r="EAA26" s="388"/>
      <c r="EAB26" s="388"/>
      <c r="EAC26" s="388"/>
      <c r="EAD26" s="388"/>
      <c r="EAE26" s="388"/>
      <c r="EAF26" s="388"/>
      <c r="EAG26" s="388"/>
      <c r="EAH26" s="388"/>
      <c r="EAI26" s="388"/>
      <c r="EAJ26" s="388"/>
      <c r="EAK26" s="388"/>
      <c r="EAL26" s="388"/>
      <c r="EAM26" s="388"/>
      <c r="EAN26" s="388"/>
      <c r="EAO26" s="388"/>
      <c r="EAP26" s="388"/>
      <c r="EAQ26" s="388"/>
      <c r="EAR26" s="388"/>
      <c r="EAS26" s="388"/>
      <c r="EAT26" s="388"/>
      <c r="EAU26" s="388"/>
      <c r="EAV26" s="388"/>
      <c r="EAW26" s="388"/>
      <c r="EAX26" s="388"/>
      <c r="EAY26" s="388"/>
      <c r="EAZ26" s="388"/>
      <c r="EBA26" s="388"/>
      <c r="EBB26" s="388"/>
      <c r="EBC26" s="388"/>
      <c r="EBD26" s="388"/>
      <c r="EBE26" s="388"/>
      <c r="EBF26" s="388"/>
      <c r="EBG26" s="388"/>
      <c r="EBH26" s="388"/>
      <c r="EBI26" s="388"/>
      <c r="EBJ26" s="388"/>
      <c r="EBK26" s="388"/>
      <c r="EBL26" s="388"/>
      <c r="EBM26" s="388"/>
      <c r="EBN26" s="388"/>
      <c r="EBO26" s="388"/>
      <c r="EBP26" s="388"/>
      <c r="EBQ26" s="388"/>
      <c r="EBR26" s="388"/>
      <c r="EBS26" s="388"/>
      <c r="EBT26" s="388"/>
      <c r="EBU26" s="388"/>
      <c r="EBV26" s="388"/>
      <c r="EBW26" s="388"/>
      <c r="EBX26" s="388"/>
      <c r="EBY26" s="388"/>
      <c r="EBZ26" s="388"/>
      <c r="ECA26" s="388"/>
      <c r="ECB26" s="388"/>
      <c r="ECC26" s="388"/>
      <c r="ECD26" s="388"/>
      <c r="ECE26" s="388"/>
      <c r="ECF26" s="388"/>
      <c r="ECG26" s="388"/>
      <c r="ECH26" s="388"/>
      <c r="ECI26" s="388"/>
      <c r="ECJ26" s="388"/>
      <c r="ECK26" s="388"/>
      <c r="ECL26" s="388"/>
      <c r="ECM26" s="388"/>
      <c r="ECN26" s="388"/>
      <c r="ECO26" s="388"/>
      <c r="ECP26" s="388"/>
      <c r="ECQ26" s="388"/>
      <c r="ECR26" s="388"/>
      <c r="ECS26" s="388"/>
      <c r="ECT26" s="388"/>
      <c r="ECU26" s="388"/>
      <c r="ECV26" s="388"/>
      <c r="ECW26" s="388"/>
      <c r="ECX26" s="388"/>
      <c r="ECY26" s="388"/>
      <c r="ECZ26" s="388"/>
      <c r="EDA26" s="388"/>
      <c r="EDB26" s="388"/>
      <c r="EDC26" s="388"/>
      <c r="EDD26" s="388"/>
      <c r="EDE26" s="388"/>
      <c r="EDF26" s="388"/>
      <c r="EDG26" s="388"/>
      <c r="EDH26" s="388"/>
      <c r="EDI26" s="388"/>
      <c r="EDJ26" s="388"/>
      <c r="EDK26" s="388"/>
      <c r="EDL26" s="388"/>
      <c r="EDM26" s="388"/>
      <c r="EDN26" s="388"/>
      <c r="EDO26" s="388"/>
      <c r="EDP26" s="388"/>
      <c r="EDQ26" s="388"/>
      <c r="EDR26" s="388"/>
      <c r="EDS26" s="388"/>
      <c r="EDT26" s="388"/>
      <c r="EDU26" s="388"/>
      <c r="EDV26" s="388"/>
      <c r="EDW26" s="388"/>
      <c r="EDX26" s="388"/>
      <c r="EDY26" s="388"/>
      <c r="EDZ26" s="388"/>
      <c r="EEA26" s="388"/>
      <c r="EEB26" s="388"/>
      <c r="EEC26" s="388"/>
      <c r="EED26" s="388"/>
      <c r="EEE26" s="388"/>
      <c r="EEF26" s="388"/>
      <c r="EEG26" s="388"/>
      <c r="EEH26" s="388"/>
      <c r="EEI26" s="388"/>
      <c r="EEJ26" s="388"/>
      <c r="EEK26" s="388"/>
      <c r="EEL26" s="388"/>
      <c r="EEM26" s="388"/>
      <c r="EEN26" s="388"/>
      <c r="EEO26" s="388"/>
      <c r="EEP26" s="388"/>
      <c r="EEQ26" s="388"/>
      <c r="EER26" s="388"/>
      <c r="EES26" s="388"/>
      <c r="EET26" s="388"/>
      <c r="EEU26" s="388"/>
      <c r="EEV26" s="388"/>
      <c r="EEW26" s="388"/>
      <c r="EEX26" s="388"/>
      <c r="EEY26" s="388"/>
      <c r="EEZ26" s="388"/>
      <c r="EFA26" s="388"/>
      <c r="EFB26" s="388"/>
      <c r="EFC26" s="388"/>
      <c r="EFD26" s="388"/>
      <c r="EFE26" s="388"/>
      <c r="EFF26" s="388"/>
      <c r="EFG26" s="388"/>
      <c r="EFH26" s="388"/>
      <c r="EFI26" s="388"/>
      <c r="EFJ26" s="388"/>
      <c r="EFK26" s="388"/>
      <c r="EFL26" s="388"/>
      <c r="EFM26" s="388"/>
      <c r="EFN26" s="388"/>
      <c r="EFO26" s="388"/>
      <c r="EFP26" s="388"/>
      <c r="EFQ26" s="388"/>
      <c r="EFR26" s="388"/>
      <c r="EFS26" s="388"/>
      <c r="EFT26" s="388"/>
      <c r="EFU26" s="388"/>
      <c r="EFV26" s="388"/>
      <c r="EFW26" s="388"/>
      <c r="EFX26" s="388"/>
      <c r="EFY26" s="388"/>
      <c r="EFZ26" s="388"/>
      <c r="EGA26" s="388"/>
      <c r="EGB26" s="388"/>
      <c r="EGC26" s="388"/>
      <c r="EGD26" s="388"/>
      <c r="EGE26" s="388"/>
      <c r="EGF26" s="388"/>
      <c r="EGG26" s="388"/>
      <c r="EGH26" s="388"/>
      <c r="EGI26" s="388"/>
      <c r="EGJ26" s="388"/>
      <c r="EGK26" s="388"/>
      <c r="EGL26" s="388"/>
      <c r="EGM26" s="388"/>
      <c r="EGN26" s="388"/>
      <c r="EGO26" s="388"/>
      <c r="EGP26" s="388"/>
      <c r="EGQ26" s="388"/>
      <c r="EGR26" s="388"/>
      <c r="EGS26" s="388"/>
      <c r="EGT26" s="388"/>
      <c r="EGU26" s="388"/>
      <c r="EGV26" s="388"/>
      <c r="EGW26" s="388"/>
      <c r="EGX26" s="388"/>
      <c r="EGY26" s="388"/>
      <c r="EGZ26" s="388"/>
      <c r="EHA26" s="388"/>
      <c r="EHB26" s="388"/>
      <c r="EHC26" s="388"/>
      <c r="EHD26" s="388"/>
      <c r="EHE26" s="388"/>
      <c r="EHF26" s="388"/>
      <c r="EHG26" s="388"/>
      <c r="EHH26" s="388"/>
      <c r="EHI26" s="388"/>
      <c r="EHJ26" s="388"/>
      <c r="EHK26" s="388"/>
      <c r="EHL26" s="388"/>
      <c r="EHM26" s="388"/>
      <c r="EHN26" s="388"/>
      <c r="EHO26" s="388"/>
      <c r="EHP26" s="388"/>
      <c r="EHQ26" s="388"/>
      <c r="EHR26" s="388"/>
      <c r="EHS26" s="388"/>
      <c r="EHT26" s="388"/>
      <c r="EHU26" s="388"/>
      <c r="EHV26" s="388"/>
      <c r="EHW26" s="388"/>
      <c r="EHX26" s="388"/>
      <c r="EHY26" s="388"/>
      <c r="EHZ26" s="388"/>
      <c r="EIA26" s="388"/>
      <c r="EIB26" s="388"/>
      <c r="EIC26" s="388"/>
      <c r="EID26" s="388"/>
      <c r="EIE26" s="388"/>
      <c r="EIF26" s="388"/>
      <c r="EIG26" s="388"/>
      <c r="EIH26" s="388"/>
      <c r="EII26" s="388"/>
      <c r="EIJ26" s="388"/>
      <c r="EIK26" s="388"/>
      <c r="EIL26" s="388"/>
      <c r="EIM26" s="388"/>
      <c r="EIN26" s="388"/>
      <c r="EIO26" s="388"/>
      <c r="EIP26" s="388"/>
      <c r="EIQ26" s="388"/>
      <c r="EIR26" s="388"/>
      <c r="EIS26" s="388"/>
      <c r="EIT26" s="388"/>
      <c r="EIU26" s="388"/>
      <c r="EIV26" s="388"/>
      <c r="EIW26" s="388"/>
      <c r="EIX26" s="388"/>
      <c r="EIY26" s="388"/>
      <c r="EIZ26" s="388"/>
      <c r="EJA26" s="388"/>
      <c r="EJB26" s="388"/>
      <c r="EJC26" s="388"/>
      <c r="EJD26" s="388"/>
      <c r="EJE26" s="388"/>
      <c r="EJF26" s="388"/>
      <c r="EJG26" s="388"/>
      <c r="EJH26" s="388"/>
      <c r="EJI26" s="388"/>
      <c r="EJJ26" s="388"/>
      <c r="EJK26" s="388"/>
      <c r="EJL26" s="388"/>
      <c r="EJM26" s="388"/>
      <c r="EJN26" s="388"/>
      <c r="EJO26" s="388"/>
      <c r="EJP26" s="388"/>
      <c r="EJQ26" s="388"/>
      <c r="EJR26" s="388"/>
      <c r="EJS26" s="388"/>
      <c r="EJT26" s="388"/>
      <c r="EJU26" s="388"/>
      <c r="EJV26" s="388"/>
      <c r="EJW26" s="388"/>
      <c r="EJX26" s="388"/>
      <c r="EJY26" s="388"/>
      <c r="EJZ26" s="388"/>
      <c r="EKA26" s="388"/>
      <c r="EKB26" s="388"/>
      <c r="EKC26" s="388"/>
      <c r="EKD26" s="388"/>
      <c r="EKE26" s="388"/>
      <c r="EKF26" s="388"/>
      <c r="EKG26" s="388"/>
      <c r="EKH26" s="388"/>
      <c r="EKI26" s="388"/>
      <c r="EKJ26" s="388"/>
      <c r="EKK26" s="388"/>
      <c r="EKL26" s="388"/>
      <c r="EKM26" s="388"/>
      <c r="EKN26" s="388"/>
      <c r="EKO26" s="388"/>
      <c r="EKP26" s="388"/>
      <c r="EKQ26" s="388"/>
      <c r="EKR26" s="388"/>
      <c r="EKS26" s="388"/>
      <c r="EKT26" s="388"/>
      <c r="EKU26" s="388"/>
      <c r="EKV26" s="388"/>
      <c r="EKW26" s="388"/>
      <c r="EKX26" s="388"/>
      <c r="EKY26" s="388"/>
      <c r="EKZ26" s="388"/>
      <c r="ELA26" s="388"/>
      <c r="ELB26" s="388"/>
      <c r="ELC26" s="388"/>
      <c r="ELD26" s="388"/>
      <c r="ELE26" s="388"/>
      <c r="ELF26" s="388"/>
      <c r="ELG26" s="388"/>
      <c r="ELH26" s="388"/>
      <c r="ELI26" s="388"/>
      <c r="ELJ26" s="388"/>
      <c r="ELK26" s="388"/>
      <c r="ELL26" s="388"/>
      <c r="ELM26" s="388"/>
      <c r="ELN26" s="388"/>
      <c r="ELO26" s="388"/>
      <c r="ELP26" s="388"/>
      <c r="ELQ26" s="388"/>
      <c r="ELR26" s="388"/>
      <c r="ELS26" s="388"/>
      <c r="ELT26" s="388"/>
      <c r="ELU26" s="388"/>
      <c r="ELV26" s="388"/>
      <c r="ELW26" s="388"/>
      <c r="ELX26" s="388"/>
      <c r="ELY26" s="388"/>
      <c r="ELZ26" s="388"/>
      <c r="EMA26" s="388"/>
      <c r="EMB26" s="388"/>
      <c r="EMC26" s="388"/>
      <c r="EMD26" s="388"/>
      <c r="EME26" s="388"/>
      <c r="EMF26" s="388"/>
      <c r="EMG26" s="388"/>
      <c r="EMH26" s="388"/>
      <c r="EMI26" s="388"/>
      <c r="EMJ26" s="388"/>
      <c r="EMK26" s="388"/>
      <c r="EML26" s="388"/>
      <c r="EMM26" s="388"/>
      <c r="EMN26" s="388"/>
      <c r="EMO26" s="388"/>
      <c r="EMP26" s="388"/>
      <c r="EMQ26" s="388"/>
      <c r="EMR26" s="388"/>
      <c r="EMS26" s="388"/>
      <c r="EMT26" s="388"/>
      <c r="EMU26" s="388"/>
      <c r="EMV26" s="388"/>
      <c r="EMW26" s="388"/>
      <c r="EMX26" s="388"/>
      <c r="EMY26" s="388"/>
      <c r="EMZ26" s="388"/>
      <c r="ENA26" s="388"/>
      <c r="ENB26" s="388"/>
      <c r="ENC26" s="388"/>
      <c r="END26" s="388"/>
      <c r="ENE26" s="388"/>
      <c r="ENF26" s="388"/>
      <c r="ENG26" s="388"/>
      <c r="ENH26" s="388"/>
      <c r="ENI26" s="388"/>
      <c r="ENJ26" s="388"/>
      <c r="ENK26" s="388"/>
      <c r="ENL26" s="388"/>
      <c r="ENM26" s="388"/>
      <c r="ENN26" s="388"/>
      <c r="ENO26" s="388"/>
      <c r="ENP26" s="388"/>
      <c r="ENQ26" s="388"/>
      <c r="ENR26" s="388"/>
      <c r="ENS26" s="388"/>
      <c r="ENT26" s="388"/>
      <c r="ENU26" s="388"/>
      <c r="ENV26" s="388"/>
      <c r="ENW26" s="388"/>
      <c r="ENX26" s="388"/>
      <c r="ENY26" s="388"/>
      <c r="ENZ26" s="388"/>
      <c r="EOA26" s="388"/>
      <c r="EOB26" s="388"/>
      <c r="EOC26" s="388"/>
      <c r="EOD26" s="388"/>
      <c r="EOE26" s="388"/>
      <c r="EOF26" s="388"/>
      <c r="EOG26" s="388"/>
      <c r="EOH26" s="388"/>
      <c r="EOI26" s="388"/>
      <c r="EOJ26" s="388"/>
      <c r="EOK26" s="388"/>
      <c r="EOL26" s="388"/>
      <c r="EOM26" s="388"/>
      <c r="EON26" s="388"/>
      <c r="EOO26" s="388"/>
      <c r="EOP26" s="388"/>
      <c r="EOQ26" s="388"/>
      <c r="EOR26" s="388"/>
      <c r="EOS26" s="388"/>
      <c r="EOT26" s="388"/>
      <c r="EOU26" s="388"/>
      <c r="EOV26" s="388"/>
      <c r="EOW26" s="388"/>
      <c r="EOX26" s="388"/>
      <c r="EOY26" s="388"/>
      <c r="EOZ26" s="388"/>
      <c r="EPA26" s="388"/>
      <c r="EPB26" s="388"/>
      <c r="EPC26" s="388"/>
      <c r="EPD26" s="388"/>
      <c r="EPE26" s="388"/>
      <c r="EPF26" s="388"/>
      <c r="EPG26" s="388"/>
      <c r="EPH26" s="388"/>
      <c r="EPI26" s="388"/>
      <c r="EPJ26" s="388"/>
      <c r="EPK26" s="388"/>
      <c r="EPL26" s="388"/>
      <c r="EPM26" s="388"/>
      <c r="EPN26" s="388"/>
      <c r="EPO26" s="388"/>
      <c r="EPP26" s="388"/>
      <c r="EPQ26" s="388"/>
      <c r="EPR26" s="388"/>
      <c r="EPS26" s="388"/>
      <c r="EPT26" s="388"/>
      <c r="EPU26" s="388"/>
      <c r="EPV26" s="388"/>
      <c r="EPW26" s="388"/>
      <c r="EPX26" s="388"/>
      <c r="EPY26" s="388"/>
      <c r="EPZ26" s="388"/>
      <c r="EQA26" s="388"/>
      <c r="EQB26" s="388"/>
      <c r="EQC26" s="388"/>
      <c r="EQD26" s="388"/>
      <c r="EQE26" s="388"/>
      <c r="EQF26" s="388"/>
      <c r="EQG26" s="388"/>
      <c r="EQH26" s="388"/>
      <c r="EQI26" s="388"/>
      <c r="EQJ26" s="388"/>
      <c r="EQK26" s="388"/>
      <c r="EQL26" s="388"/>
      <c r="EQM26" s="388"/>
      <c r="EQN26" s="388"/>
      <c r="EQO26" s="388"/>
      <c r="EQP26" s="388"/>
      <c r="EQQ26" s="388"/>
      <c r="EQR26" s="388"/>
      <c r="EQS26" s="388"/>
      <c r="EQT26" s="388"/>
      <c r="EQU26" s="388"/>
      <c r="EQV26" s="388"/>
      <c r="EQW26" s="388"/>
      <c r="EQX26" s="388"/>
      <c r="EQY26" s="388"/>
      <c r="EQZ26" s="388"/>
      <c r="ERA26" s="388"/>
      <c r="ERB26" s="388"/>
      <c r="ERC26" s="388"/>
      <c r="ERD26" s="388"/>
      <c r="ERE26" s="388"/>
      <c r="ERF26" s="388"/>
      <c r="ERG26" s="388"/>
      <c r="ERH26" s="388"/>
      <c r="ERI26" s="388"/>
      <c r="ERJ26" s="388"/>
      <c r="ERK26" s="388"/>
      <c r="ERL26" s="388"/>
      <c r="ERM26" s="388"/>
      <c r="ERN26" s="388"/>
      <c r="ERO26" s="388"/>
      <c r="ERP26" s="388"/>
      <c r="ERQ26" s="388"/>
      <c r="ERR26" s="388"/>
      <c r="ERS26" s="388"/>
      <c r="ERT26" s="388"/>
      <c r="ERU26" s="388"/>
      <c r="ERV26" s="388"/>
      <c r="ERW26" s="388"/>
      <c r="ERX26" s="388"/>
      <c r="ERY26" s="388"/>
      <c r="ERZ26" s="388"/>
      <c r="ESA26" s="388"/>
      <c r="ESB26" s="388"/>
      <c r="ESC26" s="388"/>
      <c r="ESD26" s="388"/>
      <c r="ESE26" s="388"/>
      <c r="ESF26" s="388"/>
      <c r="ESG26" s="388"/>
      <c r="ESH26" s="388"/>
      <c r="ESI26" s="388"/>
      <c r="ESJ26" s="388"/>
      <c r="ESK26" s="388"/>
      <c r="ESL26" s="388"/>
      <c r="ESM26" s="388"/>
      <c r="ESN26" s="388"/>
      <c r="ESO26" s="388"/>
      <c r="ESP26" s="388"/>
      <c r="ESQ26" s="388"/>
      <c r="ESR26" s="388"/>
      <c r="ESS26" s="388"/>
      <c r="EST26" s="388"/>
      <c r="ESU26" s="388"/>
      <c r="ESV26" s="388"/>
      <c r="ESW26" s="388"/>
      <c r="ESX26" s="388"/>
      <c r="ESY26" s="388"/>
      <c r="ESZ26" s="388"/>
      <c r="ETA26" s="388"/>
      <c r="ETB26" s="388"/>
      <c r="ETC26" s="388"/>
      <c r="ETD26" s="388"/>
      <c r="ETE26" s="388"/>
      <c r="ETF26" s="388"/>
      <c r="ETG26" s="388"/>
      <c r="ETH26" s="388"/>
      <c r="ETI26" s="388"/>
      <c r="ETJ26" s="388"/>
      <c r="ETK26" s="388"/>
      <c r="ETL26" s="388"/>
      <c r="ETM26" s="388"/>
      <c r="ETN26" s="388"/>
      <c r="ETO26" s="388"/>
      <c r="ETP26" s="388"/>
      <c r="ETQ26" s="388"/>
      <c r="ETR26" s="388"/>
      <c r="ETS26" s="388"/>
      <c r="ETT26" s="388"/>
      <c r="ETU26" s="388"/>
      <c r="ETV26" s="388"/>
      <c r="ETW26" s="388"/>
      <c r="ETX26" s="388"/>
      <c r="ETY26" s="388"/>
      <c r="ETZ26" s="388"/>
      <c r="EUA26" s="388"/>
      <c r="EUB26" s="388"/>
      <c r="EUC26" s="388"/>
      <c r="EUD26" s="388"/>
      <c r="EUE26" s="388"/>
      <c r="EUF26" s="388"/>
      <c r="EUG26" s="388"/>
      <c r="EUH26" s="388"/>
      <c r="EUI26" s="388"/>
      <c r="EUJ26" s="388"/>
      <c r="EUK26" s="388"/>
      <c r="EUL26" s="388"/>
      <c r="EUM26" s="388"/>
      <c r="EUN26" s="388"/>
      <c r="EUO26" s="388"/>
      <c r="EUP26" s="388"/>
      <c r="EUQ26" s="388"/>
      <c r="EUR26" s="388"/>
      <c r="EUS26" s="388"/>
      <c r="EUT26" s="388"/>
      <c r="EUU26" s="388"/>
      <c r="EUV26" s="388"/>
      <c r="EUW26" s="388"/>
      <c r="EUX26" s="388"/>
      <c r="EUY26" s="388"/>
      <c r="EUZ26" s="388"/>
      <c r="EVA26" s="388"/>
      <c r="EVB26" s="388"/>
      <c r="EVC26" s="388"/>
      <c r="EVD26" s="388"/>
      <c r="EVE26" s="388"/>
      <c r="EVF26" s="388"/>
      <c r="EVG26" s="388"/>
      <c r="EVH26" s="388"/>
      <c r="EVI26" s="388"/>
      <c r="EVJ26" s="388"/>
      <c r="EVK26" s="388"/>
      <c r="EVL26" s="388"/>
      <c r="EVM26" s="388"/>
      <c r="EVN26" s="388"/>
      <c r="EVO26" s="388"/>
      <c r="EVP26" s="388"/>
      <c r="EVQ26" s="388"/>
      <c r="EVR26" s="388"/>
      <c r="EVS26" s="388"/>
      <c r="EVT26" s="388"/>
      <c r="EVU26" s="388"/>
      <c r="EVV26" s="388"/>
      <c r="EVW26" s="388"/>
      <c r="EVX26" s="388"/>
      <c r="EVY26" s="388"/>
      <c r="EVZ26" s="388"/>
      <c r="EWA26" s="388"/>
      <c r="EWB26" s="388"/>
      <c r="EWC26" s="388"/>
      <c r="EWD26" s="388"/>
      <c r="EWE26" s="388"/>
      <c r="EWF26" s="388"/>
      <c r="EWG26" s="388"/>
      <c r="EWH26" s="388"/>
      <c r="EWI26" s="388"/>
      <c r="EWJ26" s="388"/>
      <c r="EWK26" s="388"/>
      <c r="EWL26" s="388"/>
      <c r="EWM26" s="388"/>
      <c r="EWN26" s="388"/>
      <c r="EWO26" s="388"/>
      <c r="EWP26" s="388"/>
      <c r="EWQ26" s="388"/>
      <c r="EWR26" s="388"/>
      <c r="EWS26" s="388"/>
      <c r="EWT26" s="388"/>
      <c r="EWU26" s="388"/>
      <c r="EWV26" s="388"/>
      <c r="EWW26" s="388"/>
      <c r="EWX26" s="388"/>
      <c r="EWY26" s="388"/>
      <c r="EWZ26" s="388"/>
      <c r="EXA26" s="388"/>
      <c r="EXB26" s="388"/>
      <c r="EXC26" s="388"/>
      <c r="EXD26" s="388"/>
      <c r="EXE26" s="388"/>
      <c r="EXF26" s="388"/>
      <c r="EXG26" s="388"/>
      <c r="EXH26" s="388"/>
      <c r="EXI26" s="388"/>
      <c r="EXJ26" s="388"/>
      <c r="EXK26" s="388"/>
      <c r="EXL26" s="388"/>
      <c r="EXM26" s="388"/>
      <c r="EXN26" s="388"/>
      <c r="EXO26" s="388"/>
      <c r="EXP26" s="388"/>
      <c r="EXQ26" s="388"/>
      <c r="EXR26" s="388"/>
      <c r="EXS26" s="388"/>
      <c r="EXT26" s="388"/>
      <c r="EXU26" s="388"/>
      <c r="EXV26" s="388"/>
      <c r="EXW26" s="388"/>
      <c r="EXX26" s="388"/>
      <c r="EXY26" s="388"/>
      <c r="EXZ26" s="388"/>
      <c r="EYA26" s="388"/>
      <c r="EYB26" s="388"/>
      <c r="EYC26" s="388"/>
      <c r="EYD26" s="388"/>
      <c r="EYE26" s="388"/>
      <c r="EYF26" s="388"/>
      <c r="EYG26" s="388"/>
      <c r="EYH26" s="388"/>
      <c r="EYI26" s="388"/>
      <c r="EYJ26" s="388"/>
      <c r="EYK26" s="388"/>
      <c r="EYL26" s="388"/>
      <c r="EYM26" s="388"/>
      <c r="EYN26" s="388"/>
      <c r="EYO26" s="388"/>
      <c r="EYP26" s="388"/>
      <c r="EYQ26" s="388"/>
      <c r="EYR26" s="388"/>
      <c r="EYS26" s="388"/>
      <c r="EYT26" s="388"/>
      <c r="EYU26" s="388"/>
      <c r="EYV26" s="388"/>
      <c r="EYW26" s="388"/>
      <c r="EYX26" s="388"/>
      <c r="EYY26" s="388"/>
      <c r="EYZ26" s="388"/>
      <c r="EZA26" s="388"/>
      <c r="EZB26" s="388"/>
      <c r="EZC26" s="388"/>
      <c r="EZD26" s="388"/>
      <c r="EZE26" s="388"/>
      <c r="EZF26" s="388"/>
      <c r="EZG26" s="388"/>
      <c r="EZH26" s="388"/>
      <c r="EZI26" s="388"/>
      <c r="EZJ26" s="388"/>
      <c r="EZK26" s="388"/>
      <c r="EZL26" s="388"/>
      <c r="EZM26" s="388"/>
      <c r="EZN26" s="388"/>
      <c r="EZO26" s="388"/>
      <c r="EZP26" s="388"/>
      <c r="EZQ26" s="388"/>
      <c r="EZR26" s="388"/>
      <c r="EZS26" s="388"/>
      <c r="EZT26" s="388"/>
      <c r="EZU26" s="388"/>
      <c r="EZV26" s="388"/>
      <c r="EZW26" s="388"/>
      <c r="EZX26" s="388"/>
      <c r="EZY26" s="388"/>
      <c r="EZZ26" s="388"/>
      <c r="FAA26" s="388"/>
      <c r="FAB26" s="388"/>
      <c r="FAC26" s="388"/>
      <c r="FAD26" s="388"/>
      <c r="FAE26" s="388"/>
      <c r="FAF26" s="388"/>
      <c r="FAG26" s="388"/>
      <c r="FAH26" s="388"/>
      <c r="FAI26" s="388"/>
      <c r="FAJ26" s="388"/>
      <c r="FAK26" s="388"/>
      <c r="FAL26" s="388"/>
      <c r="FAM26" s="388"/>
      <c r="FAN26" s="388"/>
      <c r="FAO26" s="388"/>
      <c r="FAP26" s="388"/>
      <c r="FAQ26" s="388"/>
      <c r="FAR26" s="388"/>
      <c r="FAS26" s="388"/>
      <c r="FAT26" s="388"/>
      <c r="FAU26" s="388"/>
      <c r="FAV26" s="388"/>
      <c r="FAW26" s="388"/>
      <c r="FAX26" s="388"/>
      <c r="FAY26" s="388"/>
      <c r="FAZ26" s="388"/>
      <c r="FBA26" s="388"/>
      <c r="FBB26" s="388"/>
      <c r="FBC26" s="388"/>
      <c r="FBD26" s="388"/>
      <c r="FBE26" s="388"/>
      <c r="FBF26" s="388"/>
      <c r="FBG26" s="388"/>
      <c r="FBH26" s="388"/>
      <c r="FBI26" s="388"/>
      <c r="FBJ26" s="388"/>
      <c r="FBK26" s="388"/>
      <c r="FBL26" s="388"/>
      <c r="FBM26" s="388"/>
      <c r="FBN26" s="388"/>
      <c r="FBO26" s="388"/>
      <c r="FBP26" s="388"/>
      <c r="FBQ26" s="388"/>
      <c r="FBR26" s="388"/>
      <c r="FBS26" s="388"/>
      <c r="FBT26" s="388"/>
      <c r="FBU26" s="388"/>
      <c r="FBV26" s="388"/>
      <c r="FBW26" s="388"/>
      <c r="FBX26" s="388"/>
      <c r="FBY26" s="388"/>
      <c r="FBZ26" s="388"/>
      <c r="FCA26" s="388"/>
      <c r="FCB26" s="388"/>
      <c r="FCC26" s="388"/>
      <c r="FCD26" s="388"/>
      <c r="FCE26" s="388"/>
      <c r="FCF26" s="388"/>
      <c r="FCG26" s="388"/>
      <c r="FCH26" s="388"/>
      <c r="FCI26" s="388"/>
      <c r="FCJ26" s="388"/>
      <c r="FCK26" s="388"/>
      <c r="FCL26" s="388"/>
      <c r="FCM26" s="388"/>
      <c r="FCN26" s="388"/>
      <c r="FCO26" s="388"/>
      <c r="FCP26" s="388"/>
      <c r="FCQ26" s="388"/>
      <c r="FCR26" s="388"/>
      <c r="FCS26" s="388"/>
      <c r="FCT26" s="388"/>
      <c r="FCU26" s="388"/>
      <c r="FCV26" s="388"/>
      <c r="FCW26" s="388"/>
      <c r="FCX26" s="388"/>
      <c r="FCY26" s="388"/>
      <c r="FCZ26" s="388"/>
      <c r="FDA26" s="388"/>
      <c r="FDB26" s="388"/>
      <c r="FDC26" s="388"/>
      <c r="FDD26" s="388"/>
      <c r="FDE26" s="388"/>
      <c r="FDF26" s="388"/>
      <c r="FDG26" s="388"/>
      <c r="FDH26" s="388"/>
      <c r="FDI26" s="388"/>
      <c r="FDJ26" s="388"/>
      <c r="FDK26" s="388"/>
      <c r="FDL26" s="388"/>
      <c r="FDM26" s="388"/>
      <c r="FDN26" s="388"/>
      <c r="FDO26" s="388"/>
      <c r="FDP26" s="388"/>
      <c r="FDQ26" s="388"/>
      <c r="FDR26" s="388"/>
      <c r="FDS26" s="388"/>
      <c r="FDT26" s="388"/>
      <c r="FDU26" s="388"/>
      <c r="FDV26" s="388"/>
      <c r="FDW26" s="388"/>
      <c r="FDX26" s="388"/>
      <c r="FDY26" s="388"/>
      <c r="FDZ26" s="388"/>
      <c r="FEA26" s="388"/>
      <c r="FEB26" s="388"/>
      <c r="FEC26" s="388"/>
      <c r="FED26" s="388"/>
      <c r="FEE26" s="388"/>
      <c r="FEF26" s="388"/>
      <c r="FEG26" s="388"/>
      <c r="FEH26" s="388"/>
      <c r="FEI26" s="388"/>
      <c r="FEJ26" s="388"/>
      <c r="FEK26" s="388"/>
      <c r="FEL26" s="388"/>
      <c r="FEM26" s="388"/>
      <c r="FEN26" s="388"/>
      <c r="FEO26" s="388"/>
      <c r="FEP26" s="388"/>
      <c r="FEQ26" s="388"/>
      <c r="FER26" s="388"/>
      <c r="FES26" s="388"/>
      <c r="FET26" s="388"/>
      <c r="FEU26" s="388"/>
      <c r="FEV26" s="388"/>
      <c r="FEW26" s="388"/>
      <c r="FEX26" s="388"/>
      <c r="FEY26" s="388"/>
      <c r="FEZ26" s="388"/>
      <c r="FFA26" s="388"/>
      <c r="FFB26" s="388"/>
      <c r="FFC26" s="388"/>
      <c r="FFD26" s="388"/>
      <c r="FFE26" s="388"/>
      <c r="FFF26" s="388"/>
      <c r="FFG26" s="388"/>
      <c r="FFH26" s="388"/>
      <c r="FFI26" s="388"/>
      <c r="FFJ26" s="388"/>
      <c r="FFK26" s="388"/>
      <c r="FFL26" s="388"/>
      <c r="FFM26" s="388"/>
      <c r="FFN26" s="388"/>
      <c r="FFO26" s="388"/>
      <c r="FFP26" s="388"/>
      <c r="FFQ26" s="388"/>
      <c r="FFR26" s="388"/>
      <c r="FFS26" s="388"/>
      <c r="FFT26" s="388"/>
      <c r="FFU26" s="388"/>
      <c r="FFV26" s="388"/>
      <c r="FFW26" s="388"/>
      <c r="FFX26" s="388"/>
      <c r="FFY26" s="388"/>
      <c r="FFZ26" s="388"/>
      <c r="FGA26" s="388"/>
      <c r="FGB26" s="388"/>
      <c r="FGC26" s="388"/>
      <c r="FGD26" s="388"/>
      <c r="FGE26" s="388"/>
      <c r="FGF26" s="388"/>
      <c r="FGG26" s="388"/>
      <c r="FGH26" s="388"/>
      <c r="FGI26" s="388"/>
      <c r="FGJ26" s="388"/>
      <c r="FGK26" s="388"/>
      <c r="FGL26" s="388"/>
      <c r="FGM26" s="388"/>
      <c r="FGN26" s="388"/>
      <c r="FGO26" s="388"/>
      <c r="FGP26" s="388"/>
      <c r="FGQ26" s="388"/>
      <c r="FGR26" s="388"/>
      <c r="FGS26" s="388"/>
      <c r="FGT26" s="388"/>
      <c r="FGU26" s="388"/>
      <c r="FGV26" s="388"/>
      <c r="FGW26" s="388"/>
      <c r="FGX26" s="388"/>
      <c r="FGY26" s="388"/>
      <c r="FGZ26" s="388"/>
      <c r="FHA26" s="388"/>
      <c r="FHB26" s="388"/>
      <c r="FHC26" s="388"/>
      <c r="FHD26" s="388"/>
      <c r="FHE26" s="388"/>
      <c r="FHF26" s="388"/>
      <c r="FHG26" s="388"/>
      <c r="FHH26" s="388"/>
      <c r="FHI26" s="388"/>
      <c r="FHJ26" s="388"/>
      <c r="FHK26" s="388"/>
      <c r="FHL26" s="388"/>
      <c r="FHM26" s="388"/>
      <c r="FHN26" s="388"/>
      <c r="FHO26" s="388"/>
      <c r="FHP26" s="388"/>
      <c r="FHQ26" s="388"/>
      <c r="FHR26" s="388"/>
      <c r="FHS26" s="388"/>
      <c r="FHT26" s="388"/>
      <c r="FHU26" s="388"/>
      <c r="FHV26" s="388"/>
      <c r="FHW26" s="388"/>
      <c r="FHX26" s="388"/>
      <c r="FHY26" s="388"/>
      <c r="FHZ26" s="388"/>
      <c r="FIA26" s="388"/>
      <c r="FIB26" s="388"/>
      <c r="FIC26" s="388"/>
      <c r="FID26" s="388"/>
      <c r="FIE26" s="388"/>
      <c r="FIF26" s="388"/>
      <c r="FIG26" s="388"/>
      <c r="FIH26" s="388"/>
      <c r="FII26" s="388"/>
      <c r="FIJ26" s="388"/>
      <c r="FIK26" s="388"/>
      <c r="FIL26" s="388"/>
      <c r="FIM26" s="388"/>
      <c r="FIN26" s="388"/>
      <c r="FIO26" s="388"/>
      <c r="FIP26" s="388"/>
      <c r="FIQ26" s="388"/>
      <c r="FIR26" s="388"/>
      <c r="FIS26" s="388"/>
      <c r="FIT26" s="388"/>
      <c r="FIU26" s="388"/>
      <c r="FIV26" s="388"/>
      <c r="FIW26" s="388"/>
      <c r="FIX26" s="388"/>
      <c r="FIY26" s="388"/>
      <c r="FIZ26" s="388"/>
      <c r="FJA26" s="388"/>
      <c r="FJB26" s="388"/>
      <c r="FJC26" s="388"/>
      <c r="FJD26" s="388"/>
      <c r="FJE26" s="388"/>
      <c r="FJF26" s="388"/>
      <c r="FJG26" s="388"/>
      <c r="FJH26" s="388"/>
      <c r="FJI26" s="388"/>
      <c r="FJJ26" s="388"/>
      <c r="FJK26" s="388"/>
      <c r="FJL26" s="388"/>
      <c r="FJM26" s="388"/>
      <c r="FJN26" s="388"/>
      <c r="FJO26" s="388"/>
      <c r="FJP26" s="388"/>
      <c r="FJQ26" s="388"/>
      <c r="FJR26" s="388"/>
      <c r="FJS26" s="388"/>
      <c r="FJT26" s="388"/>
      <c r="FJU26" s="388"/>
      <c r="FJV26" s="388"/>
      <c r="FJW26" s="388"/>
      <c r="FJX26" s="388"/>
      <c r="FJY26" s="388"/>
      <c r="FJZ26" s="388"/>
      <c r="FKA26" s="388"/>
      <c r="FKB26" s="388"/>
      <c r="FKC26" s="388"/>
      <c r="FKD26" s="388"/>
      <c r="FKE26" s="388"/>
      <c r="FKF26" s="388"/>
      <c r="FKG26" s="388"/>
      <c r="FKH26" s="388"/>
      <c r="FKI26" s="388"/>
      <c r="FKJ26" s="388"/>
      <c r="FKK26" s="388"/>
      <c r="FKL26" s="388"/>
      <c r="FKM26" s="388"/>
      <c r="FKN26" s="388"/>
      <c r="FKO26" s="388"/>
      <c r="FKP26" s="388"/>
      <c r="FKQ26" s="388"/>
      <c r="FKR26" s="388"/>
      <c r="FKS26" s="388"/>
      <c r="FKT26" s="388"/>
      <c r="FKU26" s="388"/>
      <c r="FKV26" s="388"/>
      <c r="FKW26" s="388"/>
      <c r="FKX26" s="388"/>
      <c r="FKY26" s="388"/>
      <c r="FKZ26" s="388"/>
      <c r="FLA26" s="388"/>
      <c r="FLB26" s="388"/>
      <c r="FLC26" s="388"/>
      <c r="FLD26" s="388"/>
      <c r="FLE26" s="388"/>
      <c r="FLF26" s="388"/>
      <c r="FLG26" s="388"/>
      <c r="FLH26" s="388"/>
      <c r="FLI26" s="388"/>
      <c r="FLJ26" s="388"/>
      <c r="FLK26" s="388"/>
      <c r="FLL26" s="388"/>
      <c r="FLM26" s="388"/>
      <c r="FLN26" s="388"/>
      <c r="FLO26" s="388"/>
      <c r="FLP26" s="388"/>
      <c r="FLQ26" s="388"/>
      <c r="FLR26" s="388"/>
      <c r="FLS26" s="388"/>
      <c r="FLT26" s="388"/>
      <c r="FLU26" s="388"/>
      <c r="FLV26" s="388"/>
      <c r="FLW26" s="388"/>
      <c r="FLX26" s="388"/>
      <c r="FLY26" s="388"/>
      <c r="FLZ26" s="388"/>
      <c r="FMA26" s="388"/>
      <c r="FMB26" s="388"/>
      <c r="FMC26" s="388"/>
      <c r="FMD26" s="388"/>
      <c r="FME26" s="388"/>
      <c r="FMF26" s="388"/>
      <c r="FMG26" s="388"/>
      <c r="FMH26" s="388"/>
      <c r="FMI26" s="388"/>
      <c r="FMJ26" s="388"/>
      <c r="FMK26" s="388"/>
      <c r="FML26" s="388"/>
      <c r="FMM26" s="388"/>
      <c r="FMN26" s="388"/>
      <c r="FMO26" s="388"/>
      <c r="FMP26" s="388"/>
      <c r="FMQ26" s="388"/>
      <c r="FMR26" s="388"/>
      <c r="FMS26" s="388"/>
      <c r="FMT26" s="388"/>
      <c r="FMU26" s="388"/>
      <c r="FMV26" s="388"/>
      <c r="FMW26" s="388"/>
      <c r="FMX26" s="388"/>
      <c r="FMY26" s="388"/>
      <c r="FMZ26" s="388"/>
      <c r="FNA26" s="388"/>
      <c r="FNB26" s="388"/>
      <c r="FNC26" s="388"/>
      <c r="FND26" s="388"/>
      <c r="FNE26" s="388"/>
      <c r="FNF26" s="388"/>
      <c r="FNG26" s="388"/>
      <c r="FNH26" s="388"/>
      <c r="FNI26" s="388"/>
      <c r="FNJ26" s="388"/>
      <c r="FNK26" s="388"/>
      <c r="FNL26" s="388"/>
      <c r="FNM26" s="388"/>
      <c r="FNN26" s="388"/>
      <c r="FNO26" s="388"/>
      <c r="FNP26" s="388"/>
      <c r="FNQ26" s="388"/>
      <c r="FNR26" s="388"/>
      <c r="FNS26" s="388"/>
      <c r="FNT26" s="388"/>
      <c r="FNU26" s="388"/>
      <c r="FNV26" s="388"/>
      <c r="FNW26" s="388"/>
      <c r="FNX26" s="388"/>
      <c r="FNY26" s="388"/>
      <c r="FNZ26" s="388"/>
      <c r="FOA26" s="388"/>
      <c r="FOB26" s="388"/>
      <c r="FOC26" s="388"/>
      <c r="FOD26" s="388"/>
      <c r="FOE26" s="388"/>
      <c r="FOF26" s="388"/>
      <c r="FOG26" s="388"/>
      <c r="FOH26" s="388"/>
      <c r="FOI26" s="388"/>
      <c r="FOJ26" s="388"/>
      <c r="FOK26" s="388"/>
      <c r="FOL26" s="388"/>
      <c r="FOM26" s="388"/>
      <c r="FON26" s="388"/>
      <c r="FOO26" s="388"/>
      <c r="FOP26" s="388"/>
      <c r="FOQ26" s="388"/>
      <c r="FOR26" s="388"/>
      <c r="FOS26" s="388"/>
      <c r="FOT26" s="388"/>
      <c r="FOU26" s="388"/>
      <c r="FOV26" s="388"/>
      <c r="FOW26" s="388"/>
      <c r="FOX26" s="388"/>
      <c r="FOY26" s="388"/>
      <c r="FOZ26" s="388"/>
      <c r="FPA26" s="388"/>
      <c r="FPB26" s="388"/>
      <c r="FPC26" s="388"/>
      <c r="FPD26" s="388"/>
      <c r="FPE26" s="388"/>
      <c r="FPF26" s="388"/>
      <c r="FPG26" s="388"/>
      <c r="FPH26" s="388"/>
      <c r="FPI26" s="388"/>
      <c r="FPJ26" s="388"/>
      <c r="FPK26" s="388"/>
      <c r="FPL26" s="388"/>
      <c r="FPM26" s="388"/>
      <c r="FPN26" s="388"/>
      <c r="FPO26" s="388"/>
      <c r="FPP26" s="388"/>
      <c r="FPQ26" s="388"/>
      <c r="FPR26" s="388"/>
      <c r="FPS26" s="388"/>
      <c r="FPT26" s="388"/>
      <c r="FPU26" s="388"/>
      <c r="FPV26" s="388"/>
      <c r="FPW26" s="388"/>
      <c r="FPX26" s="388"/>
      <c r="FPY26" s="388"/>
      <c r="FPZ26" s="388"/>
      <c r="FQA26" s="388"/>
      <c r="FQB26" s="388"/>
      <c r="FQC26" s="388"/>
      <c r="FQD26" s="388"/>
      <c r="FQE26" s="388"/>
      <c r="FQF26" s="388"/>
      <c r="FQG26" s="388"/>
      <c r="FQH26" s="388"/>
      <c r="FQI26" s="388"/>
      <c r="FQJ26" s="388"/>
      <c r="FQK26" s="388"/>
      <c r="FQL26" s="388"/>
      <c r="FQM26" s="388"/>
      <c r="FQN26" s="388"/>
      <c r="FQO26" s="388"/>
      <c r="FQP26" s="388"/>
      <c r="FQQ26" s="388"/>
      <c r="FQR26" s="388"/>
      <c r="FQS26" s="388"/>
      <c r="FQT26" s="388"/>
      <c r="FQU26" s="388"/>
      <c r="FQV26" s="388"/>
      <c r="FQW26" s="388"/>
      <c r="FQX26" s="388"/>
      <c r="FQY26" s="388"/>
      <c r="FQZ26" s="388"/>
      <c r="FRA26" s="388"/>
      <c r="FRB26" s="388"/>
      <c r="FRC26" s="388"/>
      <c r="FRD26" s="388"/>
      <c r="FRE26" s="388"/>
      <c r="FRF26" s="388"/>
      <c r="FRG26" s="388"/>
      <c r="FRH26" s="388"/>
      <c r="FRI26" s="388"/>
      <c r="FRJ26" s="388"/>
      <c r="FRK26" s="388"/>
      <c r="FRL26" s="388"/>
      <c r="FRM26" s="388"/>
      <c r="FRN26" s="388"/>
      <c r="FRO26" s="388"/>
      <c r="FRP26" s="388"/>
      <c r="FRQ26" s="388"/>
      <c r="FRR26" s="388"/>
      <c r="FRS26" s="388"/>
      <c r="FRT26" s="388"/>
      <c r="FRU26" s="388"/>
      <c r="FRV26" s="388"/>
      <c r="FRW26" s="388"/>
      <c r="FRX26" s="388"/>
      <c r="FRY26" s="388"/>
      <c r="FRZ26" s="388"/>
      <c r="FSA26" s="388"/>
      <c r="FSB26" s="388"/>
      <c r="FSC26" s="388"/>
      <c r="FSD26" s="388"/>
      <c r="FSE26" s="388"/>
      <c r="FSF26" s="388"/>
      <c r="FSG26" s="388"/>
      <c r="FSH26" s="388"/>
      <c r="FSI26" s="388"/>
      <c r="FSJ26" s="388"/>
      <c r="FSK26" s="388"/>
      <c r="FSL26" s="388"/>
      <c r="FSM26" s="388"/>
      <c r="FSN26" s="388"/>
      <c r="FSO26" s="388"/>
      <c r="FSP26" s="388"/>
      <c r="FSQ26" s="388"/>
      <c r="FSR26" s="388"/>
      <c r="FSS26" s="388"/>
      <c r="FST26" s="388"/>
      <c r="FSU26" s="388"/>
      <c r="FSV26" s="388"/>
      <c r="FSW26" s="388"/>
      <c r="FSX26" s="388"/>
      <c r="FSY26" s="388"/>
      <c r="FSZ26" s="388"/>
      <c r="FTA26" s="388"/>
      <c r="FTB26" s="388"/>
      <c r="FTC26" s="388"/>
      <c r="FTD26" s="388"/>
      <c r="FTE26" s="388"/>
      <c r="FTF26" s="388"/>
      <c r="FTG26" s="388"/>
      <c r="FTH26" s="388"/>
      <c r="FTI26" s="388"/>
      <c r="FTJ26" s="388"/>
      <c r="FTK26" s="388"/>
      <c r="FTL26" s="388"/>
      <c r="FTM26" s="388"/>
      <c r="FTN26" s="388"/>
      <c r="FTO26" s="388"/>
      <c r="FTP26" s="388"/>
      <c r="FTQ26" s="388"/>
      <c r="FTR26" s="388"/>
      <c r="FTS26" s="388"/>
      <c r="FTT26" s="388"/>
      <c r="FTU26" s="388"/>
      <c r="FTV26" s="388"/>
      <c r="FTW26" s="388"/>
      <c r="FTX26" s="388"/>
      <c r="FTY26" s="388"/>
      <c r="FTZ26" s="388"/>
      <c r="FUA26" s="388"/>
      <c r="FUB26" s="388"/>
      <c r="FUC26" s="388"/>
      <c r="FUD26" s="388"/>
      <c r="FUE26" s="388"/>
      <c r="FUF26" s="388"/>
      <c r="FUG26" s="388"/>
      <c r="FUH26" s="388"/>
      <c r="FUI26" s="388"/>
      <c r="FUJ26" s="388"/>
      <c r="FUK26" s="388"/>
      <c r="FUL26" s="388"/>
      <c r="FUM26" s="388"/>
      <c r="FUN26" s="388"/>
      <c r="FUO26" s="388"/>
      <c r="FUP26" s="388"/>
      <c r="FUQ26" s="388"/>
      <c r="FUR26" s="388"/>
      <c r="FUS26" s="388"/>
      <c r="FUT26" s="388"/>
      <c r="FUU26" s="388"/>
      <c r="FUV26" s="388"/>
      <c r="FUW26" s="388"/>
      <c r="FUX26" s="388"/>
      <c r="FUY26" s="388"/>
      <c r="FUZ26" s="388"/>
      <c r="FVA26" s="388"/>
      <c r="FVB26" s="388"/>
      <c r="FVC26" s="388"/>
      <c r="FVD26" s="388"/>
      <c r="FVE26" s="388"/>
      <c r="FVF26" s="388"/>
      <c r="FVG26" s="388"/>
      <c r="FVH26" s="388"/>
      <c r="FVI26" s="388"/>
      <c r="FVJ26" s="388"/>
      <c r="FVK26" s="388"/>
      <c r="FVL26" s="388"/>
      <c r="FVM26" s="388"/>
      <c r="FVN26" s="388"/>
      <c r="FVO26" s="388"/>
      <c r="FVP26" s="388"/>
      <c r="FVQ26" s="388"/>
      <c r="FVR26" s="388"/>
      <c r="FVS26" s="388"/>
      <c r="FVT26" s="388"/>
      <c r="FVU26" s="388"/>
      <c r="FVV26" s="388"/>
      <c r="FVW26" s="388"/>
      <c r="FVX26" s="388"/>
      <c r="FVY26" s="388"/>
      <c r="FVZ26" s="388"/>
      <c r="FWA26" s="388"/>
      <c r="FWB26" s="388"/>
      <c r="FWC26" s="388"/>
      <c r="FWD26" s="388"/>
      <c r="FWE26" s="388"/>
      <c r="FWF26" s="388"/>
      <c r="FWG26" s="388"/>
      <c r="FWH26" s="388"/>
      <c r="FWI26" s="388"/>
      <c r="FWJ26" s="388"/>
      <c r="FWK26" s="388"/>
      <c r="FWL26" s="388"/>
      <c r="FWM26" s="388"/>
      <c r="FWN26" s="388"/>
      <c r="FWO26" s="388"/>
      <c r="FWP26" s="388"/>
      <c r="FWQ26" s="388"/>
      <c r="FWR26" s="388"/>
      <c r="FWS26" s="388"/>
      <c r="FWT26" s="388"/>
      <c r="FWU26" s="388"/>
      <c r="FWV26" s="388"/>
      <c r="FWW26" s="388"/>
      <c r="FWX26" s="388"/>
      <c r="FWY26" s="388"/>
      <c r="FWZ26" s="388"/>
      <c r="FXA26" s="388"/>
      <c r="FXB26" s="388"/>
      <c r="FXC26" s="388"/>
      <c r="FXD26" s="388"/>
      <c r="FXE26" s="388"/>
      <c r="FXF26" s="388"/>
      <c r="FXG26" s="388"/>
      <c r="FXH26" s="388"/>
      <c r="FXI26" s="388"/>
      <c r="FXJ26" s="388"/>
      <c r="FXK26" s="388"/>
      <c r="FXL26" s="388"/>
      <c r="FXM26" s="388"/>
      <c r="FXN26" s="388"/>
      <c r="FXO26" s="388"/>
      <c r="FXP26" s="388"/>
      <c r="FXQ26" s="388"/>
      <c r="FXR26" s="388"/>
      <c r="FXS26" s="388"/>
      <c r="FXT26" s="388"/>
      <c r="FXU26" s="388"/>
      <c r="FXV26" s="388"/>
      <c r="FXW26" s="388"/>
      <c r="FXX26" s="388"/>
      <c r="FXY26" s="388"/>
      <c r="FXZ26" s="388"/>
      <c r="FYA26" s="388"/>
      <c r="FYB26" s="388"/>
      <c r="FYC26" s="388"/>
      <c r="FYD26" s="388"/>
      <c r="FYE26" s="388"/>
      <c r="FYF26" s="388"/>
      <c r="FYG26" s="388"/>
      <c r="FYH26" s="388"/>
      <c r="FYI26" s="388"/>
      <c r="FYJ26" s="388"/>
      <c r="FYK26" s="388"/>
      <c r="FYL26" s="388"/>
      <c r="FYM26" s="388"/>
      <c r="FYN26" s="388"/>
      <c r="FYO26" s="388"/>
      <c r="FYP26" s="388"/>
      <c r="FYQ26" s="388"/>
      <c r="FYR26" s="388"/>
      <c r="FYS26" s="388"/>
      <c r="FYT26" s="388"/>
      <c r="FYU26" s="388"/>
      <c r="FYV26" s="388"/>
      <c r="FYW26" s="388"/>
      <c r="FYX26" s="388"/>
      <c r="FYY26" s="388"/>
      <c r="FYZ26" s="388"/>
      <c r="FZA26" s="388"/>
      <c r="FZB26" s="388"/>
      <c r="FZC26" s="388"/>
      <c r="FZD26" s="388"/>
      <c r="FZE26" s="388"/>
      <c r="FZF26" s="388"/>
      <c r="FZG26" s="388"/>
      <c r="FZH26" s="388"/>
      <c r="FZI26" s="388"/>
      <c r="FZJ26" s="388"/>
      <c r="FZK26" s="388"/>
      <c r="FZL26" s="388"/>
      <c r="FZM26" s="388"/>
      <c r="FZN26" s="388"/>
      <c r="FZO26" s="388"/>
      <c r="FZP26" s="388"/>
      <c r="FZQ26" s="388"/>
      <c r="FZR26" s="388"/>
      <c r="FZS26" s="388"/>
      <c r="FZT26" s="388"/>
      <c r="FZU26" s="388"/>
      <c r="FZV26" s="388"/>
      <c r="FZW26" s="388"/>
      <c r="FZX26" s="388"/>
      <c r="FZY26" s="388"/>
      <c r="FZZ26" s="388"/>
      <c r="GAA26" s="388"/>
      <c r="GAB26" s="388"/>
      <c r="GAC26" s="388"/>
      <c r="GAD26" s="388"/>
      <c r="GAE26" s="388"/>
      <c r="GAF26" s="388"/>
      <c r="GAG26" s="388"/>
      <c r="GAH26" s="388"/>
      <c r="GAI26" s="388"/>
      <c r="GAJ26" s="388"/>
      <c r="GAK26" s="388"/>
      <c r="GAL26" s="388"/>
      <c r="GAM26" s="388"/>
      <c r="GAN26" s="388"/>
      <c r="GAO26" s="388"/>
      <c r="GAP26" s="388"/>
      <c r="GAQ26" s="388"/>
      <c r="GAR26" s="388"/>
      <c r="GAS26" s="388"/>
      <c r="GAT26" s="388"/>
      <c r="GAU26" s="388"/>
      <c r="GAV26" s="388"/>
      <c r="GAW26" s="388"/>
      <c r="GAX26" s="388"/>
      <c r="GAY26" s="388"/>
      <c r="GAZ26" s="388"/>
      <c r="GBA26" s="388"/>
      <c r="GBB26" s="388"/>
      <c r="GBC26" s="388"/>
      <c r="GBD26" s="388"/>
      <c r="GBE26" s="388"/>
      <c r="GBF26" s="388"/>
      <c r="GBG26" s="388"/>
      <c r="GBH26" s="388"/>
      <c r="GBI26" s="388"/>
      <c r="GBJ26" s="388"/>
      <c r="GBK26" s="388"/>
      <c r="GBL26" s="388"/>
      <c r="GBM26" s="388"/>
      <c r="GBN26" s="388"/>
      <c r="GBO26" s="388"/>
      <c r="GBP26" s="388"/>
      <c r="GBQ26" s="388"/>
      <c r="GBR26" s="388"/>
      <c r="GBS26" s="388"/>
      <c r="GBT26" s="388"/>
      <c r="GBU26" s="388"/>
      <c r="GBV26" s="388"/>
      <c r="GBW26" s="388"/>
      <c r="GBX26" s="388"/>
      <c r="GBY26" s="388"/>
      <c r="GBZ26" s="388"/>
      <c r="GCA26" s="388"/>
      <c r="GCB26" s="388"/>
      <c r="GCC26" s="388"/>
      <c r="GCD26" s="388"/>
      <c r="GCE26" s="388"/>
      <c r="GCF26" s="388"/>
      <c r="GCG26" s="388"/>
      <c r="GCH26" s="388"/>
      <c r="GCI26" s="388"/>
      <c r="GCJ26" s="388"/>
      <c r="GCK26" s="388"/>
      <c r="GCL26" s="388"/>
      <c r="GCM26" s="388"/>
      <c r="GCN26" s="388"/>
      <c r="GCO26" s="388"/>
      <c r="GCP26" s="388"/>
      <c r="GCQ26" s="388"/>
      <c r="GCR26" s="388"/>
      <c r="GCS26" s="388"/>
      <c r="GCT26" s="388"/>
      <c r="GCU26" s="388"/>
      <c r="GCV26" s="388"/>
      <c r="GCW26" s="388"/>
      <c r="GCX26" s="388"/>
      <c r="GCY26" s="388"/>
      <c r="GCZ26" s="388"/>
      <c r="GDA26" s="388"/>
      <c r="GDB26" s="388"/>
      <c r="GDC26" s="388"/>
      <c r="GDD26" s="388"/>
      <c r="GDE26" s="388"/>
      <c r="GDF26" s="388"/>
      <c r="GDG26" s="388"/>
      <c r="GDH26" s="388"/>
      <c r="GDI26" s="388"/>
      <c r="GDJ26" s="388"/>
      <c r="GDK26" s="388"/>
      <c r="GDL26" s="388"/>
      <c r="GDM26" s="388"/>
      <c r="GDN26" s="388"/>
      <c r="GDO26" s="388"/>
      <c r="GDP26" s="388"/>
      <c r="GDQ26" s="388"/>
      <c r="GDR26" s="388"/>
      <c r="GDS26" s="388"/>
      <c r="GDT26" s="388"/>
      <c r="GDU26" s="388"/>
      <c r="GDV26" s="388"/>
      <c r="GDW26" s="388"/>
      <c r="GDX26" s="388"/>
      <c r="GDY26" s="388"/>
      <c r="GDZ26" s="388"/>
      <c r="GEA26" s="388"/>
      <c r="GEB26" s="388"/>
      <c r="GEC26" s="388"/>
      <c r="GED26" s="388"/>
      <c r="GEE26" s="388"/>
      <c r="GEF26" s="388"/>
      <c r="GEG26" s="388"/>
      <c r="GEH26" s="388"/>
      <c r="GEI26" s="388"/>
      <c r="GEJ26" s="388"/>
      <c r="GEK26" s="388"/>
      <c r="GEL26" s="388"/>
      <c r="GEM26" s="388"/>
      <c r="GEN26" s="388"/>
      <c r="GEO26" s="388"/>
      <c r="GEP26" s="388"/>
      <c r="GEQ26" s="388"/>
      <c r="GER26" s="388"/>
      <c r="GES26" s="388"/>
      <c r="GET26" s="388"/>
      <c r="GEU26" s="388"/>
      <c r="GEV26" s="388"/>
      <c r="GEW26" s="388"/>
      <c r="GEX26" s="388"/>
      <c r="GEY26" s="388"/>
      <c r="GEZ26" s="388"/>
      <c r="GFA26" s="388"/>
      <c r="GFB26" s="388"/>
      <c r="GFC26" s="388"/>
      <c r="GFD26" s="388"/>
      <c r="GFE26" s="388"/>
      <c r="GFF26" s="388"/>
      <c r="GFG26" s="388"/>
      <c r="GFH26" s="388"/>
      <c r="GFI26" s="388"/>
      <c r="GFJ26" s="388"/>
      <c r="GFK26" s="388"/>
      <c r="GFL26" s="388"/>
      <c r="GFM26" s="388"/>
      <c r="GFN26" s="388"/>
      <c r="GFO26" s="388"/>
      <c r="GFP26" s="388"/>
      <c r="GFQ26" s="388"/>
      <c r="GFR26" s="388"/>
      <c r="GFS26" s="388"/>
      <c r="GFT26" s="388"/>
      <c r="GFU26" s="388"/>
      <c r="GFV26" s="388"/>
      <c r="GFW26" s="388"/>
      <c r="GFX26" s="388"/>
      <c r="GFY26" s="388"/>
      <c r="GFZ26" s="388"/>
      <c r="GGA26" s="388"/>
      <c r="GGB26" s="388"/>
      <c r="GGC26" s="388"/>
      <c r="GGD26" s="388"/>
      <c r="GGE26" s="388"/>
      <c r="GGF26" s="388"/>
      <c r="GGG26" s="388"/>
      <c r="GGH26" s="388"/>
      <c r="GGI26" s="388"/>
      <c r="GGJ26" s="388"/>
      <c r="GGK26" s="388"/>
      <c r="GGL26" s="388"/>
      <c r="GGM26" s="388"/>
      <c r="GGN26" s="388"/>
      <c r="GGO26" s="388"/>
      <c r="GGP26" s="388"/>
      <c r="GGQ26" s="388"/>
      <c r="GGR26" s="388"/>
      <c r="GGS26" s="388"/>
      <c r="GGT26" s="388"/>
      <c r="GGU26" s="388"/>
      <c r="GGV26" s="388"/>
      <c r="GGW26" s="388"/>
      <c r="GGX26" s="388"/>
      <c r="GGY26" s="388"/>
      <c r="GGZ26" s="388"/>
      <c r="GHA26" s="388"/>
      <c r="GHB26" s="388"/>
      <c r="GHC26" s="388"/>
      <c r="GHD26" s="388"/>
      <c r="GHE26" s="388"/>
      <c r="GHF26" s="388"/>
      <c r="GHG26" s="388"/>
      <c r="GHH26" s="388"/>
      <c r="GHI26" s="388"/>
      <c r="GHJ26" s="388"/>
      <c r="GHK26" s="388"/>
      <c r="GHL26" s="388"/>
      <c r="GHM26" s="388"/>
      <c r="GHN26" s="388"/>
      <c r="GHO26" s="388"/>
      <c r="GHP26" s="388"/>
      <c r="GHQ26" s="388"/>
      <c r="GHR26" s="388"/>
      <c r="GHS26" s="388"/>
      <c r="GHT26" s="388"/>
      <c r="GHU26" s="388"/>
      <c r="GHV26" s="388"/>
      <c r="GHW26" s="388"/>
      <c r="GHX26" s="388"/>
      <c r="GHY26" s="388"/>
      <c r="GHZ26" s="388"/>
      <c r="GIA26" s="388"/>
      <c r="GIB26" s="388"/>
      <c r="GIC26" s="388"/>
      <c r="GID26" s="388"/>
      <c r="GIE26" s="388"/>
      <c r="GIF26" s="388"/>
      <c r="GIG26" s="388"/>
      <c r="GIH26" s="388"/>
      <c r="GII26" s="388"/>
      <c r="GIJ26" s="388"/>
      <c r="GIK26" s="388"/>
      <c r="GIL26" s="388"/>
      <c r="GIM26" s="388"/>
      <c r="GIN26" s="388"/>
      <c r="GIO26" s="388"/>
      <c r="GIP26" s="388"/>
      <c r="GIQ26" s="388"/>
      <c r="GIR26" s="388"/>
      <c r="GIS26" s="388"/>
      <c r="GIT26" s="388"/>
      <c r="GIU26" s="388"/>
      <c r="GIV26" s="388"/>
      <c r="GIW26" s="388"/>
      <c r="GIX26" s="388"/>
      <c r="GIY26" s="388"/>
      <c r="GIZ26" s="388"/>
      <c r="GJA26" s="388"/>
      <c r="GJB26" s="388"/>
      <c r="GJC26" s="388"/>
      <c r="GJD26" s="388"/>
      <c r="GJE26" s="388"/>
      <c r="GJF26" s="388"/>
      <c r="GJG26" s="388"/>
      <c r="GJH26" s="388"/>
      <c r="GJI26" s="388"/>
      <c r="GJJ26" s="388"/>
      <c r="GJK26" s="388"/>
      <c r="GJL26" s="388"/>
      <c r="GJM26" s="388"/>
      <c r="GJN26" s="388"/>
      <c r="GJO26" s="388"/>
      <c r="GJP26" s="388"/>
      <c r="GJQ26" s="388"/>
      <c r="GJR26" s="388"/>
      <c r="GJS26" s="388"/>
      <c r="GJT26" s="388"/>
      <c r="GJU26" s="388"/>
      <c r="GJV26" s="388"/>
      <c r="GJW26" s="388"/>
      <c r="GJX26" s="388"/>
      <c r="GJY26" s="388"/>
      <c r="GJZ26" s="388"/>
      <c r="GKA26" s="388"/>
      <c r="GKB26" s="388"/>
      <c r="GKC26" s="388"/>
      <c r="GKD26" s="388"/>
      <c r="GKE26" s="388"/>
      <c r="GKF26" s="388"/>
      <c r="GKG26" s="388"/>
      <c r="GKH26" s="388"/>
      <c r="GKI26" s="388"/>
      <c r="GKJ26" s="388"/>
      <c r="GKK26" s="388"/>
      <c r="GKL26" s="388"/>
      <c r="GKM26" s="388"/>
      <c r="GKN26" s="388"/>
      <c r="GKO26" s="388"/>
      <c r="GKP26" s="388"/>
      <c r="GKQ26" s="388"/>
      <c r="GKR26" s="388"/>
      <c r="GKS26" s="388"/>
      <c r="GKT26" s="388"/>
      <c r="GKU26" s="388"/>
      <c r="GKV26" s="388"/>
      <c r="GKW26" s="388"/>
      <c r="GKX26" s="388"/>
      <c r="GKY26" s="388"/>
      <c r="GKZ26" s="388"/>
      <c r="GLA26" s="388"/>
      <c r="GLB26" s="388"/>
      <c r="GLC26" s="388"/>
      <c r="GLD26" s="388"/>
      <c r="GLE26" s="388"/>
      <c r="GLF26" s="388"/>
      <c r="GLG26" s="388"/>
      <c r="GLH26" s="388"/>
      <c r="GLI26" s="388"/>
      <c r="GLJ26" s="388"/>
      <c r="GLK26" s="388"/>
      <c r="GLL26" s="388"/>
      <c r="GLM26" s="388"/>
      <c r="GLN26" s="388"/>
      <c r="GLO26" s="388"/>
      <c r="GLP26" s="388"/>
      <c r="GLQ26" s="388"/>
      <c r="GLR26" s="388"/>
      <c r="GLS26" s="388"/>
      <c r="GLT26" s="388"/>
      <c r="GLU26" s="388"/>
      <c r="GLV26" s="388"/>
      <c r="GLW26" s="388"/>
      <c r="GLX26" s="388"/>
      <c r="GLY26" s="388"/>
      <c r="GLZ26" s="388"/>
      <c r="GMA26" s="388"/>
      <c r="GMB26" s="388"/>
      <c r="GMC26" s="388"/>
      <c r="GMD26" s="388"/>
      <c r="GME26" s="388"/>
      <c r="GMF26" s="388"/>
      <c r="GMG26" s="388"/>
      <c r="GMH26" s="388"/>
      <c r="GMI26" s="388"/>
      <c r="GMJ26" s="388"/>
      <c r="GMK26" s="388"/>
      <c r="GML26" s="388"/>
      <c r="GMM26" s="388"/>
      <c r="GMN26" s="388"/>
      <c r="GMO26" s="388"/>
      <c r="GMP26" s="388"/>
      <c r="GMQ26" s="388"/>
      <c r="GMR26" s="388"/>
      <c r="GMS26" s="388"/>
      <c r="GMT26" s="388"/>
      <c r="GMU26" s="388"/>
      <c r="GMV26" s="388"/>
      <c r="GMW26" s="388"/>
      <c r="GMX26" s="388"/>
      <c r="GMY26" s="388"/>
      <c r="GMZ26" s="388"/>
      <c r="GNA26" s="388"/>
      <c r="GNB26" s="388"/>
      <c r="GNC26" s="388"/>
      <c r="GND26" s="388"/>
      <c r="GNE26" s="388"/>
      <c r="GNF26" s="388"/>
      <c r="GNG26" s="388"/>
      <c r="GNH26" s="388"/>
      <c r="GNI26" s="388"/>
      <c r="GNJ26" s="388"/>
      <c r="GNK26" s="388"/>
      <c r="GNL26" s="388"/>
      <c r="GNM26" s="388"/>
      <c r="GNN26" s="388"/>
      <c r="GNO26" s="388"/>
      <c r="GNP26" s="388"/>
      <c r="GNQ26" s="388"/>
      <c r="GNR26" s="388"/>
      <c r="GNS26" s="388"/>
      <c r="GNT26" s="388"/>
      <c r="GNU26" s="388"/>
      <c r="GNV26" s="388"/>
      <c r="GNW26" s="388"/>
      <c r="GNX26" s="388"/>
      <c r="GNY26" s="388"/>
      <c r="GNZ26" s="388"/>
      <c r="GOA26" s="388"/>
      <c r="GOB26" s="388"/>
      <c r="GOC26" s="388"/>
      <c r="GOD26" s="388"/>
      <c r="GOE26" s="388"/>
      <c r="GOF26" s="388"/>
      <c r="GOG26" s="388"/>
      <c r="GOH26" s="388"/>
      <c r="GOI26" s="388"/>
      <c r="GOJ26" s="388"/>
      <c r="GOK26" s="388"/>
      <c r="GOL26" s="388"/>
      <c r="GOM26" s="388"/>
      <c r="GON26" s="388"/>
      <c r="GOO26" s="388"/>
      <c r="GOP26" s="388"/>
      <c r="GOQ26" s="388"/>
      <c r="GOR26" s="388"/>
      <c r="GOS26" s="388"/>
      <c r="GOT26" s="388"/>
      <c r="GOU26" s="388"/>
      <c r="GOV26" s="388"/>
      <c r="GOW26" s="388"/>
      <c r="GOX26" s="388"/>
      <c r="GOY26" s="388"/>
      <c r="GOZ26" s="388"/>
      <c r="GPA26" s="388"/>
      <c r="GPB26" s="388"/>
      <c r="GPC26" s="388"/>
      <c r="GPD26" s="388"/>
      <c r="GPE26" s="388"/>
      <c r="GPF26" s="388"/>
      <c r="GPG26" s="388"/>
      <c r="GPH26" s="388"/>
      <c r="GPI26" s="388"/>
      <c r="GPJ26" s="388"/>
      <c r="GPK26" s="388"/>
      <c r="GPL26" s="388"/>
      <c r="GPM26" s="388"/>
      <c r="GPN26" s="388"/>
      <c r="GPO26" s="388"/>
      <c r="GPP26" s="388"/>
      <c r="GPQ26" s="388"/>
      <c r="GPR26" s="388"/>
      <c r="GPS26" s="388"/>
      <c r="GPT26" s="388"/>
      <c r="GPU26" s="388"/>
      <c r="GPV26" s="388"/>
      <c r="GPW26" s="388"/>
      <c r="GPX26" s="388"/>
      <c r="GPY26" s="388"/>
      <c r="GPZ26" s="388"/>
      <c r="GQA26" s="388"/>
      <c r="GQB26" s="388"/>
      <c r="GQC26" s="388"/>
      <c r="GQD26" s="388"/>
      <c r="GQE26" s="388"/>
      <c r="GQF26" s="388"/>
      <c r="GQG26" s="388"/>
      <c r="GQH26" s="388"/>
      <c r="GQI26" s="388"/>
      <c r="GQJ26" s="388"/>
      <c r="GQK26" s="388"/>
      <c r="GQL26" s="388"/>
      <c r="GQM26" s="388"/>
      <c r="GQN26" s="388"/>
      <c r="GQO26" s="388"/>
      <c r="GQP26" s="388"/>
      <c r="GQQ26" s="388"/>
      <c r="GQR26" s="388"/>
      <c r="GQS26" s="388"/>
      <c r="GQT26" s="388"/>
      <c r="GQU26" s="388"/>
      <c r="GQV26" s="388"/>
      <c r="GQW26" s="388"/>
      <c r="GQX26" s="388"/>
      <c r="GQY26" s="388"/>
      <c r="GQZ26" s="388"/>
      <c r="GRA26" s="388"/>
      <c r="GRB26" s="388"/>
      <c r="GRC26" s="388"/>
      <c r="GRD26" s="388"/>
      <c r="GRE26" s="388"/>
      <c r="GRF26" s="388"/>
      <c r="GRG26" s="388"/>
      <c r="GRH26" s="388"/>
      <c r="GRI26" s="388"/>
      <c r="GRJ26" s="388"/>
      <c r="GRK26" s="388"/>
      <c r="GRL26" s="388"/>
      <c r="GRM26" s="388"/>
      <c r="GRN26" s="388"/>
      <c r="GRO26" s="388"/>
      <c r="GRP26" s="388"/>
      <c r="GRQ26" s="388"/>
      <c r="GRR26" s="388"/>
      <c r="GRS26" s="388"/>
      <c r="GRT26" s="388"/>
      <c r="GRU26" s="388"/>
      <c r="GRV26" s="388"/>
      <c r="GRW26" s="388"/>
      <c r="GRX26" s="388"/>
      <c r="GRY26" s="388"/>
      <c r="GRZ26" s="388"/>
      <c r="GSA26" s="388"/>
      <c r="GSB26" s="388"/>
      <c r="GSC26" s="388"/>
      <c r="GSD26" s="388"/>
      <c r="GSE26" s="388"/>
      <c r="GSF26" s="388"/>
      <c r="GSG26" s="388"/>
      <c r="GSH26" s="388"/>
      <c r="GSI26" s="388"/>
      <c r="GSJ26" s="388"/>
      <c r="GSK26" s="388"/>
      <c r="GSL26" s="388"/>
      <c r="GSM26" s="388"/>
      <c r="GSN26" s="388"/>
      <c r="GSO26" s="388"/>
      <c r="GSP26" s="388"/>
      <c r="GSQ26" s="388"/>
      <c r="GSR26" s="388"/>
      <c r="GSS26" s="388"/>
      <c r="GST26" s="388"/>
      <c r="GSU26" s="388"/>
      <c r="GSV26" s="388"/>
      <c r="GSW26" s="388"/>
      <c r="GSX26" s="388"/>
      <c r="GSY26" s="388"/>
      <c r="GSZ26" s="388"/>
      <c r="GTA26" s="388"/>
      <c r="GTB26" s="388"/>
      <c r="GTC26" s="388"/>
      <c r="GTD26" s="388"/>
      <c r="GTE26" s="388"/>
      <c r="GTF26" s="388"/>
      <c r="GTG26" s="388"/>
      <c r="GTH26" s="388"/>
      <c r="GTI26" s="388"/>
      <c r="GTJ26" s="388"/>
      <c r="GTK26" s="388"/>
      <c r="GTL26" s="388"/>
      <c r="GTM26" s="388"/>
      <c r="GTN26" s="388"/>
      <c r="GTO26" s="388"/>
      <c r="GTP26" s="388"/>
      <c r="GTQ26" s="388"/>
      <c r="GTR26" s="388"/>
      <c r="GTS26" s="388"/>
      <c r="GTT26" s="388"/>
      <c r="GTU26" s="388"/>
      <c r="GTV26" s="388"/>
      <c r="GTW26" s="388"/>
      <c r="GTX26" s="388"/>
      <c r="GTY26" s="388"/>
      <c r="GTZ26" s="388"/>
      <c r="GUA26" s="388"/>
      <c r="GUB26" s="388"/>
      <c r="GUC26" s="388"/>
      <c r="GUD26" s="388"/>
      <c r="GUE26" s="388"/>
      <c r="GUF26" s="388"/>
      <c r="GUG26" s="388"/>
      <c r="GUH26" s="388"/>
      <c r="GUI26" s="388"/>
      <c r="GUJ26" s="388"/>
      <c r="GUK26" s="388"/>
      <c r="GUL26" s="388"/>
      <c r="GUM26" s="388"/>
      <c r="GUN26" s="388"/>
      <c r="GUO26" s="388"/>
      <c r="GUP26" s="388"/>
      <c r="GUQ26" s="388"/>
      <c r="GUR26" s="388"/>
      <c r="GUS26" s="388"/>
      <c r="GUT26" s="388"/>
      <c r="GUU26" s="388"/>
      <c r="GUV26" s="388"/>
      <c r="GUW26" s="388"/>
      <c r="GUX26" s="388"/>
      <c r="GUY26" s="388"/>
      <c r="GUZ26" s="388"/>
      <c r="GVA26" s="388"/>
      <c r="GVB26" s="388"/>
      <c r="GVC26" s="388"/>
      <c r="GVD26" s="388"/>
      <c r="GVE26" s="388"/>
      <c r="GVF26" s="388"/>
      <c r="GVG26" s="388"/>
      <c r="GVH26" s="388"/>
      <c r="GVI26" s="388"/>
      <c r="GVJ26" s="388"/>
      <c r="GVK26" s="388"/>
      <c r="GVL26" s="388"/>
      <c r="GVM26" s="388"/>
      <c r="GVN26" s="388"/>
      <c r="GVO26" s="388"/>
      <c r="GVP26" s="388"/>
      <c r="GVQ26" s="388"/>
      <c r="GVR26" s="388"/>
      <c r="GVS26" s="388"/>
      <c r="GVT26" s="388"/>
      <c r="GVU26" s="388"/>
      <c r="GVV26" s="388"/>
      <c r="GVW26" s="388"/>
      <c r="GVX26" s="388"/>
      <c r="GVY26" s="388"/>
      <c r="GVZ26" s="388"/>
      <c r="GWA26" s="388"/>
      <c r="GWB26" s="388"/>
      <c r="GWC26" s="388"/>
      <c r="GWD26" s="388"/>
      <c r="GWE26" s="388"/>
      <c r="GWF26" s="388"/>
      <c r="GWG26" s="388"/>
      <c r="GWH26" s="388"/>
      <c r="GWI26" s="388"/>
      <c r="GWJ26" s="388"/>
      <c r="GWK26" s="388"/>
      <c r="GWL26" s="388"/>
      <c r="GWM26" s="388"/>
      <c r="GWN26" s="388"/>
      <c r="GWO26" s="388"/>
      <c r="GWP26" s="388"/>
      <c r="GWQ26" s="388"/>
      <c r="GWR26" s="388"/>
      <c r="GWS26" s="388"/>
      <c r="GWT26" s="388"/>
      <c r="GWU26" s="388"/>
      <c r="GWV26" s="388"/>
      <c r="GWW26" s="388"/>
      <c r="GWX26" s="388"/>
      <c r="GWY26" s="388"/>
      <c r="GWZ26" s="388"/>
      <c r="GXA26" s="388"/>
      <c r="GXB26" s="388"/>
      <c r="GXC26" s="388"/>
      <c r="GXD26" s="388"/>
      <c r="GXE26" s="388"/>
      <c r="GXF26" s="388"/>
      <c r="GXG26" s="388"/>
      <c r="GXH26" s="388"/>
      <c r="GXI26" s="388"/>
      <c r="GXJ26" s="388"/>
      <c r="GXK26" s="388"/>
      <c r="GXL26" s="388"/>
      <c r="GXM26" s="388"/>
      <c r="GXN26" s="388"/>
      <c r="GXO26" s="388"/>
      <c r="GXP26" s="388"/>
      <c r="GXQ26" s="388"/>
      <c r="GXR26" s="388"/>
      <c r="GXS26" s="388"/>
      <c r="GXT26" s="388"/>
      <c r="GXU26" s="388"/>
      <c r="GXV26" s="388"/>
      <c r="GXW26" s="388"/>
      <c r="GXX26" s="388"/>
      <c r="GXY26" s="388"/>
      <c r="GXZ26" s="388"/>
      <c r="GYA26" s="388"/>
      <c r="GYB26" s="388"/>
      <c r="GYC26" s="388"/>
      <c r="GYD26" s="388"/>
      <c r="GYE26" s="388"/>
      <c r="GYF26" s="388"/>
      <c r="GYG26" s="388"/>
      <c r="GYH26" s="388"/>
      <c r="GYI26" s="388"/>
      <c r="GYJ26" s="388"/>
      <c r="GYK26" s="388"/>
      <c r="GYL26" s="388"/>
      <c r="GYM26" s="388"/>
      <c r="GYN26" s="388"/>
      <c r="GYO26" s="388"/>
      <c r="GYP26" s="388"/>
      <c r="GYQ26" s="388"/>
      <c r="GYR26" s="388"/>
      <c r="GYS26" s="388"/>
      <c r="GYT26" s="388"/>
      <c r="GYU26" s="388"/>
      <c r="GYV26" s="388"/>
      <c r="GYW26" s="388"/>
      <c r="GYX26" s="388"/>
      <c r="GYY26" s="388"/>
      <c r="GYZ26" s="388"/>
      <c r="GZA26" s="388"/>
      <c r="GZB26" s="388"/>
      <c r="GZC26" s="388"/>
      <c r="GZD26" s="388"/>
      <c r="GZE26" s="388"/>
      <c r="GZF26" s="388"/>
      <c r="GZG26" s="388"/>
      <c r="GZH26" s="388"/>
      <c r="GZI26" s="388"/>
      <c r="GZJ26" s="388"/>
      <c r="GZK26" s="388"/>
      <c r="GZL26" s="388"/>
      <c r="GZM26" s="388"/>
      <c r="GZN26" s="388"/>
      <c r="GZO26" s="388"/>
      <c r="GZP26" s="388"/>
      <c r="GZQ26" s="388"/>
      <c r="GZR26" s="388"/>
      <c r="GZS26" s="388"/>
      <c r="GZT26" s="388"/>
      <c r="GZU26" s="388"/>
      <c r="GZV26" s="388"/>
      <c r="GZW26" s="388"/>
      <c r="GZX26" s="388"/>
      <c r="GZY26" s="388"/>
      <c r="GZZ26" s="388"/>
      <c r="HAA26" s="388"/>
      <c r="HAB26" s="388"/>
      <c r="HAC26" s="388"/>
      <c r="HAD26" s="388"/>
      <c r="HAE26" s="388"/>
      <c r="HAF26" s="388"/>
      <c r="HAG26" s="388"/>
      <c r="HAH26" s="388"/>
      <c r="HAI26" s="388"/>
      <c r="HAJ26" s="388"/>
      <c r="HAK26" s="388"/>
      <c r="HAL26" s="388"/>
      <c r="HAM26" s="388"/>
      <c r="HAN26" s="388"/>
      <c r="HAO26" s="388"/>
      <c r="HAP26" s="388"/>
      <c r="HAQ26" s="388"/>
      <c r="HAR26" s="388"/>
      <c r="HAS26" s="388"/>
      <c r="HAT26" s="388"/>
      <c r="HAU26" s="388"/>
      <c r="HAV26" s="388"/>
      <c r="HAW26" s="388"/>
      <c r="HAX26" s="388"/>
      <c r="HAY26" s="388"/>
      <c r="HAZ26" s="388"/>
      <c r="HBA26" s="388"/>
      <c r="HBB26" s="388"/>
      <c r="HBC26" s="388"/>
      <c r="HBD26" s="388"/>
      <c r="HBE26" s="388"/>
      <c r="HBF26" s="388"/>
      <c r="HBG26" s="388"/>
      <c r="HBH26" s="388"/>
      <c r="HBI26" s="388"/>
      <c r="HBJ26" s="388"/>
      <c r="HBK26" s="388"/>
      <c r="HBL26" s="388"/>
      <c r="HBM26" s="388"/>
      <c r="HBN26" s="388"/>
      <c r="HBO26" s="388"/>
      <c r="HBP26" s="388"/>
      <c r="HBQ26" s="388"/>
      <c r="HBR26" s="388"/>
      <c r="HBS26" s="388"/>
      <c r="HBT26" s="388"/>
      <c r="HBU26" s="388"/>
      <c r="HBV26" s="388"/>
      <c r="HBW26" s="388"/>
      <c r="HBX26" s="388"/>
      <c r="HBY26" s="388"/>
      <c r="HBZ26" s="388"/>
      <c r="HCA26" s="388"/>
      <c r="HCB26" s="388"/>
      <c r="HCC26" s="388"/>
      <c r="HCD26" s="388"/>
      <c r="HCE26" s="388"/>
      <c r="HCF26" s="388"/>
      <c r="HCG26" s="388"/>
      <c r="HCH26" s="388"/>
      <c r="HCI26" s="388"/>
      <c r="HCJ26" s="388"/>
      <c r="HCK26" s="388"/>
      <c r="HCL26" s="388"/>
      <c r="HCM26" s="388"/>
      <c r="HCN26" s="388"/>
      <c r="HCO26" s="388"/>
      <c r="HCP26" s="388"/>
      <c r="HCQ26" s="388"/>
      <c r="HCR26" s="388"/>
      <c r="HCS26" s="388"/>
      <c r="HCT26" s="388"/>
      <c r="HCU26" s="388"/>
      <c r="HCV26" s="388"/>
      <c r="HCW26" s="388"/>
      <c r="HCX26" s="388"/>
      <c r="HCY26" s="388"/>
      <c r="HCZ26" s="388"/>
      <c r="HDA26" s="388"/>
      <c r="HDB26" s="388"/>
      <c r="HDC26" s="388"/>
      <c r="HDD26" s="388"/>
      <c r="HDE26" s="388"/>
      <c r="HDF26" s="388"/>
      <c r="HDG26" s="388"/>
      <c r="HDH26" s="388"/>
      <c r="HDI26" s="388"/>
      <c r="HDJ26" s="388"/>
      <c r="HDK26" s="388"/>
      <c r="HDL26" s="388"/>
      <c r="HDM26" s="388"/>
      <c r="HDN26" s="388"/>
      <c r="HDO26" s="388"/>
      <c r="HDP26" s="388"/>
      <c r="HDQ26" s="388"/>
      <c r="HDR26" s="388"/>
      <c r="HDS26" s="388"/>
      <c r="HDT26" s="388"/>
      <c r="HDU26" s="388"/>
      <c r="HDV26" s="388"/>
      <c r="HDW26" s="388"/>
      <c r="HDX26" s="388"/>
      <c r="HDY26" s="388"/>
      <c r="HDZ26" s="388"/>
      <c r="HEA26" s="388"/>
      <c r="HEB26" s="388"/>
      <c r="HEC26" s="388"/>
      <c r="HED26" s="388"/>
      <c r="HEE26" s="388"/>
      <c r="HEF26" s="388"/>
      <c r="HEG26" s="388"/>
      <c r="HEH26" s="388"/>
      <c r="HEI26" s="388"/>
      <c r="HEJ26" s="388"/>
      <c r="HEK26" s="388"/>
      <c r="HEL26" s="388"/>
      <c r="HEM26" s="388"/>
      <c r="HEN26" s="388"/>
      <c r="HEO26" s="388"/>
      <c r="HEP26" s="388"/>
      <c r="HEQ26" s="388"/>
      <c r="HER26" s="388"/>
      <c r="HES26" s="388"/>
      <c r="HET26" s="388"/>
      <c r="HEU26" s="388"/>
      <c r="HEV26" s="388"/>
      <c r="HEW26" s="388"/>
      <c r="HEX26" s="388"/>
      <c r="HEY26" s="388"/>
      <c r="HEZ26" s="388"/>
      <c r="HFA26" s="388"/>
      <c r="HFB26" s="388"/>
      <c r="HFC26" s="388"/>
      <c r="HFD26" s="388"/>
      <c r="HFE26" s="388"/>
      <c r="HFF26" s="388"/>
      <c r="HFG26" s="388"/>
      <c r="HFH26" s="388"/>
      <c r="HFI26" s="388"/>
      <c r="HFJ26" s="388"/>
      <c r="HFK26" s="388"/>
      <c r="HFL26" s="388"/>
      <c r="HFM26" s="388"/>
      <c r="HFN26" s="388"/>
      <c r="HFO26" s="388"/>
      <c r="HFP26" s="388"/>
      <c r="HFQ26" s="388"/>
      <c r="HFR26" s="388"/>
      <c r="HFS26" s="388"/>
      <c r="HFT26" s="388"/>
      <c r="HFU26" s="388"/>
      <c r="HFV26" s="388"/>
      <c r="HFW26" s="388"/>
      <c r="HFX26" s="388"/>
      <c r="HFY26" s="388"/>
      <c r="HFZ26" s="388"/>
      <c r="HGA26" s="388"/>
      <c r="HGB26" s="388"/>
      <c r="HGC26" s="388"/>
      <c r="HGD26" s="388"/>
      <c r="HGE26" s="388"/>
      <c r="HGF26" s="388"/>
      <c r="HGG26" s="388"/>
      <c r="HGH26" s="388"/>
      <c r="HGI26" s="388"/>
      <c r="HGJ26" s="388"/>
      <c r="HGK26" s="388"/>
      <c r="HGL26" s="388"/>
      <c r="HGM26" s="388"/>
      <c r="HGN26" s="388"/>
      <c r="HGO26" s="388"/>
      <c r="HGP26" s="388"/>
      <c r="HGQ26" s="388"/>
      <c r="HGR26" s="388"/>
      <c r="HGS26" s="388"/>
      <c r="HGT26" s="388"/>
      <c r="HGU26" s="388"/>
      <c r="HGV26" s="388"/>
      <c r="HGW26" s="388"/>
      <c r="HGX26" s="388"/>
      <c r="HGY26" s="388"/>
      <c r="HGZ26" s="388"/>
      <c r="HHA26" s="388"/>
      <c r="HHB26" s="388"/>
      <c r="HHC26" s="388"/>
      <c r="HHD26" s="388"/>
      <c r="HHE26" s="388"/>
      <c r="HHF26" s="388"/>
      <c r="HHG26" s="388"/>
      <c r="HHH26" s="388"/>
      <c r="HHI26" s="388"/>
      <c r="HHJ26" s="388"/>
      <c r="HHK26" s="388"/>
      <c r="HHL26" s="388"/>
      <c r="HHM26" s="388"/>
      <c r="HHN26" s="388"/>
      <c r="HHO26" s="388"/>
      <c r="HHP26" s="388"/>
      <c r="HHQ26" s="388"/>
      <c r="HHR26" s="388"/>
      <c r="HHS26" s="388"/>
      <c r="HHT26" s="388"/>
      <c r="HHU26" s="388"/>
      <c r="HHV26" s="388"/>
      <c r="HHW26" s="388"/>
      <c r="HHX26" s="388"/>
      <c r="HHY26" s="388"/>
      <c r="HHZ26" s="388"/>
      <c r="HIA26" s="388"/>
      <c r="HIB26" s="388"/>
      <c r="HIC26" s="388"/>
      <c r="HID26" s="388"/>
      <c r="HIE26" s="388"/>
      <c r="HIF26" s="388"/>
      <c r="HIG26" s="388"/>
      <c r="HIH26" s="388"/>
      <c r="HII26" s="388"/>
      <c r="HIJ26" s="388"/>
      <c r="HIK26" s="388"/>
      <c r="HIL26" s="388"/>
      <c r="HIM26" s="388"/>
      <c r="HIN26" s="388"/>
      <c r="HIO26" s="388"/>
      <c r="HIP26" s="388"/>
      <c r="HIQ26" s="388"/>
      <c r="HIR26" s="388"/>
      <c r="HIS26" s="388"/>
      <c r="HIT26" s="388"/>
      <c r="HIU26" s="388"/>
      <c r="HIV26" s="388"/>
      <c r="HIW26" s="388"/>
      <c r="HIX26" s="388"/>
      <c r="HIY26" s="388"/>
      <c r="HIZ26" s="388"/>
      <c r="HJA26" s="388"/>
      <c r="HJB26" s="388"/>
      <c r="HJC26" s="388"/>
      <c r="HJD26" s="388"/>
      <c r="HJE26" s="388"/>
      <c r="HJF26" s="388"/>
      <c r="HJG26" s="388"/>
      <c r="HJH26" s="388"/>
      <c r="HJI26" s="388"/>
      <c r="HJJ26" s="388"/>
      <c r="HJK26" s="388"/>
      <c r="HJL26" s="388"/>
      <c r="HJM26" s="388"/>
      <c r="HJN26" s="388"/>
      <c r="HJO26" s="388"/>
      <c r="HJP26" s="388"/>
      <c r="HJQ26" s="388"/>
      <c r="HJR26" s="388"/>
      <c r="HJS26" s="388"/>
      <c r="HJT26" s="388"/>
      <c r="HJU26" s="388"/>
      <c r="HJV26" s="388"/>
      <c r="HJW26" s="388"/>
      <c r="HJX26" s="388"/>
      <c r="HJY26" s="388"/>
      <c r="HJZ26" s="388"/>
      <c r="HKA26" s="388"/>
      <c r="HKB26" s="388"/>
      <c r="HKC26" s="388"/>
      <c r="HKD26" s="388"/>
      <c r="HKE26" s="388"/>
      <c r="HKF26" s="388"/>
      <c r="HKG26" s="388"/>
      <c r="HKH26" s="388"/>
      <c r="HKI26" s="388"/>
      <c r="HKJ26" s="388"/>
      <c r="HKK26" s="388"/>
      <c r="HKL26" s="388"/>
      <c r="HKM26" s="388"/>
      <c r="HKN26" s="388"/>
      <c r="HKO26" s="388"/>
      <c r="HKP26" s="388"/>
      <c r="HKQ26" s="388"/>
      <c r="HKR26" s="388"/>
      <c r="HKS26" s="388"/>
      <c r="HKT26" s="388"/>
      <c r="HKU26" s="388"/>
      <c r="HKV26" s="388"/>
      <c r="HKW26" s="388"/>
      <c r="HKX26" s="388"/>
      <c r="HKY26" s="388"/>
      <c r="HKZ26" s="388"/>
      <c r="HLA26" s="388"/>
      <c r="HLB26" s="388"/>
      <c r="HLC26" s="388"/>
      <c r="HLD26" s="388"/>
      <c r="HLE26" s="388"/>
      <c r="HLF26" s="388"/>
      <c r="HLG26" s="388"/>
      <c r="HLH26" s="388"/>
      <c r="HLI26" s="388"/>
      <c r="HLJ26" s="388"/>
      <c r="HLK26" s="388"/>
      <c r="HLL26" s="388"/>
      <c r="HLM26" s="388"/>
      <c r="HLN26" s="388"/>
      <c r="HLO26" s="388"/>
      <c r="HLP26" s="388"/>
      <c r="HLQ26" s="388"/>
      <c r="HLR26" s="388"/>
      <c r="HLS26" s="388"/>
      <c r="HLT26" s="388"/>
      <c r="HLU26" s="388"/>
      <c r="HLV26" s="388"/>
      <c r="HLW26" s="388"/>
      <c r="HLX26" s="388"/>
      <c r="HLY26" s="388"/>
      <c r="HLZ26" s="388"/>
      <c r="HMA26" s="388"/>
      <c r="HMB26" s="388"/>
      <c r="HMC26" s="388"/>
      <c r="HMD26" s="388"/>
      <c r="HME26" s="388"/>
      <c r="HMF26" s="388"/>
      <c r="HMG26" s="388"/>
      <c r="HMH26" s="388"/>
      <c r="HMI26" s="388"/>
      <c r="HMJ26" s="388"/>
      <c r="HMK26" s="388"/>
      <c r="HML26" s="388"/>
      <c r="HMM26" s="388"/>
      <c r="HMN26" s="388"/>
      <c r="HMO26" s="388"/>
      <c r="HMP26" s="388"/>
      <c r="HMQ26" s="388"/>
      <c r="HMR26" s="388"/>
      <c r="HMS26" s="388"/>
      <c r="HMT26" s="388"/>
      <c r="HMU26" s="388"/>
      <c r="HMV26" s="388"/>
      <c r="HMW26" s="388"/>
      <c r="HMX26" s="388"/>
      <c r="HMY26" s="388"/>
      <c r="HMZ26" s="388"/>
      <c r="HNA26" s="388"/>
      <c r="HNB26" s="388"/>
      <c r="HNC26" s="388"/>
      <c r="HND26" s="388"/>
      <c r="HNE26" s="388"/>
      <c r="HNF26" s="388"/>
      <c r="HNG26" s="388"/>
      <c r="HNH26" s="388"/>
      <c r="HNI26" s="388"/>
      <c r="HNJ26" s="388"/>
      <c r="HNK26" s="388"/>
      <c r="HNL26" s="388"/>
      <c r="HNM26" s="388"/>
      <c r="HNN26" s="388"/>
      <c r="HNO26" s="388"/>
      <c r="HNP26" s="388"/>
      <c r="HNQ26" s="388"/>
      <c r="HNR26" s="388"/>
      <c r="HNS26" s="388"/>
      <c r="HNT26" s="388"/>
      <c r="HNU26" s="388"/>
      <c r="HNV26" s="388"/>
      <c r="HNW26" s="388"/>
      <c r="HNX26" s="388"/>
      <c r="HNY26" s="388"/>
      <c r="HNZ26" s="388"/>
      <c r="HOA26" s="388"/>
      <c r="HOB26" s="388"/>
      <c r="HOC26" s="388"/>
      <c r="HOD26" s="388"/>
      <c r="HOE26" s="388"/>
      <c r="HOF26" s="388"/>
      <c r="HOG26" s="388"/>
      <c r="HOH26" s="388"/>
      <c r="HOI26" s="388"/>
      <c r="HOJ26" s="388"/>
      <c r="HOK26" s="388"/>
      <c r="HOL26" s="388"/>
      <c r="HOM26" s="388"/>
      <c r="HON26" s="388"/>
      <c r="HOO26" s="388"/>
      <c r="HOP26" s="388"/>
      <c r="HOQ26" s="388"/>
      <c r="HOR26" s="388"/>
      <c r="HOS26" s="388"/>
      <c r="HOT26" s="388"/>
      <c r="HOU26" s="388"/>
      <c r="HOV26" s="388"/>
      <c r="HOW26" s="388"/>
      <c r="HOX26" s="388"/>
      <c r="HOY26" s="388"/>
      <c r="HOZ26" s="388"/>
      <c r="HPA26" s="388"/>
      <c r="HPB26" s="388"/>
      <c r="HPC26" s="388"/>
      <c r="HPD26" s="388"/>
      <c r="HPE26" s="388"/>
      <c r="HPF26" s="388"/>
      <c r="HPG26" s="388"/>
      <c r="HPH26" s="388"/>
      <c r="HPI26" s="388"/>
      <c r="HPJ26" s="388"/>
      <c r="HPK26" s="388"/>
      <c r="HPL26" s="388"/>
      <c r="HPM26" s="388"/>
      <c r="HPN26" s="388"/>
      <c r="HPO26" s="388"/>
      <c r="HPP26" s="388"/>
      <c r="HPQ26" s="388"/>
      <c r="HPR26" s="388"/>
      <c r="HPS26" s="388"/>
      <c r="HPT26" s="388"/>
      <c r="HPU26" s="388"/>
      <c r="HPV26" s="388"/>
      <c r="HPW26" s="388"/>
      <c r="HPX26" s="388"/>
      <c r="HPY26" s="388"/>
      <c r="HPZ26" s="388"/>
      <c r="HQA26" s="388"/>
      <c r="HQB26" s="388"/>
      <c r="HQC26" s="388"/>
      <c r="HQD26" s="388"/>
      <c r="HQE26" s="388"/>
      <c r="HQF26" s="388"/>
      <c r="HQG26" s="388"/>
      <c r="HQH26" s="388"/>
      <c r="HQI26" s="388"/>
      <c r="HQJ26" s="388"/>
      <c r="HQK26" s="388"/>
      <c r="HQL26" s="388"/>
      <c r="HQM26" s="388"/>
      <c r="HQN26" s="388"/>
      <c r="HQO26" s="388"/>
      <c r="HQP26" s="388"/>
      <c r="HQQ26" s="388"/>
      <c r="HQR26" s="388"/>
      <c r="HQS26" s="388"/>
      <c r="HQT26" s="388"/>
      <c r="HQU26" s="388"/>
      <c r="HQV26" s="388"/>
      <c r="HQW26" s="388"/>
      <c r="HQX26" s="388"/>
      <c r="HQY26" s="388"/>
      <c r="HQZ26" s="388"/>
      <c r="HRA26" s="388"/>
      <c r="HRB26" s="388"/>
      <c r="HRC26" s="388"/>
      <c r="HRD26" s="388"/>
      <c r="HRE26" s="388"/>
      <c r="HRF26" s="388"/>
      <c r="HRG26" s="388"/>
      <c r="HRH26" s="388"/>
      <c r="HRI26" s="388"/>
      <c r="HRJ26" s="388"/>
      <c r="HRK26" s="388"/>
      <c r="HRL26" s="388"/>
      <c r="HRM26" s="388"/>
      <c r="HRN26" s="388"/>
      <c r="HRO26" s="388"/>
      <c r="HRP26" s="388"/>
      <c r="HRQ26" s="388"/>
      <c r="HRR26" s="388"/>
      <c r="HRS26" s="388"/>
      <c r="HRT26" s="388"/>
      <c r="HRU26" s="388"/>
      <c r="HRV26" s="388"/>
      <c r="HRW26" s="388"/>
      <c r="HRX26" s="388"/>
      <c r="HRY26" s="388"/>
      <c r="HRZ26" s="388"/>
      <c r="HSA26" s="388"/>
      <c r="HSB26" s="388"/>
      <c r="HSC26" s="388"/>
      <c r="HSD26" s="388"/>
      <c r="HSE26" s="388"/>
      <c r="HSF26" s="388"/>
      <c r="HSG26" s="388"/>
      <c r="HSH26" s="388"/>
      <c r="HSI26" s="388"/>
      <c r="HSJ26" s="388"/>
      <c r="HSK26" s="388"/>
      <c r="HSL26" s="388"/>
      <c r="HSM26" s="388"/>
      <c r="HSN26" s="388"/>
      <c r="HSO26" s="388"/>
      <c r="HSP26" s="388"/>
      <c r="HSQ26" s="388"/>
      <c r="HSR26" s="388"/>
      <c r="HSS26" s="388"/>
      <c r="HST26" s="388"/>
      <c r="HSU26" s="388"/>
      <c r="HSV26" s="388"/>
      <c r="HSW26" s="388"/>
      <c r="HSX26" s="388"/>
      <c r="HSY26" s="388"/>
      <c r="HSZ26" s="388"/>
      <c r="HTA26" s="388"/>
      <c r="HTB26" s="388"/>
      <c r="HTC26" s="388"/>
      <c r="HTD26" s="388"/>
      <c r="HTE26" s="388"/>
      <c r="HTF26" s="388"/>
      <c r="HTG26" s="388"/>
      <c r="HTH26" s="388"/>
      <c r="HTI26" s="388"/>
      <c r="HTJ26" s="388"/>
      <c r="HTK26" s="388"/>
      <c r="HTL26" s="388"/>
      <c r="HTM26" s="388"/>
      <c r="HTN26" s="388"/>
      <c r="HTO26" s="388"/>
      <c r="HTP26" s="388"/>
      <c r="HTQ26" s="388"/>
      <c r="HTR26" s="388"/>
      <c r="HTS26" s="388"/>
      <c r="HTT26" s="388"/>
      <c r="HTU26" s="388"/>
      <c r="HTV26" s="388"/>
      <c r="HTW26" s="388"/>
      <c r="HTX26" s="388"/>
      <c r="HTY26" s="388"/>
      <c r="HTZ26" s="388"/>
      <c r="HUA26" s="388"/>
      <c r="HUB26" s="388"/>
      <c r="HUC26" s="388"/>
      <c r="HUD26" s="388"/>
      <c r="HUE26" s="388"/>
      <c r="HUF26" s="388"/>
      <c r="HUG26" s="388"/>
      <c r="HUH26" s="388"/>
      <c r="HUI26" s="388"/>
      <c r="HUJ26" s="388"/>
      <c r="HUK26" s="388"/>
      <c r="HUL26" s="388"/>
      <c r="HUM26" s="388"/>
      <c r="HUN26" s="388"/>
      <c r="HUO26" s="388"/>
      <c r="HUP26" s="388"/>
      <c r="HUQ26" s="388"/>
      <c r="HUR26" s="388"/>
      <c r="HUS26" s="388"/>
      <c r="HUT26" s="388"/>
      <c r="HUU26" s="388"/>
      <c r="HUV26" s="388"/>
      <c r="HUW26" s="388"/>
      <c r="HUX26" s="388"/>
      <c r="HUY26" s="388"/>
      <c r="HUZ26" s="388"/>
      <c r="HVA26" s="388"/>
      <c r="HVB26" s="388"/>
      <c r="HVC26" s="388"/>
      <c r="HVD26" s="388"/>
      <c r="HVE26" s="388"/>
      <c r="HVF26" s="388"/>
      <c r="HVG26" s="388"/>
      <c r="HVH26" s="388"/>
      <c r="HVI26" s="388"/>
      <c r="HVJ26" s="388"/>
      <c r="HVK26" s="388"/>
      <c r="HVL26" s="388"/>
      <c r="HVM26" s="388"/>
      <c r="HVN26" s="388"/>
      <c r="HVO26" s="388"/>
      <c r="HVP26" s="388"/>
      <c r="HVQ26" s="388"/>
      <c r="HVR26" s="388"/>
      <c r="HVS26" s="388"/>
      <c r="HVT26" s="388"/>
      <c r="HVU26" s="388"/>
      <c r="HVV26" s="388"/>
      <c r="HVW26" s="388"/>
      <c r="HVX26" s="388"/>
      <c r="HVY26" s="388"/>
      <c r="HVZ26" s="388"/>
      <c r="HWA26" s="388"/>
      <c r="HWB26" s="388"/>
      <c r="HWC26" s="388"/>
      <c r="HWD26" s="388"/>
      <c r="HWE26" s="388"/>
      <c r="HWF26" s="388"/>
      <c r="HWG26" s="388"/>
      <c r="HWH26" s="388"/>
      <c r="HWI26" s="388"/>
      <c r="HWJ26" s="388"/>
      <c r="HWK26" s="388"/>
      <c r="HWL26" s="388"/>
      <c r="HWM26" s="388"/>
      <c r="HWN26" s="388"/>
      <c r="HWO26" s="388"/>
      <c r="HWP26" s="388"/>
      <c r="HWQ26" s="388"/>
      <c r="HWR26" s="388"/>
      <c r="HWS26" s="388"/>
      <c r="HWT26" s="388"/>
      <c r="HWU26" s="388"/>
      <c r="HWV26" s="388"/>
      <c r="HWW26" s="388"/>
      <c r="HWX26" s="388"/>
      <c r="HWY26" s="388"/>
      <c r="HWZ26" s="388"/>
      <c r="HXA26" s="388"/>
      <c r="HXB26" s="388"/>
      <c r="HXC26" s="388"/>
      <c r="HXD26" s="388"/>
      <c r="HXE26" s="388"/>
      <c r="HXF26" s="388"/>
      <c r="HXG26" s="388"/>
      <c r="HXH26" s="388"/>
      <c r="HXI26" s="388"/>
      <c r="HXJ26" s="388"/>
      <c r="HXK26" s="388"/>
      <c r="HXL26" s="388"/>
      <c r="HXM26" s="388"/>
      <c r="HXN26" s="388"/>
      <c r="HXO26" s="388"/>
      <c r="HXP26" s="388"/>
      <c r="HXQ26" s="388"/>
      <c r="HXR26" s="388"/>
      <c r="HXS26" s="388"/>
      <c r="HXT26" s="388"/>
      <c r="HXU26" s="388"/>
      <c r="HXV26" s="388"/>
      <c r="HXW26" s="388"/>
      <c r="HXX26" s="388"/>
      <c r="HXY26" s="388"/>
      <c r="HXZ26" s="388"/>
      <c r="HYA26" s="388"/>
      <c r="HYB26" s="388"/>
      <c r="HYC26" s="388"/>
      <c r="HYD26" s="388"/>
      <c r="HYE26" s="388"/>
      <c r="HYF26" s="388"/>
      <c r="HYG26" s="388"/>
      <c r="HYH26" s="388"/>
      <c r="HYI26" s="388"/>
      <c r="HYJ26" s="388"/>
      <c r="HYK26" s="388"/>
      <c r="HYL26" s="388"/>
      <c r="HYM26" s="388"/>
      <c r="HYN26" s="388"/>
      <c r="HYO26" s="388"/>
      <c r="HYP26" s="388"/>
      <c r="HYQ26" s="388"/>
      <c r="HYR26" s="388"/>
      <c r="HYS26" s="388"/>
      <c r="HYT26" s="388"/>
      <c r="HYU26" s="388"/>
      <c r="HYV26" s="388"/>
      <c r="HYW26" s="388"/>
      <c r="HYX26" s="388"/>
      <c r="HYY26" s="388"/>
      <c r="HYZ26" s="388"/>
      <c r="HZA26" s="388"/>
      <c r="HZB26" s="388"/>
      <c r="HZC26" s="388"/>
      <c r="HZD26" s="388"/>
      <c r="HZE26" s="388"/>
      <c r="HZF26" s="388"/>
      <c r="HZG26" s="388"/>
      <c r="HZH26" s="388"/>
      <c r="HZI26" s="388"/>
      <c r="HZJ26" s="388"/>
      <c r="HZK26" s="388"/>
      <c r="HZL26" s="388"/>
      <c r="HZM26" s="388"/>
      <c r="HZN26" s="388"/>
      <c r="HZO26" s="388"/>
      <c r="HZP26" s="388"/>
      <c r="HZQ26" s="388"/>
      <c r="HZR26" s="388"/>
      <c r="HZS26" s="388"/>
      <c r="HZT26" s="388"/>
      <c r="HZU26" s="388"/>
      <c r="HZV26" s="388"/>
      <c r="HZW26" s="388"/>
      <c r="HZX26" s="388"/>
      <c r="HZY26" s="388"/>
      <c r="HZZ26" s="388"/>
      <c r="IAA26" s="388"/>
      <c r="IAB26" s="388"/>
      <c r="IAC26" s="388"/>
      <c r="IAD26" s="388"/>
      <c r="IAE26" s="388"/>
      <c r="IAF26" s="388"/>
      <c r="IAG26" s="388"/>
      <c r="IAH26" s="388"/>
      <c r="IAI26" s="388"/>
      <c r="IAJ26" s="388"/>
      <c r="IAK26" s="388"/>
      <c r="IAL26" s="388"/>
      <c r="IAM26" s="388"/>
      <c r="IAN26" s="388"/>
      <c r="IAO26" s="388"/>
      <c r="IAP26" s="388"/>
      <c r="IAQ26" s="388"/>
      <c r="IAR26" s="388"/>
      <c r="IAS26" s="388"/>
      <c r="IAT26" s="388"/>
      <c r="IAU26" s="388"/>
      <c r="IAV26" s="388"/>
      <c r="IAW26" s="388"/>
      <c r="IAX26" s="388"/>
      <c r="IAY26" s="388"/>
      <c r="IAZ26" s="388"/>
      <c r="IBA26" s="388"/>
      <c r="IBB26" s="388"/>
      <c r="IBC26" s="388"/>
      <c r="IBD26" s="388"/>
      <c r="IBE26" s="388"/>
      <c r="IBF26" s="388"/>
      <c r="IBG26" s="388"/>
      <c r="IBH26" s="388"/>
      <c r="IBI26" s="388"/>
      <c r="IBJ26" s="388"/>
      <c r="IBK26" s="388"/>
      <c r="IBL26" s="388"/>
      <c r="IBM26" s="388"/>
      <c r="IBN26" s="388"/>
      <c r="IBO26" s="388"/>
      <c r="IBP26" s="388"/>
      <c r="IBQ26" s="388"/>
      <c r="IBR26" s="388"/>
      <c r="IBS26" s="388"/>
      <c r="IBT26" s="388"/>
      <c r="IBU26" s="388"/>
      <c r="IBV26" s="388"/>
      <c r="IBW26" s="388"/>
      <c r="IBX26" s="388"/>
      <c r="IBY26" s="388"/>
      <c r="IBZ26" s="388"/>
      <c r="ICA26" s="388"/>
      <c r="ICB26" s="388"/>
      <c r="ICC26" s="388"/>
      <c r="ICD26" s="388"/>
      <c r="ICE26" s="388"/>
      <c r="ICF26" s="388"/>
      <c r="ICG26" s="388"/>
      <c r="ICH26" s="388"/>
      <c r="ICI26" s="388"/>
      <c r="ICJ26" s="388"/>
      <c r="ICK26" s="388"/>
      <c r="ICL26" s="388"/>
      <c r="ICM26" s="388"/>
      <c r="ICN26" s="388"/>
      <c r="ICO26" s="388"/>
      <c r="ICP26" s="388"/>
      <c r="ICQ26" s="388"/>
      <c r="ICR26" s="388"/>
      <c r="ICS26" s="388"/>
      <c r="ICT26" s="388"/>
      <c r="ICU26" s="388"/>
      <c r="ICV26" s="388"/>
      <c r="ICW26" s="388"/>
      <c r="ICX26" s="388"/>
      <c r="ICY26" s="388"/>
      <c r="ICZ26" s="388"/>
      <c r="IDA26" s="388"/>
      <c r="IDB26" s="388"/>
      <c r="IDC26" s="388"/>
      <c r="IDD26" s="388"/>
      <c r="IDE26" s="388"/>
      <c r="IDF26" s="388"/>
      <c r="IDG26" s="388"/>
      <c r="IDH26" s="388"/>
      <c r="IDI26" s="388"/>
      <c r="IDJ26" s="388"/>
      <c r="IDK26" s="388"/>
      <c r="IDL26" s="388"/>
      <c r="IDM26" s="388"/>
      <c r="IDN26" s="388"/>
      <c r="IDO26" s="388"/>
      <c r="IDP26" s="388"/>
      <c r="IDQ26" s="388"/>
      <c r="IDR26" s="388"/>
      <c r="IDS26" s="388"/>
      <c r="IDT26" s="388"/>
      <c r="IDU26" s="388"/>
      <c r="IDV26" s="388"/>
      <c r="IDW26" s="388"/>
      <c r="IDX26" s="388"/>
      <c r="IDY26" s="388"/>
      <c r="IDZ26" s="388"/>
      <c r="IEA26" s="388"/>
      <c r="IEB26" s="388"/>
      <c r="IEC26" s="388"/>
      <c r="IED26" s="388"/>
      <c r="IEE26" s="388"/>
      <c r="IEF26" s="388"/>
      <c r="IEG26" s="388"/>
      <c r="IEH26" s="388"/>
      <c r="IEI26" s="388"/>
      <c r="IEJ26" s="388"/>
      <c r="IEK26" s="388"/>
      <c r="IEL26" s="388"/>
      <c r="IEM26" s="388"/>
      <c r="IEN26" s="388"/>
      <c r="IEO26" s="388"/>
      <c r="IEP26" s="388"/>
      <c r="IEQ26" s="388"/>
      <c r="IER26" s="388"/>
      <c r="IES26" s="388"/>
      <c r="IET26" s="388"/>
      <c r="IEU26" s="388"/>
      <c r="IEV26" s="388"/>
      <c r="IEW26" s="388"/>
      <c r="IEX26" s="388"/>
      <c r="IEY26" s="388"/>
      <c r="IEZ26" s="388"/>
      <c r="IFA26" s="388"/>
      <c r="IFB26" s="388"/>
      <c r="IFC26" s="388"/>
      <c r="IFD26" s="388"/>
      <c r="IFE26" s="388"/>
      <c r="IFF26" s="388"/>
      <c r="IFG26" s="388"/>
      <c r="IFH26" s="388"/>
      <c r="IFI26" s="388"/>
      <c r="IFJ26" s="388"/>
      <c r="IFK26" s="388"/>
      <c r="IFL26" s="388"/>
      <c r="IFM26" s="388"/>
      <c r="IFN26" s="388"/>
      <c r="IFO26" s="388"/>
      <c r="IFP26" s="388"/>
      <c r="IFQ26" s="388"/>
      <c r="IFR26" s="388"/>
      <c r="IFS26" s="388"/>
      <c r="IFT26" s="388"/>
      <c r="IFU26" s="388"/>
      <c r="IFV26" s="388"/>
      <c r="IFW26" s="388"/>
      <c r="IFX26" s="388"/>
      <c r="IFY26" s="388"/>
      <c r="IFZ26" s="388"/>
      <c r="IGA26" s="388"/>
      <c r="IGB26" s="388"/>
      <c r="IGC26" s="388"/>
      <c r="IGD26" s="388"/>
      <c r="IGE26" s="388"/>
      <c r="IGF26" s="388"/>
      <c r="IGG26" s="388"/>
      <c r="IGH26" s="388"/>
      <c r="IGI26" s="388"/>
      <c r="IGJ26" s="388"/>
      <c r="IGK26" s="388"/>
      <c r="IGL26" s="388"/>
      <c r="IGM26" s="388"/>
      <c r="IGN26" s="388"/>
      <c r="IGO26" s="388"/>
      <c r="IGP26" s="388"/>
      <c r="IGQ26" s="388"/>
      <c r="IGR26" s="388"/>
      <c r="IGS26" s="388"/>
      <c r="IGT26" s="388"/>
      <c r="IGU26" s="388"/>
      <c r="IGV26" s="388"/>
      <c r="IGW26" s="388"/>
      <c r="IGX26" s="388"/>
      <c r="IGY26" s="388"/>
      <c r="IGZ26" s="388"/>
      <c r="IHA26" s="388"/>
      <c r="IHB26" s="388"/>
      <c r="IHC26" s="388"/>
      <c r="IHD26" s="388"/>
      <c r="IHE26" s="388"/>
      <c r="IHF26" s="388"/>
      <c r="IHG26" s="388"/>
      <c r="IHH26" s="388"/>
      <c r="IHI26" s="388"/>
      <c r="IHJ26" s="388"/>
      <c r="IHK26" s="388"/>
      <c r="IHL26" s="388"/>
      <c r="IHM26" s="388"/>
      <c r="IHN26" s="388"/>
      <c r="IHO26" s="388"/>
      <c r="IHP26" s="388"/>
      <c r="IHQ26" s="388"/>
      <c r="IHR26" s="388"/>
      <c r="IHS26" s="388"/>
      <c r="IHT26" s="388"/>
      <c r="IHU26" s="388"/>
      <c r="IHV26" s="388"/>
      <c r="IHW26" s="388"/>
      <c r="IHX26" s="388"/>
      <c r="IHY26" s="388"/>
      <c r="IHZ26" s="388"/>
      <c r="IIA26" s="388"/>
      <c r="IIB26" s="388"/>
      <c r="IIC26" s="388"/>
      <c r="IID26" s="388"/>
      <c r="IIE26" s="388"/>
      <c r="IIF26" s="388"/>
      <c r="IIG26" s="388"/>
      <c r="IIH26" s="388"/>
      <c r="III26" s="388"/>
      <c r="IIJ26" s="388"/>
      <c r="IIK26" s="388"/>
      <c r="IIL26" s="388"/>
      <c r="IIM26" s="388"/>
      <c r="IIN26" s="388"/>
      <c r="IIO26" s="388"/>
      <c r="IIP26" s="388"/>
      <c r="IIQ26" s="388"/>
      <c r="IIR26" s="388"/>
      <c r="IIS26" s="388"/>
      <c r="IIT26" s="388"/>
      <c r="IIU26" s="388"/>
      <c r="IIV26" s="388"/>
      <c r="IIW26" s="388"/>
      <c r="IIX26" s="388"/>
      <c r="IIY26" s="388"/>
      <c r="IIZ26" s="388"/>
      <c r="IJA26" s="388"/>
      <c r="IJB26" s="388"/>
      <c r="IJC26" s="388"/>
      <c r="IJD26" s="388"/>
      <c r="IJE26" s="388"/>
      <c r="IJF26" s="388"/>
      <c r="IJG26" s="388"/>
      <c r="IJH26" s="388"/>
      <c r="IJI26" s="388"/>
      <c r="IJJ26" s="388"/>
      <c r="IJK26" s="388"/>
      <c r="IJL26" s="388"/>
      <c r="IJM26" s="388"/>
      <c r="IJN26" s="388"/>
      <c r="IJO26" s="388"/>
      <c r="IJP26" s="388"/>
      <c r="IJQ26" s="388"/>
      <c r="IJR26" s="388"/>
      <c r="IJS26" s="388"/>
      <c r="IJT26" s="388"/>
      <c r="IJU26" s="388"/>
      <c r="IJV26" s="388"/>
      <c r="IJW26" s="388"/>
      <c r="IJX26" s="388"/>
      <c r="IJY26" s="388"/>
      <c r="IJZ26" s="388"/>
      <c r="IKA26" s="388"/>
      <c r="IKB26" s="388"/>
      <c r="IKC26" s="388"/>
      <c r="IKD26" s="388"/>
      <c r="IKE26" s="388"/>
      <c r="IKF26" s="388"/>
      <c r="IKG26" s="388"/>
      <c r="IKH26" s="388"/>
      <c r="IKI26" s="388"/>
      <c r="IKJ26" s="388"/>
      <c r="IKK26" s="388"/>
      <c r="IKL26" s="388"/>
      <c r="IKM26" s="388"/>
      <c r="IKN26" s="388"/>
      <c r="IKO26" s="388"/>
      <c r="IKP26" s="388"/>
      <c r="IKQ26" s="388"/>
      <c r="IKR26" s="388"/>
      <c r="IKS26" s="388"/>
      <c r="IKT26" s="388"/>
      <c r="IKU26" s="388"/>
      <c r="IKV26" s="388"/>
      <c r="IKW26" s="388"/>
      <c r="IKX26" s="388"/>
      <c r="IKY26" s="388"/>
      <c r="IKZ26" s="388"/>
      <c r="ILA26" s="388"/>
      <c r="ILB26" s="388"/>
      <c r="ILC26" s="388"/>
      <c r="ILD26" s="388"/>
      <c r="ILE26" s="388"/>
      <c r="ILF26" s="388"/>
      <c r="ILG26" s="388"/>
      <c r="ILH26" s="388"/>
      <c r="ILI26" s="388"/>
      <c r="ILJ26" s="388"/>
      <c r="ILK26" s="388"/>
      <c r="ILL26" s="388"/>
      <c r="ILM26" s="388"/>
      <c r="ILN26" s="388"/>
      <c r="ILO26" s="388"/>
      <c r="ILP26" s="388"/>
      <c r="ILQ26" s="388"/>
      <c r="ILR26" s="388"/>
      <c r="ILS26" s="388"/>
      <c r="ILT26" s="388"/>
      <c r="ILU26" s="388"/>
      <c r="ILV26" s="388"/>
      <c r="ILW26" s="388"/>
      <c r="ILX26" s="388"/>
      <c r="ILY26" s="388"/>
      <c r="ILZ26" s="388"/>
      <c r="IMA26" s="388"/>
      <c r="IMB26" s="388"/>
      <c r="IMC26" s="388"/>
      <c r="IMD26" s="388"/>
      <c r="IME26" s="388"/>
      <c r="IMF26" s="388"/>
      <c r="IMG26" s="388"/>
      <c r="IMH26" s="388"/>
      <c r="IMI26" s="388"/>
      <c r="IMJ26" s="388"/>
      <c r="IMK26" s="388"/>
      <c r="IML26" s="388"/>
      <c r="IMM26" s="388"/>
      <c r="IMN26" s="388"/>
      <c r="IMO26" s="388"/>
      <c r="IMP26" s="388"/>
      <c r="IMQ26" s="388"/>
      <c r="IMR26" s="388"/>
      <c r="IMS26" s="388"/>
      <c r="IMT26" s="388"/>
      <c r="IMU26" s="388"/>
      <c r="IMV26" s="388"/>
      <c r="IMW26" s="388"/>
      <c r="IMX26" s="388"/>
      <c r="IMY26" s="388"/>
      <c r="IMZ26" s="388"/>
      <c r="INA26" s="388"/>
      <c r="INB26" s="388"/>
      <c r="INC26" s="388"/>
      <c r="IND26" s="388"/>
      <c r="INE26" s="388"/>
      <c r="INF26" s="388"/>
      <c r="ING26" s="388"/>
      <c r="INH26" s="388"/>
      <c r="INI26" s="388"/>
      <c r="INJ26" s="388"/>
      <c r="INK26" s="388"/>
      <c r="INL26" s="388"/>
      <c r="INM26" s="388"/>
      <c r="INN26" s="388"/>
      <c r="INO26" s="388"/>
      <c r="INP26" s="388"/>
      <c r="INQ26" s="388"/>
      <c r="INR26" s="388"/>
      <c r="INS26" s="388"/>
      <c r="INT26" s="388"/>
      <c r="INU26" s="388"/>
      <c r="INV26" s="388"/>
      <c r="INW26" s="388"/>
      <c r="INX26" s="388"/>
      <c r="INY26" s="388"/>
      <c r="INZ26" s="388"/>
      <c r="IOA26" s="388"/>
      <c r="IOB26" s="388"/>
      <c r="IOC26" s="388"/>
      <c r="IOD26" s="388"/>
      <c r="IOE26" s="388"/>
      <c r="IOF26" s="388"/>
      <c r="IOG26" s="388"/>
      <c r="IOH26" s="388"/>
      <c r="IOI26" s="388"/>
      <c r="IOJ26" s="388"/>
      <c r="IOK26" s="388"/>
      <c r="IOL26" s="388"/>
      <c r="IOM26" s="388"/>
      <c r="ION26" s="388"/>
      <c r="IOO26" s="388"/>
      <c r="IOP26" s="388"/>
      <c r="IOQ26" s="388"/>
      <c r="IOR26" s="388"/>
      <c r="IOS26" s="388"/>
      <c r="IOT26" s="388"/>
      <c r="IOU26" s="388"/>
      <c r="IOV26" s="388"/>
      <c r="IOW26" s="388"/>
      <c r="IOX26" s="388"/>
      <c r="IOY26" s="388"/>
      <c r="IOZ26" s="388"/>
      <c r="IPA26" s="388"/>
      <c r="IPB26" s="388"/>
      <c r="IPC26" s="388"/>
      <c r="IPD26" s="388"/>
      <c r="IPE26" s="388"/>
      <c r="IPF26" s="388"/>
      <c r="IPG26" s="388"/>
      <c r="IPH26" s="388"/>
      <c r="IPI26" s="388"/>
      <c r="IPJ26" s="388"/>
      <c r="IPK26" s="388"/>
      <c r="IPL26" s="388"/>
      <c r="IPM26" s="388"/>
      <c r="IPN26" s="388"/>
      <c r="IPO26" s="388"/>
      <c r="IPP26" s="388"/>
      <c r="IPQ26" s="388"/>
      <c r="IPR26" s="388"/>
      <c r="IPS26" s="388"/>
      <c r="IPT26" s="388"/>
      <c r="IPU26" s="388"/>
      <c r="IPV26" s="388"/>
      <c r="IPW26" s="388"/>
      <c r="IPX26" s="388"/>
      <c r="IPY26" s="388"/>
      <c r="IPZ26" s="388"/>
      <c r="IQA26" s="388"/>
      <c r="IQB26" s="388"/>
      <c r="IQC26" s="388"/>
      <c r="IQD26" s="388"/>
      <c r="IQE26" s="388"/>
      <c r="IQF26" s="388"/>
      <c r="IQG26" s="388"/>
      <c r="IQH26" s="388"/>
      <c r="IQI26" s="388"/>
      <c r="IQJ26" s="388"/>
      <c r="IQK26" s="388"/>
      <c r="IQL26" s="388"/>
      <c r="IQM26" s="388"/>
      <c r="IQN26" s="388"/>
      <c r="IQO26" s="388"/>
      <c r="IQP26" s="388"/>
      <c r="IQQ26" s="388"/>
      <c r="IQR26" s="388"/>
      <c r="IQS26" s="388"/>
      <c r="IQT26" s="388"/>
      <c r="IQU26" s="388"/>
      <c r="IQV26" s="388"/>
      <c r="IQW26" s="388"/>
      <c r="IQX26" s="388"/>
      <c r="IQY26" s="388"/>
      <c r="IQZ26" s="388"/>
      <c r="IRA26" s="388"/>
      <c r="IRB26" s="388"/>
      <c r="IRC26" s="388"/>
      <c r="IRD26" s="388"/>
      <c r="IRE26" s="388"/>
      <c r="IRF26" s="388"/>
      <c r="IRG26" s="388"/>
      <c r="IRH26" s="388"/>
      <c r="IRI26" s="388"/>
      <c r="IRJ26" s="388"/>
      <c r="IRK26" s="388"/>
      <c r="IRL26" s="388"/>
      <c r="IRM26" s="388"/>
      <c r="IRN26" s="388"/>
      <c r="IRO26" s="388"/>
      <c r="IRP26" s="388"/>
      <c r="IRQ26" s="388"/>
      <c r="IRR26" s="388"/>
      <c r="IRS26" s="388"/>
      <c r="IRT26" s="388"/>
      <c r="IRU26" s="388"/>
      <c r="IRV26" s="388"/>
      <c r="IRW26" s="388"/>
      <c r="IRX26" s="388"/>
      <c r="IRY26" s="388"/>
      <c r="IRZ26" s="388"/>
      <c r="ISA26" s="388"/>
      <c r="ISB26" s="388"/>
      <c r="ISC26" s="388"/>
      <c r="ISD26" s="388"/>
      <c r="ISE26" s="388"/>
      <c r="ISF26" s="388"/>
      <c r="ISG26" s="388"/>
      <c r="ISH26" s="388"/>
      <c r="ISI26" s="388"/>
      <c r="ISJ26" s="388"/>
      <c r="ISK26" s="388"/>
      <c r="ISL26" s="388"/>
      <c r="ISM26" s="388"/>
      <c r="ISN26" s="388"/>
      <c r="ISO26" s="388"/>
      <c r="ISP26" s="388"/>
      <c r="ISQ26" s="388"/>
      <c r="ISR26" s="388"/>
      <c r="ISS26" s="388"/>
      <c r="IST26" s="388"/>
      <c r="ISU26" s="388"/>
      <c r="ISV26" s="388"/>
      <c r="ISW26" s="388"/>
      <c r="ISX26" s="388"/>
      <c r="ISY26" s="388"/>
      <c r="ISZ26" s="388"/>
      <c r="ITA26" s="388"/>
      <c r="ITB26" s="388"/>
      <c r="ITC26" s="388"/>
      <c r="ITD26" s="388"/>
      <c r="ITE26" s="388"/>
      <c r="ITF26" s="388"/>
      <c r="ITG26" s="388"/>
      <c r="ITH26" s="388"/>
      <c r="ITI26" s="388"/>
      <c r="ITJ26" s="388"/>
      <c r="ITK26" s="388"/>
      <c r="ITL26" s="388"/>
      <c r="ITM26" s="388"/>
      <c r="ITN26" s="388"/>
      <c r="ITO26" s="388"/>
      <c r="ITP26" s="388"/>
      <c r="ITQ26" s="388"/>
      <c r="ITR26" s="388"/>
      <c r="ITS26" s="388"/>
      <c r="ITT26" s="388"/>
      <c r="ITU26" s="388"/>
      <c r="ITV26" s="388"/>
      <c r="ITW26" s="388"/>
      <c r="ITX26" s="388"/>
      <c r="ITY26" s="388"/>
      <c r="ITZ26" s="388"/>
      <c r="IUA26" s="388"/>
      <c r="IUB26" s="388"/>
      <c r="IUC26" s="388"/>
      <c r="IUD26" s="388"/>
      <c r="IUE26" s="388"/>
      <c r="IUF26" s="388"/>
      <c r="IUG26" s="388"/>
      <c r="IUH26" s="388"/>
      <c r="IUI26" s="388"/>
      <c r="IUJ26" s="388"/>
      <c r="IUK26" s="388"/>
      <c r="IUL26" s="388"/>
      <c r="IUM26" s="388"/>
      <c r="IUN26" s="388"/>
      <c r="IUO26" s="388"/>
      <c r="IUP26" s="388"/>
      <c r="IUQ26" s="388"/>
      <c r="IUR26" s="388"/>
      <c r="IUS26" s="388"/>
      <c r="IUT26" s="388"/>
      <c r="IUU26" s="388"/>
      <c r="IUV26" s="388"/>
      <c r="IUW26" s="388"/>
      <c r="IUX26" s="388"/>
      <c r="IUY26" s="388"/>
      <c r="IUZ26" s="388"/>
      <c r="IVA26" s="388"/>
      <c r="IVB26" s="388"/>
      <c r="IVC26" s="388"/>
      <c r="IVD26" s="388"/>
      <c r="IVE26" s="388"/>
      <c r="IVF26" s="388"/>
      <c r="IVG26" s="388"/>
      <c r="IVH26" s="388"/>
      <c r="IVI26" s="388"/>
      <c r="IVJ26" s="388"/>
      <c r="IVK26" s="388"/>
      <c r="IVL26" s="388"/>
      <c r="IVM26" s="388"/>
      <c r="IVN26" s="388"/>
      <c r="IVO26" s="388"/>
      <c r="IVP26" s="388"/>
      <c r="IVQ26" s="388"/>
      <c r="IVR26" s="388"/>
      <c r="IVS26" s="388"/>
      <c r="IVT26" s="388"/>
      <c r="IVU26" s="388"/>
      <c r="IVV26" s="388"/>
      <c r="IVW26" s="388"/>
      <c r="IVX26" s="388"/>
      <c r="IVY26" s="388"/>
      <c r="IVZ26" s="388"/>
      <c r="IWA26" s="388"/>
      <c r="IWB26" s="388"/>
      <c r="IWC26" s="388"/>
      <c r="IWD26" s="388"/>
      <c r="IWE26" s="388"/>
      <c r="IWF26" s="388"/>
      <c r="IWG26" s="388"/>
      <c r="IWH26" s="388"/>
      <c r="IWI26" s="388"/>
      <c r="IWJ26" s="388"/>
      <c r="IWK26" s="388"/>
      <c r="IWL26" s="388"/>
      <c r="IWM26" s="388"/>
      <c r="IWN26" s="388"/>
      <c r="IWO26" s="388"/>
      <c r="IWP26" s="388"/>
      <c r="IWQ26" s="388"/>
      <c r="IWR26" s="388"/>
      <c r="IWS26" s="388"/>
      <c r="IWT26" s="388"/>
      <c r="IWU26" s="388"/>
      <c r="IWV26" s="388"/>
      <c r="IWW26" s="388"/>
      <c r="IWX26" s="388"/>
      <c r="IWY26" s="388"/>
      <c r="IWZ26" s="388"/>
      <c r="IXA26" s="388"/>
      <c r="IXB26" s="388"/>
      <c r="IXC26" s="388"/>
      <c r="IXD26" s="388"/>
      <c r="IXE26" s="388"/>
      <c r="IXF26" s="388"/>
      <c r="IXG26" s="388"/>
      <c r="IXH26" s="388"/>
      <c r="IXI26" s="388"/>
      <c r="IXJ26" s="388"/>
      <c r="IXK26" s="388"/>
      <c r="IXL26" s="388"/>
      <c r="IXM26" s="388"/>
      <c r="IXN26" s="388"/>
      <c r="IXO26" s="388"/>
      <c r="IXP26" s="388"/>
      <c r="IXQ26" s="388"/>
      <c r="IXR26" s="388"/>
      <c r="IXS26" s="388"/>
      <c r="IXT26" s="388"/>
      <c r="IXU26" s="388"/>
      <c r="IXV26" s="388"/>
      <c r="IXW26" s="388"/>
      <c r="IXX26" s="388"/>
      <c r="IXY26" s="388"/>
      <c r="IXZ26" s="388"/>
      <c r="IYA26" s="388"/>
      <c r="IYB26" s="388"/>
      <c r="IYC26" s="388"/>
      <c r="IYD26" s="388"/>
      <c r="IYE26" s="388"/>
      <c r="IYF26" s="388"/>
      <c r="IYG26" s="388"/>
      <c r="IYH26" s="388"/>
      <c r="IYI26" s="388"/>
      <c r="IYJ26" s="388"/>
      <c r="IYK26" s="388"/>
      <c r="IYL26" s="388"/>
      <c r="IYM26" s="388"/>
      <c r="IYN26" s="388"/>
      <c r="IYO26" s="388"/>
      <c r="IYP26" s="388"/>
      <c r="IYQ26" s="388"/>
      <c r="IYR26" s="388"/>
      <c r="IYS26" s="388"/>
      <c r="IYT26" s="388"/>
      <c r="IYU26" s="388"/>
      <c r="IYV26" s="388"/>
      <c r="IYW26" s="388"/>
      <c r="IYX26" s="388"/>
      <c r="IYY26" s="388"/>
      <c r="IYZ26" s="388"/>
      <c r="IZA26" s="388"/>
      <c r="IZB26" s="388"/>
      <c r="IZC26" s="388"/>
      <c r="IZD26" s="388"/>
      <c r="IZE26" s="388"/>
      <c r="IZF26" s="388"/>
      <c r="IZG26" s="388"/>
      <c r="IZH26" s="388"/>
      <c r="IZI26" s="388"/>
      <c r="IZJ26" s="388"/>
      <c r="IZK26" s="388"/>
      <c r="IZL26" s="388"/>
      <c r="IZM26" s="388"/>
      <c r="IZN26" s="388"/>
      <c r="IZO26" s="388"/>
      <c r="IZP26" s="388"/>
      <c r="IZQ26" s="388"/>
      <c r="IZR26" s="388"/>
      <c r="IZS26" s="388"/>
      <c r="IZT26" s="388"/>
      <c r="IZU26" s="388"/>
      <c r="IZV26" s="388"/>
      <c r="IZW26" s="388"/>
      <c r="IZX26" s="388"/>
      <c r="IZY26" s="388"/>
      <c r="IZZ26" s="388"/>
      <c r="JAA26" s="388"/>
      <c r="JAB26" s="388"/>
      <c r="JAC26" s="388"/>
      <c r="JAD26" s="388"/>
      <c r="JAE26" s="388"/>
      <c r="JAF26" s="388"/>
      <c r="JAG26" s="388"/>
      <c r="JAH26" s="388"/>
      <c r="JAI26" s="388"/>
      <c r="JAJ26" s="388"/>
      <c r="JAK26" s="388"/>
      <c r="JAL26" s="388"/>
      <c r="JAM26" s="388"/>
      <c r="JAN26" s="388"/>
      <c r="JAO26" s="388"/>
      <c r="JAP26" s="388"/>
      <c r="JAQ26" s="388"/>
      <c r="JAR26" s="388"/>
      <c r="JAS26" s="388"/>
      <c r="JAT26" s="388"/>
      <c r="JAU26" s="388"/>
      <c r="JAV26" s="388"/>
      <c r="JAW26" s="388"/>
      <c r="JAX26" s="388"/>
      <c r="JAY26" s="388"/>
      <c r="JAZ26" s="388"/>
      <c r="JBA26" s="388"/>
      <c r="JBB26" s="388"/>
      <c r="JBC26" s="388"/>
      <c r="JBD26" s="388"/>
      <c r="JBE26" s="388"/>
      <c r="JBF26" s="388"/>
      <c r="JBG26" s="388"/>
      <c r="JBH26" s="388"/>
      <c r="JBI26" s="388"/>
      <c r="JBJ26" s="388"/>
      <c r="JBK26" s="388"/>
      <c r="JBL26" s="388"/>
      <c r="JBM26" s="388"/>
      <c r="JBN26" s="388"/>
      <c r="JBO26" s="388"/>
      <c r="JBP26" s="388"/>
      <c r="JBQ26" s="388"/>
      <c r="JBR26" s="388"/>
      <c r="JBS26" s="388"/>
      <c r="JBT26" s="388"/>
      <c r="JBU26" s="388"/>
      <c r="JBV26" s="388"/>
      <c r="JBW26" s="388"/>
      <c r="JBX26" s="388"/>
      <c r="JBY26" s="388"/>
      <c r="JBZ26" s="388"/>
      <c r="JCA26" s="388"/>
      <c r="JCB26" s="388"/>
      <c r="JCC26" s="388"/>
      <c r="JCD26" s="388"/>
      <c r="JCE26" s="388"/>
      <c r="JCF26" s="388"/>
      <c r="JCG26" s="388"/>
      <c r="JCH26" s="388"/>
      <c r="JCI26" s="388"/>
      <c r="JCJ26" s="388"/>
      <c r="JCK26" s="388"/>
      <c r="JCL26" s="388"/>
      <c r="JCM26" s="388"/>
      <c r="JCN26" s="388"/>
      <c r="JCO26" s="388"/>
      <c r="JCP26" s="388"/>
      <c r="JCQ26" s="388"/>
      <c r="JCR26" s="388"/>
      <c r="JCS26" s="388"/>
      <c r="JCT26" s="388"/>
      <c r="JCU26" s="388"/>
      <c r="JCV26" s="388"/>
      <c r="JCW26" s="388"/>
      <c r="JCX26" s="388"/>
      <c r="JCY26" s="388"/>
      <c r="JCZ26" s="388"/>
      <c r="JDA26" s="388"/>
      <c r="JDB26" s="388"/>
      <c r="JDC26" s="388"/>
      <c r="JDD26" s="388"/>
      <c r="JDE26" s="388"/>
      <c r="JDF26" s="388"/>
      <c r="JDG26" s="388"/>
      <c r="JDH26" s="388"/>
      <c r="JDI26" s="388"/>
      <c r="JDJ26" s="388"/>
      <c r="JDK26" s="388"/>
      <c r="JDL26" s="388"/>
      <c r="JDM26" s="388"/>
      <c r="JDN26" s="388"/>
      <c r="JDO26" s="388"/>
      <c r="JDP26" s="388"/>
      <c r="JDQ26" s="388"/>
      <c r="JDR26" s="388"/>
      <c r="JDS26" s="388"/>
      <c r="JDT26" s="388"/>
      <c r="JDU26" s="388"/>
      <c r="JDV26" s="388"/>
      <c r="JDW26" s="388"/>
      <c r="JDX26" s="388"/>
      <c r="JDY26" s="388"/>
      <c r="JDZ26" s="388"/>
      <c r="JEA26" s="388"/>
      <c r="JEB26" s="388"/>
      <c r="JEC26" s="388"/>
      <c r="JED26" s="388"/>
      <c r="JEE26" s="388"/>
      <c r="JEF26" s="388"/>
      <c r="JEG26" s="388"/>
      <c r="JEH26" s="388"/>
      <c r="JEI26" s="388"/>
      <c r="JEJ26" s="388"/>
      <c r="JEK26" s="388"/>
      <c r="JEL26" s="388"/>
      <c r="JEM26" s="388"/>
      <c r="JEN26" s="388"/>
      <c r="JEO26" s="388"/>
      <c r="JEP26" s="388"/>
      <c r="JEQ26" s="388"/>
      <c r="JER26" s="388"/>
      <c r="JES26" s="388"/>
      <c r="JET26" s="388"/>
      <c r="JEU26" s="388"/>
      <c r="JEV26" s="388"/>
      <c r="JEW26" s="388"/>
      <c r="JEX26" s="388"/>
      <c r="JEY26" s="388"/>
      <c r="JEZ26" s="388"/>
      <c r="JFA26" s="388"/>
      <c r="JFB26" s="388"/>
      <c r="JFC26" s="388"/>
      <c r="JFD26" s="388"/>
      <c r="JFE26" s="388"/>
      <c r="JFF26" s="388"/>
      <c r="JFG26" s="388"/>
      <c r="JFH26" s="388"/>
      <c r="JFI26" s="388"/>
      <c r="JFJ26" s="388"/>
      <c r="JFK26" s="388"/>
      <c r="JFL26" s="388"/>
      <c r="JFM26" s="388"/>
      <c r="JFN26" s="388"/>
      <c r="JFO26" s="388"/>
      <c r="JFP26" s="388"/>
      <c r="JFQ26" s="388"/>
      <c r="JFR26" s="388"/>
      <c r="JFS26" s="388"/>
      <c r="JFT26" s="388"/>
      <c r="JFU26" s="388"/>
      <c r="JFV26" s="388"/>
      <c r="JFW26" s="388"/>
      <c r="JFX26" s="388"/>
      <c r="JFY26" s="388"/>
      <c r="JFZ26" s="388"/>
      <c r="JGA26" s="388"/>
      <c r="JGB26" s="388"/>
      <c r="JGC26" s="388"/>
      <c r="JGD26" s="388"/>
      <c r="JGE26" s="388"/>
      <c r="JGF26" s="388"/>
      <c r="JGG26" s="388"/>
      <c r="JGH26" s="388"/>
      <c r="JGI26" s="388"/>
      <c r="JGJ26" s="388"/>
      <c r="JGK26" s="388"/>
      <c r="JGL26" s="388"/>
      <c r="JGM26" s="388"/>
      <c r="JGN26" s="388"/>
      <c r="JGO26" s="388"/>
      <c r="JGP26" s="388"/>
      <c r="JGQ26" s="388"/>
      <c r="JGR26" s="388"/>
      <c r="JGS26" s="388"/>
      <c r="JGT26" s="388"/>
      <c r="JGU26" s="388"/>
      <c r="JGV26" s="388"/>
      <c r="JGW26" s="388"/>
      <c r="JGX26" s="388"/>
      <c r="JGY26" s="388"/>
      <c r="JGZ26" s="388"/>
      <c r="JHA26" s="388"/>
      <c r="JHB26" s="388"/>
      <c r="JHC26" s="388"/>
      <c r="JHD26" s="388"/>
      <c r="JHE26" s="388"/>
      <c r="JHF26" s="388"/>
      <c r="JHG26" s="388"/>
      <c r="JHH26" s="388"/>
      <c r="JHI26" s="388"/>
      <c r="JHJ26" s="388"/>
      <c r="JHK26" s="388"/>
      <c r="JHL26" s="388"/>
      <c r="JHM26" s="388"/>
      <c r="JHN26" s="388"/>
      <c r="JHO26" s="388"/>
      <c r="JHP26" s="388"/>
      <c r="JHQ26" s="388"/>
      <c r="JHR26" s="388"/>
      <c r="JHS26" s="388"/>
      <c r="JHT26" s="388"/>
      <c r="JHU26" s="388"/>
      <c r="JHV26" s="388"/>
      <c r="JHW26" s="388"/>
      <c r="JHX26" s="388"/>
      <c r="JHY26" s="388"/>
      <c r="JHZ26" s="388"/>
      <c r="JIA26" s="388"/>
      <c r="JIB26" s="388"/>
      <c r="JIC26" s="388"/>
      <c r="JID26" s="388"/>
      <c r="JIE26" s="388"/>
      <c r="JIF26" s="388"/>
      <c r="JIG26" s="388"/>
      <c r="JIH26" s="388"/>
      <c r="JII26" s="388"/>
      <c r="JIJ26" s="388"/>
      <c r="JIK26" s="388"/>
      <c r="JIL26" s="388"/>
      <c r="JIM26" s="388"/>
      <c r="JIN26" s="388"/>
      <c r="JIO26" s="388"/>
      <c r="JIP26" s="388"/>
      <c r="JIQ26" s="388"/>
      <c r="JIR26" s="388"/>
      <c r="JIS26" s="388"/>
      <c r="JIT26" s="388"/>
      <c r="JIU26" s="388"/>
      <c r="JIV26" s="388"/>
      <c r="JIW26" s="388"/>
      <c r="JIX26" s="388"/>
      <c r="JIY26" s="388"/>
      <c r="JIZ26" s="388"/>
      <c r="JJA26" s="388"/>
      <c r="JJB26" s="388"/>
      <c r="JJC26" s="388"/>
      <c r="JJD26" s="388"/>
      <c r="JJE26" s="388"/>
      <c r="JJF26" s="388"/>
      <c r="JJG26" s="388"/>
      <c r="JJH26" s="388"/>
      <c r="JJI26" s="388"/>
      <c r="JJJ26" s="388"/>
      <c r="JJK26" s="388"/>
      <c r="JJL26" s="388"/>
      <c r="JJM26" s="388"/>
      <c r="JJN26" s="388"/>
      <c r="JJO26" s="388"/>
      <c r="JJP26" s="388"/>
      <c r="JJQ26" s="388"/>
      <c r="JJR26" s="388"/>
      <c r="JJS26" s="388"/>
      <c r="JJT26" s="388"/>
      <c r="JJU26" s="388"/>
      <c r="JJV26" s="388"/>
      <c r="JJW26" s="388"/>
      <c r="JJX26" s="388"/>
      <c r="JJY26" s="388"/>
      <c r="JJZ26" s="388"/>
      <c r="JKA26" s="388"/>
      <c r="JKB26" s="388"/>
      <c r="JKC26" s="388"/>
      <c r="JKD26" s="388"/>
      <c r="JKE26" s="388"/>
      <c r="JKF26" s="388"/>
      <c r="JKG26" s="388"/>
      <c r="JKH26" s="388"/>
      <c r="JKI26" s="388"/>
      <c r="JKJ26" s="388"/>
      <c r="JKK26" s="388"/>
      <c r="JKL26" s="388"/>
      <c r="JKM26" s="388"/>
      <c r="JKN26" s="388"/>
      <c r="JKO26" s="388"/>
      <c r="JKP26" s="388"/>
      <c r="JKQ26" s="388"/>
      <c r="JKR26" s="388"/>
      <c r="JKS26" s="388"/>
      <c r="JKT26" s="388"/>
      <c r="JKU26" s="388"/>
      <c r="JKV26" s="388"/>
      <c r="JKW26" s="388"/>
      <c r="JKX26" s="388"/>
      <c r="JKY26" s="388"/>
      <c r="JKZ26" s="388"/>
      <c r="JLA26" s="388"/>
      <c r="JLB26" s="388"/>
      <c r="JLC26" s="388"/>
      <c r="JLD26" s="388"/>
      <c r="JLE26" s="388"/>
      <c r="JLF26" s="388"/>
      <c r="JLG26" s="388"/>
      <c r="JLH26" s="388"/>
      <c r="JLI26" s="388"/>
      <c r="JLJ26" s="388"/>
      <c r="JLK26" s="388"/>
      <c r="JLL26" s="388"/>
      <c r="JLM26" s="388"/>
      <c r="JLN26" s="388"/>
      <c r="JLO26" s="388"/>
      <c r="JLP26" s="388"/>
      <c r="JLQ26" s="388"/>
      <c r="JLR26" s="388"/>
      <c r="JLS26" s="388"/>
      <c r="JLT26" s="388"/>
      <c r="JLU26" s="388"/>
      <c r="JLV26" s="388"/>
      <c r="JLW26" s="388"/>
      <c r="JLX26" s="388"/>
      <c r="JLY26" s="388"/>
      <c r="JLZ26" s="388"/>
      <c r="JMA26" s="388"/>
      <c r="JMB26" s="388"/>
      <c r="JMC26" s="388"/>
      <c r="JMD26" s="388"/>
      <c r="JME26" s="388"/>
      <c r="JMF26" s="388"/>
      <c r="JMG26" s="388"/>
      <c r="JMH26" s="388"/>
      <c r="JMI26" s="388"/>
      <c r="JMJ26" s="388"/>
      <c r="JMK26" s="388"/>
      <c r="JML26" s="388"/>
      <c r="JMM26" s="388"/>
      <c r="JMN26" s="388"/>
      <c r="JMO26" s="388"/>
      <c r="JMP26" s="388"/>
      <c r="JMQ26" s="388"/>
      <c r="JMR26" s="388"/>
      <c r="JMS26" s="388"/>
      <c r="JMT26" s="388"/>
      <c r="JMU26" s="388"/>
      <c r="JMV26" s="388"/>
      <c r="JMW26" s="388"/>
      <c r="JMX26" s="388"/>
      <c r="JMY26" s="388"/>
      <c r="JMZ26" s="388"/>
      <c r="JNA26" s="388"/>
      <c r="JNB26" s="388"/>
      <c r="JNC26" s="388"/>
      <c r="JND26" s="388"/>
      <c r="JNE26" s="388"/>
      <c r="JNF26" s="388"/>
      <c r="JNG26" s="388"/>
      <c r="JNH26" s="388"/>
      <c r="JNI26" s="388"/>
      <c r="JNJ26" s="388"/>
      <c r="JNK26" s="388"/>
      <c r="JNL26" s="388"/>
      <c r="JNM26" s="388"/>
      <c r="JNN26" s="388"/>
      <c r="JNO26" s="388"/>
      <c r="JNP26" s="388"/>
      <c r="JNQ26" s="388"/>
      <c r="JNR26" s="388"/>
      <c r="JNS26" s="388"/>
      <c r="JNT26" s="388"/>
      <c r="JNU26" s="388"/>
      <c r="JNV26" s="388"/>
      <c r="JNW26" s="388"/>
      <c r="JNX26" s="388"/>
      <c r="JNY26" s="388"/>
      <c r="JNZ26" s="388"/>
      <c r="JOA26" s="388"/>
      <c r="JOB26" s="388"/>
      <c r="JOC26" s="388"/>
      <c r="JOD26" s="388"/>
      <c r="JOE26" s="388"/>
      <c r="JOF26" s="388"/>
      <c r="JOG26" s="388"/>
      <c r="JOH26" s="388"/>
      <c r="JOI26" s="388"/>
      <c r="JOJ26" s="388"/>
      <c r="JOK26" s="388"/>
      <c r="JOL26" s="388"/>
      <c r="JOM26" s="388"/>
      <c r="JON26" s="388"/>
      <c r="JOO26" s="388"/>
      <c r="JOP26" s="388"/>
      <c r="JOQ26" s="388"/>
      <c r="JOR26" s="388"/>
      <c r="JOS26" s="388"/>
      <c r="JOT26" s="388"/>
      <c r="JOU26" s="388"/>
      <c r="JOV26" s="388"/>
      <c r="JOW26" s="388"/>
      <c r="JOX26" s="388"/>
      <c r="JOY26" s="388"/>
      <c r="JOZ26" s="388"/>
      <c r="JPA26" s="388"/>
      <c r="JPB26" s="388"/>
      <c r="JPC26" s="388"/>
      <c r="JPD26" s="388"/>
      <c r="JPE26" s="388"/>
      <c r="JPF26" s="388"/>
      <c r="JPG26" s="388"/>
      <c r="JPH26" s="388"/>
      <c r="JPI26" s="388"/>
      <c r="JPJ26" s="388"/>
      <c r="JPK26" s="388"/>
      <c r="JPL26" s="388"/>
      <c r="JPM26" s="388"/>
      <c r="JPN26" s="388"/>
      <c r="JPO26" s="388"/>
      <c r="JPP26" s="388"/>
      <c r="JPQ26" s="388"/>
      <c r="JPR26" s="388"/>
      <c r="JPS26" s="388"/>
      <c r="JPT26" s="388"/>
      <c r="JPU26" s="388"/>
      <c r="JPV26" s="388"/>
      <c r="JPW26" s="388"/>
      <c r="JPX26" s="388"/>
      <c r="JPY26" s="388"/>
      <c r="JPZ26" s="388"/>
      <c r="JQA26" s="388"/>
      <c r="JQB26" s="388"/>
      <c r="JQC26" s="388"/>
      <c r="JQD26" s="388"/>
      <c r="JQE26" s="388"/>
      <c r="JQF26" s="388"/>
      <c r="JQG26" s="388"/>
      <c r="JQH26" s="388"/>
      <c r="JQI26" s="388"/>
      <c r="JQJ26" s="388"/>
      <c r="JQK26" s="388"/>
      <c r="JQL26" s="388"/>
      <c r="JQM26" s="388"/>
      <c r="JQN26" s="388"/>
      <c r="JQO26" s="388"/>
      <c r="JQP26" s="388"/>
      <c r="JQQ26" s="388"/>
      <c r="JQR26" s="388"/>
      <c r="JQS26" s="388"/>
      <c r="JQT26" s="388"/>
      <c r="JQU26" s="388"/>
      <c r="JQV26" s="388"/>
      <c r="JQW26" s="388"/>
      <c r="JQX26" s="388"/>
      <c r="JQY26" s="388"/>
      <c r="JQZ26" s="388"/>
      <c r="JRA26" s="388"/>
      <c r="JRB26" s="388"/>
      <c r="JRC26" s="388"/>
      <c r="JRD26" s="388"/>
      <c r="JRE26" s="388"/>
      <c r="JRF26" s="388"/>
      <c r="JRG26" s="388"/>
      <c r="JRH26" s="388"/>
      <c r="JRI26" s="388"/>
      <c r="JRJ26" s="388"/>
      <c r="JRK26" s="388"/>
      <c r="JRL26" s="388"/>
      <c r="JRM26" s="388"/>
      <c r="JRN26" s="388"/>
      <c r="JRO26" s="388"/>
      <c r="JRP26" s="388"/>
      <c r="JRQ26" s="388"/>
      <c r="JRR26" s="388"/>
      <c r="JRS26" s="388"/>
      <c r="JRT26" s="388"/>
      <c r="JRU26" s="388"/>
      <c r="JRV26" s="388"/>
      <c r="JRW26" s="388"/>
      <c r="JRX26" s="388"/>
      <c r="JRY26" s="388"/>
      <c r="JRZ26" s="388"/>
      <c r="JSA26" s="388"/>
      <c r="JSB26" s="388"/>
      <c r="JSC26" s="388"/>
      <c r="JSD26" s="388"/>
      <c r="JSE26" s="388"/>
      <c r="JSF26" s="388"/>
      <c r="JSG26" s="388"/>
      <c r="JSH26" s="388"/>
      <c r="JSI26" s="388"/>
      <c r="JSJ26" s="388"/>
      <c r="JSK26" s="388"/>
      <c r="JSL26" s="388"/>
      <c r="JSM26" s="388"/>
      <c r="JSN26" s="388"/>
      <c r="JSO26" s="388"/>
      <c r="JSP26" s="388"/>
      <c r="JSQ26" s="388"/>
      <c r="JSR26" s="388"/>
      <c r="JSS26" s="388"/>
      <c r="JST26" s="388"/>
      <c r="JSU26" s="388"/>
      <c r="JSV26" s="388"/>
      <c r="JSW26" s="388"/>
      <c r="JSX26" s="388"/>
      <c r="JSY26" s="388"/>
      <c r="JSZ26" s="388"/>
      <c r="JTA26" s="388"/>
      <c r="JTB26" s="388"/>
      <c r="JTC26" s="388"/>
      <c r="JTD26" s="388"/>
      <c r="JTE26" s="388"/>
      <c r="JTF26" s="388"/>
      <c r="JTG26" s="388"/>
      <c r="JTH26" s="388"/>
      <c r="JTI26" s="388"/>
      <c r="JTJ26" s="388"/>
      <c r="JTK26" s="388"/>
      <c r="JTL26" s="388"/>
      <c r="JTM26" s="388"/>
      <c r="JTN26" s="388"/>
      <c r="JTO26" s="388"/>
      <c r="JTP26" s="388"/>
      <c r="JTQ26" s="388"/>
      <c r="JTR26" s="388"/>
      <c r="JTS26" s="388"/>
      <c r="JTT26" s="388"/>
      <c r="JTU26" s="388"/>
      <c r="JTV26" s="388"/>
      <c r="JTW26" s="388"/>
      <c r="JTX26" s="388"/>
      <c r="JTY26" s="388"/>
      <c r="JTZ26" s="388"/>
      <c r="JUA26" s="388"/>
      <c r="JUB26" s="388"/>
      <c r="JUC26" s="388"/>
      <c r="JUD26" s="388"/>
      <c r="JUE26" s="388"/>
      <c r="JUF26" s="388"/>
      <c r="JUG26" s="388"/>
      <c r="JUH26" s="388"/>
      <c r="JUI26" s="388"/>
      <c r="JUJ26" s="388"/>
      <c r="JUK26" s="388"/>
      <c r="JUL26" s="388"/>
      <c r="JUM26" s="388"/>
      <c r="JUN26" s="388"/>
      <c r="JUO26" s="388"/>
      <c r="JUP26" s="388"/>
      <c r="JUQ26" s="388"/>
      <c r="JUR26" s="388"/>
      <c r="JUS26" s="388"/>
      <c r="JUT26" s="388"/>
      <c r="JUU26" s="388"/>
      <c r="JUV26" s="388"/>
      <c r="JUW26" s="388"/>
      <c r="JUX26" s="388"/>
      <c r="JUY26" s="388"/>
      <c r="JUZ26" s="388"/>
      <c r="JVA26" s="388"/>
      <c r="JVB26" s="388"/>
      <c r="JVC26" s="388"/>
      <c r="JVD26" s="388"/>
      <c r="JVE26" s="388"/>
      <c r="JVF26" s="388"/>
      <c r="JVG26" s="388"/>
      <c r="JVH26" s="388"/>
      <c r="JVI26" s="388"/>
      <c r="JVJ26" s="388"/>
      <c r="JVK26" s="388"/>
      <c r="JVL26" s="388"/>
      <c r="JVM26" s="388"/>
      <c r="JVN26" s="388"/>
      <c r="JVO26" s="388"/>
      <c r="JVP26" s="388"/>
      <c r="JVQ26" s="388"/>
      <c r="JVR26" s="388"/>
      <c r="JVS26" s="388"/>
      <c r="JVT26" s="388"/>
      <c r="JVU26" s="388"/>
      <c r="JVV26" s="388"/>
      <c r="JVW26" s="388"/>
      <c r="JVX26" s="388"/>
      <c r="JVY26" s="388"/>
      <c r="JVZ26" s="388"/>
      <c r="JWA26" s="388"/>
      <c r="JWB26" s="388"/>
      <c r="JWC26" s="388"/>
      <c r="JWD26" s="388"/>
      <c r="JWE26" s="388"/>
      <c r="JWF26" s="388"/>
      <c r="JWG26" s="388"/>
      <c r="JWH26" s="388"/>
      <c r="JWI26" s="388"/>
      <c r="JWJ26" s="388"/>
      <c r="JWK26" s="388"/>
      <c r="JWL26" s="388"/>
      <c r="JWM26" s="388"/>
      <c r="JWN26" s="388"/>
      <c r="JWO26" s="388"/>
      <c r="JWP26" s="388"/>
      <c r="JWQ26" s="388"/>
      <c r="JWR26" s="388"/>
      <c r="JWS26" s="388"/>
      <c r="JWT26" s="388"/>
      <c r="JWU26" s="388"/>
      <c r="JWV26" s="388"/>
      <c r="JWW26" s="388"/>
      <c r="JWX26" s="388"/>
      <c r="JWY26" s="388"/>
      <c r="JWZ26" s="388"/>
      <c r="JXA26" s="388"/>
      <c r="JXB26" s="388"/>
      <c r="JXC26" s="388"/>
      <c r="JXD26" s="388"/>
      <c r="JXE26" s="388"/>
      <c r="JXF26" s="388"/>
      <c r="JXG26" s="388"/>
      <c r="JXH26" s="388"/>
      <c r="JXI26" s="388"/>
      <c r="JXJ26" s="388"/>
      <c r="JXK26" s="388"/>
      <c r="JXL26" s="388"/>
      <c r="JXM26" s="388"/>
      <c r="JXN26" s="388"/>
      <c r="JXO26" s="388"/>
      <c r="JXP26" s="388"/>
      <c r="JXQ26" s="388"/>
      <c r="JXR26" s="388"/>
      <c r="JXS26" s="388"/>
      <c r="JXT26" s="388"/>
      <c r="JXU26" s="388"/>
      <c r="JXV26" s="388"/>
      <c r="JXW26" s="388"/>
      <c r="JXX26" s="388"/>
      <c r="JXY26" s="388"/>
      <c r="JXZ26" s="388"/>
      <c r="JYA26" s="388"/>
      <c r="JYB26" s="388"/>
      <c r="JYC26" s="388"/>
      <c r="JYD26" s="388"/>
      <c r="JYE26" s="388"/>
      <c r="JYF26" s="388"/>
      <c r="JYG26" s="388"/>
      <c r="JYH26" s="388"/>
      <c r="JYI26" s="388"/>
      <c r="JYJ26" s="388"/>
      <c r="JYK26" s="388"/>
      <c r="JYL26" s="388"/>
      <c r="JYM26" s="388"/>
      <c r="JYN26" s="388"/>
      <c r="JYO26" s="388"/>
      <c r="JYP26" s="388"/>
      <c r="JYQ26" s="388"/>
      <c r="JYR26" s="388"/>
      <c r="JYS26" s="388"/>
      <c r="JYT26" s="388"/>
      <c r="JYU26" s="388"/>
      <c r="JYV26" s="388"/>
      <c r="JYW26" s="388"/>
      <c r="JYX26" s="388"/>
      <c r="JYY26" s="388"/>
      <c r="JYZ26" s="388"/>
      <c r="JZA26" s="388"/>
      <c r="JZB26" s="388"/>
      <c r="JZC26" s="388"/>
      <c r="JZD26" s="388"/>
      <c r="JZE26" s="388"/>
      <c r="JZF26" s="388"/>
      <c r="JZG26" s="388"/>
      <c r="JZH26" s="388"/>
      <c r="JZI26" s="388"/>
      <c r="JZJ26" s="388"/>
      <c r="JZK26" s="388"/>
      <c r="JZL26" s="388"/>
      <c r="JZM26" s="388"/>
      <c r="JZN26" s="388"/>
      <c r="JZO26" s="388"/>
      <c r="JZP26" s="388"/>
      <c r="JZQ26" s="388"/>
      <c r="JZR26" s="388"/>
      <c r="JZS26" s="388"/>
      <c r="JZT26" s="388"/>
      <c r="JZU26" s="388"/>
      <c r="JZV26" s="388"/>
      <c r="JZW26" s="388"/>
      <c r="JZX26" s="388"/>
      <c r="JZY26" s="388"/>
      <c r="JZZ26" s="388"/>
      <c r="KAA26" s="388"/>
      <c r="KAB26" s="388"/>
      <c r="KAC26" s="388"/>
      <c r="KAD26" s="388"/>
      <c r="KAE26" s="388"/>
      <c r="KAF26" s="388"/>
      <c r="KAG26" s="388"/>
      <c r="KAH26" s="388"/>
      <c r="KAI26" s="388"/>
      <c r="KAJ26" s="388"/>
      <c r="KAK26" s="388"/>
      <c r="KAL26" s="388"/>
      <c r="KAM26" s="388"/>
      <c r="KAN26" s="388"/>
      <c r="KAO26" s="388"/>
      <c r="KAP26" s="388"/>
      <c r="KAQ26" s="388"/>
      <c r="KAR26" s="388"/>
      <c r="KAS26" s="388"/>
      <c r="KAT26" s="388"/>
      <c r="KAU26" s="388"/>
      <c r="KAV26" s="388"/>
      <c r="KAW26" s="388"/>
      <c r="KAX26" s="388"/>
      <c r="KAY26" s="388"/>
      <c r="KAZ26" s="388"/>
      <c r="KBA26" s="388"/>
      <c r="KBB26" s="388"/>
      <c r="KBC26" s="388"/>
      <c r="KBD26" s="388"/>
      <c r="KBE26" s="388"/>
      <c r="KBF26" s="388"/>
      <c r="KBG26" s="388"/>
      <c r="KBH26" s="388"/>
      <c r="KBI26" s="388"/>
      <c r="KBJ26" s="388"/>
      <c r="KBK26" s="388"/>
      <c r="KBL26" s="388"/>
      <c r="KBM26" s="388"/>
      <c r="KBN26" s="388"/>
      <c r="KBO26" s="388"/>
      <c r="KBP26" s="388"/>
      <c r="KBQ26" s="388"/>
      <c r="KBR26" s="388"/>
      <c r="KBS26" s="388"/>
      <c r="KBT26" s="388"/>
      <c r="KBU26" s="388"/>
      <c r="KBV26" s="388"/>
      <c r="KBW26" s="388"/>
      <c r="KBX26" s="388"/>
      <c r="KBY26" s="388"/>
      <c r="KBZ26" s="388"/>
      <c r="KCA26" s="388"/>
      <c r="KCB26" s="388"/>
      <c r="KCC26" s="388"/>
      <c r="KCD26" s="388"/>
      <c r="KCE26" s="388"/>
      <c r="KCF26" s="388"/>
      <c r="KCG26" s="388"/>
      <c r="KCH26" s="388"/>
      <c r="KCI26" s="388"/>
      <c r="KCJ26" s="388"/>
      <c r="KCK26" s="388"/>
      <c r="KCL26" s="388"/>
      <c r="KCM26" s="388"/>
      <c r="KCN26" s="388"/>
      <c r="KCO26" s="388"/>
      <c r="KCP26" s="388"/>
      <c r="KCQ26" s="388"/>
      <c r="KCR26" s="388"/>
      <c r="KCS26" s="388"/>
      <c r="KCT26" s="388"/>
      <c r="KCU26" s="388"/>
      <c r="KCV26" s="388"/>
      <c r="KCW26" s="388"/>
      <c r="KCX26" s="388"/>
      <c r="KCY26" s="388"/>
      <c r="KCZ26" s="388"/>
      <c r="KDA26" s="388"/>
      <c r="KDB26" s="388"/>
      <c r="KDC26" s="388"/>
      <c r="KDD26" s="388"/>
      <c r="KDE26" s="388"/>
      <c r="KDF26" s="388"/>
      <c r="KDG26" s="388"/>
      <c r="KDH26" s="388"/>
      <c r="KDI26" s="388"/>
      <c r="KDJ26" s="388"/>
      <c r="KDK26" s="388"/>
      <c r="KDL26" s="388"/>
      <c r="KDM26" s="388"/>
      <c r="KDN26" s="388"/>
      <c r="KDO26" s="388"/>
      <c r="KDP26" s="388"/>
      <c r="KDQ26" s="388"/>
      <c r="KDR26" s="388"/>
      <c r="KDS26" s="388"/>
      <c r="KDT26" s="388"/>
      <c r="KDU26" s="388"/>
      <c r="KDV26" s="388"/>
      <c r="KDW26" s="388"/>
      <c r="KDX26" s="388"/>
      <c r="KDY26" s="388"/>
      <c r="KDZ26" s="388"/>
      <c r="KEA26" s="388"/>
      <c r="KEB26" s="388"/>
      <c r="KEC26" s="388"/>
      <c r="KED26" s="388"/>
      <c r="KEE26" s="388"/>
      <c r="KEF26" s="388"/>
      <c r="KEG26" s="388"/>
      <c r="KEH26" s="388"/>
      <c r="KEI26" s="388"/>
      <c r="KEJ26" s="388"/>
      <c r="KEK26" s="388"/>
      <c r="KEL26" s="388"/>
      <c r="KEM26" s="388"/>
      <c r="KEN26" s="388"/>
      <c r="KEO26" s="388"/>
      <c r="KEP26" s="388"/>
      <c r="KEQ26" s="388"/>
      <c r="KER26" s="388"/>
      <c r="KES26" s="388"/>
      <c r="KET26" s="388"/>
      <c r="KEU26" s="388"/>
      <c r="KEV26" s="388"/>
      <c r="KEW26" s="388"/>
      <c r="KEX26" s="388"/>
      <c r="KEY26" s="388"/>
      <c r="KEZ26" s="388"/>
      <c r="KFA26" s="388"/>
      <c r="KFB26" s="388"/>
      <c r="KFC26" s="388"/>
      <c r="KFD26" s="388"/>
      <c r="KFE26" s="388"/>
      <c r="KFF26" s="388"/>
      <c r="KFG26" s="388"/>
      <c r="KFH26" s="388"/>
      <c r="KFI26" s="388"/>
      <c r="KFJ26" s="388"/>
      <c r="KFK26" s="388"/>
      <c r="KFL26" s="388"/>
      <c r="KFM26" s="388"/>
      <c r="KFN26" s="388"/>
      <c r="KFO26" s="388"/>
      <c r="KFP26" s="388"/>
      <c r="KFQ26" s="388"/>
      <c r="KFR26" s="388"/>
      <c r="KFS26" s="388"/>
      <c r="KFT26" s="388"/>
      <c r="KFU26" s="388"/>
      <c r="KFV26" s="388"/>
      <c r="KFW26" s="388"/>
      <c r="KFX26" s="388"/>
      <c r="KFY26" s="388"/>
      <c r="KFZ26" s="388"/>
      <c r="KGA26" s="388"/>
      <c r="KGB26" s="388"/>
      <c r="KGC26" s="388"/>
      <c r="KGD26" s="388"/>
      <c r="KGE26" s="388"/>
      <c r="KGF26" s="388"/>
      <c r="KGG26" s="388"/>
      <c r="KGH26" s="388"/>
      <c r="KGI26" s="388"/>
      <c r="KGJ26" s="388"/>
      <c r="KGK26" s="388"/>
      <c r="KGL26" s="388"/>
      <c r="KGM26" s="388"/>
      <c r="KGN26" s="388"/>
      <c r="KGO26" s="388"/>
      <c r="KGP26" s="388"/>
      <c r="KGQ26" s="388"/>
      <c r="KGR26" s="388"/>
      <c r="KGS26" s="388"/>
      <c r="KGT26" s="388"/>
      <c r="KGU26" s="388"/>
      <c r="KGV26" s="388"/>
      <c r="KGW26" s="388"/>
      <c r="KGX26" s="388"/>
      <c r="KGY26" s="388"/>
      <c r="KGZ26" s="388"/>
      <c r="KHA26" s="388"/>
      <c r="KHB26" s="388"/>
      <c r="KHC26" s="388"/>
      <c r="KHD26" s="388"/>
      <c r="KHE26" s="388"/>
      <c r="KHF26" s="388"/>
      <c r="KHG26" s="388"/>
      <c r="KHH26" s="388"/>
      <c r="KHI26" s="388"/>
      <c r="KHJ26" s="388"/>
      <c r="KHK26" s="388"/>
      <c r="KHL26" s="388"/>
      <c r="KHM26" s="388"/>
      <c r="KHN26" s="388"/>
      <c r="KHO26" s="388"/>
      <c r="KHP26" s="388"/>
      <c r="KHQ26" s="388"/>
      <c r="KHR26" s="388"/>
      <c r="KHS26" s="388"/>
      <c r="KHT26" s="388"/>
      <c r="KHU26" s="388"/>
      <c r="KHV26" s="388"/>
      <c r="KHW26" s="388"/>
      <c r="KHX26" s="388"/>
      <c r="KHY26" s="388"/>
      <c r="KHZ26" s="388"/>
      <c r="KIA26" s="388"/>
      <c r="KIB26" s="388"/>
      <c r="KIC26" s="388"/>
      <c r="KID26" s="388"/>
      <c r="KIE26" s="388"/>
      <c r="KIF26" s="388"/>
      <c r="KIG26" s="388"/>
      <c r="KIH26" s="388"/>
      <c r="KII26" s="388"/>
      <c r="KIJ26" s="388"/>
      <c r="KIK26" s="388"/>
      <c r="KIL26" s="388"/>
      <c r="KIM26" s="388"/>
      <c r="KIN26" s="388"/>
      <c r="KIO26" s="388"/>
      <c r="KIP26" s="388"/>
      <c r="KIQ26" s="388"/>
      <c r="KIR26" s="388"/>
      <c r="KIS26" s="388"/>
      <c r="KIT26" s="388"/>
      <c r="KIU26" s="388"/>
      <c r="KIV26" s="388"/>
      <c r="KIW26" s="388"/>
      <c r="KIX26" s="388"/>
      <c r="KIY26" s="388"/>
      <c r="KIZ26" s="388"/>
      <c r="KJA26" s="388"/>
      <c r="KJB26" s="388"/>
      <c r="KJC26" s="388"/>
      <c r="KJD26" s="388"/>
      <c r="KJE26" s="388"/>
      <c r="KJF26" s="388"/>
      <c r="KJG26" s="388"/>
      <c r="KJH26" s="388"/>
      <c r="KJI26" s="388"/>
      <c r="KJJ26" s="388"/>
      <c r="KJK26" s="388"/>
      <c r="KJL26" s="388"/>
      <c r="KJM26" s="388"/>
      <c r="KJN26" s="388"/>
      <c r="KJO26" s="388"/>
      <c r="KJP26" s="388"/>
      <c r="KJQ26" s="388"/>
      <c r="KJR26" s="388"/>
      <c r="KJS26" s="388"/>
      <c r="KJT26" s="388"/>
      <c r="KJU26" s="388"/>
      <c r="KJV26" s="388"/>
      <c r="KJW26" s="388"/>
      <c r="KJX26" s="388"/>
      <c r="KJY26" s="388"/>
      <c r="KJZ26" s="388"/>
      <c r="KKA26" s="388"/>
      <c r="KKB26" s="388"/>
      <c r="KKC26" s="388"/>
      <c r="KKD26" s="388"/>
      <c r="KKE26" s="388"/>
      <c r="KKF26" s="388"/>
      <c r="KKG26" s="388"/>
      <c r="KKH26" s="388"/>
      <c r="KKI26" s="388"/>
      <c r="KKJ26" s="388"/>
      <c r="KKK26" s="388"/>
      <c r="KKL26" s="388"/>
      <c r="KKM26" s="388"/>
      <c r="KKN26" s="388"/>
      <c r="KKO26" s="388"/>
      <c r="KKP26" s="388"/>
      <c r="KKQ26" s="388"/>
      <c r="KKR26" s="388"/>
      <c r="KKS26" s="388"/>
      <c r="KKT26" s="388"/>
      <c r="KKU26" s="388"/>
      <c r="KKV26" s="388"/>
      <c r="KKW26" s="388"/>
      <c r="KKX26" s="388"/>
      <c r="KKY26" s="388"/>
      <c r="KKZ26" s="388"/>
      <c r="KLA26" s="388"/>
      <c r="KLB26" s="388"/>
      <c r="KLC26" s="388"/>
      <c r="KLD26" s="388"/>
      <c r="KLE26" s="388"/>
      <c r="KLF26" s="388"/>
      <c r="KLG26" s="388"/>
      <c r="KLH26" s="388"/>
      <c r="KLI26" s="388"/>
      <c r="KLJ26" s="388"/>
      <c r="KLK26" s="388"/>
      <c r="KLL26" s="388"/>
      <c r="KLM26" s="388"/>
      <c r="KLN26" s="388"/>
      <c r="KLO26" s="388"/>
      <c r="KLP26" s="388"/>
      <c r="KLQ26" s="388"/>
      <c r="KLR26" s="388"/>
      <c r="KLS26" s="388"/>
      <c r="KLT26" s="388"/>
      <c r="KLU26" s="388"/>
      <c r="KLV26" s="388"/>
      <c r="KLW26" s="388"/>
      <c r="KLX26" s="388"/>
      <c r="KLY26" s="388"/>
      <c r="KLZ26" s="388"/>
      <c r="KMA26" s="388"/>
      <c r="KMB26" s="388"/>
      <c r="KMC26" s="388"/>
      <c r="KMD26" s="388"/>
      <c r="KME26" s="388"/>
      <c r="KMF26" s="388"/>
      <c r="KMG26" s="388"/>
      <c r="KMH26" s="388"/>
      <c r="KMI26" s="388"/>
      <c r="KMJ26" s="388"/>
      <c r="KMK26" s="388"/>
      <c r="KML26" s="388"/>
      <c r="KMM26" s="388"/>
      <c r="KMN26" s="388"/>
      <c r="KMO26" s="388"/>
      <c r="KMP26" s="388"/>
      <c r="KMQ26" s="388"/>
      <c r="KMR26" s="388"/>
      <c r="KMS26" s="388"/>
      <c r="KMT26" s="388"/>
      <c r="KMU26" s="388"/>
      <c r="KMV26" s="388"/>
      <c r="KMW26" s="388"/>
      <c r="KMX26" s="388"/>
      <c r="KMY26" s="388"/>
      <c r="KMZ26" s="388"/>
      <c r="KNA26" s="388"/>
      <c r="KNB26" s="388"/>
      <c r="KNC26" s="388"/>
      <c r="KND26" s="388"/>
      <c r="KNE26" s="388"/>
      <c r="KNF26" s="388"/>
      <c r="KNG26" s="388"/>
      <c r="KNH26" s="388"/>
      <c r="KNI26" s="388"/>
      <c r="KNJ26" s="388"/>
      <c r="KNK26" s="388"/>
      <c r="KNL26" s="388"/>
      <c r="KNM26" s="388"/>
      <c r="KNN26" s="388"/>
      <c r="KNO26" s="388"/>
      <c r="KNP26" s="388"/>
      <c r="KNQ26" s="388"/>
      <c r="KNR26" s="388"/>
      <c r="KNS26" s="388"/>
      <c r="KNT26" s="388"/>
      <c r="KNU26" s="388"/>
      <c r="KNV26" s="388"/>
      <c r="KNW26" s="388"/>
      <c r="KNX26" s="388"/>
      <c r="KNY26" s="388"/>
      <c r="KNZ26" s="388"/>
      <c r="KOA26" s="388"/>
      <c r="KOB26" s="388"/>
      <c r="KOC26" s="388"/>
      <c r="KOD26" s="388"/>
      <c r="KOE26" s="388"/>
      <c r="KOF26" s="388"/>
      <c r="KOG26" s="388"/>
      <c r="KOH26" s="388"/>
      <c r="KOI26" s="388"/>
      <c r="KOJ26" s="388"/>
      <c r="KOK26" s="388"/>
      <c r="KOL26" s="388"/>
      <c r="KOM26" s="388"/>
      <c r="KON26" s="388"/>
      <c r="KOO26" s="388"/>
      <c r="KOP26" s="388"/>
      <c r="KOQ26" s="388"/>
      <c r="KOR26" s="388"/>
      <c r="KOS26" s="388"/>
      <c r="KOT26" s="388"/>
      <c r="KOU26" s="388"/>
      <c r="KOV26" s="388"/>
      <c r="KOW26" s="388"/>
      <c r="KOX26" s="388"/>
      <c r="KOY26" s="388"/>
      <c r="KOZ26" s="388"/>
      <c r="KPA26" s="388"/>
      <c r="KPB26" s="388"/>
      <c r="KPC26" s="388"/>
      <c r="KPD26" s="388"/>
      <c r="KPE26" s="388"/>
      <c r="KPF26" s="388"/>
      <c r="KPG26" s="388"/>
      <c r="KPH26" s="388"/>
      <c r="KPI26" s="388"/>
      <c r="KPJ26" s="388"/>
      <c r="KPK26" s="388"/>
      <c r="KPL26" s="388"/>
      <c r="KPM26" s="388"/>
      <c r="KPN26" s="388"/>
      <c r="KPO26" s="388"/>
      <c r="KPP26" s="388"/>
      <c r="KPQ26" s="388"/>
      <c r="KPR26" s="388"/>
      <c r="KPS26" s="388"/>
      <c r="KPT26" s="388"/>
      <c r="KPU26" s="388"/>
      <c r="KPV26" s="388"/>
      <c r="KPW26" s="388"/>
      <c r="KPX26" s="388"/>
      <c r="KPY26" s="388"/>
      <c r="KPZ26" s="388"/>
      <c r="KQA26" s="388"/>
      <c r="KQB26" s="388"/>
      <c r="KQC26" s="388"/>
      <c r="KQD26" s="388"/>
      <c r="KQE26" s="388"/>
      <c r="KQF26" s="388"/>
      <c r="KQG26" s="388"/>
      <c r="KQH26" s="388"/>
      <c r="KQI26" s="388"/>
      <c r="KQJ26" s="388"/>
      <c r="KQK26" s="388"/>
      <c r="KQL26" s="388"/>
      <c r="KQM26" s="388"/>
      <c r="KQN26" s="388"/>
      <c r="KQO26" s="388"/>
      <c r="KQP26" s="388"/>
      <c r="KQQ26" s="388"/>
      <c r="KQR26" s="388"/>
      <c r="KQS26" s="388"/>
      <c r="KQT26" s="388"/>
      <c r="KQU26" s="388"/>
      <c r="KQV26" s="388"/>
      <c r="KQW26" s="388"/>
      <c r="KQX26" s="388"/>
      <c r="KQY26" s="388"/>
      <c r="KQZ26" s="388"/>
      <c r="KRA26" s="388"/>
      <c r="KRB26" s="388"/>
      <c r="KRC26" s="388"/>
      <c r="KRD26" s="388"/>
      <c r="KRE26" s="388"/>
      <c r="KRF26" s="388"/>
      <c r="KRG26" s="388"/>
      <c r="KRH26" s="388"/>
      <c r="KRI26" s="388"/>
      <c r="KRJ26" s="388"/>
      <c r="KRK26" s="388"/>
      <c r="KRL26" s="388"/>
      <c r="KRM26" s="388"/>
      <c r="KRN26" s="388"/>
      <c r="KRO26" s="388"/>
      <c r="KRP26" s="388"/>
      <c r="KRQ26" s="388"/>
      <c r="KRR26" s="388"/>
      <c r="KRS26" s="388"/>
      <c r="KRT26" s="388"/>
      <c r="KRU26" s="388"/>
      <c r="KRV26" s="388"/>
      <c r="KRW26" s="388"/>
      <c r="KRX26" s="388"/>
      <c r="KRY26" s="388"/>
      <c r="KRZ26" s="388"/>
      <c r="KSA26" s="388"/>
      <c r="KSB26" s="388"/>
      <c r="KSC26" s="388"/>
      <c r="KSD26" s="388"/>
      <c r="KSE26" s="388"/>
      <c r="KSF26" s="388"/>
      <c r="KSG26" s="388"/>
      <c r="KSH26" s="388"/>
      <c r="KSI26" s="388"/>
      <c r="KSJ26" s="388"/>
      <c r="KSK26" s="388"/>
      <c r="KSL26" s="388"/>
      <c r="KSM26" s="388"/>
      <c r="KSN26" s="388"/>
      <c r="KSO26" s="388"/>
      <c r="KSP26" s="388"/>
      <c r="KSQ26" s="388"/>
      <c r="KSR26" s="388"/>
      <c r="KSS26" s="388"/>
      <c r="KST26" s="388"/>
      <c r="KSU26" s="388"/>
      <c r="KSV26" s="388"/>
      <c r="KSW26" s="388"/>
      <c r="KSX26" s="388"/>
      <c r="KSY26" s="388"/>
      <c r="KSZ26" s="388"/>
      <c r="KTA26" s="388"/>
      <c r="KTB26" s="388"/>
      <c r="KTC26" s="388"/>
      <c r="KTD26" s="388"/>
      <c r="KTE26" s="388"/>
      <c r="KTF26" s="388"/>
      <c r="KTG26" s="388"/>
      <c r="KTH26" s="388"/>
      <c r="KTI26" s="388"/>
      <c r="KTJ26" s="388"/>
      <c r="KTK26" s="388"/>
      <c r="KTL26" s="388"/>
      <c r="KTM26" s="388"/>
      <c r="KTN26" s="388"/>
      <c r="KTO26" s="388"/>
      <c r="KTP26" s="388"/>
      <c r="KTQ26" s="388"/>
      <c r="KTR26" s="388"/>
      <c r="KTS26" s="388"/>
      <c r="KTT26" s="388"/>
      <c r="KTU26" s="388"/>
      <c r="KTV26" s="388"/>
      <c r="KTW26" s="388"/>
      <c r="KTX26" s="388"/>
      <c r="KTY26" s="388"/>
      <c r="KTZ26" s="388"/>
      <c r="KUA26" s="388"/>
      <c r="KUB26" s="388"/>
      <c r="KUC26" s="388"/>
      <c r="KUD26" s="388"/>
      <c r="KUE26" s="388"/>
      <c r="KUF26" s="388"/>
      <c r="KUG26" s="388"/>
      <c r="KUH26" s="388"/>
      <c r="KUI26" s="388"/>
      <c r="KUJ26" s="388"/>
      <c r="KUK26" s="388"/>
      <c r="KUL26" s="388"/>
      <c r="KUM26" s="388"/>
      <c r="KUN26" s="388"/>
      <c r="KUO26" s="388"/>
      <c r="KUP26" s="388"/>
      <c r="KUQ26" s="388"/>
      <c r="KUR26" s="388"/>
      <c r="KUS26" s="388"/>
      <c r="KUT26" s="388"/>
      <c r="KUU26" s="388"/>
      <c r="KUV26" s="388"/>
      <c r="KUW26" s="388"/>
      <c r="KUX26" s="388"/>
      <c r="KUY26" s="388"/>
      <c r="KUZ26" s="388"/>
      <c r="KVA26" s="388"/>
      <c r="KVB26" s="388"/>
      <c r="KVC26" s="388"/>
      <c r="KVD26" s="388"/>
      <c r="KVE26" s="388"/>
      <c r="KVF26" s="388"/>
      <c r="KVG26" s="388"/>
      <c r="KVH26" s="388"/>
      <c r="KVI26" s="388"/>
      <c r="KVJ26" s="388"/>
      <c r="KVK26" s="388"/>
      <c r="KVL26" s="388"/>
      <c r="KVM26" s="388"/>
      <c r="KVN26" s="388"/>
      <c r="KVO26" s="388"/>
      <c r="KVP26" s="388"/>
      <c r="KVQ26" s="388"/>
      <c r="KVR26" s="388"/>
      <c r="KVS26" s="388"/>
      <c r="KVT26" s="388"/>
      <c r="KVU26" s="388"/>
      <c r="KVV26" s="388"/>
      <c r="KVW26" s="388"/>
      <c r="KVX26" s="388"/>
      <c r="KVY26" s="388"/>
      <c r="KVZ26" s="388"/>
      <c r="KWA26" s="388"/>
      <c r="KWB26" s="388"/>
      <c r="KWC26" s="388"/>
      <c r="KWD26" s="388"/>
      <c r="KWE26" s="388"/>
      <c r="KWF26" s="388"/>
      <c r="KWG26" s="388"/>
      <c r="KWH26" s="388"/>
      <c r="KWI26" s="388"/>
      <c r="KWJ26" s="388"/>
      <c r="KWK26" s="388"/>
      <c r="KWL26" s="388"/>
      <c r="KWM26" s="388"/>
      <c r="KWN26" s="388"/>
      <c r="KWO26" s="388"/>
      <c r="KWP26" s="388"/>
      <c r="KWQ26" s="388"/>
      <c r="KWR26" s="388"/>
      <c r="KWS26" s="388"/>
      <c r="KWT26" s="388"/>
      <c r="KWU26" s="388"/>
      <c r="KWV26" s="388"/>
      <c r="KWW26" s="388"/>
      <c r="KWX26" s="388"/>
      <c r="KWY26" s="388"/>
      <c r="KWZ26" s="388"/>
      <c r="KXA26" s="388"/>
      <c r="KXB26" s="388"/>
      <c r="KXC26" s="388"/>
      <c r="KXD26" s="388"/>
      <c r="KXE26" s="388"/>
      <c r="KXF26" s="388"/>
      <c r="KXG26" s="388"/>
      <c r="KXH26" s="388"/>
      <c r="KXI26" s="388"/>
      <c r="KXJ26" s="388"/>
      <c r="KXK26" s="388"/>
      <c r="KXL26" s="388"/>
      <c r="KXM26" s="388"/>
      <c r="KXN26" s="388"/>
      <c r="KXO26" s="388"/>
      <c r="KXP26" s="388"/>
      <c r="KXQ26" s="388"/>
      <c r="KXR26" s="388"/>
      <c r="KXS26" s="388"/>
      <c r="KXT26" s="388"/>
      <c r="KXU26" s="388"/>
      <c r="KXV26" s="388"/>
      <c r="KXW26" s="388"/>
      <c r="KXX26" s="388"/>
      <c r="KXY26" s="388"/>
      <c r="KXZ26" s="388"/>
      <c r="KYA26" s="388"/>
      <c r="KYB26" s="388"/>
      <c r="KYC26" s="388"/>
      <c r="KYD26" s="388"/>
      <c r="KYE26" s="388"/>
      <c r="KYF26" s="388"/>
      <c r="KYG26" s="388"/>
      <c r="KYH26" s="388"/>
      <c r="KYI26" s="388"/>
      <c r="KYJ26" s="388"/>
      <c r="KYK26" s="388"/>
      <c r="KYL26" s="388"/>
      <c r="KYM26" s="388"/>
      <c r="KYN26" s="388"/>
      <c r="KYO26" s="388"/>
      <c r="KYP26" s="388"/>
      <c r="KYQ26" s="388"/>
      <c r="KYR26" s="388"/>
      <c r="KYS26" s="388"/>
      <c r="KYT26" s="388"/>
      <c r="KYU26" s="388"/>
      <c r="KYV26" s="388"/>
      <c r="KYW26" s="388"/>
      <c r="KYX26" s="388"/>
      <c r="KYY26" s="388"/>
      <c r="KYZ26" s="388"/>
      <c r="KZA26" s="388"/>
      <c r="KZB26" s="388"/>
      <c r="KZC26" s="388"/>
      <c r="KZD26" s="388"/>
      <c r="KZE26" s="388"/>
      <c r="KZF26" s="388"/>
      <c r="KZG26" s="388"/>
      <c r="KZH26" s="388"/>
      <c r="KZI26" s="388"/>
      <c r="KZJ26" s="388"/>
      <c r="KZK26" s="388"/>
      <c r="KZL26" s="388"/>
      <c r="KZM26" s="388"/>
      <c r="KZN26" s="388"/>
      <c r="KZO26" s="388"/>
      <c r="KZP26" s="388"/>
      <c r="KZQ26" s="388"/>
      <c r="KZR26" s="388"/>
      <c r="KZS26" s="388"/>
      <c r="KZT26" s="388"/>
      <c r="KZU26" s="388"/>
      <c r="KZV26" s="388"/>
      <c r="KZW26" s="388"/>
      <c r="KZX26" s="388"/>
      <c r="KZY26" s="388"/>
      <c r="KZZ26" s="388"/>
      <c r="LAA26" s="388"/>
      <c r="LAB26" s="388"/>
      <c r="LAC26" s="388"/>
      <c r="LAD26" s="388"/>
      <c r="LAE26" s="388"/>
      <c r="LAF26" s="388"/>
      <c r="LAG26" s="388"/>
      <c r="LAH26" s="388"/>
      <c r="LAI26" s="388"/>
      <c r="LAJ26" s="388"/>
      <c r="LAK26" s="388"/>
      <c r="LAL26" s="388"/>
      <c r="LAM26" s="388"/>
      <c r="LAN26" s="388"/>
      <c r="LAO26" s="388"/>
      <c r="LAP26" s="388"/>
      <c r="LAQ26" s="388"/>
      <c r="LAR26" s="388"/>
      <c r="LAS26" s="388"/>
      <c r="LAT26" s="388"/>
      <c r="LAU26" s="388"/>
      <c r="LAV26" s="388"/>
      <c r="LAW26" s="388"/>
      <c r="LAX26" s="388"/>
      <c r="LAY26" s="388"/>
      <c r="LAZ26" s="388"/>
      <c r="LBA26" s="388"/>
      <c r="LBB26" s="388"/>
      <c r="LBC26" s="388"/>
      <c r="LBD26" s="388"/>
      <c r="LBE26" s="388"/>
      <c r="LBF26" s="388"/>
      <c r="LBG26" s="388"/>
      <c r="LBH26" s="388"/>
      <c r="LBI26" s="388"/>
      <c r="LBJ26" s="388"/>
      <c r="LBK26" s="388"/>
      <c r="LBL26" s="388"/>
      <c r="LBM26" s="388"/>
      <c r="LBN26" s="388"/>
      <c r="LBO26" s="388"/>
      <c r="LBP26" s="388"/>
      <c r="LBQ26" s="388"/>
      <c r="LBR26" s="388"/>
      <c r="LBS26" s="388"/>
      <c r="LBT26" s="388"/>
      <c r="LBU26" s="388"/>
      <c r="LBV26" s="388"/>
      <c r="LBW26" s="388"/>
      <c r="LBX26" s="388"/>
      <c r="LBY26" s="388"/>
      <c r="LBZ26" s="388"/>
      <c r="LCA26" s="388"/>
      <c r="LCB26" s="388"/>
      <c r="LCC26" s="388"/>
      <c r="LCD26" s="388"/>
      <c r="LCE26" s="388"/>
      <c r="LCF26" s="388"/>
      <c r="LCG26" s="388"/>
      <c r="LCH26" s="388"/>
      <c r="LCI26" s="388"/>
      <c r="LCJ26" s="388"/>
      <c r="LCK26" s="388"/>
      <c r="LCL26" s="388"/>
      <c r="LCM26" s="388"/>
      <c r="LCN26" s="388"/>
      <c r="LCO26" s="388"/>
      <c r="LCP26" s="388"/>
      <c r="LCQ26" s="388"/>
      <c r="LCR26" s="388"/>
      <c r="LCS26" s="388"/>
      <c r="LCT26" s="388"/>
      <c r="LCU26" s="388"/>
      <c r="LCV26" s="388"/>
      <c r="LCW26" s="388"/>
      <c r="LCX26" s="388"/>
      <c r="LCY26" s="388"/>
      <c r="LCZ26" s="388"/>
      <c r="LDA26" s="388"/>
      <c r="LDB26" s="388"/>
      <c r="LDC26" s="388"/>
      <c r="LDD26" s="388"/>
      <c r="LDE26" s="388"/>
      <c r="LDF26" s="388"/>
      <c r="LDG26" s="388"/>
      <c r="LDH26" s="388"/>
      <c r="LDI26" s="388"/>
      <c r="LDJ26" s="388"/>
      <c r="LDK26" s="388"/>
      <c r="LDL26" s="388"/>
      <c r="LDM26" s="388"/>
      <c r="LDN26" s="388"/>
      <c r="LDO26" s="388"/>
      <c r="LDP26" s="388"/>
      <c r="LDQ26" s="388"/>
      <c r="LDR26" s="388"/>
      <c r="LDS26" s="388"/>
      <c r="LDT26" s="388"/>
      <c r="LDU26" s="388"/>
      <c r="LDV26" s="388"/>
      <c r="LDW26" s="388"/>
      <c r="LDX26" s="388"/>
      <c r="LDY26" s="388"/>
      <c r="LDZ26" s="388"/>
      <c r="LEA26" s="388"/>
      <c r="LEB26" s="388"/>
      <c r="LEC26" s="388"/>
      <c r="LED26" s="388"/>
      <c r="LEE26" s="388"/>
      <c r="LEF26" s="388"/>
      <c r="LEG26" s="388"/>
      <c r="LEH26" s="388"/>
      <c r="LEI26" s="388"/>
      <c r="LEJ26" s="388"/>
      <c r="LEK26" s="388"/>
      <c r="LEL26" s="388"/>
      <c r="LEM26" s="388"/>
      <c r="LEN26" s="388"/>
      <c r="LEO26" s="388"/>
      <c r="LEP26" s="388"/>
      <c r="LEQ26" s="388"/>
      <c r="LER26" s="388"/>
      <c r="LES26" s="388"/>
      <c r="LET26" s="388"/>
      <c r="LEU26" s="388"/>
      <c r="LEV26" s="388"/>
      <c r="LEW26" s="388"/>
      <c r="LEX26" s="388"/>
      <c r="LEY26" s="388"/>
      <c r="LEZ26" s="388"/>
      <c r="LFA26" s="388"/>
      <c r="LFB26" s="388"/>
      <c r="LFC26" s="388"/>
      <c r="LFD26" s="388"/>
      <c r="LFE26" s="388"/>
      <c r="LFF26" s="388"/>
      <c r="LFG26" s="388"/>
      <c r="LFH26" s="388"/>
      <c r="LFI26" s="388"/>
      <c r="LFJ26" s="388"/>
      <c r="LFK26" s="388"/>
      <c r="LFL26" s="388"/>
      <c r="LFM26" s="388"/>
      <c r="LFN26" s="388"/>
      <c r="LFO26" s="388"/>
      <c r="LFP26" s="388"/>
      <c r="LFQ26" s="388"/>
      <c r="LFR26" s="388"/>
      <c r="LFS26" s="388"/>
      <c r="LFT26" s="388"/>
      <c r="LFU26" s="388"/>
      <c r="LFV26" s="388"/>
      <c r="LFW26" s="388"/>
      <c r="LFX26" s="388"/>
      <c r="LFY26" s="388"/>
      <c r="LFZ26" s="388"/>
      <c r="LGA26" s="388"/>
      <c r="LGB26" s="388"/>
      <c r="LGC26" s="388"/>
      <c r="LGD26" s="388"/>
      <c r="LGE26" s="388"/>
      <c r="LGF26" s="388"/>
      <c r="LGG26" s="388"/>
      <c r="LGH26" s="388"/>
      <c r="LGI26" s="388"/>
      <c r="LGJ26" s="388"/>
      <c r="LGK26" s="388"/>
      <c r="LGL26" s="388"/>
      <c r="LGM26" s="388"/>
      <c r="LGN26" s="388"/>
      <c r="LGO26" s="388"/>
      <c r="LGP26" s="388"/>
      <c r="LGQ26" s="388"/>
      <c r="LGR26" s="388"/>
      <c r="LGS26" s="388"/>
      <c r="LGT26" s="388"/>
      <c r="LGU26" s="388"/>
      <c r="LGV26" s="388"/>
      <c r="LGW26" s="388"/>
      <c r="LGX26" s="388"/>
      <c r="LGY26" s="388"/>
      <c r="LGZ26" s="388"/>
      <c r="LHA26" s="388"/>
      <c r="LHB26" s="388"/>
      <c r="LHC26" s="388"/>
      <c r="LHD26" s="388"/>
      <c r="LHE26" s="388"/>
      <c r="LHF26" s="388"/>
      <c r="LHG26" s="388"/>
      <c r="LHH26" s="388"/>
      <c r="LHI26" s="388"/>
      <c r="LHJ26" s="388"/>
      <c r="LHK26" s="388"/>
      <c r="LHL26" s="388"/>
      <c r="LHM26" s="388"/>
      <c r="LHN26" s="388"/>
      <c r="LHO26" s="388"/>
      <c r="LHP26" s="388"/>
      <c r="LHQ26" s="388"/>
      <c r="LHR26" s="388"/>
      <c r="LHS26" s="388"/>
      <c r="LHT26" s="388"/>
      <c r="LHU26" s="388"/>
      <c r="LHV26" s="388"/>
      <c r="LHW26" s="388"/>
      <c r="LHX26" s="388"/>
      <c r="LHY26" s="388"/>
      <c r="LHZ26" s="388"/>
      <c r="LIA26" s="388"/>
      <c r="LIB26" s="388"/>
      <c r="LIC26" s="388"/>
      <c r="LID26" s="388"/>
      <c r="LIE26" s="388"/>
      <c r="LIF26" s="388"/>
      <c r="LIG26" s="388"/>
      <c r="LIH26" s="388"/>
      <c r="LII26" s="388"/>
      <c r="LIJ26" s="388"/>
      <c r="LIK26" s="388"/>
      <c r="LIL26" s="388"/>
      <c r="LIM26" s="388"/>
      <c r="LIN26" s="388"/>
      <c r="LIO26" s="388"/>
      <c r="LIP26" s="388"/>
      <c r="LIQ26" s="388"/>
      <c r="LIR26" s="388"/>
      <c r="LIS26" s="388"/>
      <c r="LIT26" s="388"/>
      <c r="LIU26" s="388"/>
      <c r="LIV26" s="388"/>
      <c r="LIW26" s="388"/>
      <c r="LIX26" s="388"/>
      <c r="LIY26" s="388"/>
      <c r="LIZ26" s="388"/>
      <c r="LJA26" s="388"/>
      <c r="LJB26" s="388"/>
      <c r="LJC26" s="388"/>
      <c r="LJD26" s="388"/>
      <c r="LJE26" s="388"/>
      <c r="LJF26" s="388"/>
      <c r="LJG26" s="388"/>
      <c r="LJH26" s="388"/>
      <c r="LJI26" s="388"/>
      <c r="LJJ26" s="388"/>
      <c r="LJK26" s="388"/>
      <c r="LJL26" s="388"/>
      <c r="LJM26" s="388"/>
      <c r="LJN26" s="388"/>
      <c r="LJO26" s="388"/>
      <c r="LJP26" s="388"/>
      <c r="LJQ26" s="388"/>
      <c r="LJR26" s="388"/>
      <c r="LJS26" s="388"/>
      <c r="LJT26" s="388"/>
      <c r="LJU26" s="388"/>
      <c r="LJV26" s="388"/>
      <c r="LJW26" s="388"/>
      <c r="LJX26" s="388"/>
      <c r="LJY26" s="388"/>
      <c r="LJZ26" s="388"/>
      <c r="LKA26" s="388"/>
      <c r="LKB26" s="388"/>
      <c r="LKC26" s="388"/>
      <c r="LKD26" s="388"/>
      <c r="LKE26" s="388"/>
      <c r="LKF26" s="388"/>
      <c r="LKG26" s="388"/>
      <c r="LKH26" s="388"/>
      <c r="LKI26" s="388"/>
      <c r="LKJ26" s="388"/>
      <c r="LKK26" s="388"/>
      <c r="LKL26" s="388"/>
      <c r="LKM26" s="388"/>
      <c r="LKN26" s="388"/>
      <c r="LKO26" s="388"/>
      <c r="LKP26" s="388"/>
      <c r="LKQ26" s="388"/>
      <c r="LKR26" s="388"/>
      <c r="LKS26" s="388"/>
      <c r="LKT26" s="388"/>
      <c r="LKU26" s="388"/>
      <c r="LKV26" s="388"/>
      <c r="LKW26" s="388"/>
      <c r="LKX26" s="388"/>
      <c r="LKY26" s="388"/>
      <c r="LKZ26" s="388"/>
      <c r="LLA26" s="388"/>
      <c r="LLB26" s="388"/>
      <c r="LLC26" s="388"/>
      <c r="LLD26" s="388"/>
      <c r="LLE26" s="388"/>
      <c r="LLF26" s="388"/>
      <c r="LLG26" s="388"/>
      <c r="LLH26" s="388"/>
      <c r="LLI26" s="388"/>
      <c r="LLJ26" s="388"/>
      <c r="LLK26" s="388"/>
      <c r="LLL26" s="388"/>
      <c r="LLM26" s="388"/>
      <c r="LLN26" s="388"/>
      <c r="LLO26" s="388"/>
      <c r="LLP26" s="388"/>
      <c r="LLQ26" s="388"/>
      <c r="LLR26" s="388"/>
      <c r="LLS26" s="388"/>
      <c r="LLT26" s="388"/>
      <c r="LLU26" s="388"/>
      <c r="LLV26" s="388"/>
      <c r="LLW26" s="388"/>
      <c r="LLX26" s="388"/>
      <c r="LLY26" s="388"/>
      <c r="LLZ26" s="388"/>
      <c r="LMA26" s="388"/>
      <c r="LMB26" s="388"/>
      <c r="LMC26" s="388"/>
      <c r="LMD26" s="388"/>
      <c r="LME26" s="388"/>
      <c r="LMF26" s="388"/>
      <c r="LMG26" s="388"/>
      <c r="LMH26" s="388"/>
      <c r="LMI26" s="388"/>
      <c r="LMJ26" s="388"/>
      <c r="LMK26" s="388"/>
      <c r="LML26" s="388"/>
      <c r="LMM26" s="388"/>
      <c r="LMN26" s="388"/>
      <c r="LMO26" s="388"/>
      <c r="LMP26" s="388"/>
      <c r="LMQ26" s="388"/>
      <c r="LMR26" s="388"/>
      <c r="LMS26" s="388"/>
      <c r="LMT26" s="388"/>
      <c r="LMU26" s="388"/>
      <c r="LMV26" s="388"/>
      <c r="LMW26" s="388"/>
      <c r="LMX26" s="388"/>
      <c r="LMY26" s="388"/>
      <c r="LMZ26" s="388"/>
      <c r="LNA26" s="388"/>
      <c r="LNB26" s="388"/>
      <c r="LNC26" s="388"/>
      <c r="LND26" s="388"/>
      <c r="LNE26" s="388"/>
      <c r="LNF26" s="388"/>
      <c r="LNG26" s="388"/>
      <c r="LNH26" s="388"/>
      <c r="LNI26" s="388"/>
      <c r="LNJ26" s="388"/>
      <c r="LNK26" s="388"/>
      <c r="LNL26" s="388"/>
      <c r="LNM26" s="388"/>
      <c r="LNN26" s="388"/>
      <c r="LNO26" s="388"/>
      <c r="LNP26" s="388"/>
      <c r="LNQ26" s="388"/>
      <c r="LNR26" s="388"/>
      <c r="LNS26" s="388"/>
      <c r="LNT26" s="388"/>
      <c r="LNU26" s="388"/>
      <c r="LNV26" s="388"/>
      <c r="LNW26" s="388"/>
      <c r="LNX26" s="388"/>
      <c r="LNY26" s="388"/>
      <c r="LNZ26" s="388"/>
      <c r="LOA26" s="388"/>
      <c r="LOB26" s="388"/>
      <c r="LOC26" s="388"/>
      <c r="LOD26" s="388"/>
      <c r="LOE26" s="388"/>
      <c r="LOF26" s="388"/>
      <c r="LOG26" s="388"/>
      <c r="LOH26" s="388"/>
      <c r="LOI26" s="388"/>
      <c r="LOJ26" s="388"/>
      <c r="LOK26" s="388"/>
      <c r="LOL26" s="388"/>
      <c r="LOM26" s="388"/>
      <c r="LON26" s="388"/>
      <c r="LOO26" s="388"/>
      <c r="LOP26" s="388"/>
      <c r="LOQ26" s="388"/>
      <c r="LOR26" s="388"/>
      <c r="LOS26" s="388"/>
      <c r="LOT26" s="388"/>
      <c r="LOU26" s="388"/>
      <c r="LOV26" s="388"/>
      <c r="LOW26" s="388"/>
      <c r="LOX26" s="388"/>
      <c r="LOY26" s="388"/>
      <c r="LOZ26" s="388"/>
      <c r="LPA26" s="388"/>
      <c r="LPB26" s="388"/>
      <c r="LPC26" s="388"/>
      <c r="LPD26" s="388"/>
      <c r="LPE26" s="388"/>
      <c r="LPF26" s="388"/>
      <c r="LPG26" s="388"/>
      <c r="LPH26" s="388"/>
      <c r="LPI26" s="388"/>
      <c r="LPJ26" s="388"/>
      <c r="LPK26" s="388"/>
      <c r="LPL26" s="388"/>
      <c r="LPM26" s="388"/>
      <c r="LPN26" s="388"/>
      <c r="LPO26" s="388"/>
      <c r="LPP26" s="388"/>
      <c r="LPQ26" s="388"/>
      <c r="LPR26" s="388"/>
      <c r="LPS26" s="388"/>
      <c r="LPT26" s="388"/>
      <c r="LPU26" s="388"/>
      <c r="LPV26" s="388"/>
      <c r="LPW26" s="388"/>
      <c r="LPX26" s="388"/>
      <c r="LPY26" s="388"/>
      <c r="LPZ26" s="388"/>
      <c r="LQA26" s="388"/>
      <c r="LQB26" s="388"/>
      <c r="LQC26" s="388"/>
      <c r="LQD26" s="388"/>
      <c r="LQE26" s="388"/>
      <c r="LQF26" s="388"/>
      <c r="LQG26" s="388"/>
      <c r="LQH26" s="388"/>
      <c r="LQI26" s="388"/>
      <c r="LQJ26" s="388"/>
      <c r="LQK26" s="388"/>
      <c r="LQL26" s="388"/>
      <c r="LQM26" s="388"/>
      <c r="LQN26" s="388"/>
      <c r="LQO26" s="388"/>
      <c r="LQP26" s="388"/>
      <c r="LQQ26" s="388"/>
      <c r="LQR26" s="388"/>
      <c r="LQS26" s="388"/>
      <c r="LQT26" s="388"/>
      <c r="LQU26" s="388"/>
      <c r="LQV26" s="388"/>
      <c r="LQW26" s="388"/>
      <c r="LQX26" s="388"/>
      <c r="LQY26" s="388"/>
      <c r="LQZ26" s="388"/>
      <c r="LRA26" s="388"/>
      <c r="LRB26" s="388"/>
      <c r="LRC26" s="388"/>
      <c r="LRD26" s="388"/>
      <c r="LRE26" s="388"/>
      <c r="LRF26" s="388"/>
      <c r="LRG26" s="388"/>
      <c r="LRH26" s="388"/>
      <c r="LRI26" s="388"/>
      <c r="LRJ26" s="388"/>
      <c r="LRK26" s="388"/>
      <c r="LRL26" s="388"/>
      <c r="LRM26" s="388"/>
      <c r="LRN26" s="388"/>
      <c r="LRO26" s="388"/>
      <c r="LRP26" s="388"/>
      <c r="LRQ26" s="388"/>
      <c r="LRR26" s="388"/>
      <c r="LRS26" s="388"/>
      <c r="LRT26" s="388"/>
      <c r="LRU26" s="388"/>
      <c r="LRV26" s="388"/>
      <c r="LRW26" s="388"/>
      <c r="LRX26" s="388"/>
      <c r="LRY26" s="388"/>
      <c r="LRZ26" s="388"/>
      <c r="LSA26" s="388"/>
      <c r="LSB26" s="388"/>
      <c r="LSC26" s="388"/>
      <c r="LSD26" s="388"/>
      <c r="LSE26" s="388"/>
      <c r="LSF26" s="388"/>
      <c r="LSG26" s="388"/>
      <c r="LSH26" s="388"/>
      <c r="LSI26" s="388"/>
      <c r="LSJ26" s="388"/>
      <c r="LSK26" s="388"/>
      <c r="LSL26" s="388"/>
      <c r="LSM26" s="388"/>
      <c r="LSN26" s="388"/>
      <c r="LSO26" s="388"/>
      <c r="LSP26" s="388"/>
      <c r="LSQ26" s="388"/>
      <c r="LSR26" s="388"/>
      <c r="LSS26" s="388"/>
      <c r="LST26" s="388"/>
      <c r="LSU26" s="388"/>
      <c r="LSV26" s="388"/>
      <c r="LSW26" s="388"/>
      <c r="LSX26" s="388"/>
      <c r="LSY26" s="388"/>
      <c r="LSZ26" s="388"/>
      <c r="LTA26" s="388"/>
      <c r="LTB26" s="388"/>
      <c r="LTC26" s="388"/>
      <c r="LTD26" s="388"/>
      <c r="LTE26" s="388"/>
      <c r="LTF26" s="388"/>
      <c r="LTG26" s="388"/>
      <c r="LTH26" s="388"/>
      <c r="LTI26" s="388"/>
      <c r="LTJ26" s="388"/>
      <c r="LTK26" s="388"/>
      <c r="LTL26" s="388"/>
      <c r="LTM26" s="388"/>
      <c r="LTN26" s="388"/>
      <c r="LTO26" s="388"/>
      <c r="LTP26" s="388"/>
      <c r="LTQ26" s="388"/>
      <c r="LTR26" s="388"/>
      <c r="LTS26" s="388"/>
      <c r="LTT26" s="388"/>
      <c r="LTU26" s="388"/>
      <c r="LTV26" s="388"/>
      <c r="LTW26" s="388"/>
      <c r="LTX26" s="388"/>
      <c r="LTY26" s="388"/>
      <c r="LTZ26" s="388"/>
      <c r="LUA26" s="388"/>
      <c r="LUB26" s="388"/>
      <c r="LUC26" s="388"/>
      <c r="LUD26" s="388"/>
      <c r="LUE26" s="388"/>
      <c r="LUF26" s="388"/>
      <c r="LUG26" s="388"/>
      <c r="LUH26" s="388"/>
      <c r="LUI26" s="388"/>
      <c r="LUJ26" s="388"/>
      <c r="LUK26" s="388"/>
      <c r="LUL26" s="388"/>
      <c r="LUM26" s="388"/>
      <c r="LUN26" s="388"/>
      <c r="LUO26" s="388"/>
      <c r="LUP26" s="388"/>
      <c r="LUQ26" s="388"/>
      <c r="LUR26" s="388"/>
      <c r="LUS26" s="388"/>
      <c r="LUT26" s="388"/>
      <c r="LUU26" s="388"/>
      <c r="LUV26" s="388"/>
      <c r="LUW26" s="388"/>
      <c r="LUX26" s="388"/>
      <c r="LUY26" s="388"/>
      <c r="LUZ26" s="388"/>
      <c r="LVA26" s="388"/>
      <c r="LVB26" s="388"/>
      <c r="LVC26" s="388"/>
      <c r="LVD26" s="388"/>
      <c r="LVE26" s="388"/>
      <c r="LVF26" s="388"/>
      <c r="LVG26" s="388"/>
      <c r="LVH26" s="388"/>
      <c r="LVI26" s="388"/>
      <c r="LVJ26" s="388"/>
      <c r="LVK26" s="388"/>
      <c r="LVL26" s="388"/>
      <c r="LVM26" s="388"/>
      <c r="LVN26" s="388"/>
      <c r="LVO26" s="388"/>
      <c r="LVP26" s="388"/>
      <c r="LVQ26" s="388"/>
      <c r="LVR26" s="388"/>
      <c r="LVS26" s="388"/>
      <c r="LVT26" s="388"/>
      <c r="LVU26" s="388"/>
      <c r="LVV26" s="388"/>
      <c r="LVW26" s="388"/>
      <c r="LVX26" s="388"/>
      <c r="LVY26" s="388"/>
      <c r="LVZ26" s="388"/>
      <c r="LWA26" s="388"/>
      <c r="LWB26" s="388"/>
      <c r="LWC26" s="388"/>
      <c r="LWD26" s="388"/>
      <c r="LWE26" s="388"/>
      <c r="LWF26" s="388"/>
      <c r="LWG26" s="388"/>
      <c r="LWH26" s="388"/>
      <c r="LWI26" s="388"/>
      <c r="LWJ26" s="388"/>
      <c r="LWK26" s="388"/>
      <c r="LWL26" s="388"/>
      <c r="LWM26" s="388"/>
      <c r="LWN26" s="388"/>
      <c r="LWO26" s="388"/>
      <c r="LWP26" s="388"/>
      <c r="LWQ26" s="388"/>
      <c r="LWR26" s="388"/>
      <c r="LWS26" s="388"/>
      <c r="LWT26" s="388"/>
      <c r="LWU26" s="388"/>
      <c r="LWV26" s="388"/>
      <c r="LWW26" s="388"/>
      <c r="LWX26" s="388"/>
      <c r="LWY26" s="388"/>
      <c r="LWZ26" s="388"/>
      <c r="LXA26" s="388"/>
      <c r="LXB26" s="388"/>
      <c r="LXC26" s="388"/>
      <c r="LXD26" s="388"/>
      <c r="LXE26" s="388"/>
      <c r="LXF26" s="388"/>
      <c r="LXG26" s="388"/>
      <c r="LXH26" s="388"/>
      <c r="LXI26" s="388"/>
      <c r="LXJ26" s="388"/>
      <c r="LXK26" s="388"/>
      <c r="LXL26" s="388"/>
      <c r="LXM26" s="388"/>
      <c r="LXN26" s="388"/>
      <c r="LXO26" s="388"/>
      <c r="LXP26" s="388"/>
      <c r="LXQ26" s="388"/>
      <c r="LXR26" s="388"/>
      <c r="LXS26" s="388"/>
      <c r="LXT26" s="388"/>
      <c r="LXU26" s="388"/>
      <c r="LXV26" s="388"/>
      <c r="LXW26" s="388"/>
      <c r="LXX26" s="388"/>
      <c r="LXY26" s="388"/>
      <c r="LXZ26" s="388"/>
      <c r="LYA26" s="388"/>
      <c r="LYB26" s="388"/>
      <c r="LYC26" s="388"/>
      <c r="LYD26" s="388"/>
      <c r="LYE26" s="388"/>
      <c r="LYF26" s="388"/>
      <c r="LYG26" s="388"/>
      <c r="LYH26" s="388"/>
      <c r="LYI26" s="388"/>
      <c r="LYJ26" s="388"/>
      <c r="LYK26" s="388"/>
      <c r="LYL26" s="388"/>
      <c r="LYM26" s="388"/>
      <c r="LYN26" s="388"/>
      <c r="LYO26" s="388"/>
      <c r="LYP26" s="388"/>
      <c r="LYQ26" s="388"/>
      <c r="LYR26" s="388"/>
      <c r="LYS26" s="388"/>
      <c r="LYT26" s="388"/>
      <c r="LYU26" s="388"/>
      <c r="LYV26" s="388"/>
      <c r="LYW26" s="388"/>
      <c r="LYX26" s="388"/>
      <c r="LYY26" s="388"/>
      <c r="LYZ26" s="388"/>
      <c r="LZA26" s="388"/>
      <c r="LZB26" s="388"/>
      <c r="LZC26" s="388"/>
      <c r="LZD26" s="388"/>
      <c r="LZE26" s="388"/>
      <c r="LZF26" s="388"/>
      <c r="LZG26" s="388"/>
      <c r="LZH26" s="388"/>
      <c r="LZI26" s="388"/>
      <c r="LZJ26" s="388"/>
      <c r="LZK26" s="388"/>
      <c r="LZL26" s="388"/>
      <c r="LZM26" s="388"/>
      <c r="LZN26" s="388"/>
      <c r="LZO26" s="388"/>
      <c r="LZP26" s="388"/>
      <c r="LZQ26" s="388"/>
      <c r="LZR26" s="388"/>
      <c r="LZS26" s="388"/>
      <c r="LZT26" s="388"/>
      <c r="LZU26" s="388"/>
      <c r="LZV26" s="388"/>
      <c r="LZW26" s="388"/>
      <c r="LZX26" s="388"/>
      <c r="LZY26" s="388"/>
      <c r="LZZ26" s="388"/>
      <c r="MAA26" s="388"/>
      <c r="MAB26" s="388"/>
      <c r="MAC26" s="388"/>
      <c r="MAD26" s="388"/>
      <c r="MAE26" s="388"/>
      <c r="MAF26" s="388"/>
      <c r="MAG26" s="388"/>
      <c r="MAH26" s="388"/>
      <c r="MAI26" s="388"/>
      <c r="MAJ26" s="388"/>
      <c r="MAK26" s="388"/>
      <c r="MAL26" s="388"/>
      <c r="MAM26" s="388"/>
      <c r="MAN26" s="388"/>
      <c r="MAO26" s="388"/>
      <c r="MAP26" s="388"/>
      <c r="MAQ26" s="388"/>
      <c r="MAR26" s="388"/>
      <c r="MAS26" s="388"/>
      <c r="MAT26" s="388"/>
      <c r="MAU26" s="388"/>
      <c r="MAV26" s="388"/>
      <c r="MAW26" s="388"/>
      <c r="MAX26" s="388"/>
      <c r="MAY26" s="388"/>
      <c r="MAZ26" s="388"/>
      <c r="MBA26" s="388"/>
      <c r="MBB26" s="388"/>
      <c r="MBC26" s="388"/>
      <c r="MBD26" s="388"/>
      <c r="MBE26" s="388"/>
      <c r="MBF26" s="388"/>
      <c r="MBG26" s="388"/>
      <c r="MBH26" s="388"/>
      <c r="MBI26" s="388"/>
      <c r="MBJ26" s="388"/>
      <c r="MBK26" s="388"/>
      <c r="MBL26" s="388"/>
      <c r="MBM26" s="388"/>
      <c r="MBN26" s="388"/>
      <c r="MBO26" s="388"/>
      <c r="MBP26" s="388"/>
      <c r="MBQ26" s="388"/>
      <c r="MBR26" s="388"/>
      <c r="MBS26" s="388"/>
      <c r="MBT26" s="388"/>
      <c r="MBU26" s="388"/>
      <c r="MBV26" s="388"/>
      <c r="MBW26" s="388"/>
      <c r="MBX26" s="388"/>
      <c r="MBY26" s="388"/>
      <c r="MBZ26" s="388"/>
      <c r="MCA26" s="388"/>
      <c r="MCB26" s="388"/>
      <c r="MCC26" s="388"/>
      <c r="MCD26" s="388"/>
      <c r="MCE26" s="388"/>
      <c r="MCF26" s="388"/>
      <c r="MCG26" s="388"/>
      <c r="MCH26" s="388"/>
      <c r="MCI26" s="388"/>
      <c r="MCJ26" s="388"/>
      <c r="MCK26" s="388"/>
      <c r="MCL26" s="388"/>
      <c r="MCM26" s="388"/>
      <c r="MCN26" s="388"/>
      <c r="MCO26" s="388"/>
      <c r="MCP26" s="388"/>
      <c r="MCQ26" s="388"/>
      <c r="MCR26" s="388"/>
      <c r="MCS26" s="388"/>
      <c r="MCT26" s="388"/>
      <c r="MCU26" s="388"/>
      <c r="MCV26" s="388"/>
      <c r="MCW26" s="388"/>
      <c r="MCX26" s="388"/>
      <c r="MCY26" s="388"/>
      <c r="MCZ26" s="388"/>
      <c r="MDA26" s="388"/>
      <c r="MDB26" s="388"/>
      <c r="MDC26" s="388"/>
      <c r="MDD26" s="388"/>
      <c r="MDE26" s="388"/>
      <c r="MDF26" s="388"/>
      <c r="MDG26" s="388"/>
      <c r="MDH26" s="388"/>
      <c r="MDI26" s="388"/>
      <c r="MDJ26" s="388"/>
      <c r="MDK26" s="388"/>
      <c r="MDL26" s="388"/>
      <c r="MDM26" s="388"/>
      <c r="MDN26" s="388"/>
      <c r="MDO26" s="388"/>
      <c r="MDP26" s="388"/>
      <c r="MDQ26" s="388"/>
      <c r="MDR26" s="388"/>
      <c r="MDS26" s="388"/>
      <c r="MDT26" s="388"/>
      <c r="MDU26" s="388"/>
      <c r="MDV26" s="388"/>
      <c r="MDW26" s="388"/>
      <c r="MDX26" s="388"/>
      <c r="MDY26" s="388"/>
      <c r="MDZ26" s="388"/>
      <c r="MEA26" s="388"/>
      <c r="MEB26" s="388"/>
      <c r="MEC26" s="388"/>
      <c r="MED26" s="388"/>
      <c r="MEE26" s="388"/>
      <c r="MEF26" s="388"/>
      <c r="MEG26" s="388"/>
      <c r="MEH26" s="388"/>
      <c r="MEI26" s="388"/>
      <c r="MEJ26" s="388"/>
      <c r="MEK26" s="388"/>
      <c r="MEL26" s="388"/>
      <c r="MEM26" s="388"/>
      <c r="MEN26" s="388"/>
      <c r="MEO26" s="388"/>
      <c r="MEP26" s="388"/>
      <c r="MEQ26" s="388"/>
      <c r="MER26" s="388"/>
      <c r="MES26" s="388"/>
      <c r="MET26" s="388"/>
      <c r="MEU26" s="388"/>
      <c r="MEV26" s="388"/>
      <c r="MEW26" s="388"/>
      <c r="MEX26" s="388"/>
      <c r="MEY26" s="388"/>
      <c r="MEZ26" s="388"/>
      <c r="MFA26" s="388"/>
      <c r="MFB26" s="388"/>
      <c r="MFC26" s="388"/>
      <c r="MFD26" s="388"/>
      <c r="MFE26" s="388"/>
      <c r="MFF26" s="388"/>
      <c r="MFG26" s="388"/>
      <c r="MFH26" s="388"/>
      <c r="MFI26" s="388"/>
      <c r="MFJ26" s="388"/>
      <c r="MFK26" s="388"/>
      <c r="MFL26" s="388"/>
      <c r="MFM26" s="388"/>
      <c r="MFN26" s="388"/>
      <c r="MFO26" s="388"/>
      <c r="MFP26" s="388"/>
      <c r="MFQ26" s="388"/>
      <c r="MFR26" s="388"/>
      <c r="MFS26" s="388"/>
      <c r="MFT26" s="388"/>
      <c r="MFU26" s="388"/>
      <c r="MFV26" s="388"/>
      <c r="MFW26" s="388"/>
      <c r="MFX26" s="388"/>
      <c r="MFY26" s="388"/>
      <c r="MFZ26" s="388"/>
      <c r="MGA26" s="388"/>
      <c r="MGB26" s="388"/>
      <c r="MGC26" s="388"/>
      <c r="MGD26" s="388"/>
      <c r="MGE26" s="388"/>
      <c r="MGF26" s="388"/>
      <c r="MGG26" s="388"/>
      <c r="MGH26" s="388"/>
      <c r="MGI26" s="388"/>
      <c r="MGJ26" s="388"/>
      <c r="MGK26" s="388"/>
      <c r="MGL26" s="388"/>
      <c r="MGM26" s="388"/>
      <c r="MGN26" s="388"/>
      <c r="MGO26" s="388"/>
      <c r="MGP26" s="388"/>
      <c r="MGQ26" s="388"/>
      <c r="MGR26" s="388"/>
      <c r="MGS26" s="388"/>
      <c r="MGT26" s="388"/>
      <c r="MGU26" s="388"/>
      <c r="MGV26" s="388"/>
      <c r="MGW26" s="388"/>
      <c r="MGX26" s="388"/>
      <c r="MGY26" s="388"/>
      <c r="MGZ26" s="388"/>
      <c r="MHA26" s="388"/>
      <c r="MHB26" s="388"/>
      <c r="MHC26" s="388"/>
      <c r="MHD26" s="388"/>
      <c r="MHE26" s="388"/>
      <c r="MHF26" s="388"/>
      <c r="MHG26" s="388"/>
      <c r="MHH26" s="388"/>
      <c r="MHI26" s="388"/>
      <c r="MHJ26" s="388"/>
      <c r="MHK26" s="388"/>
      <c r="MHL26" s="388"/>
      <c r="MHM26" s="388"/>
      <c r="MHN26" s="388"/>
      <c r="MHO26" s="388"/>
      <c r="MHP26" s="388"/>
      <c r="MHQ26" s="388"/>
      <c r="MHR26" s="388"/>
      <c r="MHS26" s="388"/>
      <c r="MHT26" s="388"/>
      <c r="MHU26" s="388"/>
      <c r="MHV26" s="388"/>
      <c r="MHW26" s="388"/>
      <c r="MHX26" s="388"/>
      <c r="MHY26" s="388"/>
      <c r="MHZ26" s="388"/>
      <c r="MIA26" s="388"/>
      <c r="MIB26" s="388"/>
      <c r="MIC26" s="388"/>
      <c r="MID26" s="388"/>
      <c r="MIE26" s="388"/>
      <c r="MIF26" s="388"/>
      <c r="MIG26" s="388"/>
      <c r="MIH26" s="388"/>
      <c r="MII26" s="388"/>
      <c r="MIJ26" s="388"/>
      <c r="MIK26" s="388"/>
      <c r="MIL26" s="388"/>
      <c r="MIM26" s="388"/>
      <c r="MIN26" s="388"/>
      <c r="MIO26" s="388"/>
      <c r="MIP26" s="388"/>
      <c r="MIQ26" s="388"/>
      <c r="MIR26" s="388"/>
      <c r="MIS26" s="388"/>
      <c r="MIT26" s="388"/>
      <c r="MIU26" s="388"/>
      <c r="MIV26" s="388"/>
      <c r="MIW26" s="388"/>
      <c r="MIX26" s="388"/>
      <c r="MIY26" s="388"/>
      <c r="MIZ26" s="388"/>
      <c r="MJA26" s="388"/>
      <c r="MJB26" s="388"/>
      <c r="MJC26" s="388"/>
      <c r="MJD26" s="388"/>
      <c r="MJE26" s="388"/>
      <c r="MJF26" s="388"/>
      <c r="MJG26" s="388"/>
      <c r="MJH26" s="388"/>
      <c r="MJI26" s="388"/>
      <c r="MJJ26" s="388"/>
      <c r="MJK26" s="388"/>
      <c r="MJL26" s="388"/>
      <c r="MJM26" s="388"/>
      <c r="MJN26" s="388"/>
      <c r="MJO26" s="388"/>
      <c r="MJP26" s="388"/>
      <c r="MJQ26" s="388"/>
      <c r="MJR26" s="388"/>
      <c r="MJS26" s="388"/>
      <c r="MJT26" s="388"/>
      <c r="MJU26" s="388"/>
      <c r="MJV26" s="388"/>
      <c r="MJW26" s="388"/>
      <c r="MJX26" s="388"/>
      <c r="MJY26" s="388"/>
      <c r="MJZ26" s="388"/>
      <c r="MKA26" s="388"/>
      <c r="MKB26" s="388"/>
      <c r="MKC26" s="388"/>
      <c r="MKD26" s="388"/>
      <c r="MKE26" s="388"/>
      <c r="MKF26" s="388"/>
      <c r="MKG26" s="388"/>
      <c r="MKH26" s="388"/>
      <c r="MKI26" s="388"/>
      <c r="MKJ26" s="388"/>
      <c r="MKK26" s="388"/>
      <c r="MKL26" s="388"/>
      <c r="MKM26" s="388"/>
      <c r="MKN26" s="388"/>
      <c r="MKO26" s="388"/>
      <c r="MKP26" s="388"/>
      <c r="MKQ26" s="388"/>
      <c r="MKR26" s="388"/>
      <c r="MKS26" s="388"/>
      <c r="MKT26" s="388"/>
      <c r="MKU26" s="388"/>
      <c r="MKV26" s="388"/>
      <c r="MKW26" s="388"/>
      <c r="MKX26" s="388"/>
      <c r="MKY26" s="388"/>
      <c r="MKZ26" s="388"/>
      <c r="MLA26" s="388"/>
      <c r="MLB26" s="388"/>
      <c r="MLC26" s="388"/>
      <c r="MLD26" s="388"/>
      <c r="MLE26" s="388"/>
      <c r="MLF26" s="388"/>
      <c r="MLG26" s="388"/>
      <c r="MLH26" s="388"/>
      <c r="MLI26" s="388"/>
      <c r="MLJ26" s="388"/>
      <c r="MLK26" s="388"/>
      <c r="MLL26" s="388"/>
      <c r="MLM26" s="388"/>
      <c r="MLN26" s="388"/>
      <c r="MLO26" s="388"/>
      <c r="MLP26" s="388"/>
      <c r="MLQ26" s="388"/>
      <c r="MLR26" s="388"/>
      <c r="MLS26" s="388"/>
      <c r="MLT26" s="388"/>
      <c r="MLU26" s="388"/>
      <c r="MLV26" s="388"/>
      <c r="MLW26" s="388"/>
      <c r="MLX26" s="388"/>
      <c r="MLY26" s="388"/>
      <c r="MLZ26" s="388"/>
      <c r="MMA26" s="388"/>
      <c r="MMB26" s="388"/>
      <c r="MMC26" s="388"/>
      <c r="MMD26" s="388"/>
      <c r="MME26" s="388"/>
      <c r="MMF26" s="388"/>
      <c r="MMG26" s="388"/>
      <c r="MMH26" s="388"/>
      <c r="MMI26" s="388"/>
      <c r="MMJ26" s="388"/>
      <c r="MMK26" s="388"/>
      <c r="MML26" s="388"/>
      <c r="MMM26" s="388"/>
      <c r="MMN26" s="388"/>
      <c r="MMO26" s="388"/>
      <c r="MMP26" s="388"/>
      <c r="MMQ26" s="388"/>
      <c r="MMR26" s="388"/>
      <c r="MMS26" s="388"/>
      <c r="MMT26" s="388"/>
      <c r="MMU26" s="388"/>
      <c r="MMV26" s="388"/>
      <c r="MMW26" s="388"/>
      <c r="MMX26" s="388"/>
      <c r="MMY26" s="388"/>
      <c r="MMZ26" s="388"/>
      <c r="MNA26" s="388"/>
      <c r="MNB26" s="388"/>
      <c r="MNC26" s="388"/>
      <c r="MND26" s="388"/>
      <c r="MNE26" s="388"/>
      <c r="MNF26" s="388"/>
      <c r="MNG26" s="388"/>
      <c r="MNH26" s="388"/>
      <c r="MNI26" s="388"/>
      <c r="MNJ26" s="388"/>
      <c r="MNK26" s="388"/>
      <c r="MNL26" s="388"/>
      <c r="MNM26" s="388"/>
      <c r="MNN26" s="388"/>
      <c r="MNO26" s="388"/>
      <c r="MNP26" s="388"/>
      <c r="MNQ26" s="388"/>
      <c r="MNR26" s="388"/>
      <c r="MNS26" s="388"/>
      <c r="MNT26" s="388"/>
      <c r="MNU26" s="388"/>
      <c r="MNV26" s="388"/>
      <c r="MNW26" s="388"/>
      <c r="MNX26" s="388"/>
      <c r="MNY26" s="388"/>
      <c r="MNZ26" s="388"/>
      <c r="MOA26" s="388"/>
      <c r="MOB26" s="388"/>
      <c r="MOC26" s="388"/>
      <c r="MOD26" s="388"/>
      <c r="MOE26" s="388"/>
      <c r="MOF26" s="388"/>
      <c r="MOG26" s="388"/>
      <c r="MOH26" s="388"/>
      <c r="MOI26" s="388"/>
      <c r="MOJ26" s="388"/>
      <c r="MOK26" s="388"/>
      <c r="MOL26" s="388"/>
      <c r="MOM26" s="388"/>
      <c r="MON26" s="388"/>
      <c r="MOO26" s="388"/>
      <c r="MOP26" s="388"/>
      <c r="MOQ26" s="388"/>
      <c r="MOR26" s="388"/>
      <c r="MOS26" s="388"/>
      <c r="MOT26" s="388"/>
      <c r="MOU26" s="388"/>
      <c r="MOV26" s="388"/>
      <c r="MOW26" s="388"/>
      <c r="MOX26" s="388"/>
      <c r="MOY26" s="388"/>
      <c r="MOZ26" s="388"/>
      <c r="MPA26" s="388"/>
      <c r="MPB26" s="388"/>
      <c r="MPC26" s="388"/>
      <c r="MPD26" s="388"/>
      <c r="MPE26" s="388"/>
      <c r="MPF26" s="388"/>
      <c r="MPG26" s="388"/>
      <c r="MPH26" s="388"/>
      <c r="MPI26" s="388"/>
      <c r="MPJ26" s="388"/>
      <c r="MPK26" s="388"/>
      <c r="MPL26" s="388"/>
      <c r="MPM26" s="388"/>
      <c r="MPN26" s="388"/>
      <c r="MPO26" s="388"/>
      <c r="MPP26" s="388"/>
      <c r="MPQ26" s="388"/>
      <c r="MPR26" s="388"/>
      <c r="MPS26" s="388"/>
      <c r="MPT26" s="388"/>
      <c r="MPU26" s="388"/>
      <c r="MPV26" s="388"/>
      <c r="MPW26" s="388"/>
      <c r="MPX26" s="388"/>
      <c r="MPY26" s="388"/>
      <c r="MPZ26" s="388"/>
      <c r="MQA26" s="388"/>
      <c r="MQB26" s="388"/>
      <c r="MQC26" s="388"/>
      <c r="MQD26" s="388"/>
      <c r="MQE26" s="388"/>
      <c r="MQF26" s="388"/>
      <c r="MQG26" s="388"/>
      <c r="MQH26" s="388"/>
      <c r="MQI26" s="388"/>
      <c r="MQJ26" s="388"/>
      <c r="MQK26" s="388"/>
      <c r="MQL26" s="388"/>
      <c r="MQM26" s="388"/>
      <c r="MQN26" s="388"/>
      <c r="MQO26" s="388"/>
      <c r="MQP26" s="388"/>
      <c r="MQQ26" s="388"/>
      <c r="MQR26" s="388"/>
      <c r="MQS26" s="388"/>
      <c r="MQT26" s="388"/>
      <c r="MQU26" s="388"/>
      <c r="MQV26" s="388"/>
      <c r="MQW26" s="388"/>
      <c r="MQX26" s="388"/>
      <c r="MQY26" s="388"/>
      <c r="MQZ26" s="388"/>
      <c r="MRA26" s="388"/>
      <c r="MRB26" s="388"/>
      <c r="MRC26" s="388"/>
      <c r="MRD26" s="388"/>
      <c r="MRE26" s="388"/>
      <c r="MRF26" s="388"/>
      <c r="MRG26" s="388"/>
      <c r="MRH26" s="388"/>
      <c r="MRI26" s="388"/>
      <c r="MRJ26" s="388"/>
      <c r="MRK26" s="388"/>
      <c r="MRL26" s="388"/>
      <c r="MRM26" s="388"/>
      <c r="MRN26" s="388"/>
      <c r="MRO26" s="388"/>
      <c r="MRP26" s="388"/>
      <c r="MRQ26" s="388"/>
      <c r="MRR26" s="388"/>
      <c r="MRS26" s="388"/>
      <c r="MRT26" s="388"/>
      <c r="MRU26" s="388"/>
      <c r="MRV26" s="388"/>
      <c r="MRW26" s="388"/>
      <c r="MRX26" s="388"/>
      <c r="MRY26" s="388"/>
      <c r="MRZ26" s="388"/>
      <c r="MSA26" s="388"/>
      <c r="MSB26" s="388"/>
      <c r="MSC26" s="388"/>
      <c r="MSD26" s="388"/>
      <c r="MSE26" s="388"/>
      <c r="MSF26" s="388"/>
      <c r="MSG26" s="388"/>
      <c r="MSH26" s="388"/>
      <c r="MSI26" s="388"/>
      <c r="MSJ26" s="388"/>
      <c r="MSK26" s="388"/>
      <c r="MSL26" s="388"/>
      <c r="MSM26" s="388"/>
      <c r="MSN26" s="388"/>
      <c r="MSO26" s="388"/>
      <c r="MSP26" s="388"/>
      <c r="MSQ26" s="388"/>
      <c r="MSR26" s="388"/>
      <c r="MSS26" s="388"/>
      <c r="MST26" s="388"/>
      <c r="MSU26" s="388"/>
      <c r="MSV26" s="388"/>
      <c r="MSW26" s="388"/>
      <c r="MSX26" s="388"/>
      <c r="MSY26" s="388"/>
      <c r="MSZ26" s="388"/>
      <c r="MTA26" s="388"/>
      <c r="MTB26" s="388"/>
      <c r="MTC26" s="388"/>
      <c r="MTD26" s="388"/>
      <c r="MTE26" s="388"/>
      <c r="MTF26" s="388"/>
      <c r="MTG26" s="388"/>
      <c r="MTH26" s="388"/>
      <c r="MTI26" s="388"/>
      <c r="MTJ26" s="388"/>
      <c r="MTK26" s="388"/>
      <c r="MTL26" s="388"/>
      <c r="MTM26" s="388"/>
      <c r="MTN26" s="388"/>
      <c r="MTO26" s="388"/>
      <c r="MTP26" s="388"/>
      <c r="MTQ26" s="388"/>
      <c r="MTR26" s="388"/>
      <c r="MTS26" s="388"/>
      <c r="MTT26" s="388"/>
      <c r="MTU26" s="388"/>
      <c r="MTV26" s="388"/>
      <c r="MTW26" s="388"/>
      <c r="MTX26" s="388"/>
      <c r="MTY26" s="388"/>
      <c r="MTZ26" s="388"/>
      <c r="MUA26" s="388"/>
      <c r="MUB26" s="388"/>
      <c r="MUC26" s="388"/>
      <c r="MUD26" s="388"/>
      <c r="MUE26" s="388"/>
      <c r="MUF26" s="388"/>
      <c r="MUG26" s="388"/>
      <c r="MUH26" s="388"/>
      <c r="MUI26" s="388"/>
      <c r="MUJ26" s="388"/>
      <c r="MUK26" s="388"/>
      <c r="MUL26" s="388"/>
      <c r="MUM26" s="388"/>
      <c r="MUN26" s="388"/>
      <c r="MUO26" s="388"/>
      <c r="MUP26" s="388"/>
      <c r="MUQ26" s="388"/>
      <c r="MUR26" s="388"/>
      <c r="MUS26" s="388"/>
      <c r="MUT26" s="388"/>
      <c r="MUU26" s="388"/>
      <c r="MUV26" s="388"/>
      <c r="MUW26" s="388"/>
      <c r="MUX26" s="388"/>
      <c r="MUY26" s="388"/>
      <c r="MUZ26" s="388"/>
      <c r="MVA26" s="388"/>
      <c r="MVB26" s="388"/>
      <c r="MVC26" s="388"/>
      <c r="MVD26" s="388"/>
      <c r="MVE26" s="388"/>
      <c r="MVF26" s="388"/>
      <c r="MVG26" s="388"/>
      <c r="MVH26" s="388"/>
      <c r="MVI26" s="388"/>
      <c r="MVJ26" s="388"/>
      <c r="MVK26" s="388"/>
      <c r="MVL26" s="388"/>
      <c r="MVM26" s="388"/>
      <c r="MVN26" s="388"/>
      <c r="MVO26" s="388"/>
      <c r="MVP26" s="388"/>
      <c r="MVQ26" s="388"/>
      <c r="MVR26" s="388"/>
      <c r="MVS26" s="388"/>
      <c r="MVT26" s="388"/>
      <c r="MVU26" s="388"/>
      <c r="MVV26" s="388"/>
      <c r="MVW26" s="388"/>
      <c r="MVX26" s="388"/>
      <c r="MVY26" s="388"/>
      <c r="MVZ26" s="388"/>
      <c r="MWA26" s="388"/>
      <c r="MWB26" s="388"/>
      <c r="MWC26" s="388"/>
      <c r="MWD26" s="388"/>
      <c r="MWE26" s="388"/>
      <c r="MWF26" s="388"/>
      <c r="MWG26" s="388"/>
      <c r="MWH26" s="388"/>
      <c r="MWI26" s="388"/>
      <c r="MWJ26" s="388"/>
      <c r="MWK26" s="388"/>
      <c r="MWL26" s="388"/>
      <c r="MWM26" s="388"/>
      <c r="MWN26" s="388"/>
      <c r="MWO26" s="388"/>
      <c r="MWP26" s="388"/>
      <c r="MWQ26" s="388"/>
      <c r="MWR26" s="388"/>
      <c r="MWS26" s="388"/>
      <c r="MWT26" s="388"/>
      <c r="MWU26" s="388"/>
      <c r="MWV26" s="388"/>
      <c r="MWW26" s="388"/>
      <c r="MWX26" s="388"/>
      <c r="MWY26" s="388"/>
      <c r="MWZ26" s="388"/>
      <c r="MXA26" s="388"/>
      <c r="MXB26" s="388"/>
      <c r="MXC26" s="388"/>
      <c r="MXD26" s="388"/>
      <c r="MXE26" s="388"/>
      <c r="MXF26" s="388"/>
      <c r="MXG26" s="388"/>
      <c r="MXH26" s="388"/>
      <c r="MXI26" s="388"/>
      <c r="MXJ26" s="388"/>
      <c r="MXK26" s="388"/>
      <c r="MXL26" s="388"/>
      <c r="MXM26" s="388"/>
      <c r="MXN26" s="388"/>
      <c r="MXO26" s="388"/>
      <c r="MXP26" s="388"/>
      <c r="MXQ26" s="388"/>
      <c r="MXR26" s="388"/>
      <c r="MXS26" s="388"/>
      <c r="MXT26" s="388"/>
      <c r="MXU26" s="388"/>
      <c r="MXV26" s="388"/>
      <c r="MXW26" s="388"/>
      <c r="MXX26" s="388"/>
      <c r="MXY26" s="388"/>
      <c r="MXZ26" s="388"/>
      <c r="MYA26" s="388"/>
      <c r="MYB26" s="388"/>
      <c r="MYC26" s="388"/>
      <c r="MYD26" s="388"/>
      <c r="MYE26" s="388"/>
      <c r="MYF26" s="388"/>
      <c r="MYG26" s="388"/>
      <c r="MYH26" s="388"/>
      <c r="MYI26" s="388"/>
      <c r="MYJ26" s="388"/>
      <c r="MYK26" s="388"/>
      <c r="MYL26" s="388"/>
      <c r="MYM26" s="388"/>
      <c r="MYN26" s="388"/>
      <c r="MYO26" s="388"/>
      <c r="MYP26" s="388"/>
      <c r="MYQ26" s="388"/>
      <c r="MYR26" s="388"/>
      <c r="MYS26" s="388"/>
      <c r="MYT26" s="388"/>
      <c r="MYU26" s="388"/>
      <c r="MYV26" s="388"/>
      <c r="MYW26" s="388"/>
      <c r="MYX26" s="388"/>
      <c r="MYY26" s="388"/>
      <c r="MYZ26" s="388"/>
      <c r="MZA26" s="388"/>
      <c r="MZB26" s="388"/>
      <c r="MZC26" s="388"/>
      <c r="MZD26" s="388"/>
      <c r="MZE26" s="388"/>
      <c r="MZF26" s="388"/>
      <c r="MZG26" s="388"/>
      <c r="MZH26" s="388"/>
      <c r="MZI26" s="388"/>
      <c r="MZJ26" s="388"/>
      <c r="MZK26" s="388"/>
      <c r="MZL26" s="388"/>
      <c r="MZM26" s="388"/>
      <c r="MZN26" s="388"/>
      <c r="MZO26" s="388"/>
      <c r="MZP26" s="388"/>
      <c r="MZQ26" s="388"/>
      <c r="MZR26" s="388"/>
      <c r="MZS26" s="388"/>
      <c r="MZT26" s="388"/>
      <c r="MZU26" s="388"/>
      <c r="MZV26" s="388"/>
      <c r="MZW26" s="388"/>
      <c r="MZX26" s="388"/>
      <c r="MZY26" s="388"/>
      <c r="MZZ26" s="388"/>
      <c r="NAA26" s="388"/>
      <c r="NAB26" s="388"/>
      <c r="NAC26" s="388"/>
      <c r="NAD26" s="388"/>
      <c r="NAE26" s="388"/>
      <c r="NAF26" s="388"/>
      <c r="NAG26" s="388"/>
      <c r="NAH26" s="388"/>
      <c r="NAI26" s="388"/>
      <c r="NAJ26" s="388"/>
      <c r="NAK26" s="388"/>
      <c r="NAL26" s="388"/>
      <c r="NAM26" s="388"/>
      <c r="NAN26" s="388"/>
      <c r="NAO26" s="388"/>
      <c r="NAP26" s="388"/>
      <c r="NAQ26" s="388"/>
      <c r="NAR26" s="388"/>
      <c r="NAS26" s="388"/>
      <c r="NAT26" s="388"/>
      <c r="NAU26" s="388"/>
      <c r="NAV26" s="388"/>
      <c r="NAW26" s="388"/>
      <c r="NAX26" s="388"/>
      <c r="NAY26" s="388"/>
      <c r="NAZ26" s="388"/>
      <c r="NBA26" s="388"/>
      <c r="NBB26" s="388"/>
      <c r="NBC26" s="388"/>
      <c r="NBD26" s="388"/>
      <c r="NBE26" s="388"/>
      <c r="NBF26" s="388"/>
      <c r="NBG26" s="388"/>
      <c r="NBH26" s="388"/>
      <c r="NBI26" s="388"/>
      <c r="NBJ26" s="388"/>
      <c r="NBK26" s="388"/>
      <c r="NBL26" s="388"/>
      <c r="NBM26" s="388"/>
      <c r="NBN26" s="388"/>
      <c r="NBO26" s="388"/>
      <c r="NBP26" s="388"/>
      <c r="NBQ26" s="388"/>
      <c r="NBR26" s="388"/>
      <c r="NBS26" s="388"/>
      <c r="NBT26" s="388"/>
      <c r="NBU26" s="388"/>
      <c r="NBV26" s="388"/>
      <c r="NBW26" s="388"/>
      <c r="NBX26" s="388"/>
      <c r="NBY26" s="388"/>
      <c r="NBZ26" s="388"/>
      <c r="NCA26" s="388"/>
      <c r="NCB26" s="388"/>
      <c r="NCC26" s="388"/>
      <c r="NCD26" s="388"/>
      <c r="NCE26" s="388"/>
      <c r="NCF26" s="388"/>
      <c r="NCG26" s="388"/>
      <c r="NCH26" s="388"/>
      <c r="NCI26" s="388"/>
      <c r="NCJ26" s="388"/>
      <c r="NCK26" s="388"/>
      <c r="NCL26" s="388"/>
      <c r="NCM26" s="388"/>
      <c r="NCN26" s="388"/>
      <c r="NCO26" s="388"/>
      <c r="NCP26" s="388"/>
      <c r="NCQ26" s="388"/>
      <c r="NCR26" s="388"/>
      <c r="NCS26" s="388"/>
      <c r="NCT26" s="388"/>
      <c r="NCU26" s="388"/>
      <c r="NCV26" s="388"/>
      <c r="NCW26" s="388"/>
      <c r="NCX26" s="388"/>
      <c r="NCY26" s="388"/>
      <c r="NCZ26" s="388"/>
      <c r="NDA26" s="388"/>
      <c r="NDB26" s="388"/>
      <c r="NDC26" s="388"/>
      <c r="NDD26" s="388"/>
      <c r="NDE26" s="388"/>
      <c r="NDF26" s="388"/>
      <c r="NDG26" s="388"/>
      <c r="NDH26" s="388"/>
      <c r="NDI26" s="388"/>
      <c r="NDJ26" s="388"/>
      <c r="NDK26" s="388"/>
      <c r="NDL26" s="388"/>
      <c r="NDM26" s="388"/>
      <c r="NDN26" s="388"/>
      <c r="NDO26" s="388"/>
      <c r="NDP26" s="388"/>
      <c r="NDQ26" s="388"/>
      <c r="NDR26" s="388"/>
      <c r="NDS26" s="388"/>
      <c r="NDT26" s="388"/>
      <c r="NDU26" s="388"/>
      <c r="NDV26" s="388"/>
      <c r="NDW26" s="388"/>
      <c r="NDX26" s="388"/>
      <c r="NDY26" s="388"/>
      <c r="NDZ26" s="388"/>
      <c r="NEA26" s="388"/>
      <c r="NEB26" s="388"/>
      <c r="NEC26" s="388"/>
      <c r="NED26" s="388"/>
      <c r="NEE26" s="388"/>
      <c r="NEF26" s="388"/>
      <c r="NEG26" s="388"/>
      <c r="NEH26" s="388"/>
      <c r="NEI26" s="388"/>
      <c r="NEJ26" s="388"/>
      <c r="NEK26" s="388"/>
      <c r="NEL26" s="388"/>
      <c r="NEM26" s="388"/>
      <c r="NEN26" s="388"/>
      <c r="NEO26" s="388"/>
      <c r="NEP26" s="388"/>
      <c r="NEQ26" s="388"/>
      <c r="NER26" s="388"/>
      <c r="NES26" s="388"/>
      <c r="NET26" s="388"/>
      <c r="NEU26" s="388"/>
      <c r="NEV26" s="388"/>
      <c r="NEW26" s="388"/>
      <c r="NEX26" s="388"/>
      <c r="NEY26" s="388"/>
      <c r="NEZ26" s="388"/>
      <c r="NFA26" s="388"/>
      <c r="NFB26" s="388"/>
      <c r="NFC26" s="388"/>
      <c r="NFD26" s="388"/>
      <c r="NFE26" s="388"/>
      <c r="NFF26" s="388"/>
      <c r="NFG26" s="388"/>
      <c r="NFH26" s="388"/>
      <c r="NFI26" s="388"/>
      <c r="NFJ26" s="388"/>
      <c r="NFK26" s="388"/>
      <c r="NFL26" s="388"/>
      <c r="NFM26" s="388"/>
      <c r="NFN26" s="388"/>
      <c r="NFO26" s="388"/>
      <c r="NFP26" s="388"/>
      <c r="NFQ26" s="388"/>
      <c r="NFR26" s="388"/>
      <c r="NFS26" s="388"/>
      <c r="NFT26" s="388"/>
      <c r="NFU26" s="388"/>
      <c r="NFV26" s="388"/>
      <c r="NFW26" s="388"/>
      <c r="NFX26" s="388"/>
      <c r="NFY26" s="388"/>
      <c r="NFZ26" s="388"/>
      <c r="NGA26" s="388"/>
      <c r="NGB26" s="388"/>
      <c r="NGC26" s="388"/>
      <c r="NGD26" s="388"/>
      <c r="NGE26" s="388"/>
      <c r="NGF26" s="388"/>
      <c r="NGG26" s="388"/>
      <c r="NGH26" s="388"/>
      <c r="NGI26" s="388"/>
      <c r="NGJ26" s="388"/>
      <c r="NGK26" s="388"/>
      <c r="NGL26" s="388"/>
      <c r="NGM26" s="388"/>
      <c r="NGN26" s="388"/>
      <c r="NGO26" s="388"/>
      <c r="NGP26" s="388"/>
      <c r="NGQ26" s="388"/>
      <c r="NGR26" s="388"/>
      <c r="NGS26" s="388"/>
      <c r="NGT26" s="388"/>
      <c r="NGU26" s="388"/>
      <c r="NGV26" s="388"/>
      <c r="NGW26" s="388"/>
      <c r="NGX26" s="388"/>
      <c r="NGY26" s="388"/>
      <c r="NGZ26" s="388"/>
      <c r="NHA26" s="388"/>
      <c r="NHB26" s="388"/>
      <c r="NHC26" s="388"/>
      <c r="NHD26" s="388"/>
      <c r="NHE26" s="388"/>
      <c r="NHF26" s="388"/>
      <c r="NHG26" s="388"/>
      <c r="NHH26" s="388"/>
      <c r="NHI26" s="388"/>
      <c r="NHJ26" s="388"/>
      <c r="NHK26" s="388"/>
      <c r="NHL26" s="388"/>
      <c r="NHM26" s="388"/>
      <c r="NHN26" s="388"/>
      <c r="NHO26" s="388"/>
      <c r="NHP26" s="388"/>
      <c r="NHQ26" s="388"/>
      <c r="NHR26" s="388"/>
      <c r="NHS26" s="388"/>
      <c r="NHT26" s="388"/>
      <c r="NHU26" s="388"/>
      <c r="NHV26" s="388"/>
      <c r="NHW26" s="388"/>
      <c r="NHX26" s="388"/>
      <c r="NHY26" s="388"/>
      <c r="NHZ26" s="388"/>
      <c r="NIA26" s="388"/>
      <c r="NIB26" s="388"/>
      <c r="NIC26" s="388"/>
      <c r="NID26" s="388"/>
      <c r="NIE26" s="388"/>
      <c r="NIF26" s="388"/>
      <c r="NIG26" s="388"/>
      <c r="NIH26" s="388"/>
      <c r="NII26" s="388"/>
      <c r="NIJ26" s="388"/>
      <c r="NIK26" s="388"/>
      <c r="NIL26" s="388"/>
      <c r="NIM26" s="388"/>
      <c r="NIN26" s="388"/>
      <c r="NIO26" s="388"/>
      <c r="NIP26" s="388"/>
      <c r="NIQ26" s="388"/>
      <c r="NIR26" s="388"/>
      <c r="NIS26" s="388"/>
      <c r="NIT26" s="388"/>
      <c r="NIU26" s="388"/>
      <c r="NIV26" s="388"/>
      <c r="NIW26" s="388"/>
      <c r="NIX26" s="388"/>
      <c r="NIY26" s="388"/>
      <c r="NIZ26" s="388"/>
      <c r="NJA26" s="388"/>
      <c r="NJB26" s="388"/>
      <c r="NJC26" s="388"/>
      <c r="NJD26" s="388"/>
      <c r="NJE26" s="388"/>
      <c r="NJF26" s="388"/>
      <c r="NJG26" s="388"/>
      <c r="NJH26" s="388"/>
      <c r="NJI26" s="388"/>
      <c r="NJJ26" s="388"/>
      <c r="NJK26" s="388"/>
      <c r="NJL26" s="388"/>
      <c r="NJM26" s="388"/>
      <c r="NJN26" s="388"/>
      <c r="NJO26" s="388"/>
      <c r="NJP26" s="388"/>
      <c r="NJQ26" s="388"/>
      <c r="NJR26" s="388"/>
      <c r="NJS26" s="388"/>
      <c r="NJT26" s="388"/>
      <c r="NJU26" s="388"/>
      <c r="NJV26" s="388"/>
      <c r="NJW26" s="388"/>
      <c r="NJX26" s="388"/>
      <c r="NJY26" s="388"/>
      <c r="NJZ26" s="388"/>
      <c r="NKA26" s="388"/>
      <c r="NKB26" s="388"/>
      <c r="NKC26" s="388"/>
      <c r="NKD26" s="388"/>
      <c r="NKE26" s="388"/>
      <c r="NKF26" s="388"/>
      <c r="NKG26" s="388"/>
      <c r="NKH26" s="388"/>
      <c r="NKI26" s="388"/>
      <c r="NKJ26" s="388"/>
      <c r="NKK26" s="388"/>
      <c r="NKL26" s="388"/>
      <c r="NKM26" s="388"/>
      <c r="NKN26" s="388"/>
      <c r="NKO26" s="388"/>
      <c r="NKP26" s="388"/>
      <c r="NKQ26" s="388"/>
      <c r="NKR26" s="388"/>
      <c r="NKS26" s="388"/>
      <c r="NKT26" s="388"/>
      <c r="NKU26" s="388"/>
      <c r="NKV26" s="388"/>
      <c r="NKW26" s="388"/>
      <c r="NKX26" s="388"/>
      <c r="NKY26" s="388"/>
      <c r="NKZ26" s="388"/>
      <c r="NLA26" s="388"/>
      <c r="NLB26" s="388"/>
      <c r="NLC26" s="388"/>
      <c r="NLD26" s="388"/>
      <c r="NLE26" s="388"/>
      <c r="NLF26" s="388"/>
      <c r="NLG26" s="388"/>
      <c r="NLH26" s="388"/>
      <c r="NLI26" s="388"/>
      <c r="NLJ26" s="388"/>
      <c r="NLK26" s="388"/>
      <c r="NLL26" s="388"/>
      <c r="NLM26" s="388"/>
      <c r="NLN26" s="388"/>
      <c r="NLO26" s="388"/>
      <c r="NLP26" s="388"/>
      <c r="NLQ26" s="388"/>
      <c r="NLR26" s="388"/>
      <c r="NLS26" s="388"/>
      <c r="NLT26" s="388"/>
      <c r="NLU26" s="388"/>
      <c r="NLV26" s="388"/>
      <c r="NLW26" s="388"/>
      <c r="NLX26" s="388"/>
      <c r="NLY26" s="388"/>
      <c r="NLZ26" s="388"/>
      <c r="NMA26" s="388"/>
      <c r="NMB26" s="388"/>
      <c r="NMC26" s="388"/>
      <c r="NMD26" s="388"/>
      <c r="NME26" s="388"/>
      <c r="NMF26" s="388"/>
      <c r="NMG26" s="388"/>
      <c r="NMH26" s="388"/>
      <c r="NMI26" s="388"/>
      <c r="NMJ26" s="388"/>
      <c r="NMK26" s="388"/>
      <c r="NML26" s="388"/>
      <c r="NMM26" s="388"/>
      <c r="NMN26" s="388"/>
      <c r="NMO26" s="388"/>
      <c r="NMP26" s="388"/>
      <c r="NMQ26" s="388"/>
      <c r="NMR26" s="388"/>
      <c r="NMS26" s="388"/>
      <c r="NMT26" s="388"/>
      <c r="NMU26" s="388"/>
      <c r="NMV26" s="388"/>
      <c r="NMW26" s="388"/>
      <c r="NMX26" s="388"/>
      <c r="NMY26" s="388"/>
      <c r="NMZ26" s="388"/>
      <c r="NNA26" s="388"/>
      <c r="NNB26" s="388"/>
      <c r="NNC26" s="388"/>
      <c r="NND26" s="388"/>
      <c r="NNE26" s="388"/>
      <c r="NNF26" s="388"/>
      <c r="NNG26" s="388"/>
      <c r="NNH26" s="388"/>
      <c r="NNI26" s="388"/>
      <c r="NNJ26" s="388"/>
      <c r="NNK26" s="388"/>
      <c r="NNL26" s="388"/>
      <c r="NNM26" s="388"/>
      <c r="NNN26" s="388"/>
      <c r="NNO26" s="388"/>
      <c r="NNP26" s="388"/>
      <c r="NNQ26" s="388"/>
      <c r="NNR26" s="388"/>
      <c r="NNS26" s="388"/>
      <c r="NNT26" s="388"/>
      <c r="NNU26" s="388"/>
      <c r="NNV26" s="388"/>
      <c r="NNW26" s="388"/>
      <c r="NNX26" s="388"/>
      <c r="NNY26" s="388"/>
      <c r="NNZ26" s="388"/>
      <c r="NOA26" s="388"/>
      <c r="NOB26" s="388"/>
      <c r="NOC26" s="388"/>
      <c r="NOD26" s="388"/>
      <c r="NOE26" s="388"/>
      <c r="NOF26" s="388"/>
      <c r="NOG26" s="388"/>
      <c r="NOH26" s="388"/>
      <c r="NOI26" s="388"/>
      <c r="NOJ26" s="388"/>
      <c r="NOK26" s="388"/>
      <c r="NOL26" s="388"/>
      <c r="NOM26" s="388"/>
      <c r="NON26" s="388"/>
      <c r="NOO26" s="388"/>
      <c r="NOP26" s="388"/>
      <c r="NOQ26" s="388"/>
      <c r="NOR26" s="388"/>
      <c r="NOS26" s="388"/>
      <c r="NOT26" s="388"/>
      <c r="NOU26" s="388"/>
      <c r="NOV26" s="388"/>
      <c r="NOW26" s="388"/>
      <c r="NOX26" s="388"/>
      <c r="NOY26" s="388"/>
      <c r="NOZ26" s="388"/>
      <c r="NPA26" s="388"/>
      <c r="NPB26" s="388"/>
      <c r="NPC26" s="388"/>
      <c r="NPD26" s="388"/>
      <c r="NPE26" s="388"/>
      <c r="NPF26" s="388"/>
      <c r="NPG26" s="388"/>
      <c r="NPH26" s="388"/>
      <c r="NPI26" s="388"/>
      <c r="NPJ26" s="388"/>
      <c r="NPK26" s="388"/>
      <c r="NPL26" s="388"/>
      <c r="NPM26" s="388"/>
      <c r="NPN26" s="388"/>
      <c r="NPO26" s="388"/>
      <c r="NPP26" s="388"/>
      <c r="NPQ26" s="388"/>
      <c r="NPR26" s="388"/>
      <c r="NPS26" s="388"/>
      <c r="NPT26" s="388"/>
      <c r="NPU26" s="388"/>
      <c r="NPV26" s="388"/>
      <c r="NPW26" s="388"/>
      <c r="NPX26" s="388"/>
      <c r="NPY26" s="388"/>
      <c r="NPZ26" s="388"/>
      <c r="NQA26" s="388"/>
      <c r="NQB26" s="388"/>
      <c r="NQC26" s="388"/>
      <c r="NQD26" s="388"/>
      <c r="NQE26" s="388"/>
      <c r="NQF26" s="388"/>
      <c r="NQG26" s="388"/>
      <c r="NQH26" s="388"/>
      <c r="NQI26" s="388"/>
      <c r="NQJ26" s="388"/>
      <c r="NQK26" s="388"/>
      <c r="NQL26" s="388"/>
      <c r="NQM26" s="388"/>
      <c r="NQN26" s="388"/>
      <c r="NQO26" s="388"/>
      <c r="NQP26" s="388"/>
      <c r="NQQ26" s="388"/>
      <c r="NQR26" s="388"/>
      <c r="NQS26" s="388"/>
      <c r="NQT26" s="388"/>
      <c r="NQU26" s="388"/>
      <c r="NQV26" s="388"/>
      <c r="NQW26" s="388"/>
      <c r="NQX26" s="388"/>
      <c r="NQY26" s="388"/>
      <c r="NQZ26" s="388"/>
      <c r="NRA26" s="388"/>
      <c r="NRB26" s="388"/>
      <c r="NRC26" s="388"/>
      <c r="NRD26" s="388"/>
      <c r="NRE26" s="388"/>
      <c r="NRF26" s="388"/>
      <c r="NRG26" s="388"/>
      <c r="NRH26" s="388"/>
      <c r="NRI26" s="388"/>
      <c r="NRJ26" s="388"/>
      <c r="NRK26" s="388"/>
      <c r="NRL26" s="388"/>
      <c r="NRM26" s="388"/>
      <c r="NRN26" s="388"/>
      <c r="NRO26" s="388"/>
      <c r="NRP26" s="388"/>
      <c r="NRQ26" s="388"/>
      <c r="NRR26" s="388"/>
      <c r="NRS26" s="388"/>
      <c r="NRT26" s="388"/>
      <c r="NRU26" s="388"/>
      <c r="NRV26" s="388"/>
      <c r="NRW26" s="388"/>
      <c r="NRX26" s="388"/>
      <c r="NRY26" s="388"/>
      <c r="NRZ26" s="388"/>
      <c r="NSA26" s="388"/>
      <c r="NSB26" s="388"/>
      <c r="NSC26" s="388"/>
      <c r="NSD26" s="388"/>
      <c r="NSE26" s="388"/>
      <c r="NSF26" s="388"/>
      <c r="NSG26" s="388"/>
      <c r="NSH26" s="388"/>
      <c r="NSI26" s="388"/>
      <c r="NSJ26" s="388"/>
      <c r="NSK26" s="388"/>
      <c r="NSL26" s="388"/>
      <c r="NSM26" s="388"/>
      <c r="NSN26" s="388"/>
      <c r="NSO26" s="388"/>
      <c r="NSP26" s="388"/>
      <c r="NSQ26" s="388"/>
      <c r="NSR26" s="388"/>
      <c r="NSS26" s="388"/>
      <c r="NST26" s="388"/>
      <c r="NSU26" s="388"/>
      <c r="NSV26" s="388"/>
      <c r="NSW26" s="388"/>
      <c r="NSX26" s="388"/>
      <c r="NSY26" s="388"/>
      <c r="NSZ26" s="388"/>
      <c r="NTA26" s="388"/>
      <c r="NTB26" s="388"/>
      <c r="NTC26" s="388"/>
      <c r="NTD26" s="388"/>
      <c r="NTE26" s="388"/>
      <c r="NTF26" s="388"/>
      <c r="NTG26" s="388"/>
      <c r="NTH26" s="388"/>
      <c r="NTI26" s="388"/>
      <c r="NTJ26" s="388"/>
      <c r="NTK26" s="388"/>
      <c r="NTL26" s="388"/>
      <c r="NTM26" s="388"/>
      <c r="NTN26" s="388"/>
      <c r="NTO26" s="388"/>
      <c r="NTP26" s="388"/>
      <c r="NTQ26" s="388"/>
      <c r="NTR26" s="388"/>
      <c r="NTS26" s="388"/>
      <c r="NTT26" s="388"/>
      <c r="NTU26" s="388"/>
      <c r="NTV26" s="388"/>
      <c r="NTW26" s="388"/>
      <c r="NTX26" s="388"/>
      <c r="NTY26" s="388"/>
      <c r="NTZ26" s="388"/>
      <c r="NUA26" s="388"/>
      <c r="NUB26" s="388"/>
      <c r="NUC26" s="388"/>
      <c r="NUD26" s="388"/>
      <c r="NUE26" s="388"/>
      <c r="NUF26" s="388"/>
      <c r="NUG26" s="388"/>
      <c r="NUH26" s="388"/>
      <c r="NUI26" s="388"/>
      <c r="NUJ26" s="388"/>
      <c r="NUK26" s="388"/>
      <c r="NUL26" s="388"/>
      <c r="NUM26" s="388"/>
      <c r="NUN26" s="388"/>
      <c r="NUO26" s="388"/>
      <c r="NUP26" s="388"/>
      <c r="NUQ26" s="388"/>
      <c r="NUR26" s="388"/>
      <c r="NUS26" s="388"/>
      <c r="NUT26" s="388"/>
      <c r="NUU26" s="388"/>
      <c r="NUV26" s="388"/>
      <c r="NUW26" s="388"/>
      <c r="NUX26" s="388"/>
      <c r="NUY26" s="388"/>
      <c r="NUZ26" s="388"/>
      <c r="NVA26" s="388"/>
      <c r="NVB26" s="388"/>
      <c r="NVC26" s="388"/>
      <c r="NVD26" s="388"/>
      <c r="NVE26" s="388"/>
      <c r="NVF26" s="388"/>
      <c r="NVG26" s="388"/>
      <c r="NVH26" s="388"/>
      <c r="NVI26" s="388"/>
      <c r="NVJ26" s="388"/>
      <c r="NVK26" s="388"/>
      <c r="NVL26" s="388"/>
      <c r="NVM26" s="388"/>
      <c r="NVN26" s="388"/>
      <c r="NVO26" s="388"/>
      <c r="NVP26" s="388"/>
      <c r="NVQ26" s="388"/>
      <c r="NVR26" s="388"/>
      <c r="NVS26" s="388"/>
      <c r="NVT26" s="388"/>
      <c r="NVU26" s="388"/>
      <c r="NVV26" s="388"/>
      <c r="NVW26" s="388"/>
      <c r="NVX26" s="388"/>
      <c r="NVY26" s="388"/>
      <c r="NVZ26" s="388"/>
      <c r="NWA26" s="388"/>
      <c r="NWB26" s="388"/>
      <c r="NWC26" s="388"/>
      <c r="NWD26" s="388"/>
      <c r="NWE26" s="388"/>
      <c r="NWF26" s="388"/>
      <c r="NWG26" s="388"/>
      <c r="NWH26" s="388"/>
      <c r="NWI26" s="388"/>
      <c r="NWJ26" s="388"/>
      <c r="NWK26" s="388"/>
      <c r="NWL26" s="388"/>
      <c r="NWM26" s="388"/>
      <c r="NWN26" s="388"/>
      <c r="NWO26" s="388"/>
      <c r="NWP26" s="388"/>
      <c r="NWQ26" s="388"/>
      <c r="NWR26" s="388"/>
      <c r="NWS26" s="388"/>
      <c r="NWT26" s="388"/>
      <c r="NWU26" s="388"/>
      <c r="NWV26" s="388"/>
      <c r="NWW26" s="388"/>
      <c r="NWX26" s="388"/>
      <c r="NWY26" s="388"/>
      <c r="NWZ26" s="388"/>
      <c r="NXA26" s="388"/>
      <c r="NXB26" s="388"/>
      <c r="NXC26" s="388"/>
      <c r="NXD26" s="388"/>
      <c r="NXE26" s="388"/>
      <c r="NXF26" s="388"/>
      <c r="NXG26" s="388"/>
      <c r="NXH26" s="388"/>
      <c r="NXI26" s="388"/>
      <c r="NXJ26" s="388"/>
      <c r="NXK26" s="388"/>
      <c r="NXL26" s="388"/>
      <c r="NXM26" s="388"/>
      <c r="NXN26" s="388"/>
      <c r="NXO26" s="388"/>
      <c r="NXP26" s="388"/>
      <c r="NXQ26" s="388"/>
      <c r="NXR26" s="388"/>
      <c r="NXS26" s="388"/>
      <c r="NXT26" s="388"/>
      <c r="NXU26" s="388"/>
      <c r="NXV26" s="388"/>
      <c r="NXW26" s="388"/>
      <c r="NXX26" s="388"/>
      <c r="NXY26" s="388"/>
      <c r="NXZ26" s="388"/>
      <c r="NYA26" s="388"/>
      <c r="NYB26" s="388"/>
      <c r="NYC26" s="388"/>
      <c r="NYD26" s="388"/>
      <c r="NYE26" s="388"/>
      <c r="NYF26" s="388"/>
      <c r="NYG26" s="388"/>
      <c r="NYH26" s="388"/>
      <c r="NYI26" s="388"/>
      <c r="NYJ26" s="388"/>
      <c r="NYK26" s="388"/>
      <c r="NYL26" s="388"/>
      <c r="NYM26" s="388"/>
      <c r="NYN26" s="388"/>
      <c r="NYO26" s="388"/>
      <c r="NYP26" s="388"/>
      <c r="NYQ26" s="388"/>
      <c r="NYR26" s="388"/>
      <c r="NYS26" s="388"/>
      <c r="NYT26" s="388"/>
      <c r="NYU26" s="388"/>
      <c r="NYV26" s="388"/>
      <c r="NYW26" s="388"/>
      <c r="NYX26" s="388"/>
      <c r="NYY26" s="388"/>
      <c r="NYZ26" s="388"/>
      <c r="NZA26" s="388"/>
      <c r="NZB26" s="388"/>
      <c r="NZC26" s="388"/>
      <c r="NZD26" s="388"/>
      <c r="NZE26" s="388"/>
      <c r="NZF26" s="388"/>
      <c r="NZG26" s="388"/>
      <c r="NZH26" s="388"/>
      <c r="NZI26" s="388"/>
      <c r="NZJ26" s="388"/>
      <c r="NZK26" s="388"/>
      <c r="NZL26" s="388"/>
      <c r="NZM26" s="388"/>
      <c r="NZN26" s="388"/>
      <c r="NZO26" s="388"/>
      <c r="NZP26" s="388"/>
      <c r="NZQ26" s="388"/>
      <c r="NZR26" s="388"/>
      <c r="NZS26" s="388"/>
      <c r="NZT26" s="388"/>
      <c r="NZU26" s="388"/>
      <c r="NZV26" s="388"/>
      <c r="NZW26" s="388"/>
      <c r="NZX26" s="388"/>
      <c r="NZY26" s="388"/>
      <c r="NZZ26" s="388"/>
      <c r="OAA26" s="388"/>
      <c r="OAB26" s="388"/>
      <c r="OAC26" s="388"/>
      <c r="OAD26" s="388"/>
      <c r="OAE26" s="388"/>
      <c r="OAF26" s="388"/>
      <c r="OAG26" s="388"/>
      <c r="OAH26" s="388"/>
      <c r="OAI26" s="388"/>
      <c r="OAJ26" s="388"/>
      <c r="OAK26" s="388"/>
      <c r="OAL26" s="388"/>
      <c r="OAM26" s="388"/>
      <c r="OAN26" s="388"/>
      <c r="OAO26" s="388"/>
      <c r="OAP26" s="388"/>
      <c r="OAQ26" s="388"/>
      <c r="OAR26" s="388"/>
      <c r="OAS26" s="388"/>
      <c r="OAT26" s="388"/>
      <c r="OAU26" s="388"/>
      <c r="OAV26" s="388"/>
      <c r="OAW26" s="388"/>
      <c r="OAX26" s="388"/>
      <c r="OAY26" s="388"/>
      <c r="OAZ26" s="388"/>
      <c r="OBA26" s="388"/>
      <c r="OBB26" s="388"/>
      <c r="OBC26" s="388"/>
      <c r="OBD26" s="388"/>
      <c r="OBE26" s="388"/>
      <c r="OBF26" s="388"/>
      <c r="OBG26" s="388"/>
      <c r="OBH26" s="388"/>
      <c r="OBI26" s="388"/>
      <c r="OBJ26" s="388"/>
      <c r="OBK26" s="388"/>
      <c r="OBL26" s="388"/>
      <c r="OBM26" s="388"/>
      <c r="OBN26" s="388"/>
      <c r="OBO26" s="388"/>
      <c r="OBP26" s="388"/>
      <c r="OBQ26" s="388"/>
      <c r="OBR26" s="388"/>
      <c r="OBS26" s="388"/>
      <c r="OBT26" s="388"/>
      <c r="OBU26" s="388"/>
      <c r="OBV26" s="388"/>
      <c r="OBW26" s="388"/>
      <c r="OBX26" s="388"/>
      <c r="OBY26" s="388"/>
      <c r="OBZ26" s="388"/>
      <c r="OCA26" s="388"/>
      <c r="OCB26" s="388"/>
      <c r="OCC26" s="388"/>
      <c r="OCD26" s="388"/>
      <c r="OCE26" s="388"/>
      <c r="OCF26" s="388"/>
      <c r="OCG26" s="388"/>
      <c r="OCH26" s="388"/>
      <c r="OCI26" s="388"/>
      <c r="OCJ26" s="388"/>
      <c r="OCK26" s="388"/>
      <c r="OCL26" s="388"/>
      <c r="OCM26" s="388"/>
      <c r="OCN26" s="388"/>
      <c r="OCO26" s="388"/>
      <c r="OCP26" s="388"/>
      <c r="OCQ26" s="388"/>
      <c r="OCR26" s="388"/>
      <c r="OCS26" s="388"/>
      <c r="OCT26" s="388"/>
      <c r="OCU26" s="388"/>
      <c r="OCV26" s="388"/>
      <c r="OCW26" s="388"/>
      <c r="OCX26" s="388"/>
      <c r="OCY26" s="388"/>
      <c r="OCZ26" s="388"/>
      <c r="ODA26" s="388"/>
      <c r="ODB26" s="388"/>
      <c r="ODC26" s="388"/>
      <c r="ODD26" s="388"/>
      <c r="ODE26" s="388"/>
      <c r="ODF26" s="388"/>
      <c r="ODG26" s="388"/>
      <c r="ODH26" s="388"/>
      <c r="ODI26" s="388"/>
      <c r="ODJ26" s="388"/>
      <c r="ODK26" s="388"/>
      <c r="ODL26" s="388"/>
      <c r="ODM26" s="388"/>
      <c r="ODN26" s="388"/>
      <c r="ODO26" s="388"/>
      <c r="ODP26" s="388"/>
      <c r="ODQ26" s="388"/>
      <c r="ODR26" s="388"/>
      <c r="ODS26" s="388"/>
      <c r="ODT26" s="388"/>
      <c r="ODU26" s="388"/>
      <c r="ODV26" s="388"/>
      <c r="ODW26" s="388"/>
      <c r="ODX26" s="388"/>
      <c r="ODY26" s="388"/>
      <c r="ODZ26" s="388"/>
      <c r="OEA26" s="388"/>
      <c r="OEB26" s="388"/>
      <c r="OEC26" s="388"/>
      <c r="OED26" s="388"/>
      <c r="OEE26" s="388"/>
      <c r="OEF26" s="388"/>
      <c r="OEG26" s="388"/>
      <c r="OEH26" s="388"/>
      <c r="OEI26" s="388"/>
      <c r="OEJ26" s="388"/>
      <c r="OEK26" s="388"/>
      <c r="OEL26" s="388"/>
      <c r="OEM26" s="388"/>
      <c r="OEN26" s="388"/>
      <c r="OEO26" s="388"/>
      <c r="OEP26" s="388"/>
      <c r="OEQ26" s="388"/>
      <c r="OER26" s="388"/>
      <c r="OES26" s="388"/>
      <c r="OET26" s="388"/>
      <c r="OEU26" s="388"/>
      <c r="OEV26" s="388"/>
      <c r="OEW26" s="388"/>
      <c r="OEX26" s="388"/>
      <c r="OEY26" s="388"/>
      <c r="OEZ26" s="388"/>
      <c r="OFA26" s="388"/>
      <c r="OFB26" s="388"/>
      <c r="OFC26" s="388"/>
      <c r="OFD26" s="388"/>
      <c r="OFE26" s="388"/>
      <c r="OFF26" s="388"/>
      <c r="OFG26" s="388"/>
      <c r="OFH26" s="388"/>
      <c r="OFI26" s="388"/>
      <c r="OFJ26" s="388"/>
      <c r="OFK26" s="388"/>
      <c r="OFL26" s="388"/>
      <c r="OFM26" s="388"/>
      <c r="OFN26" s="388"/>
      <c r="OFO26" s="388"/>
      <c r="OFP26" s="388"/>
      <c r="OFQ26" s="388"/>
      <c r="OFR26" s="388"/>
      <c r="OFS26" s="388"/>
      <c r="OFT26" s="388"/>
      <c r="OFU26" s="388"/>
      <c r="OFV26" s="388"/>
      <c r="OFW26" s="388"/>
      <c r="OFX26" s="388"/>
      <c r="OFY26" s="388"/>
      <c r="OFZ26" s="388"/>
      <c r="OGA26" s="388"/>
      <c r="OGB26" s="388"/>
      <c r="OGC26" s="388"/>
      <c r="OGD26" s="388"/>
      <c r="OGE26" s="388"/>
      <c r="OGF26" s="388"/>
      <c r="OGG26" s="388"/>
      <c r="OGH26" s="388"/>
      <c r="OGI26" s="388"/>
      <c r="OGJ26" s="388"/>
      <c r="OGK26" s="388"/>
      <c r="OGL26" s="388"/>
      <c r="OGM26" s="388"/>
      <c r="OGN26" s="388"/>
      <c r="OGO26" s="388"/>
      <c r="OGP26" s="388"/>
      <c r="OGQ26" s="388"/>
      <c r="OGR26" s="388"/>
      <c r="OGS26" s="388"/>
      <c r="OGT26" s="388"/>
      <c r="OGU26" s="388"/>
      <c r="OGV26" s="388"/>
      <c r="OGW26" s="388"/>
      <c r="OGX26" s="388"/>
      <c r="OGY26" s="388"/>
      <c r="OGZ26" s="388"/>
      <c r="OHA26" s="388"/>
      <c r="OHB26" s="388"/>
      <c r="OHC26" s="388"/>
      <c r="OHD26" s="388"/>
      <c r="OHE26" s="388"/>
      <c r="OHF26" s="388"/>
      <c r="OHG26" s="388"/>
      <c r="OHH26" s="388"/>
      <c r="OHI26" s="388"/>
      <c r="OHJ26" s="388"/>
      <c r="OHK26" s="388"/>
      <c r="OHL26" s="388"/>
      <c r="OHM26" s="388"/>
      <c r="OHN26" s="388"/>
      <c r="OHO26" s="388"/>
      <c r="OHP26" s="388"/>
      <c r="OHQ26" s="388"/>
      <c r="OHR26" s="388"/>
      <c r="OHS26" s="388"/>
      <c r="OHT26" s="388"/>
      <c r="OHU26" s="388"/>
      <c r="OHV26" s="388"/>
      <c r="OHW26" s="388"/>
      <c r="OHX26" s="388"/>
      <c r="OHY26" s="388"/>
      <c r="OHZ26" s="388"/>
      <c r="OIA26" s="388"/>
      <c r="OIB26" s="388"/>
      <c r="OIC26" s="388"/>
      <c r="OID26" s="388"/>
      <c r="OIE26" s="388"/>
      <c r="OIF26" s="388"/>
      <c r="OIG26" s="388"/>
      <c r="OIH26" s="388"/>
      <c r="OII26" s="388"/>
      <c r="OIJ26" s="388"/>
      <c r="OIK26" s="388"/>
      <c r="OIL26" s="388"/>
      <c r="OIM26" s="388"/>
      <c r="OIN26" s="388"/>
      <c r="OIO26" s="388"/>
      <c r="OIP26" s="388"/>
      <c r="OIQ26" s="388"/>
      <c r="OIR26" s="388"/>
      <c r="OIS26" s="388"/>
      <c r="OIT26" s="388"/>
      <c r="OIU26" s="388"/>
      <c r="OIV26" s="388"/>
      <c r="OIW26" s="388"/>
      <c r="OIX26" s="388"/>
      <c r="OIY26" s="388"/>
      <c r="OIZ26" s="388"/>
      <c r="OJA26" s="388"/>
      <c r="OJB26" s="388"/>
      <c r="OJC26" s="388"/>
      <c r="OJD26" s="388"/>
      <c r="OJE26" s="388"/>
      <c r="OJF26" s="388"/>
      <c r="OJG26" s="388"/>
      <c r="OJH26" s="388"/>
      <c r="OJI26" s="388"/>
      <c r="OJJ26" s="388"/>
      <c r="OJK26" s="388"/>
      <c r="OJL26" s="388"/>
      <c r="OJM26" s="388"/>
      <c r="OJN26" s="388"/>
      <c r="OJO26" s="388"/>
      <c r="OJP26" s="388"/>
      <c r="OJQ26" s="388"/>
      <c r="OJR26" s="388"/>
      <c r="OJS26" s="388"/>
      <c r="OJT26" s="388"/>
      <c r="OJU26" s="388"/>
      <c r="OJV26" s="388"/>
      <c r="OJW26" s="388"/>
      <c r="OJX26" s="388"/>
      <c r="OJY26" s="388"/>
      <c r="OJZ26" s="388"/>
      <c r="OKA26" s="388"/>
      <c r="OKB26" s="388"/>
      <c r="OKC26" s="388"/>
      <c r="OKD26" s="388"/>
      <c r="OKE26" s="388"/>
      <c r="OKF26" s="388"/>
      <c r="OKG26" s="388"/>
      <c r="OKH26" s="388"/>
      <c r="OKI26" s="388"/>
      <c r="OKJ26" s="388"/>
      <c r="OKK26" s="388"/>
      <c r="OKL26" s="388"/>
      <c r="OKM26" s="388"/>
      <c r="OKN26" s="388"/>
      <c r="OKO26" s="388"/>
      <c r="OKP26" s="388"/>
      <c r="OKQ26" s="388"/>
      <c r="OKR26" s="388"/>
      <c r="OKS26" s="388"/>
      <c r="OKT26" s="388"/>
      <c r="OKU26" s="388"/>
      <c r="OKV26" s="388"/>
      <c r="OKW26" s="388"/>
      <c r="OKX26" s="388"/>
      <c r="OKY26" s="388"/>
      <c r="OKZ26" s="388"/>
      <c r="OLA26" s="388"/>
      <c r="OLB26" s="388"/>
      <c r="OLC26" s="388"/>
      <c r="OLD26" s="388"/>
      <c r="OLE26" s="388"/>
      <c r="OLF26" s="388"/>
      <c r="OLG26" s="388"/>
      <c r="OLH26" s="388"/>
      <c r="OLI26" s="388"/>
      <c r="OLJ26" s="388"/>
      <c r="OLK26" s="388"/>
      <c r="OLL26" s="388"/>
      <c r="OLM26" s="388"/>
      <c r="OLN26" s="388"/>
      <c r="OLO26" s="388"/>
      <c r="OLP26" s="388"/>
      <c r="OLQ26" s="388"/>
      <c r="OLR26" s="388"/>
      <c r="OLS26" s="388"/>
      <c r="OLT26" s="388"/>
      <c r="OLU26" s="388"/>
      <c r="OLV26" s="388"/>
      <c r="OLW26" s="388"/>
      <c r="OLX26" s="388"/>
      <c r="OLY26" s="388"/>
      <c r="OLZ26" s="388"/>
      <c r="OMA26" s="388"/>
      <c r="OMB26" s="388"/>
      <c r="OMC26" s="388"/>
      <c r="OMD26" s="388"/>
      <c r="OME26" s="388"/>
      <c r="OMF26" s="388"/>
      <c r="OMG26" s="388"/>
      <c r="OMH26" s="388"/>
      <c r="OMI26" s="388"/>
      <c r="OMJ26" s="388"/>
      <c r="OMK26" s="388"/>
      <c r="OML26" s="388"/>
      <c r="OMM26" s="388"/>
      <c r="OMN26" s="388"/>
      <c r="OMO26" s="388"/>
      <c r="OMP26" s="388"/>
      <c r="OMQ26" s="388"/>
      <c r="OMR26" s="388"/>
      <c r="OMS26" s="388"/>
      <c r="OMT26" s="388"/>
      <c r="OMU26" s="388"/>
      <c r="OMV26" s="388"/>
      <c r="OMW26" s="388"/>
      <c r="OMX26" s="388"/>
      <c r="OMY26" s="388"/>
      <c r="OMZ26" s="388"/>
      <c r="ONA26" s="388"/>
      <c r="ONB26" s="388"/>
      <c r="ONC26" s="388"/>
      <c r="OND26" s="388"/>
      <c r="ONE26" s="388"/>
      <c r="ONF26" s="388"/>
      <c r="ONG26" s="388"/>
      <c r="ONH26" s="388"/>
      <c r="ONI26" s="388"/>
      <c r="ONJ26" s="388"/>
      <c r="ONK26" s="388"/>
      <c r="ONL26" s="388"/>
      <c r="ONM26" s="388"/>
      <c r="ONN26" s="388"/>
      <c r="ONO26" s="388"/>
      <c r="ONP26" s="388"/>
      <c r="ONQ26" s="388"/>
      <c r="ONR26" s="388"/>
      <c r="ONS26" s="388"/>
      <c r="ONT26" s="388"/>
      <c r="ONU26" s="388"/>
      <c r="ONV26" s="388"/>
      <c r="ONW26" s="388"/>
      <c r="ONX26" s="388"/>
      <c r="ONY26" s="388"/>
      <c r="ONZ26" s="388"/>
      <c r="OOA26" s="388"/>
      <c r="OOB26" s="388"/>
      <c r="OOC26" s="388"/>
      <c r="OOD26" s="388"/>
      <c r="OOE26" s="388"/>
      <c r="OOF26" s="388"/>
      <c r="OOG26" s="388"/>
      <c r="OOH26" s="388"/>
      <c r="OOI26" s="388"/>
      <c r="OOJ26" s="388"/>
      <c r="OOK26" s="388"/>
      <c r="OOL26" s="388"/>
      <c r="OOM26" s="388"/>
      <c r="OON26" s="388"/>
      <c r="OOO26" s="388"/>
      <c r="OOP26" s="388"/>
      <c r="OOQ26" s="388"/>
      <c r="OOR26" s="388"/>
      <c r="OOS26" s="388"/>
      <c r="OOT26" s="388"/>
      <c r="OOU26" s="388"/>
      <c r="OOV26" s="388"/>
      <c r="OOW26" s="388"/>
      <c r="OOX26" s="388"/>
      <c r="OOY26" s="388"/>
      <c r="OOZ26" s="388"/>
      <c r="OPA26" s="388"/>
      <c r="OPB26" s="388"/>
      <c r="OPC26" s="388"/>
      <c r="OPD26" s="388"/>
      <c r="OPE26" s="388"/>
      <c r="OPF26" s="388"/>
      <c r="OPG26" s="388"/>
      <c r="OPH26" s="388"/>
      <c r="OPI26" s="388"/>
      <c r="OPJ26" s="388"/>
      <c r="OPK26" s="388"/>
      <c r="OPL26" s="388"/>
      <c r="OPM26" s="388"/>
      <c r="OPN26" s="388"/>
      <c r="OPO26" s="388"/>
      <c r="OPP26" s="388"/>
      <c r="OPQ26" s="388"/>
      <c r="OPR26" s="388"/>
      <c r="OPS26" s="388"/>
      <c r="OPT26" s="388"/>
      <c r="OPU26" s="388"/>
      <c r="OPV26" s="388"/>
      <c r="OPW26" s="388"/>
      <c r="OPX26" s="388"/>
      <c r="OPY26" s="388"/>
      <c r="OPZ26" s="388"/>
      <c r="OQA26" s="388"/>
      <c r="OQB26" s="388"/>
      <c r="OQC26" s="388"/>
      <c r="OQD26" s="388"/>
      <c r="OQE26" s="388"/>
      <c r="OQF26" s="388"/>
      <c r="OQG26" s="388"/>
      <c r="OQH26" s="388"/>
      <c r="OQI26" s="388"/>
      <c r="OQJ26" s="388"/>
      <c r="OQK26" s="388"/>
      <c r="OQL26" s="388"/>
      <c r="OQM26" s="388"/>
      <c r="OQN26" s="388"/>
      <c r="OQO26" s="388"/>
      <c r="OQP26" s="388"/>
      <c r="OQQ26" s="388"/>
      <c r="OQR26" s="388"/>
      <c r="OQS26" s="388"/>
      <c r="OQT26" s="388"/>
      <c r="OQU26" s="388"/>
      <c r="OQV26" s="388"/>
      <c r="OQW26" s="388"/>
      <c r="OQX26" s="388"/>
      <c r="OQY26" s="388"/>
      <c r="OQZ26" s="388"/>
      <c r="ORA26" s="388"/>
      <c r="ORB26" s="388"/>
      <c r="ORC26" s="388"/>
      <c r="ORD26" s="388"/>
      <c r="ORE26" s="388"/>
      <c r="ORF26" s="388"/>
      <c r="ORG26" s="388"/>
      <c r="ORH26" s="388"/>
      <c r="ORI26" s="388"/>
      <c r="ORJ26" s="388"/>
      <c r="ORK26" s="388"/>
      <c r="ORL26" s="388"/>
      <c r="ORM26" s="388"/>
      <c r="ORN26" s="388"/>
      <c r="ORO26" s="388"/>
      <c r="ORP26" s="388"/>
      <c r="ORQ26" s="388"/>
      <c r="ORR26" s="388"/>
      <c r="ORS26" s="388"/>
      <c r="ORT26" s="388"/>
      <c r="ORU26" s="388"/>
      <c r="ORV26" s="388"/>
      <c r="ORW26" s="388"/>
      <c r="ORX26" s="388"/>
      <c r="ORY26" s="388"/>
      <c r="ORZ26" s="388"/>
      <c r="OSA26" s="388"/>
      <c r="OSB26" s="388"/>
      <c r="OSC26" s="388"/>
      <c r="OSD26" s="388"/>
      <c r="OSE26" s="388"/>
      <c r="OSF26" s="388"/>
      <c r="OSG26" s="388"/>
      <c r="OSH26" s="388"/>
      <c r="OSI26" s="388"/>
      <c r="OSJ26" s="388"/>
      <c r="OSK26" s="388"/>
      <c r="OSL26" s="388"/>
      <c r="OSM26" s="388"/>
      <c r="OSN26" s="388"/>
      <c r="OSO26" s="388"/>
      <c r="OSP26" s="388"/>
      <c r="OSQ26" s="388"/>
      <c r="OSR26" s="388"/>
      <c r="OSS26" s="388"/>
      <c r="OST26" s="388"/>
      <c r="OSU26" s="388"/>
      <c r="OSV26" s="388"/>
      <c r="OSW26" s="388"/>
      <c r="OSX26" s="388"/>
      <c r="OSY26" s="388"/>
      <c r="OSZ26" s="388"/>
      <c r="OTA26" s="388"/>
      <c r="OTB26" s="388"/>
      <c r="OTC26" s="388"/>
      <c r="OTD26" s="388"/>
      <c r="OTE26" s="388"/>
      <c r="OTF26" s="388"/>
      <c r="OTG26" s="388"/>
      <c r="OTH26" s="388"/>
      <c r="OTI26" s="388"/>
      <c r="OTJ26" s="388"/>
      <c r="OTK26" s="388"/>
      <c r="OTL26" s="388"/>
      <c r="OTM26" s="388"/>
      <c r="OTN26" s="388"/>
      <c r="OTO26" s="388"/>
      <c r="OTP26" s="388"/>
      <c r="OTQ26" s="388"/>
      <c r="OTR26" s="388"/>
      <c r="OTS26" s="388"/>
      <c r="OTT26" s="388"/>
      <c r="OTU26" s="388"/>
      <c r="OTV26" s="388"/>
      <c r="OTW26" s="388"/>
      <c r="OTX26" s="388"/>
      <c r="OTY26" s="388"/>
      <c r="OTZ26" s="388"/>
      <c r="OUA26" s="388"/>
      <c r="OUB26" s="388"/>
      <c r="OUC26" s="388"/>
      <c r="OUD26" s="388"/>
      <c r="OUE26" s="388"/>
      <c r="OUF26" s="388"/>
      <c r="OUG26" s="388"/>
      <c r="OUH26" s="388"/>
      <c r="OUI26" s="388"/>
      <c r="OUJ26" s="388"/>
      <c r="OUK26" s="388"/>
      <c r="OUL26" s="388"/>
      <c r="OUM26" s="388"/>
      <c r="OUN26" s="388"/>
      <c r="OUO26" s="388"/>
      <c r="OUP26" s="388"/>
      <c r="OUQ26" s="388"/>
      <c r="OUR26" s="388"/>
      <c r="OUS26" s="388"/>
      <c r="OUT26" s="388"/>
      <c r="OUU26" s="388"/>
      <c r="OUV26" s="388"/>
      <c r="OUW26" s="388"/>
      <c r="OUX26" s="388"/>
      <c r="OUY26" s="388"/>
      <c r="OUZ26" s="388"/>
      <c r="OVA26" s="388"/>
      <c r="OVB26" s="388"/>
      <c r="OVC26" s="388"/>
      <c r="OVD26" s="388"/>
      <c r="OVE26" s="388"/>
      <c r="OVF26" s="388"/>
      <c r="OVG26" s="388"/>
      <c r="OVH26" s="388"/>
      <c r="OVI26" s="388"/>
      <c r="OVJ26" s="388"/>
      <c r="OVK26" s="388"/>
      <c r="OVL26" s="388"/>
      <c r="OVM26" s="388"/>
      <c r="OVN26" s="388"/>
      <c r="OVO26" s="388"/>
      <c r="OVP26" s="388"/>
      <c r="OVQ26" s="388"/>
      <c r="OVR26" s="388"/>
      <c r="OVS26" s="388"/>
      <c r="OVT26" s="388"/>
      <c r="OVU26" s="388"/>
      <c r="OVV26" s="388"/>
      <c r="OVW26" s="388"/>
      <c r="OVX26" s="388"/>
      <c r="OVY26" s="388"/>
      <c r="OVZ26" s="388"/>
      <c r="OWA26" s="388"/>
      <c r="OWB26" s="388"/>
      <c r="OWC26" s="388"/>
      <c r="OWD26" s="388"/>
      <c r="OWE26" s="388"/>
      <c r="OWF26" s="388"/>
      <c r="OWG26" s="388"/>
      <c r="OWH26" s="388"/>
      <c r="OWI26" s="388"/>
      <c r="OWJ26" s="388"/>
      <c r="OWK26" s="388"/>
      <c r="OWL26" s="388"/>
      <c r="OWM26" s="388"/>
      <c r="OWN26" s="388"/>
      <c r="OWO26" s="388"/>
      <c r="OWP26" s="388"/>
      <c r="OWQ26" s="388"/>
      <c r="OWR26" s="388"/>
      <c r="OWS26" s="388"/>
      <c r="OWT26" s="388"/>
      <c r="OWU26" s="388"/>
      <c r="OWV26" s="388"/>
      <c r="OWW26" s="388"/>
      <c r="OWX26" s="388"/>
      <c r="OWY26" s="388"/>
      <c r="OWZ26" s="388"/>
      <c r="OXA26" s="388"/>
      <c r="OXB26" s="388"/>
      <c r="OXC26" s="388"/>
      <c r="OXD26" s="388"/>
      <c r="OXE26" s="388"/>
      <c r="OXF26" s="388"/>
      <c r="OXG26" s="388"/>
      <c r="OXH26" s="388"/>
      <c r="OXI26" s="388"/>
      <c r="OXJ26" s="388"/>
      <c r="OXK26" s="388"/>
      <c r="OXL26" s="388"/>
      <c r="OXM26" s="388"/>
      <c r="OXN26" s="388"/>
      <c r="OXO26" s="388"/>
      <c r="OXP26" s="388"/>
      <c r="OXQ26" s="388"/>
      <c r="OXR26" s="388"/>
      <c r="OXS26" s="388"/>
      <c r="OXT26" s="388"/>
      <c r="OXU26" s="388"/>
      <c r="OXV26" s="388"/>
      <c r="OXW26" s="388"/>
      <c r="OXX26" s="388"/>
      <c r="OXY26" s="388"/>
      <c r="OXZ26" s="388"/>
      <c r="OYA26" s="388"/>
      <c r="OYB26" s="388"/>
      <c r="OYC26" s="388"/>
      <c r="OYD26" s="388"/>
      <c r="OYE26" s="388"/>
      <c r="OYF26" s="388"/>
      <c r="OYG26" s="388"/>
      <c r="OYH26" s="388"/>
      <c r="OYI26" s="388"/>
      <c r="OYJ26" s="388"/>
      <c r="OYK26" s="388"/>
      <c r="OYL26" s="388"/>
      <c r="OYM26" s="388"/>
      <c r="OYN26" s="388"/>
      <c r="OYO26" s="388"/>
      <c r="OYP26" s="388"/>
      <c r="OYQ26" s="388"/>
      <c r="OYR26" s="388"/>
      <c r="OYS26" s="388"/>
      <c r="OYT26" s="388"/>
      <c r="OYU26" s="388"/>
      <c r="OYV26" s="388"/>
      <c r="OYW26" s="388"/>
      <c r="OYX26" s="388"/>
      <c r="OYY26" s="388"/>
      <c r="OYZ26" s="388"/>
      <c r="OZA26" s="388"/>
      <c r="OZB26" s="388"/>
      <c r="OZC26" s="388"/>
      <c r="OZD26" s="388"/>
      <c r="OZE26" s="388"/>
      <c r="OZF26" s="388"/>
      <c r="OZG26" s="388"/>
      <c r="OZH26" s="388"/>
      <c r="OZI26" s="388"/>
      <c r="OZJ26" s="388"/>
      <c r="OZK26" s="388"/>
      <c r="OZL26" s="388"/>
      <c r="OZM26" s="388"/>
      <c r="OZN26" s="388"/>
      <c r="OZO26" s="388"/>
      <c r="OZP26" s="388"/>
      <c r="OZQ26" s="388"/>
      <c r="OZR26" s="388"/>
      <c r="OZS26" s="388"/>
      <c r="OZT26" s="388"/>
      <c r="OZU26" s="388"/>
      <c r="OZV26" s="388"/>
      <c r="OZW26" s="388"/>
      <c r="OZX26" s="388"/>
      <c r="OZY26" s="388"/>
      <c r="OZZ26" s="388"/>
      <c r="PAA26" s="388"/>
      <c r="PAB26" s="388"/>
      <c r="PAC26" s="388"/>
      <c r="PAD26" s="388"/>
      <c r="PAE26" s="388"/>
      <c r="PAF26" s="388"/>
      <c r="PAG26" s="388"/>
      <c r="PAH26" s="388"/>
      <c r="PAI26" s="388"/>
      <c r="PAJ26" s="388"/>
      <c r="PAK26" s="388"/>
      <c r="PAL26" s="388"/>
      <c r="PAM26" s="388"/>
      <c r="PAN26" s="388"/>
      <c r="PAO26" s="388"/>
      <c r="PAP26" s="388"/>
      <c r="PAQ26" s="388"/>
      <c r="PAR26" s="388"/>
      <c r="PAS26" s="388"/>
      <c r="PAT26" s="388"/>
      <c r="PAU26" s="388"/>
      <c r="PAV26" s="388"/>
      <c r="PAW26" s="388"/>
      <c r="PAX26" s="388"/>
      <c r="PAY26" s="388"/>
      <c r="PAZ26" s="388"/>
      <c r="PBA26" s="388"/>
      <c r="PBB26" s="388"/>
      <c r="PBC26" s="388"/>
      <c r="PBD26" s="388"/>
      <c r="PBE26" s="388"/>
      <c r="PBF26" s="388"/>
      <c r="PBG26" s="388"/>
      <c r="PBH26" s="388"/>
      <c r="PBI26" s="388"/>
      <c r="PBJ26" s="388"/>
      <c r="PBK26" s="388"/>
      <c r="PBL26" s="388"/>
      <c r="PBM26" s="388"/>
      <c r="PBN26" s="388"/>
      <c r="PBO26" s="388"/>
      <c r="PBP26" s="388"/>
      <c r="PBQ26" s="388"/>
      <c r="PBR26" s="388"/>
      <c r="PBS26" s="388"/>
      <c r="PBT26" s="388"/>
      <c r="PBU26" s="388"/>
      <c r="PBV26" s="388"/>
      <c r="PBW26" s="388"/>
      <c r="PBX26" s="388"/>
      <c r="PBY26" s="388"/>
      <c r="PBZ26" s="388"/>
      <c r="PCA26" s="388"/>
      <c r="PCB26" s="388"/>
      <c r="PCC26" s="388"/>
      <c r="PCD26" s="388"/>
      <c r="PCE26" s="388"/>
      <c r="PCF26" s="388"/>
      <c r="PCG26" s="388"/>
      <c r="PCH26" s="388"/>
      <c r="PCI26" s="388"/>
      <c r="PCJ26" s="388"/>
      <c r="PCK26" s="388"/>
      <c r="PCL26" s="388"/>
      <c r="PCM26" s="388"/>
      <c r="PCN26" s="388"/>
      <c r="PCO26" s="388"/>
      <c r="PCP26" s="388"/>
      <c r="PCQ26" s="388"/>
      <c r="PCR26" s="388"/>
      <c r="PCS26" s="388"/>
      <c r="PCT26" s="388"/>
      <c r="PCU26" s="388"/>
      <c r="PCV26" s="388"/>
      <c r="PCW26" s="388"/>
      <c r="PCX26" s="388"/>
      <c r="PCY26" s="388"/>
      <c r="PCZ26" s="388"/>
      <c r="PDA26" s="388"/>
      <c r="PDB26" s="388"/>
      <c r="PDC26" s="388"/>
      <c r="PDD26" s="388"/>
      <c r="PDE26" s="388"/>
      <c r="PDF26" s="388"/>
      <c r="PDG26" s="388"/>
      <c r="PDH26" s="388"/>
      <c r="PDI26" s="388"/>
      <c r="PDJ26" s="388"/>
      <c r="PDK26" s="388"/>
      <c r="PDL26" s="388"/>
      <c r="PDM26" s="388"/>
      <c r="PDN26" s="388"/>
      <c r="PDO26" s="388"/>
      <c r="PDP26" s="388"/>
      <c r="PDQ26" s="388"/>
      <c r="PDR26" s="388"/>
      <c r="PDS26" s="388"/>
      <c r="PDT26" s="388"/>
      <c r="PDU26" s="388"/>
      <c r="PDV26" s="388"/>
      <c r="PDW26" s="388"/>
      <c r="PDX26" s="388"/>
      <c r="PDY26" s="388"/>
      <c r="PDZ26" s="388"/>
      <c r="PEA26" s="388"/>
      <c r="PEB26" s="388"/>
      <c r="PEC26" s="388"/>
      <c r="PED26" s="388"/>
      <c r="PEE26" s="388"/>
      <c r="PEF26" s="388"/>
      <c r="PEG26" s="388"/>
      <c r="PEH26" s="388"/>
      <c r="PEI26" s="388"/>
      <c r="PEJ26" s="388"/>
      <c r="PEK26" s="388"/>
      <c r="PEL26" s="388"/>
      <c r="PEM26" s="388"/>
      <c r="PEN26" s="388"/>
      <c r="PEO26" s="388"/>
      <c r="PEP26" s="388"/>
      <c r="PEQ26" s="388"/>
      <c r="PER26" s="388"/>
      <c r="PES26" s="388"/>
      <c r="PET26" s="388"/>
      <c r="PEU26" s="388"/>
      <c r="PEV26" s="388"/>
      <c r="PEW26" s="388"/>
      <c r="PEX26" s="388"/>
      <c r="PEY26" s="388"/>
      <c r="PEZ26" s="388"/>
      <c r="PFA26" s="388"/>
      <c r="PFB26" s="388"/>
      <c r="PFC26" s="388"/>
      <c r="PFD26" s="388"/>
      <c r="PFE26" s="388"/>
      <c r="PFF26" s="388"/>
      <c r="PFG26" s="388"/>
      <c r="PFH26" s="388"/>
      <c r="PFI26" s="388"/>
      <c r="PFJ26" s="388"/>
      <c r="PFK26" s="388"/>
      <c r="PFL26" s="388"/>
      <c r="PFM26" s="388"/>
      <c r="PFN26" s="388"/>
      <c r="PFO26" s="388"/>
      <c r="PFP26" s="388"/>
      <c r="PFQ26" s="388"/>
      <c r="PFR26" s="388"/>
      <c r="PFS26" s="388"/>
      <c r="PFT26" s="388"/>
      <c r="PFU26" s="388"/>
      <c r="PFV26" s="388"/>
      <c r="PFW26" s="388"/>
      <c r="PFX26" s="388"/>
      <c r="PFY26" s="388"/>
      <c r="PFZ26" s="388"/>
      <c r="PGA26" s="388"/>
      <c r="PGB26" s="388"/>
      <c r="PGC26" s="388"/>
      <c r="PGD26" s="388"/>
      <c r="PGE26" s="388"/>
      <c r="PGF26" s="388"/>
      <c r="PGG26" s="388"/>
      <c r="PGH26" s="388"/>
      <c r="PGI26" s="388"/>
      <c r="PGJ26" s="388"/>
      <c r="PGK26" s="388"/>
      <c r="PGL26" s="388"/>
      <c r="PGM26" s="388"/>
      <c r="PGN26" s="388"/>
      <c r="PGO26" s="388"/>
      <c r="PGP26" s="388"/>
      <c r="PGQ26" s="388"/>
      <c r="PGR26" s="388"/>
      <c r="PGS26" s="388"/>
      <c r="PGT26" s="388"/>
      <c r="PGU26" s="388"/>
      <c r="PGV26" s="388"/>
      <c r="PGW26" s="388"/>
      <c r="PGX26" s="388"/>
      <c r="PGY26" s="388"/>
      <c r="PGZ26" s="388"/>
      <c r="PHA26" s="388"/>
      <c r="PHB26" s="388"/>
      <c r="PHC26" s="388"/>
      <c r="PHD26" s="388"/>
      <c r="PHE26" s="388"/>
      <c r="PHF26" s="388"/>
      <c r="PHG26" s="388"/>
      <c r="PHH26" s="388"/>
      <c r="PHI26" s="388"/>
      <c r="PHJ26" s="388"/>
      <c r="PHK26" s="388"/>
      <c r="PHL26" s="388"/>
      <c r="PHM26" s="388"/>
      <c r="PHN26" s="388"/>
      <c r="PHO26" s="388"/>
      <c r="PHP26" s="388"/>
      <c r="PHQ26" s="388"/>
      <c r="PHR26" s="388"/>
      <c r="PHS26" s="388"/>
      <c r="PHT26" s="388"/>
      <c r="PHU26" s="388"/>
      <c r="PHV26" s="388"/>
      <c r="PHW26" s="388"/>
      <c r="PHX26" s="388"/>
      <c r="PHY26" s="388"/>
      <c r="PHZ26" s="388"/>
      <c r="PIA26" s="388"/>
      <c r="PIB26" s="388"/>
      <c r="PIC26" s="388"/>
      <c r="PID26" s="388"/>
      <c r="PIE26" s="388"/>
      <c r="PIF26" s="388"/>
      <c r="PIG26" s="388"/>
      <c r="PIH26" s="388"/>
      <c r="PII26" s="388"/>
      <c r="PIJ26" s="388"/>
      <c r="PIK26" s="388"/>
      <c r="PIL26" s="388"/>
      <c r="PIM26" s="388"/>
      <c r="PIN26" s="388"/>
      <c r="PIO26" s="388"/>
      <c r="PIP26" s="388"/>
      <c r="PIQ26" s="388"/>
      <c r="PIR26" s="388"/>
      <c r="PIS26" s="388"/>
      <c r="PIT26" s="388"/>
      <c r="PIU26" s="388"/>
      <c r="PIV26" s="388"/>
      <c r="PIW26" s="388"/>
      <c r="PIX26" s="388"/>
      <c r="PIY26" s="388"/>
      <c r="PIZ26" s="388"/>
      <c r="PJA26" s="388"/>
      <c r="PJB26" s="388"/>
      <c r="PJC26" s="388"/>
      <c r="PJD26" s="388"/>
      <c r="PJE26" s="388"/>
      <c r="PJF26" s="388"/>
      <c r="PJG26" s="388"/>
      <c r="PJH26" s="388"/>
      <c r="PJI26" s="388"/>
      <c r="PJJ26" s="388"/>
      <c r="PJK26" s="388"/>
      <c r="PJL26" s="388"/>
      <c r="PJM26" s="388"/>
      <c r="PJN26" s="388"/>
      <c r="PJO26" s="388"/>
      <c r="PJP26" s="388"/>
      <c r="PJQ26" s="388"/>
      <c r="PJR26" s="388"/>
      <c r="PJS26" s="388"/>
      <c r="PJT26" s="388"/>
      <c r="PJU26" s="388"/>
      <c r="PJV26" s="388"/>
      <c r="PJW26" s="388"/>
      <c r="PJX26" s="388"/>
      <c r="PJY26" s="388"/>
      <c r="PJZ26" s="388"/>
      <c r="PKA26" s="388"/>
      <c r="PKB26" s="388"/>
      <c r="PKC26" s="388"/>
      <c r="PKD26" s="388"/>
      <c r="PKE26" s="388"/>
      <c r="PKF26" s="388"/>
      <c r="PKG26" s="388"/>
      <c r="PKH26" s="388"/>
      <c r="PKI26" s="388"/>
      <c r="PKJ26" s="388"/>
      <c r="PKK26" s="388"/>
      <c r="PKL26" s="388"/>
      <c r="PKM26" s="388"/>
      <c r="PKN26" s="388"/>
      <c r="PKO26" s="388"/>
      <c r="PKP26" s="388"/>
      <c r="PKQ26" s="388"/>
      <c r="PKR26" s="388"/>
      <c r="PKS26" s="388"/>
      <c r="PKT26" s="388"/>
      <c r="PKU26" s="388"/>
      <c r="PKV26" s="388"/>
      <c r="PKW26" s="388"/>
      <c r="PKX26" s="388"/>
      <c r="PKY26" s="388"/>
      <c r="PKZ26" s="388"/>
      <c r="PLA26" s="388"/>
      <c r="PLB26" s="388"/>
      <c r="PLC26" s="388"/>
      <c r="PLD26" s="388"/>
      <c r="PLE26" s="388"/>
      <c r="PLF26" s="388"/>
      <c r="PLG26" s="388"/>
      <c r="PLH26" s="388"/>
      <c r="PLI26" s="388"/>
      <c r="PLJ26" s="388"/>
      <c r="PLK26" s="388"/>
      <c r="PLL26" s="388"/>
      <c r="PLM26" s="388"/>
      <c r="PLN26" s="388"/>
      <c r="PLO26" s="388"/>
      <c r="PLP26" s="388"/>
      <c r="PLQ26" s="388"/>
      <c r="PLR26" s="388"/>
      <c r="PLS26" s="388"/>
      <c r="PLT26" s="388"/>
      <c r="PLU26" s="388"/>
      <c r="PLV26" s="388"/>
      <c r="PLW26" s="388"/>
      <c r="PLX26" s="388"/>
      <c r="PLY26" s="388"/>
      <c r="PLZ26" s="388"/>
      <c r="PMA26" s="388"/>
      <c r="PMB26" s="388"/>
      <c r="PMC26" s="388"/>
      <c r="PMD26" s="388"/>
      <c r="PME26" s="388"/>
      <c r="PMF26" s="388"/>
      <c r="PMG26" s="388"/>
      <c r="PMH26" s="388"/>
      <c r="PMI26" s="388"/>
      <c r="PMJ26" s="388"/>
      <c r="PMK26" s="388"/>
      <c r="PML26" s="388"/>
      <c r="PMM26" s="388"/>
      <c r="PMN26" s="388"/>
      <c r="PMO26" s="388"/>
      <c r="PMP26" s="388"/>
      <c r="PMQ26" s="388"/>
      <c r="PMR26" s="388"/>
      <c r="PMS26" s="388"/>
      <c r="PMT26" s="388"/>
      <c r="PMU26" s="388"/>
      <c r="PMV26" s="388"/>
      <c r="PMW26" s="388"/>
      <c r="PMX26" s="388"/>
      <c r="PMY26" s="388"/>
      <c r="PMZ26" s="388"/>
      <c r="PNA26" s="388"/>
      <c r="PNB26" s="388"/>
      <c r="PNC26" s="388"/>
      <c r="PND26" s="388"/>
      <c r="PNE26" s="388"/>
      <c r="PNF26" s="388"/>
      <c r="PNG26" s="388"/>
      <c r="PNH26" s="388"/>
      <c r="PNI26" s="388"/>
      <c r="PNJ26" s="388"/>
      <c r="PNK26" s="388"/>
      <c r="PNL26" s="388"/>
      <c r="PNM26" s="388"/>
      <c r="PNN26" s="388"/>
      <c r="PNO26" s="388"/>
      <c r="PNP26" s="388"/>
      <c r="PNQ26" s="388"/>
      <c r="PNR26" s="388"/>
      <c r="PNS26" s="388"/>
      <c r="PNT26" s="388"/>
      <c r="PNU26" s="388"/>
      <c r="PNV26" s="388"/>
      <c r="PNW26" s="388"/>
      <c r="PNX26" s="388"/>
      <c r="PNY26" s="388"/>
      <c r="PNZ26" s="388"/>
      <c r="POA26" s="388"/>
      <c r="POB26" s="388"/>
      <c r="POC26" s="388"/>
      <c r="POD26" s="388"/>
      <c r="POE26" s="388"/>
      <c r="POF26" s="388"/>
      <c r="POG26" s="388"/>
      <c r="POH26" s="388"/>
      <c r="POI26" s="388"/>
      <c r="POJ26" s="388"/>
      <c r="POK26" s="388"/>
      <c r="POL26" s="388"/>
      <c r="POM26" s="388"/>
      <c r="PON26" s="388"/>
      <c r="POO26" s="388"/>
      <c r="POP26" s="388"/>
      <c r="POQ26" s="388"/>
      <c r="POR26" s="388"/>
      <c r="POS26" s="388"/>
      <c r="POT26" s="388"/>
      <c r="POU26" s="388"/>
      <c r="POV26" s="388"/>
      <c r="POW26" s="388"/>
      <c r="POX26" s="388"/>
      <c r="POY26" s="388"/>
      <c r="POZ26" s="388"/>
      <c r="PPA26" s="388"/>
      <c r="PPB26" s="388"/>
      <c r="PPC26" s="388"/>
      <c r="PPD26" s="388"/>
      <c r="PPE26" s="388"/>
      <c r="PPF26" s="388"/>
      <c r="PPG26" s="388"/>
      <c r="PPH26" s="388"/>
      <c r="PPI26" s="388"/>
      <c r="PPJ26" s="388"/>
      <c r="PPK26" s="388"/>
      <c r="PPL26" s="388"/>
      <c r="PPM26" s="388"/>
      <c r="PPN26" s="388"/>
      <c r="PPO26" s="388"/>
      <c r="PPP26" s="388"/>
      <c r="PPQ26" s="388"/>
      <c r="PPR26" s="388"/>
      <c r="PPS26" s="388"/>
      <c r="PPT26" s="388"/>
      <c r="PPU26" s="388"/>
      <c r="PPV26" s="388"/>
      <c r="PPW26" s="388"/>
      <c r="PPX26" s="388"/>
      <c r="PPY26" s="388"/>
      <c r="PPZ26" s="388"/>
      <c r="PQA26" s="388"/>
      <c r="PQB26" s="388"/>
      <c r="PQC26" s="388"/>
      <c r="PQD26" s="388"/>
      <c r="PQE26" s="388"/>
      <c r="PQF26" s="388"/>
      <c r="PQG26" s="388"/>
      <c r="PQH26" s="388"/>
      <c r="PQI26" s="388"/>
      <c r="PQJ26" s="388"/>
      <c r="PQK26" s="388"/>
      <c r="PQL26" s="388"/>
      <c r="PQM26" s="388"/>
      <c r="PQN26" s="388"/>
      <c r="PQO26" s="388"/>
      <c r="PQP26" s="388"/>
      <c r="PQQ26" s="388"/>
      <c r="PQR26" s="388"/>
      <c r="PQS26" s="388"/>
      <c r="PQT26" s="388"/>
      <c r="PQU26" s="388"/>
      <c r="PQV26" s="388"/>
      <c r="PQW26" s="388"/>
      <c r="PQX26" s="388"/>
      <c r="PQY26" s="388"/>
      <c r="PQZ26" s="388"/>
      <c r="PRA26" s="388"/>
      <c r="PRB26" s="388"/>
      <c r="PRC26" s="388"/>
      <c r="PRD26" s="388"/>
      <c r="PRE26" s="388"/>
      <c r="PRF26" s="388"/>
      <c r="PRG26" s="388"/>
      <c r="PRH26" s="388"/>
      <c r="PRI26" s="388"/>
      <c r="PRJ26" s="388"/>
      <c r="PRK26" s="388"/>
      <c r="PRL26" s="388"/>
      <c r="PRM26" s="388"/>
      <c r="PRN26" s="388"/>
      <c r="PRO26" s="388"/>
      <c r="PRP26" s="388"/>
      <c r="PRQ26" s="388"/>
      <c r="PRR26" s="388"/>
      <c r="PRS26" s="388"/>
      <c r="PRT26" s="388"/>
      <c r="PRU26" s="388"/>
      <c r="PRV26" s="388"/>
      <c r="PRW26" s="388"/>
      <c r="PRX26" s="388"/>
      <c r="PRY26" s="388"/>
      <c r="PRZ26" s="388"/>
      <c r="PSA26" s="388"/>
      <c r="PSB26" s="388"/>
      <c r="PSC26" s="388"/>
      <c r="PSD26" s="388"/>
      <c r="PSE26" s="388"/>
      <c r="PSF26" s="388"/>
      <c r="PSG26" s="388"/>
      <c r="PSH26" s="388"/>
      <c r="PSI26" s="388"/>
      <c r="PSJ26" s="388"/>
      <c r="PSK26" s="388"/>
      <c r="PSL26" s="388"/>
      <c r="PSM26" s="388"/>
      <c r="PSN26" s="388"/>
      <c r="PSO26" s="388"/>
      <c r="PSP26" s="388"/>
      <c r="PSQ26" s="388"/>
      <c r="PSR26" s="388"/>
      <c r="PSS26" s="388"/>
      <c r="PST26" s="388"/>
      <c r="PSU26" s="388"/>
      <c r="PSV26" s="388"/>
      <c r="PSW26" s="388"/>
      <c r="PSX26" s="388"/>
      <c r="PSY26" s="388"/>
      <c r="PSZ26" s="388"/>
      <c r="PTA26" s="388"/>
      <c r="PTB26" s="388"/>
      <c r="PTC26" s="388"/>
      <c r="PTD26" s="388"/>
      <c r="PTE26" s="388"/>
      <c r="PTF26" s="388"/>
      <c r="PTG26" s="388"/>
      <c r="PTH26" s="388"/>
      <c r="PTI26" s="388"/>
      <c r="PTJ26" s="388"/>
      <c r="PTK26" s="388"/>
      <c r="PTL26" s="388"/>
      <c r="PTM26" s="388"/>
      <c r="PTN26" s="388"/>
      <c r="PTO26" s="388"/>
      <c r="PTP26" s="388"/>
      <c r="PTQ26" s="388"/>
      <c r="PTR26" s="388"/>
      <c r="PTS26" s="388"/>
      <c r="PTT26" s="388"/>
      <c r="PTU26" s="388"/>
      <c r="PTV26" s="388"/>
      <c r="PTW26" s="388"/>
      <c r="PTX26" s="388"/>
      <c r="PTY26" s="388"/>
      <c r="PTZ26" s="388"/>
      <c r="PUA26" s="388"/>
      <c r="PUB26" s="388"/>
      <c r="PUC26" s="388"/>
      <c r="PUD26" s="388"/>
      <c r="PUE26" s="388"/>
      <c r="PUF26" s="388"/>
      <c r="PUG26" s="388"/>
      <c r="PUH26" s="388"/>
      <c r="PUI26" s="388"/>
      <c r="PUJ26" s="388"/>
      <c r="PUK26" s="388"/>
      <c r="PUL26" s="388"/>
      <c r="PUM26" s="388"/>
      <c r="PUN26" s="388"/>
      <c r="PUO26" s="388"/>
      <c r="PUP26" s="388"/>
      <c r="PUQ26" s="388"/>
      <c r="PUR26" s="388"/>
      <c r="PUS26" s="388"/>
      <c r="PUT26" s="388"/>
      <c r="PUU26" s="388"/>
      <c r="PUV26" s="388"/>
      <c r="PUW26" s="388"/>
      <c r="PUX26" s="388"/>
      <c r="PUY26" s="388"/>
      <c r="PUZ26" s="388"/>
      <c r="PVA26" s="388"/>
      <c r="PVB26" s="388"/>
      <c r="PVC26" s="388"/>
      <c r="PVD26" s="388"/>
      <c r="PVE26" s="388"/>
      <c r="PVF26" s="388"/>
      <c r="PVG26" s="388"/>
      <c r="PVH26" s="388"/>
      <c r="PVI26" s="388"/>
      <c r="PVJ26" s="388"/>
      <c r="PVK26" s="388"/>
      <c r="PVL26" s="388"/>
      <c r="PVM26" s="388"/>
      <c r="PVN26" s="388"/>
      <c r="PVO26" s="388"/>
      <c r="PVP26" s="388"/>
      <c r="PVQ26" s="388"/>
      <c r="PVR26" s="388"/>
      <c r="PVS26" s="388"/>
      <c r="PVT26" s="388"/>
      <c r="PVU26" s="388"/>
      <c r="PVV26" s="388"/>
      <c r="PVW26" s="388"/>
      <c r="PVX26" s="388"/>
      <c r="PVY26" s="388"/>
      <c r="PVZ26" s="388"/>
      <c r="PWA26" s="388"/>
      <c r="PWB26" s="388"/>
      <c r="PWC26" s="388"/>
      <c r="PWD26" s="388"/>
      <c r="PWE26" s="388"/>
      <c r="PWF26" s="388"/>
      <c r="PWG26" s="388"/>
      <c r="PWH26" s="388"/>
      <c r="PWI26" s="388"/>
      <c r="PWJ26" s="388"/>
      <c r="PWK26" s="388"/>
      <c r="PWL26" s="388"/>
      <c r="PWM26" s="388"/>
      <c r="PWN26" s="388"/>
      <c r="PWO26" s="388"/>
      <c r="PWP26" s="388"/>
      <c r="PWQ26" s="388"/>
      <c r="PWR26" s="388"/>
      <c r="PWS26" s="388"/>
      <c r="PWT26" s="388"/>
      <c r="PWU26" s="388"/>
      <c r="PWV26" s="388"/>
      <c r="PWW26" s="388"/>
      <c r="PWX26" s="388"/>
      <c r="PWY26" s="388"/>
      <c r="PWZ26" s="388"/>
      <c r="PXA26" s="388"/>
      <c r="PXB26" s="388"/>
      <c r="PXC26" s="388"/>
      <c r="PXD26" s="388"/>
      <c r="PXE26" s="388"/>
      <c r="PXF26" s="388"/>
      <c r="PXG26" s="388"/>
      <c r="PXH26" s="388"/>
      <c r="PXI26" s="388"/>
      <c r="PXJ26" s="388"/>
      <c r="PXK26" s="388"/>
      <c r="PXL26" s="388"/>
      <c r="PXM26" s="388"/>
      <c r="PXN26" s="388"/>
      <c r="PXO26" s="388"/>
      <c r="PXP26" s="388"/>
      <c r="PXQ26" s="388"/>
      <c r="PXR26" s="388"/>
      <c r="PXS26" s="388"/>
      <c r="PXT26" s="388"/>
      <c r="PXU26" s="388"/>
      <c r="PXV26" s="388"/>
      <c r="PXW26" s="388"/>
      <c r="PXX26" s="388"/>
      <c r="PXY26" s="388"/>
      <c r="PXZ26" s="388"/>
      <c r="PYA26" s="388"/>
      <c r="PYB26" s="388"/>
      <c r="PYC26" s="388"/>
      <c r="PYD26" s="388"/>
      <c r="PYE26" s="388"/>
      <c r="PYF26" s="388"/>
      <c r="PYG26" s="388"/>
      <c r="PYH26" s="388"/>
      <c r="PYI26" s="388"/>
      <c r="PYJ26" s="388"/>
      <c r="PYK26" s="388"/>
      <c r="PYL26" s="388"/>
      <c r="PYM26" s="388"/>
      <c r="PYN26" s="388"/>
      <c r="PYO26" s="388"/>
      <c r="PYP26" s="388"/>
      <c r="PYQ26" s="388"/>
      <c r="PYR26" s="388"/>
      <c r="PYS26" s="388"/>
      <c r="PYT26" s="388"/>
      <c r="PYU26" s="388"/>
      <c r="PYV26" s="388"/>
      <c r="PYW26" s="388"/>
      <c r="PYX26" s="388"/>
      <c r="PYY26" s="388"/>
      <c r="PYZ26" s="388"/>
      <c r="PZA26" s="388"/>
      <c r="PZB26" s="388"/>
      <c r="PZC26" s="388"/>
      <c r="PZD26" s="388"/>
      <c r="PZE26" s="388"/>
      <c r="PZF26" s="388"/>
      <c r="PZG26" s="388"/>
      <c r="PZH26" s="388"/>
      <c r="PZI26" s="388"/>
      <c r="PZJ26" s="388"/>
      <c r="PZK26" s="388"/>
      <c r="PZL26" s="388"/>
      <c r="PZM26" s="388"/>
      <c r="PZN26" s="388"/>
      <c r="PZO26" s="388"/>
      <c r="PZP26" s="388"/>
      <c r="PZQ26" s="388"/>
      <c r="PZR26" s="388"/>
      <c r="PZS26" s="388"/>
      <c r="PZT26" s="388"/>
      <c r="PZU26" s="388"/>
      <c r="PZV26" s="388"/>
      <c r="PZW26" s="388"/>
      <c r="PZX26" s="388"/>
      <c r="PZY26" s="388"/>
      <c r="PZZ26" s="388"/>
      <c r="QAA26" s="388"/>
      <c r="QAB26" s="388"/>
      <c r="QAC26" s="388"/>
      <c r="QAD26" s="388"/>
      <c r="QAE26" s="388"/>
      <c r="QAF26" s="388"/>
      <c r="QAG26" s="388"/>
      <c r="QAH26" s="388"/>
      <c r="QAI26" s="388"/>
      <c r="QAJ26" s="388"/>
      <c r="QAK26" s="388"/>
      <c r="QAL26" s="388"/>
      <c r="QAM26" s="388"/>
      <c r="QAN26" s="388"/>
      <c r="QAO26" s="388"/>
      <c r="QAP26" s="388"/>
      <c r="QAQ26" s="388"/>
      <c r="QAR26" s="388"/>
      <c r="QAS26" s="388"/>
      <c r="QAT26" s="388"/>
      <c r="QAU26" s="388"/>
      <c r="QAV26" s="388"/>
      <c r="QAW26" s="388"/>
      <c r="QAX26" s="388"/>
      <c r="QAY26" s="388"/>
      <c r="QAZ26" s="388"/>
      <c r="QBA26" s="388"/>
      <c r="QBB26" s="388"/>
      <c r="QBC26" s="388"/>
      <c r="QBD26" s="388"/>
      <c r="QBE26" s="388"/>
      <c r="QBF26" s="388"/>
      <c r="QBG26" s="388"/>
      <c r="QBH26" s="388"/>
      <c r="QBI26" s="388"/>
      <c r="QBJ26" s="388"/>
      <c r="QBK26" s="388"/>
      <c r="QBL26" s="388"/>
      <c r="QBM26" s="388"/>
      <c r="QBN26" s="388"/>
      <c r="QBO26" s="388"/>
      <c r="QBP26" s="388"/>
      <c r="QBQ26" s="388"/>
      <c r="QBR26" s="388"/>
      <c r="QBS26" s="388"/>
      <c r="QBT26" s="388"/>
      <c r="QBU26" s="388"/>
      <c r="QBV26" s="388"/>
      <c r="QBW26" s="388"/>
      <c r="QBX26" s="388"/>
      <c r="QBY26" s="388"/>
      <c r="QBZ26" s="388"/>
      <c r="QCA26" s="388"/>
      <c r="QCB26" s="388"/>
      <c r="QCC26" s="388"/>
      <c r="QCD26" s="388"/>
      <c r="QCE26" s="388"/>
      <c r="QCF26" s="388"/>
      <c r="QCG26" s="388"/>
      <c r="QCH26" s="388"/>
      <c r="QCI26" s="388"/>
      <c r="QCJ26" s="388"/>
      <c r="QCK26" s="388"/>
      <c r="QCL26" s="388"/>
      <c r="QCM26" s="388"/>
      <c r="QCN26" s="388"/>
      <c r="QCO26" s="388"/>
      <c r="QCP26" s="388"/>
      <c r="QCQ26" s="388"/>
      <c r="QCR26" s="388"/>
      <c r="QCS26" s="388"/>
      <c r="QCT26" s="388"/>
      <c r="QCU26" s="388"/>
      <c r="QCV26" s="388"/>
      <c r="QCW26" s="388"/>
      <c r="QCX26" s="388"/>
      <c r="QCY26" s="388"/>
      <c r="QCZ26" s="388"/>
      <c r="QDA26" s="388"/>
      <c r="QDB26" s="388"/>
      <c r="QDC26" s="388"/>
      <c r="QDD26" s="388"/>
      <c r="QDE26" s="388"/>
      <c r="QDF26" s="388"/>
      <c r="QDG26" s="388"/>
      <c r="QDH26" s="388"/>
      <c r="QDI26" s="388"/>
      <c r="QDJ26" s="388"/>
      <c r="QDK26" s="388"/>
      <c r="QDL26" s="388"/>
      <c r="QDM26" s="388"/>
      <c r="QDN26" s="388"/>
      <c r="QDO26" s="388"/>
      <c r="QDP26" s="388"/>
      <c r="QDQ26" s="388"/>
      <c r="QDR26" s="388"/>
      <c r="QDS26" s="388"/>
      <c r="QDT26" s="388"/>
      <c r="QDU26" s="388"/>
      <c r="QDV26" s="388"/>
      <c r="QDW26" s="388"/>
      <c r="QDX26" s="388"/>
      <c r="QDY26" s="388"/>
      <c r="QDZ26" s="388"/>
      <c r="QEA26" s="388"/>
      <c r="QEB26" s="388"/>
      <c r="QEC26" s="388"/>
      <c r="QED26" s="388"/>
      <c r="QEE26" s="388"/>
      <c r="QEF26" s="388"/>
      <c r="QEG26" s="388"/>
      <c r="QEH26" s="388"/>
      <c r="QEI26" s="388"/>
      <c r="QEJ26" s="388"/>
      <c r="QEK26" s="388"/>
      <c r="QEL26" s="388"/>
      <c r="QEM26" s="388"/>
      <c r="QEN26" s="388"/>
      <c r="QEO26" s="388"/>
      <c r="QEP26" s="388"/>
      <c r="QEQ26" s="388"/>
      <c r="QER26" s="388"/>
      <c r="QES26" s="388"/>
      <c r="QET26" s="388"/>
      <c r="QEU26" s="388"/>
      <c r="QEV26" s="388"/>
      <c r="QEW26" s="388"/>
      <c r="QEX26" s="388"/>
      <c r="QEY26" s="388"/>
      <c r="QEZ26" s="388"/>
      <c r="QFA26" s="388"/>
      <c r="QFB26" s="388"/>
      <c r="QFC26" s="388"/>
      <c r="QFD26" s="388"/>
      <c r="QFE26" s="388"/>
      <c r="QFF26" s="388"/>
      <c r="QFG26" s="388"/>
      <c r="QFH26" s="388"/>
      <c r="QFI26" s="388"/>
      <c r="QFJ26" s="388"/>
      <c r="QFK26" s="388"/>
      <c r="QFL26" s="388"/>
      <c r="QFM26" s="388"/>
      <c r="QFN26" s="388"/>
      <c r="QFO26" s="388"/>
      <c r="QFP26" s="388"/>
      <c r="QFQ26" s="388"/>
      <c r="QFR26" s="388"/>
      <c r="QFS26" s="388"/>
      <c r="QFT26" s="388"/>
      <c r="QFU26" s="388"/>
      <c r="QFV26" s="388"/>
      <c r="QFW26" s="388"/>
      <c r="QFX26" s="388"/>
      <c r="QFY26" s="388"/>
      <c r="QFZ26" s="388"/>
      <c r="QGA26" s="388"/>
      <c r="QGB26" s="388"/>
      <c r="QGC26" s="388"/>
      <c r="QGD26" s="388"/>
      <c r="QGE26" s="388"/>
      <c r="QGF26" s="388"/>
      <c r="QGG26" s="388"/>
      <c r="QGH26" s="388"/>
      <c r="QGI26" s="388"/>
      <c r="QGJ26" s="388"/>
      <c r="QGK26" s="388"/>
      <c r="QGL26" s="388"/>
      <c r="QGM26" s="388"/>
      <c r="QGN26" s="388"/>
      <c r="QGO26" s="388"/>
      <c r="QGP26" s="388"/>
      <c r="QGQ26" s="388"/>
      <c r="QGR26" s="388"/>
      <c r="QGS26" s="388"/>
      <c r="QGT26" s="388"/>
      <c r="QGU26" s="388"/>
      <c r="QGV26" s="388"/>
      <c r="QGW26" s="388"/>
      <c r="QGX26" s="388"/>
      <c r="QGY26" s="388"/>
      <c r="QGZ26" s="388"/>
      <c r="QHA26" s="388"/>
      <c r="QHB26" s="388"/>
      <c r="QHC26" s="388"/>
      <c r="QHD26" s="388"/>
      <c r="QHE26" s="388"/>
      <c r="QHF26" s="388"/>
      <c r="QHG26" s="388"/>
      <c r="QHH26" s="388"/>
      <c r="QHI26" s="388"/>
      <c r="QHJ26" s="388"/>
      <c r="QHK26" s="388"/>
      <c r="QHL26" s="388"/>
      <c r="QHM26" s="388"/>
      <c r="QHN26" s="388"/>
      <c r="QHO26" s="388"/>
      <c r="QHP26" s="388"/>
      <c r="QHQ26" s="388"/>
      <c r="QHR26" s="388"/>
      <c r="QHS26" s="388"/>
      <c r="QHT26" s="388"/>
      <c r="QHU26" s="388"/>
      <c r="QHV26" s="388"/>
      <c r="QHW26" s="388"/>
      <c r="QHX26" s="388"/>
      <c r="QHY26" s="388"/>
      <c r="QHZ26" s="388"/>
      <c r="QIA26" s="388"/>
      <c r="QIB26" s="388"/>
      <c r="QIC26" s="388"/>
      <c r="QID26" s="388"/>
      <c r="QIE26" s="388"/>
      <c r="QIF26" s="388"/>
      <c r="QIG26" s="388"/>
      <c r="QIH26" s="388"/>
      <c r="QII26" s="388"/>
      <c r="QIJ26" s="388"/>
      <c r="QIK26" s="388"/>
      <c r="QIL26" s="388"/>
      <c r="QIM26" s="388"/>
      <c r="QIN26" s="388"/>
      <c r="QIO26" s="388"/>
      <c r="QIP26" s="388"/>
      <c r="QIQ26" s="388"/>
      <c r="QIR26" s="388"/>
      <c r="QIS26" s="388"/>
      <c r="QIT26" s="388"/>
      <c r="QIU26" s="388"/>
      <c r="QIV26" s="388"/>
      <c r="QIW26" s="388"/>
      <c r="QIX26" s="388"/>
      <c r="QIY26" s="388"/>
      <c r="QIZ26" s="388"/>
      <c r="QJA26" s="388"/>
      <c r="QJB26" s="388"/>
      <c r="QJC26" s="388"/>
      <c r="QJD26" s="388"/>
      <c r="QJE26" s="388"/>
      <c r="QJF26" s="388"/>
      <c r="QJG26" s="388"/>
      <c r="QJH26" s="388"/>
      <c r="QJI26" s="388"/>
      <c r="QJJ26" s="388"/>
      <c r="QJK26" s="388"/>
      <c r="QJL26" s="388"/>
      <c r="QJM26" s="388"/>
      <c r="QJN26" s="388"/>
      <c r="QJO26" s="388"/>
      <c r="QJP26" s="388"/>
      <c r="QJQ26" s="388"/>
      <c r="QJR26" s="388"/>
      <c r="QJS26" s="388"/>
      <c r="QJT26" s="388"/>
      <c r="QJU26" s="388"/>
      <c r="QJV26" s="388"/>
      <c r="QJW26" s="388"/>
      <c r="QJX26" s="388"/>
      <c r="QJY26" s="388"/>
      <c r="QJZ26" s="388"/>
      <c r="QKA26" s="388"/>
      <c r="QKB26" s="388"/>
      <c r="QKC26" s="388"/>
      <c r="QKD26" s="388"/>
      <c r="QKE26" s="388"/>
      <c r="QKF26" s="388"/>
      <c r="QKG26" s="388"/>
      <c r="QKH26" s="388"/>
      <c r="QKI26" s="388"/>
      <c r="QKJ26" s="388"/>
      <c r="QKK26" s="388"/>
      <c r="QKL26" s="388"/>
      <c r="QKM26" s="388"/>
      <c r="QKN26" s="388"/>
      <c r="QKO26" s="388"/>
      <c r="QKP26" s="388"/>
      <c r="QKQ26" s="388"/>
      <c r="QKR26" s="388"/>
      <c r="QKS26" s="388"/>
      <c r="QKT26" s="388"/>
      <c r="QKU26" s="388"/>
      <c r="QKV26" s="388"/>
      <c r="QKW26" s="388"/>
      <c r="QKX26" s="388"/>
      <c r="QKY26" s="388"/>
      <c r="QKZ26" s="388"/>
      <c r="QLA26" s="388"/>
      <c r="QLB26" s="388"/>
      <c r="QLC26" s="388"/>
      <c r="QLD26" s="388"/>
      <c r="QLE26" s="388"/>
      <c r="QLF26" s="388"/>
      <c r="QLG26" s="388"/>
      <c r="QLH26" s="388"/>
      <c r="QLI26" s="388"/>
      <c r="QLJ26" s="388"/>
      <c r="QLK26" s="388"/>
      <c r="QLL26" s="388"/>
      <c r="QLM26" s="388"/>
      <c r="QLN26" s="388"/>
      <c r="QLO26" s="388"/>
      <c r="QLP26" s="388"/>
      <c r="QLQ26" s="388"/>
      <c r="QLR26" s="388"/>
      <c r="QLS26" s="388"/>
      <c r="QLT26" s="388"/>
      <c r="QLU26" s="388"/>
      <c r="QLV26" s="388"/>
      <c r="QLW26" s="388"/>
      <c r="QLX26" s="388"/>
      <c r="QLY26" s="388"/>
      <c r="QLZ26" s="388"/>
      <c r="QMA26" s="388"/>
      <c r="QMB26" s="388"/>
      <c r="QMC26" s="388"/>
      <c r="QMD26" s="388"/>
      <c r="QME26" s="388"/>
      <c r="QMF26" s="388"/>
      <c r="QMG26" s="388"/>
      <c r="QMH26" s="388"/>
      <c r="QMI26" s="388"/>
      <c r="QMJ26" s="388"/>
      <c r="QMK26" s="388"/>
      <c r="QML26" s="388"/>
      <c r="QMM26" s="388"/>
      <c r="QMN26" s="388"/>
      <c r="QMO26" s="388"/>
      <c r="QMP26" s="388"/>
      <c r="QMQ26" s="388"/>
      <c r="QMR26" s="388"/>
      <c r="QMS26" s="388"/>
      <c r="QMT26" s="388"/>
      <c r="QMU26" s="388"/>
      <c r="QMV26" s="388"/>
      <c r="QMW26" s="388"/>
      <c r="QMX26" s="388"/>
      <c r="QMY26" s="388"/>
      <c r="QMZ26" s="388"/>
      <c r="QNA26" s="388"/>
      <c r="QNB26" s="388"/>
      <c r="QNC26" s="388"/>
      <c r="QND26" s="388"/>
      <c r="QNE26" s="388"/>
      <c r="QNF26" s="388"/>
      <c r="QNG26" s="388"/>
      <c r="QNH26" s="388"/>
      <c r="QNI26" s="388"/>
      <c r="QNJ26" s="388"/>
      <c r="QNK26" s="388"/>
      <c r="QNL26" s="388"/>
      <c r="QNM26" s="388"/>
      <c r="QNN26" s="388"/>
      <c r="QNO26" s="388"/>
      <c r="QNP26" s="388"/>
      <c r="QNQ26" s="388"/>
      <c r="QNR26" s="388"/>
      <c r="QNS26" s="388"/>
      <c r="QNT26" s="388"/>
      <c r="QNU26" s="388"/>
      <c r="QNV26" s="388"/>
      <c r="QNW26" s="388"/>
      <c r="QNX26" s="388"/>
      <c r="QNY26" s="388"/>
      <c r="QNZ26" s="388"/>
      <c r="QOA26" s="388"/>
      <c r="QOB26" s="388"/>
      <c r="QOC26" s="388"/>
      <c r="QOD26" s="388"/>
      <c r="QOE26" s="388"/>
      <c r="QOF26" s="388"/>
      <c r="QOG26" s="388"/>
      <c r="QOH26" s="388"/>
      <c r="QOI26" s="388"/>
      <c r="QOJ26" s="388"/>
      <c r="QOK26" s="388"/>
      <c r="QOL26" s="388"/>
      <c r="QOM26" s="388"/>
      <c r="QON26" s="388"/>
      <c r="QOO26" s="388"/>
      <c r="QOP26" s="388"/>
      <c r="QOQ26" s="388"/>
      <c r="QOR26" s="388"/>
      <c r="QOS26" s="388"/>
      <c r="QOT26" s="388"/>
      <c r="QOU26" s="388"/>
      <c r="QOV26" s="388"/>
      <c r="QOW26" s="388"/>
      <c r="QOX26" s="388"/>
      <c r="QOY26" s="388"/>
      <c r="QOZ26" s="388"/>
      <c r="QPA26" s="388"/>
      <c r="QPB26" s="388"/>
      <c r="QPC26" s="388"/>
      <c r="QPD26" s="388"/>
      <c r="QPE26" s="388"/>
      <c r="QPF26" s="388"/>
      <c r="QPG26" s="388"/>
      <c r="QPH26" s="388"/>
      <c r="QPI26" s="388"/>
      <c r="QPJ26" s="388"/>
      <c r="QPK26" s="388"/>
      <c r="QPL26" s="388"/>
      <c r="QPM26" s="388"/>
      <c r="QPN26" s="388"/>
      <c r="QPO26" s="388"/>
      <c r="QPP26" s="388"/>
      <c r="QPQ26" s="388"/>
      <c r="QPR26" s="388"/>
      <c r="QPS26" s="388"/>
      <c r="QPT26" s="388"/>
      <c r="QPU26" s="388"/>
      <c r="QPV26" s="388"/>
      <c r="QPW26" s="388"/>
      <c r="QPX26" s="388"/>
      <c r="QPY26" s="388"/>
      <c r="QPZ26" s="388"/>
      <c r="QQA26" s="388"/>
      <c r="QQB26" s="388"/>
      <c r="QQC26" s="388"/>
      <c r="QQD26" s="388"/>
      <c r="QQE26" s="388"/>
      <c r="QQF26" s="388"/>
      <c r="QQG26" s="388"/>
      <c r="QQH26" s="388"/>
      <c r="QQI26" s="388"/>
      <c r="QQJ26" s="388"/>
      <c r="QQK26" s="388"/>
      <c r="QQL26" s="388"/>
      <c r="QQM26" s="388"/>
      <c r="QQN26" s="388"/>
      <c r="QQO26" s="388"/>
      <c r="QQP26" s="388"/>
      <c r="QQQ26" s="388"/>
      <c r="QQR26" s="388"/>
      <c r="QQS26" s="388"/>
      <c r="QQT26" s="388"/>
      <c r="QQU26" s="388"/>
      <c r="QQV26" s="388"/>
      <c r="QQW26" s="388"/>
      <c r="QQX26" s="388"/>
      <c r="QQY26" s="388"/>
      <c r="QQZ26" s="388"/>
      <c r="QRA26" s="388"/>
      <c r="QRB26" s="388"/>
      <c r="QRC26" s="388"/>
      <c r="QRD26" s="388"/>
      <c r="QRE26" s="388"/>
      <c r="QRF26" s="388"/>
      <c r="QRG26" s="388"/>
      <c r="QRH26" s="388"/>
      <c r="QRI26" s="388"/>
      <c r="QRJ26" s="388"/>
      <c r="QRK26" s="388"/>
      <c r="QRL26" s="388"/>
      <c r="QRM26" s="388"/>
      <c r="QRN26" s="388"/>
      <c r="QRO26" s="388"/>
      <c r="QRP26" s="388"/>
      <c r="QRQ26" s="388"/>
      <c r="QRR26" s="388"/>
      <c r="QRS26" s="388"/>
      <c r="QRT26" s="388"/>
      <c r="QRU26" s="388"/>
      <c r="QRV26" s="388"/>
      <c r="QRW26" s="388"/>
      <c r="QRX26" s="388"/>
      <c r="QRY26" s="388"/>
      <c r="QRZ26" s="388"/>
      <c r="QSA26" s="388"/>
      <c r="QSB26" s="388"/>
      <c r="QSC26" s="388"/>
      <c r="QSD26" s="388"/>
      <c r="QSE26" s="388"/>
      <c r="QSF26" s="388"/>
      <c r="QSG26" s="388"/>
      <c r="QSH26" s="388"/>
      <c r="QSI26" s="388"/>
      <c r="QSJ26" s="388"/>
      <c r="QSK26" s="388"/>
      <c r="QSL26" s="388"/>
      <c r="QSM26" s="388"/>
      <c r="QSN26" s="388"/>
      <c r="QSO26" s="388"/>
      <c r="QSP26" s="388"/>
      <c r="QSQ26" s="388"/>
      <c r="QSR26" s="388"/>
      <c r="QSS26" s="388"/>
      <c r="QST26" s="388"/>
      <c r="QSU26" s="388"/>
      <c r="QSV26" s="388"/>
      <c r="QSW26" s="388"/>
      <c r="QSX26" s="388"/>
      <c r="QSY26" s="388"/>
      <c r="QSZ26" s="388"/>
      <c r="QTA26" s="388"/>
      <c r="QTB26" s="388"/>
      <c r="QTC26" s="388"/>
      <c r="QTD26" s="388"/>
      <c r="QTE26" s="388"/>
      <c r="QTF26" s="388"/>
      <c r="QTG26" s="388"/>
      <c r="QTH26" s="388"/>
      <c r="QTI26" s="388"/>
      <c r="QTJ26" s="388"/>
      <c r="QTK26" s="388"/>
      <c r="QTL26" s="388"/>
      <c r="QTM26" s="388"/>
      <c r="QTN26" s="388"/>
      <c r="QTO26" s="388"/>
      <c r="QTP26" s="388"/>
      <c r="QTQ26" s="388"/>
      <c r="QTR26" s="388"/>
      <c r="QTS26" s="388"/>
      <c r="QTT26" s="388"/>
      <c r="QTU26" s="388"/>
      <c r="QTV26" s="388"/>
      <c r="QTW26" s="388"/>
      <c r="QTX26" s="388"/>
      <c r="QTY26" s="388"/>
      <c r="QTZ26" s="388"/>
      <c r="QUA26" s="388"/>
      <c r="QUB26" s="388"/>
      <c r="QUC26" s="388"/>
      <c r="QUD26" s="388"/>
      <c r="QUE26" s="388"/>
      <c r="QUF26" s="388"/>
      <c r="QUG26" s="388"/>
      <c r="QUH26" s="388"/>
      <c r="QUI26" s="388"/>
      <c r="QUJ26" s="388"/>
      <c r="QUK26" s="388"/>
      <c r="QUL26" s="388"/>
      <c r="QUM26" s="388"/>
      <c r="QUN26" s="388"/>
      <c r="QUO26" s="388"/>
      <c r="QUP26" s="388"/>
      <c r="QUQ26" s="388"/>
      <c r="QUR26" s="388"/>
      <c r="QUS26" s="388"/>
      <c r="QUT26" s="388"/>
      <c r="QUU26" s="388"/>
      <c r="QUV26" s="388"/>
      <c r="QUW26" s="388"/>
      <c r="QUX26" s="388"/>
      <c r="QUY26" s="388"/>
      <c r="QUZ26" s="388"/>
      <c r="QVA26" s="388"/>
      <c r="QVB26" s="388"/>
      <c r="QVC26" s="388"/>
      <c r="QVD26" s="388"/>
      <c r="QVE26" s="388"/>
      <c r="QVF26" s="388"/>
      <c r="QVG26" s="388"/>
      <c r="QVH26" s="388"/>
      <c r="QVI26" s="388"/>
      <c r="QVJ26" s="388"/>
      <c r="QVK26" s="388"/>
      <c r="QVL26" s="388"/>
      <c r="QVM26" s="388"/>
      <c r="QVN26" s="388"/>
      <c r="QVO26" s="388"/>
      <c r="QVP26" s="388"/>
      <c r="QVQ26" s="388"/>
      <c r="QVR26" s="388"/>
      <c r="QVS26" s="388"/>
      <c r="QVT26" s="388"/>
      <c r="QVU26" s="388"/>
      <c r="QVV26" s="388"/>
      <c r="QVW26" s="388"/>
      <c r="QVX26" s="388"/>
      <c r="QVY26" s="388"/>
      <c r="QVZ26" s="388"/>
      <c r="QWA26" s="388"/>
      <c r="QWB26" s="388"/>
      <c r="QWC26" s="388"/>
      <c r="QWD26" s="388"/>
      <c r="QWE26" s="388"/>
      <c r="QWF26" s="388"/>
      <c r="QWG26" s="388"/>
      <c r="QWH26" s="388"/>
      <c r="QWI26" s="388"/>
      <c r="QWJ26" s="388"/>
      <c r="QWK26" s="388"/>
      <c r="QWL26" s="388"/>
      <c r="QWM26" s="388"/>
      <c r="QWN26" s="388"/>
      <c r="QWO26" s="388"/>
      <c r="QWP26" s="388"/>
      <c r="QWQ26" s="388"/>
      <c r="QWR26" s="388"/>
      <c r="QWS26" s="388"/>
      <c r="QWT26" s="388"/>
      <c r="QWU26" s="388"/>
      <c r="QWV26" s="388"/>
      <c r="QWW26" s="388"/>
      <c r="QWX26" s="388"/>
      <c r="QWY26" s="388"/>
      <c r="QWZ26" s="388"/>
      <c r="QXA26" s="388"/>
      <c r="QXB26" s="388"/>
      <c r="QXC26" s="388"/>
      <c r="QXD26" s="388"/>
      <c r="QXE26" s="388"/>
      <c r="QXF26" s="388"/>
      <c r="QXG26" s="388"/>
      <c r="QXH26" s="388"/>
      <c r="QXI26" s="388"/>
      <c r="QXJ26" s="388"/>
      <c r="QXK26" s="388"/>
      <c r="QXL26" s="388"/>
      <c r="QXM26" s="388"/>
      <c r="QXN26" s="388"/>
      <c r="QXO26" s="388"/>
      <c r="QXP26" s="388"/>
      <c r="QXQ26" s="388"/>
      <c r="QXR26" s="388"/>
      <c r="QXS26" s="388"/>
      <c r="QXT26" s="388"/>
      <c r="QXU26" s="388"/>
      <c r="QXV26" s="388"/>
      <c r="QXW26" s="388"/>
      <c r="QXX26" s="388"/>
      <c r="QXY26" s="388"/>
      <c r="QXZ26" s="388"/>
      <c r="QYA26" s="388"/>
      <c r="QYB26" s="388"/>
      <c r="QYC26" s="388"/>
      <c r="QYD26" s="388"/>
      <c r="QYE26" s="388"/>
      <c r="QYF26" s="388"/>
      <c r="QYG26" s="388"/>
      <c r="QYH26" s="388"/>
      <c r="QYI26" s="388"/>
      <c r="QYJ26" s="388"/>
      <c r="QYK26" s="388"/>
      <c r="QYL26" s="388"/>
      <c r="QYM26" s="388"/>
      <c r="QYN26" s="388"/>
      <c r="QYO26" s="388"/>
      <c r="QYP26" s="388"/>
      <c r="QYQ26" s="388"/>
      <c r="QYR26" s="388"/>
      <c r="QYS26" s="388"/>
      <c r="QYT26" s="388"/>
      <c r="QYU26" s="388"/>
      <c r="QYV26" s="388"/>
      <c r="QYW26" s="388"/>
      <c r="QYX26" s="388"/>
      <c r="QYY26" s="388"/>
      <c r="QYZ26" s="388"/>
      <c r="QZA26" s="388"/>
      <c r="QZB26" s="388"/>
      <c r="QZC26" s="388"/>
      <c r="QZD26" s="388"/>
      <c r="QZE26" s="388"/>
      <c r="QZF26" s="388"/>
      <c r="QZG26" s="388"/>
      <c r="QZH26" s="388"/>
      <c r="QZI26" s="388"/>
      <c r="QZJ26" s="388"/>
      <c r="QZK26" s="388"/>
      <c r="QZL26" s="388"/>
      <c r="QZM26" s="388"/>
      <c r="QZN26" s="388"/>
      <c r="QZO26" s="388"/>
      <c r="QZP26" s="388"/>
      <c r="QZQ26" s="388"/>
      <c r="QZR26" s="388"/>
      <c r="QZS26" s="388"/>
      <c r="QZT26" s="388"/>
      <c r="QZU26" s="388"/>
      <c r="QZV26" s="388"/>
      <c r="QZW26" s="388"/>
      <c r="QZX26" s="388"/>
      <c r="QZY26" s="388"/>
      <c r="QZZ26" s="388"/>
      <c r="RAA26" s="388"/>
      <c r="RAB26" s="388"/>
      <c r="RAC26" s="388"/>
      <c r="RAD26" s="388"/>
      <c r="RAE26" s="388"/>
      <c r="RAF26" s="388"/>
      <c r="RAG26" s="388"/>
      <c r="RAH26" s="388"/>
      <c r="RAI26" s="388"/>
      <c r="RAJ26" s="388"/>
      <c r="RAK26" s="388"/>
      <c r="RAL26" s="388"/>
      <c r="RAM26" s="388"/>
      <c r="RAN26" s="388"/>
      <c r="RAO26" s="388"/>
      <c r="RAP26" s="388"/>
      <c r="RAQ26" s="388"/>
      <c r="RAR26" s="388"/>
      <c r="RAS26" s="388"/>
      <c r="RAT26" s="388"/>
      <c r="RAU26" s="388"/>
      <c r="RAV26" s="388"/>
      <c r="RAW26" s="388"/>
      <c r="RAX26" s="388"/>
      <c r="RAY26" s="388"/>
      <c r="RAZ26" s="388"/>
      <c r="RBA26" s="388"/>
      <c r="RBB26" s="388"/>
      <c r="RBC26" s="388"/>
      <c r="RBD26" s="388"/>
      <c r="RBE26" s="388"/>
      <c r="RBF26" s="388"/>
      <c r="RBG26" s="388"/>
      <c r="RBH26" s="388"/>
      <c r="RBI26" s="388"/>
      <c r="RBJ26" s="388"/>
      <c r="RBK26" s="388"/>
      <c r="RBL26" s="388"/>
      <c r="RBM26" s="388"/>
      <c r="RBN26" s="388"/>
      <c r="RBO26" s="388"/>
      <c r="RBP26" s="388"/>
      <c r="RBQ26" s="388"/>
      <c r="RBR26" s="388"/>
      <c r="RBS26" s="388"/>
      <c r="RBT26" s="388"/>
      <c r="RBU26" s="388"/>
      <c r="RBV26" s="388"/>
      <c r="RBW26" s="388"/>
      <c r="RBX26" s="388"/>
      <c r="RBY26" s="388"/>
      <c r="RBZ26" s="388"/>
      <c r="RCA26" s="388"/>
      <c r="RCB26" s="388"/>
      <c r="RCC26" s="388"/>
      <c r="RCD26" s="388"/>
      <c r="RCE26" s="388"/>
      <c r="RCF26" s="388"/>
      <c r="RCG26" s="388"/>
      <c r="RCH26" s="388"/>
      <c r="RCI26" s="388"/>
      <c r="RCJ26" s="388"/>
      <c r="RCK26" s="388"/>
      <c r="RCL26" s="388"/>
      <c r="RCM26" s="388"/>
      <c r="RCN26" s="388"/>
      <c r="RCO26" s="388"/>
      <c r="RCP26" s="388"/>
      <c r="RCQ26" s="388"/>
      <c r="RCR26" s="388"/>
      <c r="RCS26" s="388"/>
      <c r="RCT26" s="388"/>
      <c r="RCU26" s="388"/>
      <c r="RCV26" s="388"/>
      <c r="RCW26" s="388"/>
      <c r="RCX26" s="388"/>
      <c r="RCY26" s="388"/>
      <c r="RCZ26" s="388"/>
      <c r="RDA26" s="388"/>
      <c r="RDB26" s="388"/>
      <c r="RDC26" s="388"/>
      <c r="RDD26" s="388"/>
      <c r="RDE26" s="388"/>
      <c r="RDF26" s="388"/>
      <c r="RDG26" s="388"/>
      <c r="RDH26" s="388"/>
      <c r="RDI26" s="388"/>
      <c r="RDJ26" s="388"/>
      <c r="RDK26" s="388"/>
      <c r="RDL26" s="388"/>
      <c r="RDM26" s="388"/>
      <c r="RDN26" s="388"/>
      <c r="RDO26" s="388"/>
      <c r="RDP26" s="388"/>
      <c r="RDQ26" s="388"/>
      <c r="RDR26" s="388"/>
      <c r="RDS26" s="388"/>
      <c r="RDT26" s="388"/>
      <c r="RDU26" s="388"/>
      <c r="RDV26" s="388"/>
      <c r="RDW26" s="388"/>
      <c r="RDX26" s="388"/>
      <c r="RDY26" s="388"/>
      <c r="RDZ26" s="388"/>
      <c r="REA26" s="388"/>
      <c r="REB26" s="388"/>
      <c r="REC26" s="388"/>
      <c r="RED26" s="388"/>
      <c r="REE26" s="388"/>
      <c r="REF26" s="388"/>
      <c r="REG26" s="388"/>
      <c r="REH26" s="388"/>
      <c r="REI26" s="388"/>
      <c r="REJ26" s="388"/>
      <c r="REK26" s="388"/>
      <c r="REL26" s="388"/>
      <c r="REM26" s="388"/>
      <c r="REN26" s="388"/>
      <c r="REO26" s="388"/>
      <c r="REP26" s="388"/>
      <c r="REQ26" s="388"/>
      <c r="RER26" s="388"/>
      <c r="RES26" s="388"/>
      <c r="RET26" s="388"/>
      <c r="REU26" s="388"/>
      <c r="REV26" s="388"/>
      <c r="REW26" s="388"/>
      <c r="REX26" s="388"/>
      <c r="REY26" s="388"/>
      <c r="REZ26" s="388"/>
      <c r="RFA26" s="388"/>
      <c r="RFB26" s="388"/>
      <c r="RFC26" s="388"/>
      <c r="RFD26" s="388"/>
      <c r="RFE26" s="388"/>
      <c r="RFF26" s="388"/>
      <c r="RFG26" s="388"/>
      <c r="RFH26" s="388"/>
      <c r="RFI26" s="388"/>
      <c r="RFJ26" s="388"/>
      <c r="RFK26" s="388"/>
      <c r="RFL26" s="388"/>
      <c r="RFM26" s="388"/>
      <c r="RFN26" s="388"/>
      <c r="RFO26" s="388"/>
      <c r="RFP26" s="388"/>
      <c r="RFQ26" s="388"/>
      <c r="RFR26" s="388"/>
      <c r="RFS26" s="388"/>
      <c r="RFT26" s="388"/>
      <c r="RFU26" s="388"/>
      <c r="RFV26" s="388"/>
      <c r="RFW26" s="388"/>
      <c r="RFX26" s="388"/>
      <c r="RFY26" s="388"/>
      <c r="RFZ26" s="388"/>
      <c r="RGA26" s="388"/>
      <c r="RGB26" s="388"/>
      <c r="RGC26" s="388"/>
      <c r="RGD26" s="388"/>
      <c r="RGE26" s="388"/>
      <c r="RGF26" s="388"/>
      <c r="RGG26" s="388"/>
      <c r="RGH26" s="388"/>
      <c r="RGI26" s="388"/>
      <c r="RGJ26" s="388"/>
      <c r="RGK26" s="388"/>
      <c r="RGL26" s="388"/>
      <c r="RGM26" s="388"/>
      <c r="RGN26" s="388"/>
      <c r="RGO26" s="388"/>
      <c r="RGP26" s="388"/>
      <c r="RGQ26" s="388"/>
      <c r="RGR26" s="388"/>
      <c r="RGS26" s="388"/>
      <c r="RGT26" s="388"/>
      <c r="RGU26" s="388"/>
      <c r="RGV26" s="388"/>
      <c r="RGW26" s="388"/>
      <c r="RGX26" s="388"/>
      <c r="RGY26" s="388"/>
      <c r="RGZ26" s="388"/>
      <c r="RHA26" s="388"/>
      <c r="RHB26" s="388"/>
      <c r="RHC26" s="388"/>
      <c r="RHD26" s="388"/>
      <c r="RHE26" s="388"/>
      <c r="RHF26" s="388"/>
      <c r="RHG26" s="388"/>
      <c r="RHH26" s="388"/>
      <c r="RHI26" s="388"/>
      <c r="RHJ26" s="388"/>
      <c r="RHK26" s="388"/>
      <c r="RHL26" s="388"/>
      <c r="RHM26" s="388"/>
      <c r="RHN26" s="388"/>
      <c r="RHO26" s="388"/>
      <c r="RHP26" s="388"/>
      <c r="RHQ26" s="388"/>
      <c r="RHR26" s="388"/>
      <c r="RHS26" s="388"/>
      <c r="RHT26" s="388"/>
      <c r="RHU26" s="388"/>
      <c r="RHV26" s="388"/>
      <c r="RHW26" s="388"/>
      <c r="RHX26" s="388"/>
      <c r="RHY26" s="388"/>
      <c r="RHZ26" s="388"/>
      <c r="RIA26" s="388"/>
      <c r="RIB26" s="388"/>
      <c r="RIC26" s="388"/>
      <c r="RID26" s="388"/>
      <c r="RIE26" s="388"/>
      <c r="RIF26" s="388"/>
      <c r="RIG26" s="388"/>
      <c r="RIH26" s="388"/>
      <c r="RII26" s="388"/>
      <c r="RIJ26" s="388"/>
      <c r="RIK26" s="388"/>
      <c r="RIL26" s="388"/>
      <c r="RIM26" s="388"/>
      <c r="RIN26" s="388"/>
      <c r="RIO26" s="388"/>
      <c r="RIP26" s="388"/>
      <c r="RIQ26" s="388"/>
      <c r="RIR26" s="388"/>
      <c r="RIS26" s="388"/>
      <c r="RIT26" s="388"/>
      <c r="RIU26" s="388"/>
      <c r="RIV26" s="388"/>
      <c r="RIW26" s="388"/>
      <c r="RIX26" s="388"/>
      <c r="RIY26" s="388"/>
      <c r="RIZ26" s="388"/>
      <c r="RJA26" s="388"/>
      <c r="RJB26" s="388"/>
      <c r="RJC26" s="388"/>
      <c r="RJD26" s="388"/>
      <c r="RJE26" s="388"/>
      <c r="RJF26" s="388"/>
      <c r="RJG26" s="388"/>
      <c r="RJH26" s="388"/>
      <c r="RJI26" s="388"/>
      <c r="RJJ26" s="388"/>
      <c r="RJK26" s="388"/>
      <c r="RJL26" s="388"/>
      <c r="RJM26" s="388"/>
      <c r="RJN26" s="388"/>
      <c r="RJO26" s="388"/>
      <c r="RJP26" s="388"/>
      <c r="RJQ26" s="388"/>
      <c r="RJR26" s="388"/>
      <c r="RJS26" s="388"/>
      <c r="RJT26" s="388"/>
      <c r="RJU26" s="388"/>
      <c r="RJV26" s="388"/>
      <c r="RJW26" s="388"/>
      <c r="RJX26" s="388"/>
      <c r="RJY26" s="388"/>
      <c r="RJZ26" s="388"/>
      <c r="RKA26" s="388"/>
      <c r="RKB26" s="388"/>
      <c r="RKC26" s="388"/>
      <c r="RKD26" s="388"/>
      <c r="RKE26" s="388"/>
      <c r="RKF26" s="388"/>
      <c r="RKG26" s="388"/>
      <c r="RKH26" s="388"/>
      <c r="RKI26" s="388"/>
      <c r="RKJ26" s="388"/>
      <c r="RKK26" s="388"/>
      <c r="RKL26" s="388"/>
      <c r="RKM26" s="388"/>
      <c r="RKN26" s="388"/>
      <c r="RKO26" s="388"/>
      <c r="RKP26" s="388"/>
      <c r="RKQ26" s="388"/>
      <c r="RKR26" s="388"/>
      <c r="RKS26" s="388"/>
      <c r="RKT26" s="388"/>
      <c r="RKU26" s="388"/>
      <c r="RKV26" s="388"/>
      <c r="RKW26" s="388"/>
      <c r="RKX26" s="388"/>
      <c r="RKY26" s="388"/>
      <c r="RKZ26" s="388"/>
      <c r="RLA26" s="388"/>
      <c r="RLB26" s="388"/>
      <c r="RLC26" s="388"/>
      <c r="RLD26" s="388"/>
      <c r="RLE26" s="388"/>
      <c r="RLF26" s="388"/>
      <c r="RLG26" s="388"/>
      <c r="RLH26" s="388"/>
      <c r="RLI26" s="388"/>
      <c r="RLJ26" s="388"/>
      <c r="RLK26" s="388"/>
      <c r="RLL26" s="388"/>
      <c r="RLM26" s="388"/>
      <c r="RLN26" s="388"/>
      <c r="RLO26" s="388"/>
      <c r="RLP26" s="388"/>
      <c r="RLQ26" s="388"/>
      <c r="RLR26" s="388"/>
      <c r="RLS26" s="388"/>
      <c r="RLT26" s="388"/>
      <c r="RLU26" s="388"/>
      <c r="RLV26" s="388"/>
      <c r="RLW26" s="388"/>
      <c r="RLX26" s="388"/>
      <c r="RLY26" s="388"/>
      <c r="RLZ26" s="388"/>
      <c r="RMA26" s="388"/>
      <c r="RMB26" s="388"/>
      <c r="RMC26" s="388"/>
      <c r="RMD26" s="388"/>
      <c r="RME26" s="388"/>
      <c r="RMF26" s="388"/>
      <c r="RMG26" s="388"/>
      <c r="RMH26" s="388"/>
      <c r="RMI26" s="388"/>
      <c r="RMJ26" s="388"/>
      <c r="RMK26" s="388"/>
      <c r="RML26" s="388"/>
      <c r="RMM26" s="388"/>
      <c r="RMN26" s="388"/>
      <c r="RMO26" s="388"/>
      <c r="RMP26" s="388"/>
      <c r="RMQ26" s="388"/>
      <c r="RMR26" s="388"/>
      <c r="RMS26" s="388"/>
      <c r="RMT26" s="388"/>
      <c r="RMU26" s="388"/>
      <c r="RMV26" s="388"/>
      <c r="RMW26" s="388"/>
      <c r="RMX26" s="388"/>
      <c r="RMY26" s="388"/>
      <c r="RMZ26" s="388"/>
      <c r="RNA26" s="388"/>
      <c r="RNB26" s="388"/>
      <c r="RNC26" s="388"/>
      <c r="RND26" s="388"/>
      <c r="RNE26" s="388"/>
      <c r="RNF26" s="388"/>
      <c r="RNG26" s="388"/>
      <c r="RNH26" s="388"/>
      <c r="RNI26" s="388"/>
      <c r="RNJ26" s="388"/>
      <c r="RNK26" s="388"/>
      <c r="RNL26" s="388"/>
      <c r="RNM26" s="388"/>
      <c r="RNN26" s="388"/>
      <c r="RNO26" s="388"/>
      <c r="RNP26" s="388"/>
      <c r="RNQ26" s="388"/>
      <c r="RNR26" s="388"/>
      <c r="RNS26" s="388"/>
      <c r="RNT26" s="388"/>
      <c r="RNU26" s="388"/>
      <c r="RNV26" s="388"/>
      <c r="RNW26" s="388"/>
      <c r="RNX26" s="388"/>
      <c r="RNY26" s="388"/>
      <c r="RNZ26" s="388"/>
      <c r="ROA26" s="388"/>
      <c r="ROB26" s="388"/>
      <c r="ROC26" s="388"/>
      <c r="ROD26" s="388"/>
      <c r="ROE26" s="388"/>
      <c r="ROF26" s="388"/>
      <c r="ROG26" s="388"/>
      <c r="ROH26" s="388"/>
      <c r="ROI26" s="388"/>
      <c r="ROJ26" s="388"/>
      <c r="ROK26" s="388"/>
      <c r="ROL26" s="388"/>
      <c r="ROM26" s="388"/>
      <c r="RON26" s="388"/>
      <c r="ROO26" s="388"/>
      <c r="ROP26" s="388"/>
      <c r="ROQ26" s="388"/>
      <c r="ROR26" s="388"/>
      <c r="ROS26" s="388"/>
      <c r="ROT26" s="388"/>
      <c r="ROU26" s="388"/>
      <c r="ROV26" s="388"/>
      <c r="ROW26" s="388"/>
      <c r="ROX26" s="388"/>
      <c r="ROY26" s="388"/>
      <c r="ROZ26" s="388"/>
      <c r="RPA26" s="388"/>
      <c r="RPB26" s="388"/>
      <c r="RPC26" s="388"/>
      <c r="RPD26" s="388"/>
      <c r="RPE26" s="388"/>
      <c r="RPF26" s="388"/>
      <c r="RPG26" s="388"/>
      <c r="RPH26" s="388"/>
      <c r="RPI26" s="388"/>
      <c r="RPJ26" s="388"/>
      <c r="RPK26" s="388"/>
      <c r="RPL26" s="388"/>
      <c r="RPM26" s="388"/>
      <c r="RPN26" s="388"/>
      <c r="RPO26" s="388"/>
      <c r="RPP26" s="388"/>
      <c r="RPQ26" s="388"/>
      <c r="RPR26" s="388"/>
      <c r="RPS26" s="388"/>
      <c r="RPT26" s="388"/>
      <c r="RPU26" s="388"/>
      <c r="RPV26" s="388"/>
      <c r="RPW26" s="388"/>
      <c r="RPX26" s="388"/>
      <c r="RPY26" s="388"/>
      <c r="RPZ26" s="388"/>
      <c r="RQA26" s="388"/>
      <c r="RQB26" s="388"/>
      <c r="RQC26" s="388"/>
      <c r="RQD26" s="388"/>
      <c r="RQE26" s="388"/>
      <c r="RQF26" s="388"/>
      <c r="RQG26" s="388"/>
      <c r="RQH26" s="388"/>
      <c r="RQI26" s="388"/>
      <c r="RQJ26" s="388"/>
      <c r="RQK26" s="388"/>
      <c r="RQL26" s="388"/>
      <c r="RQM26" s="388"/>
      <c r="RQN26" s="388"/>
      <c r="RQO26" s="388"/>
      <c r="RQP26" s="388"/>
      <c r="RQQ26" s="388"/>
      <c r="RQR26" s="388"/>
      <c r="RQS26" s="388"/>
      <c r="RQT26" s="388"/>
      <c r="RQU26" s="388"/>
      <c r="RQV26" s="388"/>
      <c r="RQW26" s="388"/>
      <c r="RQX26" s="388"/>
      <c r="RQY26" s="388"/>
      <c r="RQZ26" s="388"/>
      <c r="RRA26" s="388"/>
      <c r="RRB26" s="388"/>
      <c r="RRC26" s="388"/>
      <c r="RRD26" s="388"/>
      <c r="RRE26" s="388"/>
      <c r="RRF26" s="388"/>
      <c r="RRG26" s="388"/>
      <c r="RRH26" s="388"/>
      <c r="RRI26" s="388"/>
      <c r="RRJ26" s="388"/>
      <c r="RRK26" s="388"/>
      <c r="RRL26" s="388"/>
      <c r="RRM26" s="388"/>
      <c r="RRN26" s="388"/>
      <c r="RRO26" s="388"/>
      <c r="RRP26" s="388"/>
      <c r="RRQ26" s="388"/>
      <c r="RRR26" s="388"/>
      <c r="RRS26" s="388"/>
      <c r="RRT26" s="388"/>
      <c r="RRU26" s="388"/>
      <c r="RRV26" s="388"/>
      <c r="RRW26" s="388"/>
      <c r="RRX26" s="388"/>
      <c r="RRY26" s="388"/>
      <c r="RRZ26" s="388"/>
      <c r="RSA26" s="388"/>
      <c r="RSB26" s="388"/>
      <c r="RSC26" s="388"/>
      <c r="RSD26" s="388"/>
      <c r="RSE26" s="388"/>
      <c r="RSF26" s="388"/>
      <c r="RSG26" s="388"/>
      <c r="RSH26" s="388"/>
      <c r="RSI26" s="388"/>
      <c r="RSJ26" s="388"/>
      <c r="RSK26" s="388"/>
      <c r="RSL26" s="388"/>
      <c r="RSM26" s="388"/>
      <c r="RSN26" s="388"/>
      <c r="RSO26" s="388"/>
      <c r="RSP26" s="388"/>
      <c r="RSQ26" s="388"/>
      <c r="RSR26" s="388"/>
      <c r="RSS26" s="388"/>
      <c r="RST26" s="388"/>
      <c r="RSU26" s="388"/>
      <c r="RSV26" s="388"/>
      <c r="RSW26" s="388"/>
      <c r="RSX26" s="388"/>
      <c r="RSY26" s="388"/>
      <c r="RSZ26" s="388"/>
      <c r="RTA26" s="388"/>
      <c r="RTB26" s="388"/>
      <c r="RTC26" s="388"/>
      <c r="RTD26" s="388"/>
      <c r="RTE26" s="388"/>
      <c r="RTF26" s="388"/>
      <c r="RTG26" s="388"/>
      <c r="RTH26" s="388"/>
      <c r="RTI26" s="388"/>
      <c r="RTJ26" s="388"/>
      <c r="RTK26" s="388"/>
      <c r="RTL26" s="388"/>
      <c r="RTM26" s="388"/>
      <c r="RTN26" s="388"/>
      <c r="RTO26" s="388"/>
      <c r="RTP26" s="388"/>
      <c r="RTQ26" s="388"/>
      <c r="RTR26" s="388"/>
      <c r="RTS26" s="388"/>
      <c r="RTT26" s="388"/>
      <c r="RTU26" s="388"/>
      <c r="RTV26" s="388"/>
      <c r="RTW26" s="388"/>
      <c r="RTX26" s="388"/>
      <c r="RTY26" s="388"/>
      <c r="RTZ26" s="388"/>
      <c r="RUA26" s="388"/>
      <c r="RUB26" s="388"/>
      <c r="RUC26" s="388"/>
      <c r="RUD26" s="388"/>
      <c r="RUE26" s="388"/>
      <c r="RUF26" s="388"/>
      <c r="RUG26" s="388"/>
      <c r="RUH26" s="388"/>
      <c r="RUI26" s="388"/>
      <c r="RUJ26" s="388"/>
      <c r="RUK26" s="388"/>
      <c r="RUL26" s="388"/>
      <c r="RUM26" s="388"/>
      <c r="RUN26" s="388"/>
      <c r="RUO26" s="388"/>
      <c r="RUP26" s="388"/>
      <c r="RUQ26" s="388"/>
      <c r="RUR26" s="388"/>
      <c r="RUS26" s="388"/>
      <c r="RUT26" s="388"/>
      <c r="RUU26" s="388"/>
      <c r="RUV26" s="388"/>
      <c r="RUW26" s="388"/>
      <c r="RUX26" s="388"/>
      <c r="RUY26" s="388"/>
      <c r="RUZ26" s="388"/>
      <c r="RVA26" s="388"/>
      <c r="RVB26" s="388"/>
      <c r="RVC26" s="388"/>
      <c r="RVD26" s="388"/>
      <c r="RVE26" s="388"/>
      <c r="RVF26" s="388"/>
      <c r="RVG26" s="388"/>
      <c r="RVH26" s="388"/>
      <c r="RVI26" s="388"/>
      <c r="RVJ26" s="388"/>
      <c r="RVK26" s="388"/>
      <c r="RVL26" s="388"/>
      <c r="RVM26" s="388"/>
      <c r="RVN26" s="388"/>
      <c r="RVO26" s="388"/>
      <c r="RVP26" s="388"/>
      <c r="RVQ26" s="388"/>
      <c r="RVR26" s="388"/>
      <c r="RVS26" s="388"/>
      <c r="RVT26" s="388"/>
      <c r="RVU26" s="388"/>
      <c r="RVV26" s="388"/>
      <c r="RVW26" s="388"/>
      <c r="RVX26" s="388"/>
      <c r="RVY26" s="388"/>
      <c r="RVZ26" s="388"/>
      <c r="RWA26" s="388"/>
      <c r="RWB26" s="388"/>
      <c r="RWC26" s="388"/>
      <c r="RWD26" s="388"/>
      <c r="RWE26" s="388"/>
      <c r="RWF26" s="388"/>
      <c r="RWG26" s="388"/>
      <c r="RWH26" s="388"/>
      <c r="RWI26" s="388"/>
      <c r="RWJ26" s="388"/>
      <c r="RWK26" s="388"/>
      <c r="RWL26" s="388"/>
      <c r="RWM26" s="388"/>
      <c r="RWN26" s="388"/>
      <c r="RWO26" s="388"/>
      <c r="RWP26" s="388"/>
      <c r="RWQ26" s="388"/>
      <c r="RWR26" s="388"/>
      <c r="RWS26" s="388"/>
      <c r="RWT26" s="388"/>
      <c r="RWU26" s="388"/>
      <c r="RWV26" s="388"/>
      <c r="RWW26" s="388"/>
      <c r="RWX26" s="388"/>
      <c r="RWY26" s="388"/>
      <c r="RWZ26" s="388"/>
      <c r="RXA26" s="388"/>
      <c r="RXB26" s="388"/>
      <c r="RXC26" s="388"/>
      <c r="RXD26" s="388"/>
      <c r="RXE26" s="388"/>
      <c r="RXF26" s="388"/>
      <c r="RXG26" s="388"/>
      <c r="RXH26" s="388"/>
      <c r="RXI26" s="388"/>
      <c r="RXJ26" s="388"/>
      <c r="RXK26" s="388"/>
      <c r="RXL26" s="388"/>
      <c r="RXM26" s="388"/>
      <c r="RXN26" s="388"/>
      <c r="RXO26" s="388"/>
      <c r="RXP26" s="388"/>
      <c r="RXQ26" s="388"/>
      <c r="RXR26" s="388"/>
      <c r="RXS26" s="388"/>
      <c r="RXT26" s="388"/>
      <c r="RXU26" s="388"/>
      <c r="RXV26" s="388"/>
      <c r="RXW26" s="388"/>
      <c r="RXX26" s="388"/>
      <c r="RXY26" s="388"/>
      <c r="RXZ26" s="388"/>
      <c r="RYA26" s="388"/>
      <c r="RYB26" s="388"/>
      <c r="RYC26" s="388"/>
      <c r="RYD26" s="388"/>
      <c r="RYE26" s="388"/>
      <c r="RYF26" s="388"/>
      <c r="RYG26" s="388"/>
      <c r="RYH26" s="388"/>
      <c r="RYI26" s="388"/>
      <c r="RYJ26" s="388"/>
      <c r="RYK26" s="388"/>
      <c r="RYL26" s="388"/>
      <c r="RYM26" s="388"/>
      <c r="RYN26" s="388"/>
      <c r="RYO26" s="388"/>
      <c r="RYP26" s="388"/>
      <c r="RYQ26" s="388"/>
      <c r="RYR26" s="388"/>
      <c r="RYS26" s="388"/>
      <c r="RYT26" s="388"/>
      <c r="RYU26" s="388"/>
      <c r="RYV26" s="388"/>
      <c r="RYW26" s="388"/>
      <c r="RYX26" s="388"/>
      <c r="RYY26" s="388"/>
      <c r="RYZ26" s="388"/>
      <c r="RZA26" s="388"/>
      <c r="RZB26" s="388"/>
      <c r="RZC26" s="388"/>
      <c r="RZD26" s="388"/>
      <c r="RZE26" s="388"/>
      <c r="RZF26" s="388"/>
      <c r="RZG26" s="388"/>
      <c r="RZH26" s="388"/>
      <c r="RZI26" s="388"/>
      <c r="RZJ26" s="388"/>
      <c r="RZK26" s="388"/>
      <c r="RZL26" s="388"/>
      <c r="RZM26" s="388"/>
      <c r="RZN26" s="388"/>
      <c r="RZO26" s="388"/>
      <c r="RZP26" s="388"/>
      <c r="RZQ26" s="388"/>
      <c r="RZR26" s="388"/>
      <c r="RZS26" s="388"/>
      <c r="RZT26" s="388"/>
      <c r="RZU26" s="388"/>
      <c r="RZV26" s="388"/>
      <c r="RZW26" s="388"/>
      <c r="RZX26" s="388"/>
      <c r="RZY26" s="388"/>
      <c r="RZZ26" s="388"/>
      <c r="SAA26" s="388"/>
      <c r="SAB26" s="388"/>
      <c r="SAC26" s="388"/>
      <c r="SAD26" s="388"/>
      <c r="SAE26" s="388"/>
      <c r="SAF26" s="388"/>
      <c r="SAG26" s="388"/>
      <c r="SAH26" s="388"/>
      <c r="SAI26" s="388"/>
      <c r="SAJ26" s="388"/>
      <c r="SAK26" s="388"/>
      <c r="SAL26" s="388"/>
      <c r="SAM26" s="388"/>
      <c r="SAN26" s="388"/>
      <c r="SAO26" s="388"/>
      <c r="SAP26" s="388"/>
      <c r="SAQ26" s="388"/>
      <c r="SAR26" s="388"/>
      <c r="SAS26" s="388"/>
      <c r="SAT26" s="388"/>
      <c r="SAU26" s="388"/>
      <c r="SAV26" s="388"/>
      <c r="SAW26" s="388"/>
      <c r="SAX26" s="388"/>
      <c r="SAY26" s="388"/>
      <c r="SAZ26" s="388"/>
      <c r="SBA26" s="388"/>
      <c r="SBB26" s="388"/>
      <c r="SBC26" s="388"/>
      <c r="SBD26" s="388"/>
      <c r="SBE26" s="388"/>
      <c r="SBF26" s="388"/>
      <c r="SBG26" s="388"/>
      <c r="SBH26" s="388"/>
      <c r="SBI26" s="388"/>
      <c r="SBJ26" s="388"/>
      <c r="SBK26" s="388"/>
      <c r="SBL26" s="388"/>
      <c r="SBM26" s="388"/>
      <c r="SBN26" s="388"/>
      <c r="SBO26" s="388"/>
      <c r="SBP26" s="388"/>
      <c r="SBQ26" s="388"/>
      <c r="SBR26" s="388"/>
      <c r="SBS26" s="388"/>
      <c r="SBT26" s="388"/>
      <c r="SBU26" s="388"/>
      <c r="SBV26" s="388"/>
      <c r="SBW26" s="388"/>
      <c r="SBX26" s="388"/>
      <c r="SBY26" s="388"/>
      <c r="SBZ26" s="388"/>
      <c r="SCA26" s="388"/>
      <c r="SCB26" s="388"/>
      <c r="SCC26" s="388"/>
      <c r="SCD26" s="388"/>
      <c r="SCE26" s="388"/>
      <c r="SCF26" s="388"/>
      <c r="SCG26" s="388"/>
      <c r="SCH26" s="388"/>
      <c r="SCI26" s="388"/>
      <c r="SCJ26" s="388"/>
      <c r="SCK26" s="388"/>
      <c r="SCL26" s="388"/>
      <c r="SCM26" s="388"/>
      <c r="SCN26" s="388"/>
      <c r="SCO26" s="388"/>
      <c r="SCP26" s="388"/>
      <c r="SCQ26" s="388"/>
      <c r="SCR26" s="388"/>
      <c r="SCS26" s="388"/>
      <c r="SCT26" s="388"/>
      <c r="SCU26" s="388"/>
      <c r="SCV26" s="388"/>
      <c r="SCW26" s="388"/>
      <c r="SCX26" s="388"/>
      <c r="SCY26" s="388"/>
      <c r="SCZ26" s="388"/>
      <c r="SDA26" s="388"/>
      <c r="SDB26" s="388"/>
      <c r="SDC26" s="388"/>
      <c r="SDD26" s="388"/>
      <c r="SDE26" s="388"/>
      <c r="SDF26" s="388"/>
      <c r="SDG26" s="388"/>
      <c r="SDH26" s="388"/>
      <c r="SDI26" s="388"/>
      <c r="SDJ26" s="388"/>
      <c r="SDK26" s="388"/>
      <c r="SDL26" s="388"/>
      <c r="SDM26" s="388"/>
      <c r="SDN26" s="388"/>
      <c r="SDO26" s="388"/>
      <c r="SDP26" s="388"/>
      <c r="SDQ26" s="388"/>
      <c r="SDR26" s="388"/>
      <c r="SDS26" s="388"/>
      <c r="SDT26" s="388"/>
      <c r="SDU26" s="388"/>
      <c r="SDV26" s="388"/>
      <c r="SDW26" s="388"/>
      <c r="SDX26" s="388"/>
      <c r="SDY26" s="388"/>
      <c r="SDZ26" s="388"/>
      <c r="SEA26" s="388"/>
      <c r="SEB26" s="388"/>
      <c r="SEC26" s="388"/>
      <c r="SED26" s="388"/>
      <c r="SEE26" s="388"/>
      <c r="SEF26" s="388"/>
      <c r="SEG26" s="388"/>
      <c r="SEH26" s="388"/>
      <c r="SEI26" s="388"/>
      <c r="SEJ26" s="388"/>
      <c r="SEK26" s="388"/>
      <c r="SEL26" s="388"/>
      <c r="SEM26" s="388"/>
      <c r="SEN26" s="388"/>
      <c r="SEO26" s="388"/>
      <c r="SEP26" s="388"/>
      <c r="SEQ26" s="388"/>
      <c r="SER26" s="388"/>
      <c r="SES26" s="388"/>
      <c r="SET26" s="388"/>
      <c r="SEU26" s="388"/>
      <c r="SEV26" s="388"/>
      <c r="SEW26" s="388"/>
      <c r="SEX26" s="388"/>
      <c r="SEY26" s="388"/>
      <c r="SEZ26" s="388"/>
      <c r="SFA26" s="388"/>
      <c r="SFB26" s="388"/>
      <c r="SFC26" s="388"/>
      <c r="SFD26" s="388"/>
      <c r="SFE26" s="388"/>
      <c r="SFF26" s="388"/>
      <c r="SFG26" s="388"/>
      <c r="SFH26" s="388"/>
      <c r="SFI26" s="388"/>
      <c r="SFJ26" s="388"/>
      <c r="SFK26" s="388"/>
      <c r="SFL26" s="388"/>
      <c r="SFM26" s="388"/>
      <c r="SFN26" s="388"/>
      <c r="SFO26" s="388"/>
      <c r="SFP26" s="388"/>
      <c r="SFQ26" s="388"/>
      <c r="SFR26" s="388"/>
      <c r="SFS26" s="388"/>
      <c r="SFT26" s="388"/>
      <c r="SFU26" s="388"/>
      <c r="SFV26" s="388"/>
      <c r="SFW26" s="388"/>
      <c r="SFX26" s="388"/>
      <c r="SFY26" s="388"/>
      <c r="SFZ26" s="388"/>
      <c r="SGA26" s="388"/>
      <c r="SGB26" s="388"/>
      <c r="SGC26" s="388"/>
      <c r="SGD26" s="388"/>
      <c r="SGE26" s="388"/>
      <c r="SGF26" s="388"/>
      <c r="SGG26" s="388"/>
      <c r="SGH26" s="388"/>
      <c r="SGI26" s="388"/>
      <c r="SGJ26" s="388"/>
      <c r="SGK26" s="388"/>
      <c r="SGL26" s="388"/>
      <c r="SGM26" s="388"/>
      <c r="SGN26" s="388"/>
      <c r="SGO26" s="388"/>
      <c r="SGP26" s="388"/>
      <c r="SGQ26" s="388"/>
      <c r="SGR26" s="388"/>
      <c r="SGS26" s="388"/>
      <c r="SGT26" s="388"/>
      <c r="SGU26" s="388"/>
      <c r="SGV26" s="388"/>
      <c r="SGW26" s="388"/>
      <c r="SGX26" s="388"/>
      <c r="SGY26" s="388"/>
      <c r="SGZ26" s="388"/>
      <c r="SHA26" s="388"/>
      <c r="SHB26" s="388"/>
      <c r="SHC26" s="388"/>
      <c r="SHD26" s="388"/>
      <c r="SHE26" s="388"/>
      <c r="SHF26" s="388"/>
      <c r="SHG26" s="388"/>
      <c r="SHH26" s="388"/>
      <c r="SHI26" s="388"/>
      <c r="SHJ26" s="388"/>
      <c r="SHK26" s="388"/>
      <c r="SHL26" s="388"/>
      <c r="SHM26" s="388"/>
      <c r="SHN26" s="388"/>
      <c r="SHO26" s="388"/>
      <c r="SHP26" s="388"/>
      <c r="SHQ26" s="388"/>
      <c r="SHR26" s="388"/>
      <c r="SHS26" s="388"/>
      <c r="SHT26" s="388"/>
      <c r="SHU26" s="388"/>
      <c r="SHV26" s="388"/>
      <c r="SHW26" s="388"/>
      <c r="SHX26" s="388"/>
      <c r="SHY26" s="388"/>
      <c r="SHZ26" s="388"/>
      <c r="SIA26" s="388"/>
      <c r="SIB26" s="388"/>
      <c r="SIC26" s="388"/>
      <c r="SID26" s="388"/>
      <c r="SIE26" s="388"/>
      <c r="SIF26" s="388"/>
      <c r="SIG26" s="388"/>
      <c r="SIH26" s="388"/>
      <c r="SII26" s="388"/>
      <c r="SIJ26" s="388"/>
      <c r="SIK26" s="388"/>
      <c r="SIL26" s="388"/>
      <c r="SIM26" s="388"/>
      <c r="SIN26" s="388"/>
      <c r="SIO26" s="388"/>
      <c r="SIP26" s="388"/>
      <c r="SIQ26" s="388"/>
      <c r="SIR26" s="388"/>
      <c r="SIS26" s="388"/>
      <c r="SIT26" s="388"/>
      <c r="SIU26" s="388"/>
      <c r="SIV26" s="388"/>
      <c r="SIW26" s="388"/>
      <c r="SIX26" s="388"/>
      <c r="SIY26" s="388"/>
      <c r="SIZ26" s="388"/>
      <c r="SJA26" s="388"/>
      <c r="SJB26" s="388"/>
      <c r="SJC26" s="388"/>
      <c r="SJD26" s="388"/>
      <c r="SJE26" s="388"/>
      <c r="SJF26" s="388"/>
      <c r="SJG26" s="388"/>
      <c r="SJH26" s="388"/>
      <c r="SJI26" s="388"/>
      <c r="SJJ26" s="388"/>
      <c r="SJK26" s="388"/>
      <c r="SJL26" s="388"/>
      <c r="SJM26" s="388"/>
      <c r="SJN26" s="388"/>
      <c r="SJO26" s="388"/>
      <c r="SJP26" s="388"/>
      <c r="SJQ26" s="388"/>
      <c r="SJR26" s="388"/>
      <c r="SJS26" s="388"/>
      <c r="SJT26" s="388"/>
      <c r="SJU26" s="388"/>
      <c r="SJV26" s="388"/>
      <c r="SJW26" s="388"/>
      <c r="SJX26" s="388"/>
      <c r="SJY26" s="388"/>
      <c r="SJZ26" s="388"/>
      <c r="SKA26" s="388"/>
      <c r="SKB26" s="388"/>
      <c r="SKC26" s="388"/>
      <c r="SKD26" s="388"/>
      <c r="SKE26" s="388"/>
      <c r="SKF26" s="388"/>
      <c r="SKG26" s="388"/>
      <c r="SKH26" s="388"/>
      <c r="SKI26" s="388"/>
      <c r="SKJ26" s="388"/>
      <c r="SKK26" s="388"/>
      <c r="SKL26" s="388"/>
      <c r="SKM26" s="388"/>
      <c r="SKN26" s="388"/>
      <c r="SKO26" s="388"/>
      <c r="SKP26" s="388"/>
      <c r="SKQ26" s="388"/>
      <c r="SKR26" s="388"/>
      <c r="SKS26" s="388"/>
      <c r="SKT26" s="388"/>
      <c r="SKU26" s="388"/>
      <c r="SKV26" s="388"/>
      <c r="SKW26" s="388"/>
      <c r="SKX26" s="388"/>
      <c r="SKY26" s="388"/>
      <c r="SKZ26" s="388"/>
      <c r="SLA26" s="388"/>
      <c r="SLB26" s="388"/>
      <c r="SLC26" s="388"/>
      <c r="SLD26" s="388"/>
      <c r="SLE26" s="388"/>
      <c r="SLF26" s="388"/>
      <c r="SLG26" s="388"/>
      <c r="SLH26" s="388"/>
      <c r="SLI26" s="388"/>
      <c r="SLJ26" s="388"/>
      <c r="SLK26" s="388"/>
      <c r="SLL26" s="388"/>
      <c r="SLM26" s="388"/>
      <c r="SLN26" s="388"/>
      <c r="SLO26" s="388"/>
      <c r="SLP26" s="388"/>
      <c r="SLQ26" s="388"/>
      <c r="SLR26" s="388"/>
      <c r="SLS26" s="388"/>
      <c r="SLT26" s="388"/>
      <c r="SLU26" s="388"/>
      <c r="SLV26" s="388"/>
      <c r="SLW26" s="388"/>
      <c r="SLX26" s="388"/>
      <c r="SLY26" s="388"/>
      <c r="SLZ26" s="388"/>
      <c r="SMA26" s="388"/>
      <c r="SMB26" s="388"/>
      <c r="SMC26" s="388"/>
      <c r="SMD26" s="388"/>
      <c r="SME26" s="388"/>
      <c r="SMF26" s="388"/>
      <c r="SMG26" s="388"/>
      <c r="SMH26" s="388"/>
      <c r="SMI26" s="388"/>
      <c r="SMJ26" s="388"/>
      <c r="SMK26" s="388"/>
      <c r="SML26" s="388"/>
      <c r="SMM26" s="388"/>
      <c r="SMN26" s="388"/>
      <c r="SMO26" s="388"/>
      <c r="SMP26" s="388"/>
      <c r="SMQ26" s="388"/>
      <c r="SMR26" s="388"/>
      <c r="SMS26" s="388"/>
      <c r="SMT26" s="388"/>
      <c r="SMU26" s="388"/>
      <c r="SMV26" s="388"/>
      <c r="SMW26" s="388"/>
      <c r="SMX26" s="388"/>
      <c r="SMY26" s="388"/>
      <c r="SMZ26" s="388"/>
      <c r="SNA26" s="388"/>
      <c r="SNB26" s="388"/>
      <c r="SNC26" s="388"/>
      <c r="SND26" s="388"/>
      <c r="SNE26" s="388"/>
      <c r="SNF26" s="388"/>
      <c r="SNG26" s="388"/>
      <c r="SNH26" s="388"/>
      <c r="SNI26" s="388"/>
      <c r="SNJ26" s="388"/>
      <c r="SNK26" s="388"/>
      <c r="SNL26" s="388"/>
      <c r="SNM26" s="388"/>
      <c r="SNN26" s="388"/>
      <c r="SNO26" s="388"/>
      <c r="SNP26" s="388"/>
      <c r="SNQ26" s="388"/>
      <c r="SNR26" s="388"/>
      <c r="SNS26" s="388"/>
      <c r="SNT26" s="388"/>
      <c r="SNU26" s="388"/>
      <c r="SNV26" s="388"/>
      <c r="SNW26" s="388"/>
      <c r="SNX26" s="388"/>
      <c r="SNY26" s="388"/>
      <c r="SNZ26" s="388"/>
      <c r="SOA26" s="388"/>
      <c r="SOB26" s="388"/>
      <c r="SOC26" s="388"/>
      <c r="SOD26" s="388"/>
      <c r="SOE26" s="388"/>
      <c r="SOF26" s="388"/>
      <c r="SOG26" s="388"/>
      <c r="SOH26" s="388"/>
      <c r="SOI26" s="388"/>
      <c r="SOJ26" s="388"/>
      <c r="SOK26" s="388"/>
      <c r="SOL26" s="388"/>
      <c r="SOM26" s="388"/>
      <c r="SON26" s="388"/>
      <c r="SOO26" s="388"/>
      <c r="SOP26" s="388"/>
      <c r="SOQ26" s="388"/>
      <c r="SOR26" s="388"/>
      <c r="SOS26" s="388"/>
      <c r="SOT26" s="388"/>
      <c r="SOU26" s="388"/>
      <c r="SOV26" s="388"/>
      <c r="SOW26" s="388"/>
      <c r="SOX26" s="388"/>
      <c r="SOY26" s="388"/>
      <c r="SOZ26" s="388"/>
      <c r="SPA26" s="388"/>
      <c r="SPB26" s="388"/>
      <c r="SPC26" s="388"/>
      <c r="SPD26" s="388"/>
      <c r="SPE26" s="388"/>
      <c r="SPF26" s="388"/>
      <c r="SPG26" s="388"/>
      <c r="SPH26" s="388"/>
      <c r="SPI26" s="388"/>
      <c r="SPJ26" s="388"/>
      <c r="SPK26" s="388"/>
      <c r="SPL26" s="388"/>
      <c r="SPM26" s="388"/>
      <c r="SPN26" s="388"/>
      <c r="SPO26" s="388"/>
      <c r="SPP26" s="388"/>
      <c r="SPQ26" s="388"/>
      <c r="SPR26" s="388"/>
      <c r="SPS26" s="388"/>
      <c r="SPT26" s="388"/>
      <c r="SPU26" s="388"/>
      <c r="SPV26" s="388"/>
      <c r="SPW26" s="388"/>
      <c r="SPX26" s="388"/>
      <c r="SPY26" s="388"/>
      <c r="SPZ26" s="388"/>
      <c r="SQA26" s="388"/>
      <c r="SQB26" s="388"/>
      <c r="SQC26" s="388"/>
      <c r="SQD26" s="388"/>
      <c r="SQE26" s="388"/>
      <c r="SQF26" s="388"/>
      <c r="SQG26" s="388"/>
      <c r="SQH26" s="388"/>
      <c r="SQI26" s="388"/>
      <c r="SQJ26" s="388"/>
      <c r="SQK26" s="388"/>
      <c r="SQL26" s="388"/>
      <c r="SQM26" s="388"/>
      <c r="SQN26" s="388"/>
      <c r="SQO26" s="388"/>
      <c r="SQP26" s="388"/>
      <c r="SQQ26" s="388"/>
      <c r="SQR26" s="388"/>
      <c r="SQS26" s="388"/>
      <c r="SQT26" s="388"/>
      <c r="SQU26" s="388"/>
      <c r="SQV26" s="388"/>
      <c r="SQW26" s="388"/>
      <c r="SQX26" s="388"/>
      <c r="SQY26" s="388"/>
      <c r="SQZ26" s="388"/>
      <c r="SRA26" s="388"/>
      <c r="SRB26" s="388"/>
      <c r="SRC26" s="388"/>
      <c r="SRD26" s="388"/>
      <c r="SRE26" s="388"/>
      <c r="SRF26" s="388"/>
      <c r="SRG26" s="388"/>
      <c r="SRH26" s="388"/>
      <c r="SRI26" s="388"/>
      <c r="SRJ26" s="388"/>
      <c r="SRK26" s="388"/>
      <c r="SRL26" s="388"/>
      <c r="SRM26" s="388"/>
      <c r="SRN26" s="388"/>
      <c r="SRO26" s="388"/>
      <c r="SRP26" s="388"/>
      <c r="SRQ26" s="388"/>
      <c r="SRR26" s="388"/>
      <c r="SRS26" s="388"/>
      <c r="SRT26" s="388"/>
      <c r="SRU26" s="388"/>
      <c r="SRV26" s="388"/>
      <c r="SRW26" s="388"/>
      <c r="SRX26" s="388"/>
      <c r="SRY26" s="388"/>
      <c r="SRZ26" s="388"/>
      <c r="SSA26" s="388"/>
      <c r="SSB26" s="388"/>
      <c r="SSC26" s="388"/>
      <c r="SSD26" s="388"/>
      <c r="SSE26" s="388"/>
      <c r="SSF26" s="388"/>
      <c r="SSG26" s="388"/>
      <c r="SSH26" s="388"/>
      <c r="SSI26" s="388"/>
      <c r="SSJ26" s="388"/>
      <c r="SSK26" s="388"/>
      <c r="SSL26" s="388"/>
      <c r="SSM26" s="388"/>
      <c r="SSN26" s="388"/>
      <c r="SSO26" s="388"/>
      <c r="SSP26" s="388"/>
      <c r="SSQ26" s="388"/>
      <c r="SSR26" s="388"/>
      <c r="SSS26" s="388"/>
      <c r="SST26" s="388"/>
      <c r="SSU26" s="388"/>
      <c r="SSV26" s="388"/>
      <c r="SSW26" s="388"/>
      <c r="SSX26" s="388"/>
      <c r="SSY26" s="388"/>
      <c r="SSZ26" s="388"/>
      <c r="STA26" s="388"/>
      <c r="STB26" s="388"/>
      <c r="STC26" s="388"/>
      <c r="STD26" s="388"/>
      <c r="STE26" s="388"/>
      <c r="STF26" s="388"/>
      <c r="STG26" s="388"/>
      <c r="STH26" s="388"/>
      <c r="STI26" s="388"/>
      <c r="STJ26" s="388"/>
      <c r="STK26" s="388"/>
      <c r="STL26" s="388"/>
      <c r="STM26" s="388"/>
      <c r="STN26" s="388"/>
      <c r="STO26" s="388"/>
      <c r="STP26" s="388"/>
      <c r="STQ26" s="388"/>
      <c r="STR26" s="388"/>
      <c r="STS26" s="388"/>
      <c r="STT26" s="388"/>
      <c r="STU26" s="388"/>
      <c r="STV26" s="388"/>
      <c r="STW26" s="388"/>
      <c r="STX26" s="388"/>
      <c r="STY26" s="388"/>
      <c r="STZ26" s="388"/>
      <c r="SUA26" s="388"/>
      <c r="SUB26" s="388"/>
      <c r="SUC26" s="388"/>
      <c r="SUD26" s="388"/>
      <c r="SUE26" s="388"/>
      <c r="SUF26" s="388"/>
      <c r="SUG26" s="388"/>
      <c r="SUH26" s="388"/>
      <c r="SUI26" s="388"/>
      <c r="SUJ26" s="388"/>
      <c r="SUK26" s="388"/>
      <c r="SUL26" s="388"/>
      <c r="SUM26" s="388"/>
      <c r="SUN26" s="388"/>
      <c r="SUO26" s="388"/>
      <c r="SUP26" s="388"/>
      <c r="SUQ26" s="388"/>
      <c r="SUR26" s="388"/>
      <c r="SUS26" s="388"/>
      <c r="SUT26" s="388"/>
      <c r="SUU26" s="388"/>
      <c r="SUV26" s="388"/>
      <c r="SUW26" s="388"/>
      <c r="SUX26" s="388"/>
      <c r="SUY26" s="388"/>
      <c r="SUZ26" s="388"/>
      <c r="SVA26" s="388"/>
      <c r="SVB26" s="388"/>
      <c r="SVC26" s="388"/>
      <c r="SVD26" s="388"/>
      <c r="SVE26" s="388"/>
      <c r="SVF26" s="388"/>
      <c r="SVG26" s="388"/>
      <c r="SVH26" s="388"/>
      <c r="SVI26" s="388"/>
      <c r="SVJ26" s="388"/>
      <c r="SVK26" s="388"/>
      <c r="SVL26" s="388"/>
      <c r="SVM26" s="388"/>
      <c r="SVN26" s="388"/>
      <c r="SVO26" s="388"/>
      <c r="SVP26" s="388"/>
      <c r="SVQ26" s="388"/>
      <c r="SVR26" s="388"/>
      <c r="SVS26" s="388"/>
      <c r="SVT26" s="388"/>
      <c r="SVU26" s="388"/>
      <c r="SVV26" s="388"/>
      <c r="SVW26" s="388"/>
      <c r="SVX26" s="388"/>
      <c r="SVY26" s="388"/>
      <c r="SVZ26" s="388"/>
      <c r="SWA26" s="388"/>
      <c r="SWB26" s="388"/>
      <c r="SWC26" s="388"/>
      <c r="SWD26" s="388"/>
      <c r="SWE26" s="388"/>
      <c r="SWF26" s="388"/>
      <c r="SWG26" s="388"/>
      <c r="SWH26" s="388"/>
      <c r="SWI26" s="388"/>
      <c r="SWJ26" s="388"/>
      <c r="SWK26" s="388"/>
      <c r="SWL26" s="388"/>
      <c r="SWM26" s="388"/>
      <c r="SWN26" s="388"/>
      <c r="SWO26" s="388"/>
      <c r="SWP26" s="388"/>
      <c r="SWQ26" s="388"/>
      <c r="SWR26" s="388"/>
      <c r="SWS26" s="388"/>
      <c r="SWT26" s="388"/>
      <c r="SWU26" s="388"/>
      <c r="SWV26" s="388"/>
      <c r="SWW26" s="388"/>
      <c r="SWX26" s="388"/>
      <c r="SWY26" s="388"/>
      <c r="SWZ26" s="388"/>
      <c r="SXA26" s="388"/>
      <c r="SXB26" s="388"/>
      <c r="SXC26" s="388"/>
      <c r="SXD26" s="388"/>
      <c r="SXE26" s="388"/>
      <c r="SXF26" s="388"/>
      <c r="SXG26" s="388"/>
      <c r="SXH26" s="388"/>
      <c r="SXI26" s="388"/>
      <c r="SXJ26" s="388"/>
      <c r="SXK26" s="388"/>
      <c r="SXL26" s="388"/>
      <c r="SXM26" s="388"/>
      <c r="SXN26" s="388"/>
      <c r="SXO26" s="388"/>
      <c r="SXP26" s="388"/>
      <c r="SXQ26" s="388"/>
      <c r="SXR26" s="388"/>
      <c r="SXS26" s="388"/>
      <c r="SXT26" s="388"/>
      <c r="SXU26" s="388"/>
      <c r="SXV26" s="388"/>
      <c r="SXW26" s="388"/>
      <c r="SXX26" s="388"/>
      <c r="SXY26" s="388"/>
      <c r="SXZ26" s="388"/>
      <c r="SYA26" s="388"/>
      <c r="SYB26" s="388"/>
      <c r="SYC26" s="388"/>
      <c r="SYD26" s="388"/>
      <c r="SYE26" s="388"/>
      <c r="SYF26" s="388"/>
      <c r="SYG26" s="388"/>
      <c r="SYH26" s="388"/>
      <c r="SYI26" s="388"/>
      <c r="SYJ26" s="388"/>
      <c r="SYK26" s="388"/>
      <c r="SYL26" s="388"/>
      <c r="SYM26" s="388"/>
      <c r="SYN26" s="388"/>
      <c r="SYO26" s="388"/>
      <c r="SYP26" s="388"/>
      <c r="SYQ26" s="388"/>
      <c r="SYR26" s="388"/>
      <c r="SYS26" s="388"/>
      <c r="SYT26" s="388"/>
      <c r="SYU26" s="388"/>
      <c r="SYV26" s="388"/>
      <c r="SYW26" s="388"/>
      <c r="SYX26" s="388"/>
      <c r="SYY26" s="388"/>
      <c r="SYZ26" s="388"/>
      <c r="SZA26" s="388"/>
      <c r="SZB26" s="388"/>
      <c r="SZC26" s="388"/>
      <c r="SZD26" s="388"/>
      <c r="SZE26" s="388"/>
      <c r="SZF26" s="388"/>
      <c r="SZG26" s="388"/>
      <c r="SZH26" s="388"/>
      <c r="SZI26" s="388"/>
      <c r="SZJ26" s="388"/>
      <c r="SZK26" s="388"/>
      <c r="SZL26" s="388"/>
      <c r="SZM26" s="388"/>
      <c r="SZN26" s="388"/>
      <c r="SZO26" s="388"/>
      <c r="SZP26" s="388"/>
      <c r="SZQ26" s="388"/>
      <c r="SZR26" s="388"/>
      <c r="SZS26" s="388"/>
      <c r="SZT26" s="388"/>
      <c r="SZU26" s="388"/>
      <c r="SZV26" s="388"/>
      <c r="SZW26" s="388"/>
      <c r="SZX26" s="388"/>
      <c r="SZY26" s="388"/>
      <c r="SZZ26" s="388"/>
      <c r="TAA26" s="388"/>
      <c r="TAB26" s="388"/>
      <c r="TAC26" s="388"/>
      <c r="TAD26" s="388"/>
      <c r="TAE26" s="388"/>
      <c r="TAF26" s="388"/>
      <c r="TAG26" s="388"/>
      <c r="TAH26" s="388"/>
      <c r="TAI26" s="388"/>
      <c r="TAJ26" s="388"/>
      <c r="TAK26" s="388"/>
      <c r="TAL26" s="388"/>
      <c r="TAM26" s="388"/>
      <c r="TAN26" s="388"/>
      <c r="TAO26" s="388"/>
      <c r="TAP26" s="388"/>
      <c r="TAQ26" s="388"/>
      <c r="TAR26" s="388"/>
      <c r="TAS26" s="388"/>
      <c r="TAT26" s="388"/>
      <c r="TAU26" s="388"/>
      <c r="TAV26" s="388"/>
      <c r="TAW26" s="388"/>
      <c r="TAX26" s="388"/>
      <c r="TAY26" s="388"/>
      <c r="TAZ26" s="388"/>
      <c r="TBA26" s="388"/>
      <c r="TBB26" s="388"/>
      <c r="TBC26" s="388"/>
      <c r="TBD26" s="388"/>
      <c r="TBE26" s="388"/>
      <c r="TBF26" s="388"/>
      <c r="TBG26" s="388"/>
      <c r="TBH26" s="388"/>
      <c r="TBI26" s="388"/>
      <c r="TBJ26" s="388"/>
      <c r="TBK26" s="388"/>
      <c r="TBL26" s="388"/>
      <c r="TBM26" s="388"/>
      <c r="TBN26" s="388"/>
      <c r="TBO26" s="388"/>
      <c r="TBP26" s="388"/>
      <c r="TBQ26" s="388"/>
      <c r="TBR26" s="388"/>
      <c r="TBS26" s="388"/>
      <c r="TBT26" s="388"/>
      <c r="TBU26" s="388"/>
      <c r="TBV26" s="388"/>
      <c r="TBW26" s="388"/>
      <c r="TBX26" s="388"/>
      <c r="TBY26" s="388"/>
      <c r="TBZ26" s="388"/>
      <c r="TCA26" s="388"/>
      <c r="TCB26" s="388"/>
      <c r="TCC26" s="388"/>
      <c r="TCD26" s="388"/>
      <c r="TCE26" s="388"/>
      <c r="TCF26" s="388"/>
      <c r="TCG26" s="388"/>
      <c r="TCH26" s="388"/>
      <c r="TCI26" s="388"/>
      <c r="TCJ26" s="388"/>
      <c r="TCK26" s="388"/>
      <c r="TCL26" s="388"/>
      <c r="TCM26" s="388"/>
      <c r="TCN26" s="388"/>
      <c r="TCO26" s="388"/>
      <c r="TCP26" s="388"/>
      <c r="TCQ26" s="388"/>
      <c r="TCR26" s="388"/>
      <c r="TCS26" s="388"/>
      <c r="TCT26" s="388"/>
      <c r="TCU26" s="388"/>
      <c r="TCV26" s="388"/>
      <c r="TCW26" s="388"/>
      <c r="TCX26" s="388"/>
      <c r="TCY26" s="388"/>
      <c r="TCZ26" s="388"/>
      <c r="TDA26" s="388"/>
      <c r="TDB26" s="388"/>
      <c r="TDC26" s="388"/>
      <c r="TDD26" s="388"/>
      <c r="TDE26" s="388"/>
      <c r="TDF26" s="388"/>
      <c r="TDG26" s="388"/>
      <c r="TDH26" s="388"/>
      <c r="TDI26" s="388"/>
      <c r="TDJ26" s="388"/>
      <c r="TDK26" s="388"/>
      <c r="TDL26" s="388"/>
      <c r="TDM26" s="388"/>
      <c r="TDN26" s="388"/>
      <c r="TDO26" s="388"/>
      <c r="TDP26" s="388"/>
      <c r="TDQ26" s="388"/>
      <c r="TDR26" s="388"/>
      <c r="TDS26" s="388"/>
      <c r="TDT26" s="388"/>
      <c r="TDU26" s="388"/>
      <c r="TDV26" s="388"/>
      <c r="TDW26" s="388"/>
      <c r="TDX26" s="388"/>
      <c r="TDY26" s="388"/>
      <c r="TDZ26" s="388"/>
      <c r="TEA26" s="388"/>
      <c r="TEB26" s="388"/>
      <c r="TEC26" s="388"/>
      <c r="TED26" s="388"/>
      <c r="TEE26" s="388"/>
      <c r="TEF26" s="388"/>
      <c r="TEG26" s="388"/>
      <c r="TEH26" s="388"/>
      <c r="TEI26" s="388"/>
      <c r="TEJ26" s="388"/>
      <c r="TEK26" s="388"/>
      <c r="TEL26" s="388"/>
      <c r="TEM26" s="388"/>
      <c r="TEN26" s="388"/>
      <c r="TEO26" s="388"/>
      <c r="TEP26" s="388"/>
      <c r="TEQ26" s="388"/>
      <c r="TER26" s="388"/>
      <c r="TES26" s="388"/>
      <c r="TET26" s="388"/>
      <c r="TEU26" s="388"/>
      <c r="TEV26" s="388"/>
      <c r="TEW26" s="388"/>
      <c r="TEX26" s="388"/>
      <c r="TEY26" s="388"/>
      <c r="TEZ26" s="388"/>
      <c r="TFA26" s="388"/>
      <c r="TFB26" s="388"/>
      <c r="TFC26" s="388"/>
      <c r="TFD26" s="388"/>
      <c r="TFE26" s="388"/>
      <c r="TFF26" s="388"/>
      <c r="TFG26" s="388"/>
      <c r="TFH26" s="388"/>
      <c r="TFI26" s="388"/>
      <c r="TFJ26" s="388"/>
      <c r="TFK26" s="388"/>
      <c r="TFL26" s="388"/>
      <c r="TFM26" s="388"/>
      <c r="TFN26" s="388"/>
      <c r="TFO26" s="388"/>
      <c r="TFP26" s="388"/>
      <c r="TFQ26" s="388"/>
      <c r="TFR26" s="388"/>
      <c r="TFS26" s="388"/>
      <c r="TFT26" s="388"/>
      <c r="TFU26" s="388"/>
      <c r="TFV26" s="388"/>
      <c r="TFW26" s="388"/>
      <c r="TFX26" s="388"/>
      <c r="TFY26" s="388"/>
      <c r="TFZ26" s="388"/>
      <c r="TGA26" s="388"/>
      <c r="TGB26" s="388"/>
      <c r="TGC26" s="388"/>
      <c r="TGD26" s="388"/>
      <c r="TGE26" s="388"/>
      <c r="TGF26" s="388"/>
      <c r="TGG26" s="388"/>
      <c r="TGH26" s="388"/>
      <c r="TGI26" s="388"/>
      <c r="TGJ26" s="388"/>
      <c r="TGK26" s="388"/>
      <c r="TGL26" s="388"/>
      <c r="TGM26" s="388"/>
      <c r="TGN26" s="388"/>
      <c r="TGO26" s="388"/>
      <c r="TGP26" s="388"/>
      <c r="TGQ26" s="388"/>
      <c r="TGR26" s="388"/>
      <c r="TGS26" s="388"/>
      <c r="TGT26" s="388"/>
      <c r="TGU26" s="388"/>
      <c r="TGV26" s="388"/>
      <c r="TGW26" s="388"/>
      <c r="TGX26" s="388"/>
      <c r="TGY26" s="388"/>
      <c r="TGZ26" s="388"/>
      <c r="THA26" s="388"/>
      <c r="THB26" s="388"/>
      <c r="THC26" s="388"/>
      <c r="THD26" s="388"/>
      <c r="THE26" s="388"/>
      <c r="THF26" s="388"/>
      <c r="THG26" s="388"/>
      <c r="THH26" s="388"/>
      <c r="THI26" s="388"/>
      <c r="THJ26" s="388"/>
      <c r="THK26" s="388"/>
      <c r="THL26" s="388"/>
      <c r="THM26" s="388"/>
      <c r="THN26" s="388"/>
      <c r="THO26" s="388"/>
      <c r="THP26" s="388"/>
      <c r="THQ26" s="388"/>
      <c r="THR26" s="388"/>
      <c r="THS26" s="388"/>
      <c r="THT26" s="388"/>
      <c r="THU26" s="388"/>
      <c r="THV26" s="388"/>
      <c r="THW26" s="388"/>
      <c r="THX26" s="388"/>
      <c r="THY26" s="388"/>
      <c r="THZ26" s="388"/>
      <c r="TIA26" s="388"/>
      <c r="TIB26" s="388"/>
      <c r="TIC26" s="388"/>
      <c r="TID26" s="388"/>
      <c r="TIE26" s="388"/>
      <c r="TIF26" s="388"/>
      <c r="TIG26" s="388"/>
      <c r="TIH26" s="388"/>
      <c r="TII26" s="388"/>
      <c r="TIJ26" s="388"/>
      <c r="TIK26" s="388"/>
      <c r="TIL26" s="388"/>
      <c r="TIM26" s="388"/>
      <c r="TIN26" s="388"/>
      <c r="TIO26" s="388"/>
      <c r="TIP26" s="388"/>
      <c r="TIQ26" s="388"/>
      <c r="TIR26" s="388"/>
      <c r="TIS26" s="388"/>
      <c r="TIT26" s="388"/>
      <c r="TIU26" s="388"/>
      <c r="TIV26" s="388"/>
      <c r="TIW26" s="388"/>
      <c r="TIX26" s="388"/>
      <c r="TIY26" s="388"/>
      <c r="TIZ26" s="388"/>
      <c r="TJA26" s="388"/>
      <c r="TJB26" s="388"/>
      <c r="TJC26" s="388"/>
      <c r="TJD26" s="388"/>
      <c r="TJE26" s="388"/>
      <c r="TJF26" s="388"/>
      <c r="TJG26" s="388"/>
      <c r="TJH26" s="388"/>
      <c r="TJI26" s="388"/>
      <c r="TJJ26" s="388"/>
      <c r="TJK26" s="388"/>
      <c r="TJL26" s="388"/>
      <c r="TJM26" s="388"/>
      <c r="TJN26" s="388"/>
      <c r="TJO26" s="388"/>
      <c r="TJP26" s="388"/>
      <c r="TJQ26" s="388"/>
      <c r="TJR26" s="388"/>
      <c r="TJS26" s="388"/>
      <c r="TJT26" s="388"/>
      <c r="TJU26" s="388"/>
      <c r="TJV26" s="388"/>
      <c r="TJW26" s="388"/>
      <c r="TJX26" s="388"/>
      <c r="TJY26" s="388"/>
      <c r="TJZ26" s="388"/>
      <c r="TKA26" s="388"/>
      <c r="TKB26" s="388"/>
      <c r="TKC26" s="388"/>
      <c r="TKD26" s="388"/>
      <c r="TKE26" s="388"/>
      <c r="TKF26" s="388"/>
      <c r="TKG26" s="388"/>
      <c r="TKH26" s="388"/>
      <c r="TKI26" s="388"/>
      <c r="TKJ26" s="388"/>
      <c r="TKK26" s="388"/>
      <c r="TKL26" s="388"/>
      <c r="TKM26" s="388"/>
      <c r="TKN26" s="388"/>
      <c r="TKO26" s="388"/>
      <c r="TKP26" s="388"/>
      <c r="TKQ26" s="388"/>
      <c r="TKR26" s="388"/>
      <c r="TKS26" s="388"/>
      <c r="TKT26" s="388"/>
      <c r="TKU26" s="388"/>
      <c r="TKV26" s="388"/>
      <c r="TKW26" s="388"/>
      <c r="TKX26" s="388"/>
      <c r="TKY26" s="388"/>
      <c r="TKZ26" s="388"/>
      <c r="TLA26" s="388"/>
      <c r="TLB26" s="388"/>
      <c r="TLC26" s="388"/>
      <c r="TLD26" s="388"/>
      <c r="TLE26" s="388"/>
      <c r="TLF26" s="388"/>
      <c r="TLG26" s="388"/>
      <c r="TLH26" s="388"/>
      <c r="TLI26" s="388"/>
      <c r="TLJ26" s="388"/>
      <c r="TLK26" s="388"/>
      <c r="TLL26" s="388"/>
      <c r="TLM26" s="388"/>
      <c r="TLN26" s="388"/>
      <c r="TLO26" s="388"/>
      <c r="TLP26" s="388"/>
      <c r="TLQ26" s="388"/>
      <c r="TLR26" s="388"/>
      <c r="TLS26" s="388"/>
      <c r="TLT26" s="388"/>
      <c r="TLU26" s="388"/>
      <c r="TLV26" s="388"/>
      <c r="TLW26" s="388"/>
      <c r="TLX26" s="388"/>
      <c r="TLY26" s="388"/>
      <c r="TLZ26" s="388"/>
      <c r="TMA26" s="388"/>
      <c r="TMB26" s="388"/>
      <c r="TMC26" s="388"/>
      <c r="TMD26" s="388"/>
      <c r="TME26" s="388"/>
      <c r="TMF26" s="388"/>
      <c r="TMG26" s="388"/>
      <c r="TMH26" s="388"/>
      <c r="TMI26" s="388"/>
      <c r="TMJ26" s="388"/>
      <c r="TMK26" s="388"/>
      <c r="TML26" s="388"/>
      <c r="TMM26" s="388"/>
      <c r="TMN26" s="388"/>
      <c r="TMO26" s="388"/>
      <c r="TMP26" s="388"/>
      <c r="TMQ26" s="388"/>
      <c r="TMR26" s="388"/>
      <c r="TMS26" s="388"/>
      <c r="TMT26" s="388"/>
      <c r="TMU26" s="388"/>
      <c r="TMV26" s="388"/>
      <c r="TMW26" s="388"/>
      <c r="TMX26" s="388"/>
      <c r="TMY26" s="388"/>
      <c r="TMZ26" s="388"/>
      <c r="TNA26" s="388"/>
      <c r="TNB26" s="388"/>
      <c r="TNC26" s="388"/>
      <c r="TND26" s="388"/>
      <c r="TNE26" s="388"/>
      <c r="TNF26" s="388"/>
      <c r="TNG26" s="388"/>
      <c r="TNH26" s="388"/>
      <c r="TNI26" s="388"/>
      <c r="TNJ26" s="388"/>
      <c r="TNK26" s="388"/>
      <c r="TNL26" s="388"/>
      <c r="TNM26" s="388"/>
      <c r="TNN26" s="388"/>
      <c r="TNO26" s="388"/>
      <c r="TNP26" s="388"/>
      <c r="TNQ26" s="388"/>
      <c r="TNR26" s="388"/>
      <c r="TNS26" s="388"/>
      <c r="TNT26" s="388"/>
      <c r="TNU26" s="388"/>
      <c r="TNV26" s="388"/>
      <c r="TNW26" s="388"/>
      <c r="TNX26" s="388"/>
      <c r="TNY26" s="388"/>
      <c r="TNZ26" s="388"/>
      <c r="TOA26" s="388"/>
      <c r="TOB26" s="388"/>
      <c r="TOC26" s="388"/>
      <c r="TOD26" s="388"/>
      <c r="TOE26" s="388"/>
      <c r="TOF26" s="388"/>
      <c r="TOG26" s="388"/>
      <c r="TOH26" s="388"/>
      <c r="TOI26" s="388"/>
      <c r="TOJ26" s="388"/>
      <c r="TOK26" s="388"/>
      <c r="TOL26" s="388"/>
      <c r="TOM26" s="388"/>
      <c r="TON26" s="388"/>
      <c r="TOO26" s="388"/>
      <c r="TOP26" s="388"/>
      <c r="TOQ26" s="388"/>
      <c r="TOR26" s="388"/>
      <c r="TOS26" s="388"/>
      <c r="TOT26" s="388"/>
      <c r="TOU26" s="388"/>
      <c r="TOV26" s="388"/>
      <c r="TOW26" s="388"/>
      <c r="TOX26" s="388"/>
      <c r="TOY26" s="388"/>
      <c r="TOZ26" s="388"/>
      <c r="TPA26" s="388"/>
      <c r="TPB26" s="388"/>
      <c r="TPC26" s="388"/>
      <c r="TPD26" s="388"/>
      <c r="TPE26" s="388"/>
      <c r="TPF26" s="388"/>
      <c r="TPG26" s="388"/>
      <c r="TPH26" s="388"/>
      <c r="TPI26" s="388"/>
      <c r="TPJ26" s="388"/>
      <c r="TPK26" s="388"/>
      <c r="TPL26" s="388"/>
      <c r="TPM26" s="388"/>
      <c r="TPN26" s="388"/>
      <c r="TPO26" s="388"/>
      <c r="TPP26" s="388"/>
      <c r="TPQ26" s="388"/>
      <c r="TPR26" s="388"/>
      <c r="TPS26" s="388"/>
      <c r="TPT26" s="388"/>
      <c r="TPU26" s="388"/>
      <c r="TPV26" s="388"/>
      <c r="TPW26" s="388"/>
      <c r="TPX26" s="388"/>
      <c r="TPY26" s="388"/>
      <c r="TPZ26" s="388"/>
      <c r="TQA26" s="388"/>
      <c r="TQB26" s="388"/>
      <c r="TQC26" s="388"/>
      <c r="TQD26" s="388"/>
      <c r="TQE26" s="388"/>
      <c r="TQF26" s="388"/>
      <c r="TQG26" s="388"/>
      <c r="TQH26" s="388"/>
      <c r="TQI26" s="388"/>
      <c r="TQJ26" s="388"/>
      <c r="TQK26" s="388"/>
      <c r="TQL26" s="388"/>
      <c r="TQM26" s="388"/>
      <c r="TQN26" s="388"/>
      <c r="TQO26" s="388"/>
      <c r="TQP26" s="388"/>
      <c r="TQQ26" s="388"/>
      <c r="TQR26" s="388"/>
      <c r="TQS26" s="388"/>
      <c r="TQT26" s="388"/>
      <c r="TQU26" s="388"/>
      <c r="TQV26" s="388"/>
      <c r="TQW26" s="388"/>
      <c r="TQX26" s="388"/>
      <c r="TQY26" s="388"/>
      <c r="TQZ26" s="388"/>
      <c r="TRA26" s="388"/>
      <c r="TRB26" s="388"/>
      <c r="TRC26" s="388"/>
      <c r="TRD26" s="388"/>
      <c r="TRE26" s="388"/>
      <c r="TRF26" s="388"/>
      <c r="TRG26" s="388"/>
      <c r="TRH26" s="388"/>
      <c r="TRI26" s="388"/>
      <c r="TRJ26" s="388"/>
      <c r="TRK26" s="388"/>
      <c r="TRL26" s="388"/>
      <c r="TRM26" s="388"/>
      <c r="TRN26" s="388"/>
      <c r="TRO26" s="388"/>
      <c r="TRP26" s="388"/>
      <c r="TRQ26" s="388"/>
      <c r="TRR26" s="388"/>
      <c r="TRS26" s="388"/>
      <c r="TRT26" s="388"/>
      <c r="TRU26" s="388"/>
      <c r="TRV26" s="388"/>
      <c r="TRW26" s="388"/>
      <c r="TRX26" s="388"/>
      <c r="TRY26" s="388"/>
      <c r="TRZ26" s="388"/>
      <c r="TSA26" s="388"/>
      <c r="TSB26" s="388"/>
      <c r="TSC26" s="388"/>
      <c r="TSD26" s="388"/>
      <c r="TSE26" s="388"/>
      <c r="TSF26" s="388"/>
      <c r="TSG26" s="388"/>
      <c r="TSH26" s="388"/>
      <c r="TSI26" s="388"/>
      <c r="TSJ26" s="388"/>
      <c r="TSK26" s="388"/>
      <c r="TSL26" s="388"/>
      <c r="TSM26" s="388"/>
      <c r="TSN26" s="388"/>
      <c r="TSO26" s="388"/>
      <c r="TSP26" s="388"/>
      <c r="TSQ26" s="388"/>
      <c r="TSR26" s="388"/>
      <c r="TSS26" s="388"/>
      <c r="TST26" s="388"/>
      <c r="TSU26" s="388"/>
      <c r="TSV26" s="388"/>
      <c r="TSW26" s="388"/>
      <c r="TSX26" s="388"/>
      <c r="TSY26" s="388"/>
      <c r="TSZ26" s="388"/>
      <c r="TTA26" s="388"/>
      <c r="TTB26" s="388"/>
      <c r="TTC26" s="388"/>
      <c r="TTD26" s="388"/>
      <c r="TTE26" s="388"/>
      <c r="TTF26" s="388"/>
      <c r="TTG26" s="388"/>
      <c r="TTH26" s="388"/>
      <c r="TTI26" s="388"/>
      <c r="TTJ26" s="388"/>
      <c r="TTK26" s="388"/>
      <c r="TTL26" s="388"/>
      <c r="TTM26" s="388"/>
      <c r="TTN26" s="388"/>
      <c r="TTO26" s="388"/>
      <c r="TTP26" s="388"/>
      <c r="TTQ26" s="388"/>
      <c r="TTR26" s="388"/>
      <c r="TTS26" s="388"/>
      <c r="TTT26" s="388"/>
      <c r="TTU26" s="388"/>
      <c r="TTV26" s="388"/>
      <c r="TTW26" s="388"/>
      <c r="TTX26" s="388"/>
      <c r="TTY26" s="388"/>
      <c r="TTZ26" s="388"/>
      <c r="TUA26" s="388"/>
      <c r="TUB26" s="388"/>
      <c r="TUC26" s="388"/>
      <c r="TUD26" s="388"/>
      <c r="TUE26" s="388"/>
      <c r="TUF26" s="388"/>
      <c r="TUG26" s="388"/>
      <c r="TUH26" s="388"/>
      <c r="TUI26" s="388"/>
      <c r="TUJ26" s="388"/>
      <c r="TUK26" s="388"/>
      <c r="TUL26" s="388"/>
      <c r="TUM26" s="388"/>
      <c r="TUN26" s="388"/>
      <c r="TUO26" s="388"/>
      <c r="TUP26" s="388"/>
      <c r="TUQ26" s="388"/>
      <c r="TUR26" s="388"/>
      <c r="TUS26" s="388"/>
      <c r="TUT26" s="388"/>
      <c r="TUU26" s="388"/>
      <c r="TUV26" s="388"/>
      <c r="TUW26" s="388"/>
      <c r="TUX26" s="388"/>
      <c r="TUY26" s="388"/>
      <c r="TUZ26" s="388"/>
      <c r="TVA26" s="388"/>
      <c r="TVB26" s="388"/>
      <c r="TVC26" s="388"/>
      <c r="TVD26" s="388"/>
      <c r="TVE26" s="388"/>
      <c r="TVF26" s="388"/>
      <c r="TVG26" s="388"/>
      <c r="TVH26" s="388"/>
      <c r="TVI26" s="388"/>
      <c r="TVJ26" s="388"/>
      <c r="TVK26" s="388"/>
      <c r="TVL26" s="388"/>
      <c r="TVM26" s="388"/>
      <c r="TVN26" s="388"/>
      <c r="TVO26" s="388"/>
      <c r="TVP26" s="388"/>
      <c r="TVQ26" s="388"/>
      <c r="TVR26" s="388"/>
      <c r="TVS26" s="388"/>
      <c r="TVT26" s="388"/>
      <c r="TVU26" s="388"/>
      <c r="TVV26" s="388"/>
      <c r="TVW26" s="388"/>
      <c r="TVX26" s="388"/>
      <c r="TVY26" s="388"/>
      <c r="TVZ26" s="388"/>
      <c r="TWA26" s="388"/>
      <c r="TWB26" s="388"/>
      <c r="TWC26" s="388"/>
      <c r="TWD26" s="388"/>
      <c r="TWE26" s="388"/>
      <c r="TWF26" s="388"/>
      <c r="TWG26" s="388"/>
      <c r="TWH26" s="388"/>
      <c r="TWI26" s="388"/>
      <c r="TWJ26" s="388"/>
      <c r="TWK26" s="388"/>
      <c r="TWL26" s="388"/>
      <c r="TWM26" s="388"/>
      <c r="TWN26" s="388"/>
      <c r="TWO26" s="388"/>
      <c r="TWP26" s="388"/>
      <c r="TWQ26" s="388"/>
      <c r="TWR26" s="388"/>
      <c r="TWS26" s="388"/>
      <c r="TWT26" s="388"/>
      <c r="TWU26" s="388"/>
      <c r="TWV26" s="388"/>
      <c r="TWW26" s="388"/>
      <c r="TWX26" s="388"/>
      <c r="TWY26" s="388"/>
      <c r="TWZ26" s="388"/>
      <c r="TXA26" s="388"/>
      <c r="TXB26" s="388"/>
      <c r="TXC26" s="388"/>
      <c r="TXD26" s="388"/>
      <c r="TXE26" s="388"/>
      <c r="TXF26" s="388"/>
      <c r="TXG26" s="388"/>
      <c r="TXH26" s="388"/>
      <c r="TXI26" s="388"/>
      <c r="TXJ26" s="388"/>
      <c r="TXK26" s="388"/>
      <c r="TXL26" s="388"/>
      <c r="TXM26" s="388"/>
      <c r="TXN26" s="388"/>
      <c r="TXO26" s="388"/>
      <c r="TXP26" s="388"/>
      <c r="TXQ26" s="388"/>
      <c r="TXR26" s="388"/>
      <c r="TXS26" s="388"/>
      <c r="TXT26" s="388"/>
      <c r="TXU26" s="388"/>
      <c r="TXV26" s="388"/>
      <c r="TXW26" s="388"/>
      <c r="TXX26" s="388"/>
      <c r="TXY26" s="388"/>
      <c r="TXZ26" s="388"/>
      <c r="TYA26" s="388"/>
      <c r="TYB26" s="388"/>
      <c r="TYC26" s="388"/>
      <c r="TYD26" s="388"/>
      <c r="TYE26" s="388"/>
      <c r="TYF26" s="388"/>
      <c r="TYG26" s="388"/>
      <c r="TYH26" s="388"/>
      <c r="TYI26" s="388"/>
      <c r="TYJ26" s="388"/>
      <c r="TYK26" s="388"/>
      <c r="TYL26" s="388"/>
      <c r="TYM26" s="388"/>
      <c r="TYN26" s="388"/>
      <c r="TYO26" s="388"/>
      <c r="TYP26" s="388"/>
      <c r="TYQ26" s="388"/>
      <c r="TYR26" s="388"/>
      <c r="TYS26" s="388"/>
      <c r="TYT26" s="388"/>
      <c r="TYU26" s="388"/>
      <c r="TYV26" s="388"/>
      <c r="TYW26" s="388"/>
      <c r="TYX26" s="388"/>
      <c r="TYY26" s="388"/>
      <c r="TYZ26" s="388"/>
      <c r="TZA26" s="388"/>
      <c r="TZB26" s="388"/>
      <c r="TZC26" s="388"/>
      <c r="TZD26" s="388"/>
      <c r="TZE26" s="388"/>
      <c r="TZF26" s="388"/>
      <c r="TZG26" s="388"/>
      <c r="TZH26" s="388"/>
      <c r="TZI26" s="388"/>
      <c r="TZJ26" s="388"/>
      <c r="TZK26" s="388"/>
      <c r="TZL26" s="388"/>
      <c r="TZM26" s="388"/>
      <c r="TZN26" s="388"/>
      <c r="TZO26" s="388"/>
      <c r="TZP26" s="388"/>
      <c r="TZQ26" s="388"/>
      <c r="TZR26" s="388"/>
      <c r="TZS26" s="388"/>
      <c r="TZT26" s="388"/>
      <c r="TZU26" s="388"/>
      <c r="TZV26" s="388"/>
      <c r="TZW26" s="388"/>
      <c r="TZX26" s="388"/>
      <c r="TZY26" s="388"/>
      <c r="TZZ26" s="388"/>
      <c r="UAA26" s="388"/>
      <c r="UAB26" s="388"/>
      <c r="UAC26" s="388"/>
      <c r="UAD26" s="388"/>
      <c r="UAE26" s="388"/>
      <c r="UAF26" s="388"/>
      <c r="UAG26" s="388"/>
      <c r="UAH26" s="388"/>
      <c r="UAI26" s="388"/>
      <c r="UAJ26" s="388"/>
      <c r="UAK26" s="388"/>
      <c r="UAL26" s="388"/>
      <c r="UAM26" s="388"/>
      <c r="UAN26" s="388"/>
      <c r="UAO26" s="388"/>
      <c r="UAP26" s="388"/>
      <c r="UAQ26" s="388"/>
      <c r="UAR26" s="388"/>
      <c r="UAS26" s="388"/>
      <c r="UAT26" s="388"/>
      <c r="UAU26" s="388"/>
      <c r="UAV26" s="388"/>
      <c r="UAW26" s="388"/>
      <c r="UAX26" s="388"/>
      <c r="UAY26" s="388"/>
      <c r="UAZ26" s="388"/>
      <c r="UBA26" s="388"/>
      <c r="UBB26" s="388"/>
      <c r="UBC26" s="388"/>
      <c r="UBD26" s="388"/>
      <c r="UBE26" s="388"/>
      <c r="UBF26" s="388"/>
      <c r="UBG26" s="388"/>
      <c r="UBH26" s="388"/>
      <c r="UBI26" s="388"/>
      <c r="UBJ26" s="388"/>
      <c r="UBK26" s="388"/>
      <c r="UBL26" s="388"/>
      <c r="UBM26" s="388"/>
      <c r="UBN26" s="388"/>
      <c r="UBO26" s="388"/>
      <c r="UBP26" s="388"/>
      <c r="UBQ26" s="388"/>
      <c r="UBR26" s="388"/>
      <c r="UBS26" s="388"/>
      <c r="UBT26" s="388"/>
      <c r="UBU26" s="388"/>
      <c r="UBV26" s="388"/>
      <c r="UBW26" s="388"/>
      <c r="UBX26" s="388"/>
      <c r="UBY26" s="388"/>
      <c r="UBZ26" s="388"/>
      <c r="UCA26" s="388"/>
      <c r="UCB26" s="388"/>
      <c r="UCC26" s="388"/>
      <c r="UCD26" s="388"/>
      <c r="UCE26" s="388"/>
      <c r="UCF26" s="388"/>
      <c r="UCG26" s="388"/>
      <c r="UCH26" s="388"/>
      <c r="UCI26" s="388"/>
      <c r="UCJ26" s="388"/>
      <c r="UCK26" s="388"/>
      <c r="UCL26" s="388"/>
      <c r="UCM26" s="388"/>
      <c r="UCN26" s="388"/>
      <c r="UCO26" s="388"/>
      <c r="UCP26" s="388"/>
      <c r="UCQ26" s="388"/>
      <c r="UCR26" s="388"/>
      <c r="UCS26" s="388"/>
      <c r="UCT26" s="388"/>
      <c r="UCU26" s="388"/>
      <c r="UCV26" s="388"/>
      <c r="UCW26" s="388"/>
      <c r="UCX26" s="388"/>
      <c r="UCY26" s="388"/>
      <c r="UCZ26" s="388"/>
      <c r="UDA26" s="388"/>
      <c r="UDB26" s="388"/>
      <c r="UDC26" s="388"/>
      <c r="UDD26" s="388"/>
      <c r="UDE26" s="388"/>
      <c r="UDF26" s="388"/>
      <c r="UDG26" s="388"/>
      <c r="UDH26" s="388"/>
      <c r="UDI26" s="388"/>
      <c r="UDJ26" s="388"/>
      <c r="UDK26" s="388"/>
      <c r="UDL26" s="388"/>
      <c r="UDM26" s="388"/>
      <c r="UDN26" s="388"/>
      <c r="UDO26" s="388"/>
      <c r="UDP26" s="388"/>
      <c r="UDQ26" s="388"/>
      <c r="UDR26" s="388"/>
      <c r="UDS26" s="388"/>
      <c r="UDT26" s="388"/>
      <c r="UDU26" s="388"/>
      <c r="UDV26" s="388"/>
      <c r="UDW26" s="388"/>
      <c r="UDX26" s="388"/>
      <c r="UDY26" s="388"/>
      <c r="UDZ26" s="388"/>
      <c r="UEA26" s="388"/>
      <c r="UEB26" s="388"/>
      <c r="UEC26" s="388"/>
      <c r="UED26" s="388"/>
      <c r="UEE26" s="388"/>
      <c r="UEF26" s="388"/>
      <c r="UEG26" s="388"/>
      <c r="UEH26" s="388"/>
      <c r="UEI26" s="388"/>
      <c r="UEJ26" s="388"/>
      <c r="UEK26" s="388"/>
      <c r="UEL26" s="388"/>
      <c r="UEM26" s="388"/>
      <c r="UEN26" s="388"/>
      <c r="UEO26" s="388"/>
      <c r="UEP26" s="388"/>
      <c r="UEQ26" s="388"/>
      <c r="UER26" s="388"/>
      <c r="UES26" s="388"/>
      <c r="UET26" s="388"/>
      <c r="UEU26" s="388"/>
      <c r="UEV26" s="388"/>
      <c r="UEW26" s="388"/>
      <c r="UEX26" s="388"/>
      <c r="UEY26" s="388"/>
      <c r="UEZ26" s="388"/>
      <c r="UFA26" s="388"/>
      <c r="UFB26" s="388"/>
      <c r="UFC26" s="388"/>
      <c r="UFD26" s="388"/>
      <c r="UFE26" s="388"/>
      <c r="UFF26" s="388"/>
      <c r="UFG26" s="388"/>
      <c r="UFH26" s="388"/>
      <c r="UFI26" s="388"/>
      <c r="UFJ26" s="388"/>
      <c r="UFK26" s="388"/>
      <c r="UFL26" s="388"/>
      <c r="UFM26" s="388"/>
      <c r="UFN26" s="388"/>
      <c r="UFO26" s="388"/>
      <c r="UFP26" s="388"/>
      <c r="UFQ26" s="388"/>
      <c r="UFR26" s="388"/>
      <c r="UFS26" s="388"/>
      <c r="UFT26" s="388"/>
      <c r="UFU26" s="388"/>
      <c r="UFV26" s="388"/>
      <c r="UFW26" s="388"/>
      <c r="UFX26" s="388"/>
      <c r="UFY26" s="388"/>
      <c r="UFZ26" s="388"/>
      <c r="UGA26" s="388"/>
      <c r="UGB26" s="388"/>
      <c r="UGC26" s="388"/>
      <c r="UGD26" s="388"/>
      <c r="UGE26" s="388"/>
      <c r="UGF26" s="388"/>
      <c r="UGG26" s="388"/>
      <c r="UGH26" s="388"/>
      <c r="UGI26" s="388"/>
      <c r="UGJ26" s="388"/>
      <c r="UGK26" s="388"/>
      <c r="UGL26" s="388"/>
      <c r="UGM26" s="388"/>
      <c r="UGN26" s="388"/>
      <c r="UGO26" s="388"/>
      <c r="UGP26" s="388"/>
      <c r="UGQ26" s="388"/>
      <c r="UGR26" s="388"/>
      <c r="UGS26" s="388"/>
      <c r="UGT26" s="388"/>
      <c r="UGU26" s="388"/>
      <c r="UGV26" s="388"/>
      <c r="UGW26" s="388"/>
      <c r="UGX26" s="388"/>
      <c r="UGY26" s="388"/>
      <c r="UGZ26" s="388"/>
      <c r="UHA26" s="388"/>
      <c r="UHB26" s="388"/>
      <c r="UHC26" s="388"/>
      <c r="UHD26" s="388"/>
      <c r="UHE26" s="388"/>
      <c r="UHF26" s="388"/>
      <c r="UHG26" s="388"/>
      <c r="UHH26" s="388"/>
      <c r="UHI26" s="388"/>
      <c r="UHJ26" s="388"/>
      <c r="UHK26" s="388"/>
      <c r="UHL26" s="388"/>
      <c r="UHM26" s="388"/>
      <c r="UHN26" s="388"/>
      <c r="UHO26" s="388"/>
      <c r="UHP26" s="388"/>
      <c r="UHQ26" s="388"/>
      <c r="UHR26" s="388"/>
      <c r="UHS26" s="388"/>
      <c r="UHT26" s="388"/>
      <c r="UHU26" s="388"/>
      <c r="UHV26" s="388"/>
      <c r="UHW26" s="388"/>
      <c r="UHX26" s="388"/>
      <c r="UHY26" s="388"/>
      <c r="UHZ26" s="388"/>
      <c r="UIA26" s="388"/>
      <c r="UIB26" s="388"/>
      <c r="UIC26" s="388"/>
      <c r="UID26" s="388"/>
      <c r="UIE26" s="388"/>
      <c r="UIF26" s="388"/>
      <c r="UIG26" s="388"/>
      <c r="UIH26" s="388"/>
      <c r="UII26" s="388"/>
      <c r="UIJ26" s="388"/>
      <c r="UIK26" s="388"/>
      <c r="UIL26" s="388"/>
      <c r="UIM26" s="388"/>
      <c r="UIN26" s="388"/>
      <c r="UIO26" s="388"/>
      <c r="UIP26" s="388"/>
      <c r="UIQ26" s="388"/>
      <c r="UIR26" s="388"/>
      <c r="UIS26" s="388"/>
      <c r="UIT26" s="388"/>
      <c r="UIU26" s="388"/>
      <c r="UIV26" s="388"/>
      <c r="UIW26" s="388"/>
      <c r="UIX26" s="388"/>
      <c r="UIY26" s="388"/>
      <c r="UIZ26" s="388"/>
      <c r="UJA26" s="388"/>
      <c r="UJB26" s="388"/>
      <c r="UJC26" s="388"/>
      <c r="UJD26" s="388"/>
      <c r="UJE26" s="388"/>
      <c r="UJF26" s="388"/>
      <c r="UJG26" s="388"/>
      <c r="UJH26" s="388"/>
      <c r="UJI26" s="388"/>
      <c r="UJJ26" s="388"/>
      <c r="UJK26" s="388"/>
      <c r="UJL26" s="388"/>
      <c r="UJM26" s="388"/>
      <c r="UJN26" s="388"/>
      <c r="UJO26" s="388"/>
      <c r="UJP26" s="388"/>
      <c r="UJQ26" s="388"/>
      <c r="UJR26" s="388"/>
      <c r="UJS26" s="388"/>
      <c r="UJT26" s="388"/>
      <c r="UJU26" s="388"/>
      <c r="UJV26" s="388"/>
      <c r="UJW26" s="388"/>
      <c r="UJX26" s="388"/>
      <c r="UJY26" s="388"/>
      <c r="UJZ26" s="388"/>
      <c r="UKA26" s="388"/>
      <c r="UKB26" s="388"/>
      <c r="UKC26" s="388"/>
      <c r="UKD26" s="388"/>
      <c r="UKE26" s="388"/>
      <c r="UKF26" s="388"/>
      <c r="UKG26" s="388"/>
      <c r="UKH26" s="388"/>
      <c r="UKI26" s="388"/>
      <c r="UKJ26" s="388"/>
      <c r="UKK26" s="388"/>
      <c r="UKL26" s="388"/>
      <c r="UKM26" s="388"/>
      <c r="UKN26" s="388"/>
      <c r="UKO26" s="388"/>
      <c r="UKP26" s="388"/>
      <c r="UKQ26" s="388"/>
      <c r="UKR26" s="388"/>
      <c r="UKS26" s="388"/>
      <c r="UKT26" s="388"/>
      <c r="UKU26" s="388"/>
      <c r="UKV26" s="388"/>
      <c r="UKW26" s="388"/>
      <c r="UKX26" s="388"/>
      <c r="UKY26" s="388"/>
      <c r="UKZ26" s="388"/>
      <c r="ULA26" s="388"/>
      <c r="ULB26" s="388"/>
      <c r="ULC26" s="388"/>
      <c r="ULD26" s="388"/>
      <c r="ULE26" s="388"/>
      <c r="ULF26" s="388"/>
      <c r="ULG26" s="388"/>
      <c r="ULH26" s="388"/>
      <c r="ULI26" s="388"/>
      <c r="ULJ26" s="388"/>
      <c r="ULK26" s="388"/>
      <c r="ULL26" s="388"/>
      <c r="ULM26" s="388"/>
      <c r="ULN26" s="388"/>
      <c r="ULO26" s="388"/>
      <c r="ULP26" s="388"/>
      <c r="ULQ26" s="388"/>
      <c r="ULR26" s="388"/>
      <c r="ULS26" s="388"/>
      <c r="ULT26" s="388"/>
      <c r="ULU26" s="388"/>
      <c r="ULV26" s="388"/>
      <c r="ULW26" s="388"/>
      <c r="ULX26" s="388"/>
      <c r="ULY26" s="388"/>
      <c r="ULZ26" s="388"/>
      <c r="UMA26" s="388"/>
      <c r="UMB26" s="388"/>
      <c r="UMC26" s="388"/>
      <c r="UMD26" s="388"/>
      <c r="UME26" s="388"/>
      <c r="UMF26" s="388"/>
      <c r="UMG26" s="388"/>
      <c r="UMH26" s="388"/>
      <c r="UMI26" s="388"/>
      <c r="UMJ26" s="388"/>
      <c r="UMK26" s="388"/>
      <c r="UML26" s="388"/>
      <c r="UMM26" s="388"/>
      <c r="UMN26" s="388"/>
      <c r="UMO26" s="388"/>
      <c r="UMP26" s="388"/>
      <c r="UMQ26" s="388"/>
      <c r="UMR26" s="388"/>
      <c r="UMS26" s="388"/>
      <c r="UMT26" s="388"/>
      <c r="UMU26" s="388"/>
      <c r="UMV26" s="388"/>
      <c r="UMW26" s="388"/>
      <c r="UMX26" s="388"/>
      <c r="UMY26" s="388"/>
      <c r="UMZ26" s="388"/>
      <c r="UNA26" s="388"/>
      <c r="UNB26" s="388"/>
      <c r="UNC26" s="388"/>
      <c r="UND26" s="388"/>
      <c r="UNE26" s="388"/>
      <c r="UNF26" s="388"/>
      <c r="UNG26" s="388"/>
      <c r="UNH26" s="388"/>
      <c r="UNI26" s="388"/>
      <c r="UNJ26" s="388"/>
      <c r="UNK26" s="388"/>
      <c r="UNL26" s="388"/>
      <c r="UNM26" s="388"/>
      <c r="UNN26" s="388"/>
      <c r="UNO26" s="388"/>
      <c r="UNP26" s="388"/>
      <c r="UNQ26" s="388"/>
      <c r="UNR26" s="388"/>
      <c r="UNS26" s="388"/>
      <c r="UNT26" s="388"/>
      <c r="UNU26" s="388"/>
      <c r="UNV26" s="388"/>
      <c r="UNW26" s="388"/>
      <c r="UNX26" s="388"/>
      <c r="UNY26" s="388"/>
      <c r="UNZ26" s="388"/>
      <c r="UOA26" s="388"/>
      <c r="UOB26" s="388"/>
      <c r="UOC26" s="388"/>
      <c r="UOD26" s="388"/>
      <c r="UOE26" s="388"/>
      <c r="UOF26" s="388"/>
      <c r="UOG26" s="388"/>
      <c r="UOH26" s="388"/>
      <c r="UOI26" s="388"/>
      <c r="UOJ26" s="388"/>
      <c r="UOK26" s="388"/>
      <c r="UOL26" s="388"/>
      <c r="UOM26" s="388"/>
      <c r="UON26" s="388"/>
      <c r="UOO26" s="388"/>
      <c r="UOP26" s="388"/>
      <c r="UOQ26" s="388"/>
      <c r="UOR26" s="388"/>
      <c r="UOS26" s="388"/>
      <c r="UOT26" s="388"/>
      <c r="UOU26" s="388"/>
      <c r="UOV26" s="388"/>
      <c r="UOW26" s="388"/>
      <c r="UOX26" s="388"/>
      <c r="UOY26" s="388"/>
      <c r="UOZ26" s="388"/>
      <c r="UPA26" s="388"/>
      <c r="UPB26" s="388"/>
      <c r="UPC26" s="388"/>
      <c r="UPD26" s="388"/>
      <c r="UPE26" s="388"/>
      <c r="UPF26" s="388"/>
      <c r="UPG26" s="388"/>
      <c r="UPH26" s="388"/>
      <c r="UPI26" s="388"/>
      <c r="UPJ26" s="388"/>
      <c r="UPK26" s="388"/>
      <c r="UPL26" s="388"/>
      <c r="UPM26" s="388"/>
      <c r="UPN26" s="388"/>
      <c r="UPO26" s="388"/>
      <c r="UPP26" s="388"/>
      <c r="UPQ26" s="388"/>
      <c r="UPR26" s="388"/>
      <c r="UPS26" s="388"/>
      <c r="UPT26" s="388"/>
      <c r="UPU26" s="388"/>
      <c r="UPV26" s="388"/>
      <c r="UPW26" s="388"/>
      <c r="UPX26" s="388"/>
      <c r="UPY26" s="388"/>
      <c r="UPZ26" s="388"/>
      <c r="UQA26" s="388"/>
      <c r="UQB26" s="388"/>
      <c r="UQC26" s="388"/>
      <c r="UQD26" s="388"/>
      <c r="UQE26" s="388"/>
      <c r="UQF26" s="388"/>
      <c r="UQG26" s="388"/>
      <c r="UQH26" s="388"/>
      <c r="UQI26" s="388"/>
      <c r="UQJ26" s="388"/>
      <c r="UQK26" s="388"/>
      <c r="UQL26" s="388"/>
      <c r="UQM26" s="388"/>
      <c r="UQN26" s="388"/>
      <c r="UQO26" s="388"/>
      <c r="UQP26" s="388"/>
      <c r="UQQ26" s="388"/>
      <c r="UQR26" s="388"/>
      <c r="UQS26" s="388"/>
      <c r="UQT26" s="388"/>
      <c r="UQU26" s="388"/>
      <c r="UQV26" s="388"/>
      <c r="UQW26" s="388"/>
      <c r="UQX26" s="388"/>
      <c r="UQY26" s="388"/>
      <c r="UQZ26" s="388"/>
      <c r="URA26" s="388"/>
      <c r="URB26" s="388"/>
      <c r="URC26" s="388"/>
      <c r="URD26" s="388"/>
      <c r="URE26" s="388"/>
      <c r="URF26" s="388"/>
      <c r="URG26" s="388"/>
      <c r="URH26" s="388"/>
      <c r="URI26" s="388"/>
      <c r="URJ26" s="388"/>
      <c r="URK26" s="388"/>
      <c r="URL26" s="388"/>
      <c r="URM26" s="388"/>
      <c r="URN26" s="388"/>
      <c r="URO26" s="388"/>
      <c r="URP26" s="388"/>
      <c r="URQ26" s="388"/>
      <c r="URR26" s="388"/>
      <c r="URS26" s="388"/>
      <c r="URT26" s="388"/>
      <c r="URU26" s="388"/>
      <c r="URV26" s="388"/>
      <c r="URW26" s="388"/>
      <c r="URX26" s="388"/>
      <c r="URY26" s="388"/>
      <c r="URZ26" s="388"/>
      <c r="USA26" s="388"/>
      <c r="USB26" s="388"/>
      <c r="USC26" s="388"/>
      <c r="USD26" s="388"/>
      <c r="USE26" s="388"/>
      <c r="USF26" s="388"/>
      <c r="USG26" s="388"/>
      <c r="USH26" s="388"/>
      <c r="USI26" s="388"/>
      <c r="USJ26" s="388"/>
      <c r="USK26" s="388"/>
      <c r="USL26" s="388"/>
      <c r="USM26" s="388"/>
      <c r="USN26" s="388"/>
      <c r="USO26" s="388"/>
      <c r="USP26" s="388"/>
      <c r="USQ26" s="388"/>
      <c r="USR26" s="388"/>
      <c r="USS26" s="388"/>
      <c r="UST26" s="388"/>
      <c r="USU26" s="388"/>
      <c r="USV26" s="388"/>
      <c r="USW26" s="388"/>
      <c r="USX26" s="388"/>
      <c r="USY26" s="388"/>
      <c r="USZ26" s="388"/>
      <c r="UTA26" s="388"/>
      <c r="UTB26" s="388"/>
      <c r="UTC26" s="388"/>
      <c r="UTD26" s="388"/>
      <c r="UTE26" s="388"/>
      <c r="UTF26" s="388"/>
      <c r="UTG26" s="388"/>
      <c r="UTH26" s="388"/>
      <c r="UTI26" s="388"/>
      <c r="UTJ26" s="388"/>
      <c r="UTK26" s="388"/>
      <c r="UTL26" s="388"/>
      <c r="UTM26" s="388"/>
      <c r="UTN26" s="388"/>
      <c r="UTO26" s="388"/>
      <c r="UTP26" s="388"/>
      <c r="UTQ26" s="388"/>
      <c r="UTR26" s="388"/>
      <c r="UTS26" s="388"/>
      <c r="UTT26" s="388"/>
      <c r="UTU26" s="388"/>
      <c r="UTV26" s="388"/>
      <c r="UTW26" s="388"/>
      <c r="UTX26" s="388"/>
      <c r="UTY26" s="388"/>
      <c r="UTZ26" s="388"/>
      <c r="UUA26" s="388"/>
      <c r="UUB26" s="388"/>
      <c r="UUC26" s="388"/>
      <c r="UUD26" s="388"/>
      <c r="UUE26" s="388"/>
      <c r="UUF26" s="388"/>
      <c r="UUG26" s="388"/>
      <c r="UUH26" s="388"/>
      <c r="UUI26" s="388"/>
      <c r="UUJ26" s="388"/>
      <c r="UUK26" s="388"/>
      <c r="UUL26" s="388"/>
      <c r="UUM26" s="388"/>
      <c r="UUN26" s="388"/>
      <c r="UUO26" s="388"/>
      <c r="UUP26" s="388"/>
      <c r="UUQ26" s="388"/>
      <c r="UUR26" s="388"/>
      <c r="UUS26" s="388"/>
      <c r="UUT26" s="388"/>
      <c r="UUU26" s="388"/>
      <c r="UUV26" s="388"/>
      <c r="UUW26" s="388"/>
      <c r="UUX26" s="388"/>
      <c r="UUY26" s="388"/>
      <c r="UUZ26" s="388"/>
      <c r="UVA26" s="388"/>
      <c r="UVB26" s="388"/>
      <c r="UVC26" s="388"/>
      <c r="UVD26" s="388"/>
      <c r="UVE26" s="388"/>
      <c r="UVF26" s="388"/>
      <c r="UVG26" s="388"/>
      <c r="UVH26" s="388"/>
      <c r="UVI26" s="388"/>
      <c r="UVJ26" s="388"/>
      <c r="UVK26" s="388"/>
      <c r="UVL26" s="388"/>
      <c r="UVM26" s="388"/>
      <c r="UVN26" s="388"/>
      <c r="UVO26" s="388"/>
      <c r="UVP26" s="388"/>
      <c r="UVQ26" s="388"/>
      <c r="UVR26" s="388"/>
      <c r="UVS26" s="388"/>
      <c r="UVT26" s="388"/>
      <c r="UVU26" s="388"/>
      <c r="UVV26" s="388"/>
      <c r="UVW26" s="388"/>
      <c r="UVX26" s="388"/>
      <c r="UVY26" s="388"/>
      <c r="UVZ26" s="388"/>
      <c r="UWA26" s="388"/>
      <c r="UWB26" s="388"/>
      <c r="UWC26" s="388"/>
      <c r="UWD26" s="388"/>
      <c r="UWE26" s="388"/>
      <c r="UWF26" s="388"/>
      <c r="UWG26" s="388"/>
      <c r="UWH26" s="388"/>
      <c r="UWI26" s="388"/>
      <c r="UWJ26" s="388"/>
      <c r="UWK26" s="388"/>
      <c r="UWL26" s="388"/>
      <c r="UWM26" s="388"/>
      <c r="UWN26" s="388"/>
      <c r="UWO26" s="388"/>
      <c r="UWP26" s="388"/>
      <c r="UWQ26" s="388"/>
      <c r="UWR26" s="388"/>
      <c r="UWS26" s="388"/>
      <c r="UWT26" s="388"/>
      <c r="UWU26" s="388"/>
      <c r="UWV26" s="388"/>
      <c r="UWW26" s="388"/>
      <c r="UWX26" s="388"/>
      <c r="UWY26" s="388"/>
      <c r="UWZ26" s="388"/>
      <c r="UXA26" s="388"/>
      <c r="UXB26" s="388"/>
      <c r="UXC26" s="388"/>
      <c r="UXD26" s="388"/>
      <c r="UXE26" s="388"/>
      <c r="UXF26" s="388"/>
      <c r="UXG26" s="388"/>
      <c r="UXH26" s="388"/>
      <c r="UXI26" s="388"/>
      <c r="UXJ26" s="388"/>
      <c r="UXK26" s="388"/>
      <c r="UXL26" s="388"/>
      <c r="UXM26" s="388"/>
      <c r="UXN26" s="388"/>
      <c r="UXO26" s="388"/>
      <c r="UXP26" s="388"/>
      <c r="UXQ26" s="388"/>
      <c r="UXR26" s="388"/>
      <c r="UXS26" s="388"/>
      <c r="UXT26" s="388"/>
      <c r="UXU26" s="388"/>
      <c r="UXV26" s="388"/>
      <c r="UXW26" s="388"/>
      <c r="UXX26" s="388"/>
      <c r="UXY26" s="388"/>
      <c r="UXZ26" s="388"/>
      <c r="UYA26" s="388"/>
      <c r="UYB26" s="388"/>
      <c r="UYC26" s="388"/>
      <c r="UYD26" s="388"/>
      <c r="UYE26" s="388"/>
      <c r="UYF26" s="388"/>
      <c r="UYG26" s="388"/>
      <c r="UYH26" s="388"/>
      <c r="UYI26" s="388"/>
      <c r="UYJ26" s="388"/>
      <c r="UYK26" s="388"/>
      <c r="UYL26" s="388"/>
      <c r="UYM26" s="388"/>
      <c r="UYN26" s="388"/>
      <c r="UYO26" s="388"/>
      <c r="UYP26" s="388"/>
      <c r="UYQ26" s="388"/>
      <c r="UYR26" s="388"/>
      <c r="UYS26" s="388"/>
      <c r="UYT26" s="388"/>
      <c r="UYU26" s="388"/>
      <c r="UYV26" s="388"/>
      <c r="UYW26" s="388"/>
      <c r="UYX26" s="388"/>
      <c r="UYY26" s="388"/>
      <c r="UYZ26" s="388"/>
      <c r="UZA26" s="388"/>
      <c r="UZB26" s="388"/>
      <c r="UZC26" s="388"/>
      <c r="UZD26" s="388"/>
      <c r="UZE26" s="388"/>
      <c r="UZF26" s="388"/>
      <c r="UZG26" s="388"/>
      <c r="UZH26" s="388"/>
      <c r="UZI26" s="388"/>
      <c r="UZJ26" s="388"/>
      <c r="UZK26" s="388"/>
      <c r="UZL26" s="388"/>
      <c r="UZM26" s="388"/>
      <c r="UZN26" s="388"/>
      <c r="UZO26" s="388"/>
      <c r="UZP26" s="388"/>
      <c r="UZQ26" s="388"/>
      <c r="UZR26" s="388"/>
      <c r="UZS26" s="388"/>
      <c r="UZT26" s="388"/>
      <c r="UZU26" s="388"/>
      <c r="UZV26" s="388"/>
      <c r="UZW26" s="388"/>
      <c r="UZX26" s="388"/>
      <c r="UZY26" s="388"/>
      <c r="UZZ26" s="388"/>
      <c r="VAA26" s="388"/>
      <c r="VAB26" s="388"/>
      <c r="VAC26" s="388"/>
      <c r="VAD26" s="388"/>
      <c r="VAE26" s="388"/>
      <c r="VAF26" s="388"/>
      <c r="VAG26" s="388"/>
      <c r="VAH26" s="388"/>
      <c r="VAI26" s="388"/>
      <c r="VAJ26" s="388"/>
      <c r="VAK26" s="388"/>
      <c r="VAL26" s="388"/>
      <c r="VAM26" s="388"/>
      <c r="VAN26" s="388"/>
      <c r="VAO26" s="388"/>
      <c r="VAP26" s="388"/>
      <c r="VAQ26" s="388"/>
      <c r="VAR26" s="388"/>
      <c r="VAS26" s="388"/>
      <c r="VAT26" s="388"/>
      <c r="VAU26" s="388"/>
      <c r="VAV26" s="388"/>
      <c r="VAW26" s="388"/>
      <c r="VAX26" s="388"/>
      <c r="VAY26" s="388"/>
      <c r="VAZ26" s="388"/>
      <c r="VBA26" s="388"/>
      <c r="VBB26" s="388"/>
      <c r="VBC26" s="388"/>
      <c r="VBD26" s="388"/>
      <c r="VBE26" s="388"/>
      <c r="VBF26" s="388"/>
      <c r="VBG26" s="388"/>
      <c r="VBH26" s="388"/>
      <c r="VBI26" s="388"/>
      <c r="VBJ26" s="388"/>
      <c r="VBK26" s="388"/>
      <c r="VBL26" s="388"/>
      <c r="VBM26" s="388"/>
      <c r="VBN26" s="388"/>
      <c r="VBO26" s="388"/>
      <c r="VBP26" s="388"/>
      <c r="VBQ26" s="388"/>
      <c r="VBR26" s="388"/>
      <c r="VBS26" s="388"/>
      <c r="VBT26" s="388"/>
      <c r="VBU26" s="388"/>
      <c r="VBV26" s="388"/>
      <c r="VBW26" s="388"/>
      <c r="VBX26" s="388"/>
      <c r="VBY26" s="388"/>
      <c r="VBZ26" s="388"/>
      <c r="VCA26" s="388"/>
      <c r="VCB26" s="388"/>
      <c r="VCC26" s="388"/>
      <c r="VCD26" s="388"/>
      <c r="VCE26" s="388"/>
      <c r="VCF26" s="388"/>
      <c r="VCG26" s="388"/>
      <c r="VCH26" s="388"/>
      <c r="VCI26" s="388"/>
      <c r="VCJ26" s="388"/>
      <c r="VCK26" s="388"/>
      <c r="VCL26" s="388"/>
      <c r="VCM26" s="388"/>
      <c r="VCN26" s="388"/>
      <c r="VCO26" s="388"/>
      <c r="VCP26" s="388"/>
      <c r="VCQ26" s="388"/>
      <c r="VCR26" s="388"/>
      <c r="VCS26" s="388"/>
      <c r="VCT26" s="388"/>
      <c r="VCU26" s="388"/>
      <c r="VCV26" s="388"/>
      <c r="VCW26" s="388"/>
      <c r="VCX26" s="388"/>
      <c r="VCY26" s="388"/>
      <c r="VCZ26" s="388"/>
      <c r="VDA26" s="388"/>
      <c r="VDB26" s="388"/>
      <c r="VDC26" s="388"/>
      <c r="VDD26" s="388"/>
      <c r="VDE26" s="388"/>
      <c r="VDF26" s="388"/>
      <c r="VDG26" s="388"/>
      <c r="VDH26" s="388"/>
      <c r="VDI26" s="388"/>
      <c r="VDJ26" s="388"/>
      <c r="VDK26" s="388"/>
      <c r="VDL26" s="388"/>
      <c r="VDM26" s="388"/>
      <c r="VDN26" s="388"/>
      <c r="VDO26" s="388"/>
      <c r="VDP26" s="388"/>
      <c r="VDQ26" s="388"/>
      <c r="VDR26" s="388"/>
      <c r="VDS26" s="388"/>
      <c r="VDT26" s="388"/>
      <c r="VDU26" s="388"/>
      <c r="VDV26" s="388"/>
      <c r="VDW26" s="388"/>
      <c r="VDX26" s="388"/>
      <c r="VDY26" s="388"/>
      <c r="VDZ26" s="388"/>
      <c r="VEA26" s="388"/>
      <c r="VEB26" s="388"/>
      <c r="VEC26" s="388"/>
      <c r="VED26" s="388"/>
      <c r="VEE26" s="388"/>
      <c r="VEF26" s="388"/>
      <c r="VEG26" s="388"/>
      <c r="VEH26" s="388"/>
      <c r="VEI26" s="388"/>
      <c r="VEJ26" s="388"/>
      <c r="VEK26" s="388"/>
      <c r="VEL26" s="388"/>
      <c r="VEM26" s="388"/>
      <c r="VEN26" s="388"/>
      <c r="VEO26" s="388"/>
      <c r="VEP26" s="388"/>
      <c r="VEQ26" s="388"/>
      <c r="VER26" s="388"/>
      <c r="VES26" s="388"/>
      <c r="VET26" s="388"/>
      <c r="VEU26" s="388"/>
      <c r="VEV26" s="388"/>
      <c r="VEW26" s="388"/>
      <c r="VEX26" s="388"/>
      <c r="VEY26" s="388"/>
      <c r="VEZ26" s="388"/>
      <c r="VFA26" s="388"/>
      <c r="VFB26" s="388"/>
      <c r="VFC26" s="388"/>
      <c r="VFD26" s="388"/>
      <c r="VFE26" s="388"/>
      <c r="VFF26" s="388"/>
      <c r="VFG26" s="388"/>
      <c r="VFH26" s="388"/>
      <c r="VFI26" s="388"/>
      <c r="VFJ26" s="388"/>
      <c r="VFK26" s="388"/>
      <c r="VFL26" s="388"/>
      <c r="VFM26" s="388"/>
      <c r="VFN26" s="388"/>
      <c r="VFO26" s="388"/>
      <c r="VFP26" s="388"/>
      <c r="VFQ26" s="388"/>
      <c r="VFR26" s="388"/>
      <c r="VFS26" s="388"/>
      <c r="VFT26" s="388"/>
      <c r="VFU26" s="388"/>
      <c r="VFV26" s="388"/>
      <c r="VFW26" s="388"/>
      <c r="VFX26" s="388"/>
      <c r="VFY26" s="388"/>
      <c r="VFZ26" s="388"/>
      <c r="VGA26" s="388"/>
      <c r="VGB26" s="388"/>
      <c r="VGC26" s="388"/>
      <c r="VGD26" s="388"/>
      <c r="VGE26" s="388"/>
      <c r="VGF26" s="388"/>
      <c r="VGG26" s="388"/>
      <c r="VGH26" s="388"/>
      <c r="VGI26" s="388"/>
      <c r="VGJ26" s="388"/>
      <c r="VGK26" s="388"/>
      <c r="VGL26" s="388"/>
      <c r="VGM26" s="388"/>
      <c r="VGN26" s="388"/>
      <c r="VGO26" s="388"/>
      <c r="VGP26" s="388"/>
      <c r="VGQ26" s="388"/>
      <c r="VGR26" s="388"/>
      <c r="VGS26" s="388"/>
      <c r="VGT26" s="388"/>
      <c r="VGU26" s="388"/>
      <c r="VGV26" s="388"/>
      <c r="VGW26" s="388"/>
      <c r="VGX26" s="388"/>
      <c r="VGY26" s="388"/>
      <c r="VGZ26" s="388"/>
      <c r="VHA26" s="388"/>
      <c r="VHB26" s="388"/>
      <c r="VHC26" s="388"/>
      <c r="VHD26" s="388"/>
      <c r="VHE26" s="388"/>
      <c r="VHF26" s="388"/>
      <c r="VHG26" s="388"/>
      <c r="VHH26" s="388"/>
      <c r="VHI26" s="388"/>
      <c r="VHJ26" s="388"/>
      <c r="VHK26" s="388"/>
      <c r="VHL26" s="388"/>
      <c r="VHM26" s="388"/>
      <c r="VHN26" s="388"/>
      <c r="VHO26" s="388"/>
      <c r="VHP26" s="388"/>
      <c r="VHQ26" s="388"/>
      <c r="VHR26" s="388"/>
      <c r="VHS26" s="388"/>
      <c r="VHT26" s="388"/>
      <c r="VHU26" s="388"/>
      <c r="VHV26" s="388"/>
      <c r="VHW26" s="388"/>
      <c r="VHX26" s="388"/>
      <c r="VHY26" s="388"/>
      <c r="VHZ26" s="388"/>
      <c r="VIA26" s="388"/>
      <c r="VIB26" s="388"/>
      <c r="VIC26" s="388"/>
      <c r="VID26" s="388"/>
      <c r="VIE26" s="388"/>
      <c r="VIF26" s="388"/>
      <c r="VIG26" s="388"/>
      <c r="VIH26" s="388"/>
      <c r="VII26" s="388"/>
      <c r="VIJ26" s="388"/>
      <c r="VIK26" s="388"/>
      <c r="VIL26" s="388"/>
      <c r="VIM26" s="388"/>
      <c r="VIN26" s="388"/>
      <c r="VIO26" s="388"/>
      <c r="VIP26" s="388"/>
      <c r="VIQ26" s="388"/>
      <c r="VIR26" s="388"/>
      <c r="VIS26" s="388"/>
      <c r="VIT26" s="388"/>
      <c r="VIU26" s="388"/>
      <c r="VIV26" s="388"/>
      <c r="VIW26" s="388"/>
      <c r="VIX26" s="388"/>
      <c r="VIY26" s="388"/>
      <c r="VIZ26" s="388"/>
      <c r="VJA26" s="388"/>
      <c r="VJB26" s="388"/>
      <c r="VJC26" s="388"/>
      <c r="VJD26" s="388"/>
      <c r="VJE26" s="388"/>
      <c r="VJF26" s="388"/>
      <c r="VJG26" s="388"/>
      <c r="VJH26" s="388"/>
      <c r="VJI26" s="388"/>
      <c r="VJJ26" s="388"/>
      <c r="VJK26" s="388"/>
      <c r="VJL26" s="388"/>
      <c r="VJM26" s="388"/>
      <c r="VJN26" s="388"/>
      <c r="VJO26" s="388"/>
      <c r="VJP26" s="388"/>
      <c r="VJQ26" s="388"/>
      <c r="VJR26" s="388"/>
      <c r="VJS26" s="388"/>
      <c r="VJT26" s="388"/>
      <c r="VJU26" s="388"/>
      <c r="VJV26" s="388"/>
      <c r="VJW26" s="388"/>
      <c r="VJX26" s="388"/>
      <c r="VJY26" s="388"/>
      <c r="VJZ26" s="388"/>
      <c r="VKA26" s="388"/>
      <c r="VKB26" s="388"/>
      <c r="VKC26" s="388"/>
      <c r="VKD26" s="388"/>
      <c r="VKE26" s="388"/>
      <c r="VKF26" s="388"/>
      <c r="VKG26" s="388"/>
      <c r="VKH26" s="388"/>
      <c r="VKI26" s="388"/>
      <c r="VKJ26" s="388"/>
      <c r="VKK26" s="388"/>
      <c r="VKL26" s="388"/>
      <c r="VKM26" s="388"/>
      <c r="VKN26" s="388"/>
      <c r="VKO26" s="388"/>
      <c r="VKP26" s="388"/>
      <c r="VKQ26" s="388"/>
      <c r="VKR26" s="388"/>
      <c r="VKS26" s="388"/>
      <c r="VKT26" s="388"/>
      <c r="VKU26" s="388"/>
      <c r="VKV26" s="388"/>
      <c r="VKW26" s="388"/>
      <c r="VKX26" s="388"/>
      <c r="VKY26" s="388"/>
      <c r="VKZ26" s="388"/>
      <c r="VLA26" s="388"/>
      <c r="VLB26" s="388"/>
      <c r="VLC26" s="388"/>
      <c r="VLD26" s="388"/>
      <c r="VLE26" s="388"/>
      <c r="VLF26" s="388"/>
      <c r="VLG26" s="388"/>
      <c r="VLH26" s="388"/>
      <c r="VLI26" s="388"/>
      <c r="VLJ26" s="388"/>
      <c r="VLK26" s="388"/>
      <c r="VLL26" s="388"/>
      <c r="VLM26" s="388"/>
      <c r="VLN26" s="388"/>
      <c r="VLO26" s="388"/>
      <c r="VLP26" s="388"/>
      <c r="VLQ26" s="388"/>
      <c r="VLR26" s="388"/>
      <c r="VLS26" s="388"/>
      <c r="VLT26" s="388"/>
      <c r="VLU26" s="388"/>
      <c r="VLV26" s="388"/>
      <c r="VLW26" s="388"/>
      <c r="VLX26" s="388"/>
      <c r="VLY26" s="388"/>
      <c r="VLZ26" s="388"/>
      <c r="VMA26" s="388"/>
      <c r="VMB26" s="388"/>
      <c r="VMC26" s="388"/>
      <c r="VMD26" s="388"/>
      <c r="VME26" s="388"/>
      <c r="VMF26" s="388"/>
      <c r="VMG26" s="388"/>
      <c r="VMH26" s="388"/>
      <c r="VMI26" s="388"/>
      <c r="VMJ26" s="388"/>
      <c r="VMK26" s="388"/>
      <c r="VML26" s="388"/>
      <c r="VMM26" s="388"/>
      <c r="VMN26" s="388"/>
      <c r="VMO26" s="388"/>
      <c r="VMP26" s="388"/>
      <c r="VMQ26" s="388"/>
      <c r="VMR26" s="388"/>
      <c r="VMS26" s="388"/>
      <c r="VMT26" s="388"/>
      <c r="VMU26" s="388"/>
      <c r="VMV26" s="388"/>
      <c r="VMW26" s="388"/>
      <c r="VMX26" s="388"/>
      <c r="VMY26" s="388"/>
      <c r="VMZ26" s="388"/>
      <c r="VNA26" s="388"/>
      <c r="VNB26" s="388"/>
      <c r="VNC26" s="388"/>
      <c r="VND26" s="388"/>
      <c r="VNE26" s="388"/>
      <c r="VNF26" s="388"/>
      <c r="VNG26" s="388"/>
      <c r="VNH26" s="388"/>
      <c r="VNI26" s="388"/>
      <c r="VNJ26" s="388"/>
      <c r="VNK26" s="388"/>
      <c r="VNL26" s="388"/>
      <c r="VNM26" s="388"/>
      <c r="VNN26" s="388"/>
      <c r="VNO26" s="388"/>
      <c r="VNP26" s="388"/>
      <c r="VNQ26" s="388"/>
      <c r="VNR26" s="388"/>
      <c r="VNS26" s="388"/>
      <c r="VNT26" s="388"/>
      <c r="VNU26" s="388"/>
      <c r="VNV26" s="388"/>
      <c r="VNW26" s="388"/>
      <c r="VNX26" s="388"/>
      <c r="VNY26" s="388"/>
      <c r="VNZ26" s="388"/>
      <c r="VOA26" s="388"/>
      <c r="VOB26" s="388"/>
      <c r="VOC26" s="388"/>
      <c r="VOD26" s="388"/>
      <c r="VOE26" s="388"/>
      <c r="VOF26" s="388"/>
      <c r="VOG26" s="388"/>
      <c r="VOH26" s="388"/>
      <c r="VOI26" s="388"/>
      <c r="VOJ26" s="388"/>
      <c r="VOK26" s="388"/>
      <c r="VOL26" s="388"/>
      <c r="VOM26" s="388"/>
      <c r="VON26" s="388"/>
      <c r="VOO26" s="388"/>
      <c r="VOP26" s="388"/>
      <c r="VOQ26" s="388"/>
      <c r="VOR26" s="388"/>
      <c r="VOS26" s="388"/>
      <c r="VOT26" s="388"/>
      <c r="VOU26" s="388"/>
      <c r="VOV26" s="388"/>
      <c r="VOW26" s="388"/>
      <c r="VOX26" s="388"/>
      <c r="VOY26" s="388"/>
      <c r="VOZ26" s="388"/>
      <c r="VPA26" s="388"/>
      <c r="VPB26" s="388"/>
      <c r="VPC26" s="388"/>
      <c r="VPD26" s="388"/>
      <c r="VPE26" s="388"/>
      <c r="VPF26" s="388"/>
      <c r="VPG26" s="388"/>
      <c r="VPH26" s="388"/>
      <c r="VPI26" s="388"/>
      <c r="VPJ26" s="388"/>
      <c r="VPK26" s="388"/>
      <c r="VPL26" s="388"/>
      <c r="VPM26" s="388"/>
      <c r="VPN26" s="388"/>
      <c r="VPO26" s="388"/>
      <c r="VPP26" s="388"/>
      <c r="VPQ26" s="388"/>
      <c r="VPR26" s="388"/>
      <c r="VPS26" s="388"/>
      <c r="VPT26" s="388"/>
      <c r="VPU26" s="388"/>
      <c r="VPV26" s="388"/>
      <c r="VPW26" s="388"/>
      <c r="VPX26" s="388"/>
      <c r="VPY26" s="388"/>
      <c r="VPZ26" s="388"/>
      <c r="VQA26" s="388"/>
      <c r="VQB26" s="388"/>
      <c r="VQC26" s="388"/>
      <c r="VQD26" s="388"/>
      <c r="VQE26" s="388"/>
      <c r="VQF26" s="388"/>
      <c r="VQG26" s="388"/>
      <c r="VQH26" s="388"/>
      <c r="VQI26" s="388"/>
      <c r="VQJ26" s="388"/>
      <c r="VQK26" s="388"/>
      <c r="VQL26" s="388"/>
      <c r="VQM26" s="388"/>
      <c r="VQN26" s="388"/>
      <c r="VQO26" s="388"/>
      <c r="VQP26" s="388"/>
      <c r="VQQ26" s="388"/>
      <c r="VQR26" s="388"/>
      <c r="VQS26" s="388"/>
      <c r="VQT26" s="388"/>
      <c r="VQU26" s="388"/>
      <c r="VQV26" s="388"/>
      <c r="VQW26" s="388"/>
      <c r="VQX26" s="388"/>
      <c r="VQY26" s="388"/>
      <c r="VQZ26" s="388"/>
      <c r="VRA26" s="388"/>
      <c r="VRB26" s="388"/>
      <c r="VRC26" s="388"/>
      <c r="VRD26" s="388"/>
      <c r="VRE26" s="388"/>
      <c r="VRF26" s="388"/>
      <c r="VRG26" s="388"/>
      <c r="VRH26" s="388"/>
      <c r="VRI26" s="388"/>
      <c r="VRJ26" s="388"/>
      <c r="VRK26" s="388"/>
      <c r="VRL26" s="388"/>
      <c r="VRM26" s="388"/>
      <c r="VRN26" s="388"/>
      <c r="VRO26" s="388"/>
      <c r="VRP26" s="388"/>
      <c r="VRQ26" s="388"/>
      <c r="VRR26" s="388"/>
      <c r="VRS26" s="388"/>
      <c r="VRT26" s="388"/>
      <c r="VRU26" s="388"/>
      <c r="VRV26" s="388"/>
      <c r="VRW26" s="388"/>
      <c r="VRX26" s="388"/>
      <c r="VRY26" s="388"/>
      <c r="VRZ26" s="388"/>
      <c r="VSA26" s="388"/>
      <c r="VSB26" s="388"/>
      <c r="VSC26" s="388"/>
      <c r="VSD26" s="388"/>
      <c r="VSE26" s="388"/>
      <c r="VSF26" s="388"/>
      <c r="VSG26" s="388"/>
      <c r="VSH26" s="388"/>
      <c r="VSI26" s="388"/>
      <c r="VSJ26" s="388"/>
      <c r="VSK26" s="388"/>
      <c r="VSL26" s="388"/>
      <c r="VSM26" s="388"/>
      <c r="VSN26" s="388"/>
      <c r="VSO26" s="388"/>
      <c r="VSP26" s="388"/>
      <c r="VSQ26" s="388"/>
      <c r="VSR26" s="388"/>
      <c r="VSS26" s="388"/>
      <c r="VST26" s="388"/>
      <c r="VSU26" s="388"/>
      <c r="VSV26" s="388"/>
      <c r="VSW26" s="388"/>
      <c r="VSX26" s="388"/>
      <c r="VSY26" s="388"/>
      <c r="VSZ26" s="388"/>
      <c r="VTA26" s="388"/>
      <c r="VTB26" s="388"/>
      <c r="VTC26" s="388"/>
      <c r="VTD26" s="388"/>
      <c r="VTE26" s="388"/>
      <c r="VTF26" s="388"/>
      <c r="VTG26" s="388"/>
      <c r="VTH26" s="388"/>
      <c r="VTI26" s="388"/>
      <c r="VTJ26" s="388"/>
      <c r="VTK26" s="388"/>
      <c r="VTL26" s="388"/>
      <c r="VTM26" s="388"/>
      <c r="VTN26" s="388"/>
      <c r="VTO26" s="388"/>
      <c r="VTP26" s="388"/>
      <c r="VTQ26" s="388"/>
      <c r="VTR26" s="388"/>
      <c r="VTS26" s="388"/>
      <c r="VTT26" s="388"/>
      <c r="VTU26" s="388"/>
      <c r="VTV26" s="388"/>
      <c r="VTW26" s="388"/>
      <c r="VTX26" s="388"/>
      <c r="VTY26" s="388"/>
      <c r="VTZ26" s="388"/>
      <c r="VUA26" s="388"/>
      <c r="VUB26" s="388"/>
      <c r="VUC26" s="388"/>
      <c r="VUD26" s="388"/>
      <c r="VUE26" s="388"/>
      <c r="VUF26" s="388"/>
      <c r="VUG26" s="388"/>
      <c r="VUH26" s="388"/>
      <c r="VUI26" s="388"/>
      <c r="VUJ26" s="388"/>
      <c r="VUK26" s="388"/>
      <c r="VUL26" s="388"/>
      <c r="VUM26" s="388"/>
      <c r="VUN26" s="388"/>
      <c r="VUO26" s="388"/>
      <c r="VUP26" s="388"/>
      <c r="VUQ26" s="388"/>
      <c r="VUR26" s="388"/>
      <c r="VUS26" s="388"/>
      <c r="VUT26" s="388"/>
      <c r="VUU26" s="388"/>
      <c r="VUV26" s="388"/>
      <c r="VUW26" s="388"/>
      <c r="VUX26" s="388"/>
      <c r="VUY26" s="388"/>
      <c r="VUZ26" s="388"/>
      <c r="VVA26" s="388"/>
      <c r="VVB26" s="388"/>
      <c r="VVC26" s="388"/>
      <c r="VVD26" s="388"/>
      <c r="VVE26" s="388"/>
      <c r="VVF26" s="388"/>
      <c r="VVG26" s="388"/>
      <c r="VVH26" s="388"/>
      <c r="VVI26" s="388"/>
      <c r="VVJ26" s="388"/>
      <c r="VVK26" s="388"/>
      <c r="VVL26" s="388"/>
      <c r="VVM26" s="388"/>
      <c r="VVN26" s="388"/>
      <c r="VVO26" s="388"/>
      <c r="VVP26" s="388"/>
      <c r="VVQ26" s="388"/>
      <c r="VVR26" s="388"/>
      <c r="VVS26" s="388"/>
      <c r="VVT26" s="388"/>
      <c r="VVU26" s="388"/>
      <c r="VVV26" s="388"/>
      <c r="VVW26" s="388"/>
      <c r="VVX26" s="388"/>
      <c r="VVY26" s="388"/>
      <c r="VVZ26" s="388"/>
      <c r="VWA26" s="388"/>
      <c r="VWB26" s="388"/>
      <c r="VWC26" s="388"/>
      <c r="VWD26" s="388"/>
      <c r="VWE26" s="388"/>
      <c r="VWF26" s="388"/>
      <c r="VWG26" s="388"/>
      <c r="VWH26" s="388"/>
      <c r="VWI26" s="388"/>
      <c r="VWJ26" s="388"/>
      <c r="VWK26" s="388"/>
      <c r="VWL26" s="388"/>
      <c r="VWM26" s="388"/>
      <c r="VWN26" s="388"/>
      <c r="VWO26" s="388"/>
      <c r="VWP26" s="388"/>
      <c r="VWQ26" s="388"/>
      <c r="VWR26" s="388"/>
      <c r="VWS26" s="388"/>
      <c r="VWT26" s="388"/>
      <c r="VWU26" s="388"/>
      <c r="VWV26" s="388"/>
      <c r="VWW26" s="388"/>
      <c r="VWX26" s="388"/>
      <c r="VWY26" s="388"/>
      <c r="VWZ26" s="388"/>
      <c r="VXA26" s="388"/>
      <c r="VXB26" s="388"/>
      <c r="VXC26" s="388"/>
      <c r="VXD26" s="388"/>
      <c r="VXE26" s="388"/>
      <c r="VXF26" s="388"/>
      <c r="VXG26" s="388"/>
      <c r="VXH26" s="388"/>
      <c r="VXI26" s="388"/>
      <c r="VXJ26" s="388"/>
      <c r="VXK26" s="388"/>
      <c r="VXL26" s="388"/>
      <c r="VXM26" s="388"/>
      <c r="VXN26" s="388"/>
      <c r="VXO26" s="388"/>
      <c r="VXP26" s="388"/>
      <c r="VXQ26" s="388"/>
      <c r="VXR26" s="388"/>
      <c r="VXS26" s="388"/>
      <c r="VXT26" s="388"/>
      <c r="VXU26" s="388"/>
      <c r="VXV26" s="388"/>
      <c r="VXW26" s="388"/>
      <c r="VXX26" s="388"/>
      <c r="VXY26" s="388"/>
      <c r="VXZ26" s="388"/>
      <c r="VYA26" s="388"/>
      <c r="VYB26" s="388"/>
      <c r="VYC26" s="388"/>
      <c r="VYD26" s="388"/>
      <c r="VYE26" s="388"/>
      <c r="VYF26" s="388"/>
      <c r="VYG26" s="388"/>
      <c r="VYH26" s="388"/>
      <c r="VYI26" s="388"/>
      <c r="VYJ26" s="388"/>
      <c r="VYK26" s="388"/>
      <c r="VYL26" s="388"/>
      <c r="VYM26" s="388"/>
      <c r="VYN26" s="388"/>
      <c r="VYO26" s="388"/>
      <c r="VYP26" s="388"/>
      <c r="VYQ26" s="388"/>
      <c r="VYR26" s="388"/>
      <c r="VYS26" s="388"/>
      <c r="VYT26" s="388"/>
      <c r="VYU26" s="388"/>
      <c r="VYV26" s="388"/>
      <c r="VYW26" s="388"/>
      <c r="VYX26" s="388"/>
      <c r="VYY26" s="388"/>
      <c r="VYZ26" s="388"/>
      <c r="VZA26" s="388"/>
      <c r="VZB26" s="388"/>
      <c r="VZC26" s="388"/>
      <c r="VZD26" s="388"/>
      <c r="VZE26" s="388"/>
      <c r="VZF26" s="388"/>
      <c r="VZG26" s="388"/>
      <c r="VZH26" s="388"/>
      <c r="VZI26" s="388"/>
      <c r="VZJ26" s="388"/>
      <c r="VZK26" s="388"/>
      <c r="VZL26" s="388"/>
      <c r="VZM26" s="388"/>
      <c r="VZN26" s="388"/>
      <c r="VZO26" s="388"/>
      <c r="VZP26" s="388"/>
      <c r="VZQ26" s="388"/>
      <c r="VZR26" s="388"/>
      <c r="VZS26" s="388"/>
      <c r="VZT26" s="388"/>
      <c r="VZU26" s="388"/>
      <c r="VZV26" s="388"/>
      <c r="VZW26" s="388"/>
      <c r="VZX26" s="388"/>
      <c r="VZY26" s="388"/>
      <c r="VZZ26" s="388"/>
      <c r="WAA26" s="388"/>
      <c r="WAB26" s="388"/>
      <c r="WAC26" s="388"/>
      <c r="WAD26" s="388"/>
      <c r="WAE26" s="388"/>
      <c r="WAF26" s="388"/>
      <c r="WAG26" s="388"/>
      <c r="WAH26" s="388"/>
      <c r="WAI26" s="388"/>
      <c r="WAJ26" s="388"/>
      <c r="WAK26" s="388"/>
      <c r="WAL26" s="388"/>
      <c r="WAM26" s="388"/>
      <c r="WAN26" s="388"/>
      <c r="WAO26" s="388"/>
      <c r="WAP26" s="388"/>
      <c r="WAQ26" s="388"/>
      <c r="WAR26" s="388"/>
      <c r="WAS26" s="388"/>
      <c r="WAT26" s="388"/>
      <c r="WAU26" s="388"/>
      <c r="WAV26" s="388"/>
      <c r="WAW26" s="388"/>
      <c r="WAX26" s="388"/>
      <c r="WAY26" s="388"/>
      <c r="WAZ26" s="388"/>
      <c r="WBA26" s="388"/>
      <c r="WBB26" s="388"/>
      <c r="WBC26" s="388"/>
      <c r="WBD26" s="388"/>
      <c r="WBE26" s="388"/>
      <c r="WBF26" s="388"/>
      <c r="WBG26" s="388"/>
      <c r="WBH26" s="388"/>
      <c r="WBI26" s="388"/>
      <c r="WBJ26" s="388"/>
      <c r="WBK26" s="388"/>
      <c r="WBL26" s="388"/>
      <c r="WBM26" s="388"/>
      <c r="WBN26" s="388"/>
      <c r="WBO26" s="388"/>
      <c r="WBP26" s="388"/>
      <c r="WBQ26" s="388"/>
      <c r="WBR26" s="388"/>
      <c r="WBS26" s="388"/>
      <c r="WBT26" s="388"/>
      <c r="WBU26" s="388"/>
      <c r="WBV26" s="388"/>
      <c r="WBW26" s="388"/>
      <c r="WBX26" s="388"/>
      <c r="WBY26" s="388"/>
      <c r="WBZ26" s="388"/>
      <c r="WCA26" s="388"/>
      <c r="WCB26" s="388"/>
      <c r="WCC26" s="388"/>
      <c r="WCD26" s="388"/>
      <c r="WCE26" s="388"/>
      <c r="WCF26" s="388"/>
      <c r="WCG26" s="388"/>
      <c r="WCH26" s="388"/>
      <c r="WCI26" s="388"/>
      <c r="WCJ26" s="388"/>
      <c r="WCK26" s="388"/>
      <c r="WCL26" s="388"/>
      <c r="WCM26" s="388"/>
      <c r="WCN26" s="388"/>
      <c r="WCO26" s="388"/>
      <c r="WCP26" s="388"/>
      <c r="WCQ26" s="388"/>
      <c r="WCR26" s="388"/>
      <c r="WCS26" s="388"/>
      <c r="WCT26" s="388"/>
      <c r="WCU26" s="388"/>
      <c r="WCV26" s="388"/>
      <c r="WCW26" s="388"/>
      <c r="WCX26" s="388"/>
      <c r="WCY26" s="388"/>
      <c r="WCZ26" s="388"/>
      <c r="WDA26" s="388"/>
      <c r="WDB26" s="388"/>
      <c r="WDC26" s="388"/>
      <c r="WDD26" s="388"/>
      <c r="WDE26" s="388"/>
      <c r="WDF26" s="388"/>
      <c r="WDG26" s="388"/>
      <c r="WDH26" s="388"/>
      <c r="WDI26" s="388"/>
      <c r="WDJ26" s="388"/>
      <c r="WDK26" s="388"/>
      <c r="WDL26" s="388"/>
      <c r="WDM26" s="388"/>
      <c r="WDN26" s="388"/>
      <c r="WDO26" s="388"/>
      <c r="WDP26" s="388"/>
      <c r="WDQ26" s="388"/>
      <c r="WDR26" s="388"/>
      <c r="WDS26" s="388"/>
      <c r="WDT26" s="388"/>
      <c r="WDU26" s="388"/>
      <c r="WDV26" s="388"/>
      <c r="WDW26" s="388"/>
      <c r="WDX26" s="388"/>
      <c r="WDY26" s="388"/>
      <c r="WDZ26" s="388"/>
      <c r="WEA26" s="388"/>
      <c r="WEB26" s="388"/>
      <c r="WEC26" s="388"/>
      <c r="WED26" s="388"/>
      <c r="WEE26" s="388"/>
      <c r="WEF26" s="388"/>
      <c r="WEG26" s="388"/>
      <c r="WEH26" s="388"/>
      <c r="WEI26" s="388"/>
      <c r="WEJ26" s="388"/>
      <c r="WEK26" s="388"/>
      <c r="WEL26" s="388"/>
      <c r="WEM26" s="388"/>
      <c r="WEN26" s="388"/>
      <c r="WEO26" s="388"/>
      <c r="WEP26" s="388"/>
      <c r="WEQ26" s="388"/>
      <c r="WER26" s="388"/>
      <c r="WES26" s="388"/>
      <c r="WET26" s="388"/>
      <c r="WEU26" s="388"/>
      <c r="WEV26" s="388"/>
      <c r="WEW26" s="388"/>
      <c r="WEX26" s="388"/>
      <c r="WEY26" s="388"/>
      <c r="WEZ26" s="388"/>
      <c r="WFA26" s="388"/>
      <c r="WFB26" s="388"/>
      <c r="WFC26" s="388"/>
      <c r="WFD26" s="388"/>
      <c r="WFE26" s="388"/>
      <c r="WFF26" s="388"/>
      <c r="WFG26" s="388"/>
      <c r="WFH26" s="388"/>
      <c r="WFI26" s="388"/>
      <c r="WFJ26" s="388"/>
      <c r="WFK26" s="388"/>
      <c r="WFL26" s="388"/>
      <c r="WFM26" s="388"/>
      <c r="WFN26" s="388"/>
      <c r="WFO26" s="388"/>
      <c r="WFP26" s="388"/>
      <c r="WFQ26" s="388"/>
      <c r="WFR26" s="388"/>
      <c r="WFS26" s="388"/>
      <c r="WFT26" s="388"/>
      <c r="WFU26" s="388"/>
      <c r="WFV26" s="388"/>
      <c r="WFW26" s="388"/>
      <c r="WFX26" s="388"/>
      <c r="WFY26" s="388"/>
      <c r="WFZ26" s="388"/>
      <c r="WGA26" s="388"/>
      <c r="WGB26" s="388"/>
      <c r="WGC26" s="388"/>
      <c r="WGD26" s="388"/>
      <c r="WGE26" s="388"/>
      <c r="WGF26" s="388"/>
      <c r="WGG26" s="388"/>
      <c r="WGH26" s="388"/>
      <c r="WGI26" s="388"/>
      <c r="WGJ26" s="388"/>
      <c r="WGK26" s="388"/>
      <c r="WGL26" s="388"/>
      <c r="WGM26" s="388"/>
      <c r="WGN26" s="388"/>
      <c r="WGO26" s="388"/>
      <c r="WGP26" s="388"/>
      <c r="WGQ26" s="388"/>
      <c r="WGR26" s="388"/>
      <c r="WGS26" s="388"/>
      <c r="WGT26" s="388"/>
      <c r="WGU26" s="388"/>
      <c r="WGV26" s="388"/>
      <c r="WGW26" s="388"/>
      <c r="WGX26" s="388"/>
      <c r="WGY26" s="388"/>
      <c r="WGZ26" s="388"/>
      <c r="WHA26" s="388"/>
      <c r="WHB26" s="388"/>
      <c r="WHC26" s="388"/>
      <c r="WHD26" s="388"/>
      <c r="WHE26" s="388"/>
      <c r="WHF26" s="388"/>
      <c r="WHG26" s="388"/>
      <c r="WHH26" s="388"/>
      <c r="WHI26" s="388"/>
      <c r="WHJ26" s="388"/>
      <c r="WHK26" s="388"/>
      <c r="WHL26" s="388"/>
      <c r="WHM26" s="388"/>
      <c r="WHN26" s="388"/>
      <c r="WHO26" s="388"/>
      <c r="WHP26" s="388"/>
      <c r="WHQ26" s="388"/>
      <c r="WHR26" s="388"/>
      <c r="WHS26" s="388"/>
      <c r="WHT26" s="388"/>
      <c r="WHU26" s="388"/>
      <c r="WHV26" s="388"/>
      <c r="WHW26" s="388"/>
      <c r="WHX26" s="388"/>
      <c r="WHY26" s="388"/>
      <c r="WHZ26" s="388"/>
      <c r="WIA26" s="388"/>
      <c r="WIB26" s="388"/>
      <c r="WIC26" s="388"/>
      <c r="WID26" s="388"/>
      <c r="WIE26" s="388"/>
      <c r="WIF26" s="388"/>
      <c r="WIG26" s="388"/>
      <c r="WIH26" s="388"/>
      <c r="WII26" s="388"/>
      <c r="WIJ26" s="388"/>
      <c r="WIK26" s="388"/>
      <c r="WIL26" s="388"/>
      <c r="WIM26" s="388"/>
      <c r="WIN26" s="388"/>
      <c r="WIO26" s="388"/>
      <c r="WIP26" s="388"/>
      <c r="WIQ26" s="388"/>
      <c r="WIR26" s="388"/>
      <c r="WIS26" s="388"/>
      <c r="WIT26" s="388"/>
      <c r="WIU26" s="388"/>
      <c r="WIV26" s="388"/>
      <c r="WIW26" s="388"/>
      <c r="WIX26" s="388"/>
      <c r="WIY26" s="388"/>
      <c r="WIZ26" s="388"/>
      <c r="WJA26" s="388"/>
      <c r="WJB26" s="388"/>
      <c r="WJC26" s="388"/>
      <c r="WJD26" s="388"/>
      <c r="WJE26" s="388"/>
      <c r="WJF26" s="388"/>
      <c r="WJG26" s="388"/>
      <c r="WJH26" s="388"/>
      <c r="WJI26" s="388"/>
      <c r="WJJ26" s="388"/>
      <c r="WJK26" s="388"/>
      <c r="WJL26" s="388"/>
      <c r="WJM26" s="388"/>
      <c r="WJN26" s="388"/>
      <c r="WJO26" s="388"/>
      <c r="WJP26" s="388"/>
      <c r="WJQ26" s="388"/>
      <c r="WJR26" s="388"/>
      <c r="WJS26" s="388"/>
      <c r="WJT26" s="388"/>
      <c r="WJU26" s="388"/>
      <c r="WJV26" s="388"/>
      <c r="WJW26" s="388"/>
      <c r="WJX26" s="388"/>
      <c r="WJY26" s="388"/>
      <c r="WJZ26" s="388"/>
      <c r="WKA26" s="388"/>
      <c r="WKB26" s="388"/>
      <c r="WKC26" s="388"/>
      <c r="WKD26" s="388"/>
      <c r="WKE26" s="388"/>
      <c r="WKF26" s="388"/>
      <c r="WKG26" s="388"/>
      <c r="WKH26" s="388"/>
      <c r="WKI26" s="388"/>
      <c r="WKJ26" s="388"/>
      <c r="WKK26" s="388"/>
      <c r="WKL26" s="388"/>
      <c r="WKM26" s="388"/>
      <c r="WKN26" s="388"/>
      <c r="WKO26" s="388"/>
      <c r="WKP26" s="388"/>
      <c r="WKQ26" s="388"/>
      <c r="WKR26" s="388"/>
      <c r="WKS26" s="388"/>
      <c r="WKT26" s="388"/>
      <c r="WKU26" s="388"/>
      <c r="WKV26" s="388"/>
      <c r="WKW26" s="388"/>
      <c r="WKX26" s="388"/>
      <c r="WKY26" s="388"/>
      <c r="WKZ26" s="388"/>
      <c r="WLA26" s="388"/>
      <c r="WLB26" s="388"/>
      <c r="WLC26" s="388"/>
      <c r="WLD26" s="388"/>
      <c r="WLE26" s="388"/>
      <c r="WLF26" s="388"/>
      <c r="WLG26" s="388"/>
      <c r="WLH26" s="388"/>
      <c r="WLI26" s="388"/>
      <c r="WLJ26" s="388"/>
      <c r="WLK26" s="388"/>
      <c r="WLL26" s="388"/>
      <c r="WLM26" s="388"/>
      <c r="WLN26" s="388"/>
      <c r="WLO26" s="388"/>
      <c r="WLP26" s="388"/>
      <c r="WLQ26" s="388"/>
      <c r="WLR26" s="388"/>
      <c r="WLS26" s="388"/>
      <c r="WLT26" s="388"/>
      <c r="WLU26" s="388"/>
      <c r="WLV26" s="388"/>
      <c r="WLW26" s="388"/>
      <c r="WLX26" s="388"/>
      <c r="WLY26" s="388"/>
      <c r="WLZ26" s="388"/>
      <c r="WMA26" s="388"/>
      <c r="WMB26" s="388"/>
      <c r="WMC26" s="388"/>
      <c r="WMD26" s="388"/>
      <c r="WME26" s="388"/>
      <c r="WMF26" s="388"/>
      <c r="WMG26" s="388"/>
      <c r="WMH26" s="388"/>
      <c r="WMI26" s="388"/>
      <c r="WMJ26" s="388"/>
      <c r="WMK26" s="388"/>
      <c r="WML26" s="388"/>
      <c r="WMM26" s="388"/>
      <c r="WMN26" s="388"/>
      <c r="WMO26" s="388"/>
      <c r="WMP26" s="388"/>
      <c r="WMQ26" s="388"/>
      <c r="WMR26" s="388"/>
      <c r="WMS26" s="388"/>
      <c r="WMT26" s="388"/>
      <c r="WMU26" s="388"/>
      <c r="WMV26" s="388"/>
      <c r="WMW26" s="388"/>
      <c r="WMX26" s="388"/>
      <c r="WMY26" s="388"/>
      <c r="WMZ26" s="388"/>
      <c r="WNA26" s="388"/>
      <c r="WNB26" s="388"/>
      <c r="WNC26" s="388"/>
      <c r="WND26" s="388"/>
      <c r="WNE26" s="388"/>
      <c r="WNF26" s="388"/>
      <c r="WNG26" s="388"/>
      <c r="WNH26" s="388"/>
      <c r="WNI26" s="388"/>
      <c r="WNJ26" s="388"/>
      <c r="WNK26" s="388"/>
      <c r="WNL26" s="388"/>
      <c r="WNM26" s="388"/>
      <c r="WNN26" s="388"/>
      <c r="WNO26" s="388"/>
      <c r="WNP26" s="388"/>
      <c r="WNQ26" s="388"/>
      <c r="WNR26" s="388"/>
      <c r="WNS26" s="388"/>
      <c r="WNT26" s="388"/>
      <c r="WNU26" s="388"/>
      <c r="WNV26" s="388"/>
      <c r="WNW26" s="388"/>
      <c r="WNX26" s="388"/>
      <c r="WNY26" s="388"/>
      <c r="WNZ26" s="388"/>
      <c r="WOA26" s="388"/>
      <c r="WOB26" s="388"/>
      <c r="WOC26" s="388"/>
      <c r="WOD26" s="388"/>
      <c r="WOE26" s="388"/>
      <c r="WOF26" s="388"/>
      <c r="WOG26" s="388"/>
      <c r="WOH26" s="388"/>
      <c r="WOI26" s="388"/>
      <c r="WOJ26" s="388"/>
      <c r="WOK26" s="388"/>
      <c r="WOL26" s="388"/>
      <c r="WOM26" s="388"/>
      <c r="WON26" s="388"/>
      <c r="WOO26" s="388"/>
      <c r="WOP26" s="388"/>
      <c r="WOQ26" s="388"/>
      <c r="WOR26" s="388"/>
      <c r="WOS26" s="388"/>
      <c r="WOT26" s="388"/>
      <c r="WOU26" s="388"/>
      <c r="WOV26" s="388"/>
      <c r="WOW26" s="388"/>
      <c r="WOX26" s="388"/>
      <c r="WOY26" s="388"/>
      <c r="WOZ26" s="388"/>
      <c r="WPA26" s="388"/>
      <c r="WPB26" s="388"/>
      <c r="WPC26" s="388"/>
      <c r="WPD26" s="388"/>
      <c r="WPE26" s="388"/>
      <c r="WPF26" s="388"/>
      <c r="WPG26" s="388"/>
      <c r="WPH26" s="388"/>
      <c r="WPI26" s="388"/>
      <c r="WPJ26" s="388"/>
      <c r="WPK26" s="388"/>
      <c r="WPL26" s="388"/>
      <c r="WPM26" s="388"/>
      <c r="WPN26" s="388"/>
      <c r="WPO26" s="388"/>
      <c r="WPP26" s="388"/>
      <c r="WPQ26" s="388"/>
      <c r="WPR26" s="388"/>
      <c r="WPS26" s="388"/>
      <c r="WPT26" s="388"/>
      <c r="WPU26" s="388"/>
      <c r="WPV26" s="388"/>
      <c r="WPW26" s="388"/>
      <c r="WPX26" s="388"/>
      <c r="WPY26" s="388"/>
      <c r="WPZ26" s="388"/>
      <c r="WQA26" s="388"/>
      <c r="WQB26" s="388"/>
      <c r="WQC26" s="388"/>
      <c r="WQD26" s="388"/>
      <c r="WQE26" s="388"/>
      <c r="WQF26" s="388"/>
      <c r="WQG26" s="388"/>
      <c r="WQH26" s="388"/>
      <c r="WQI26" s="388"/>
      <c r="WQJ26" s="388"/>
      <c r="WQK26" s="388"/>
      <c r="WQL26" s="388"/>
      <c r="WQM26" s="388"/>
      <c r="WQN26" s="388"/>
      <c r="WQO26" s="388"/>
      <c r="WQP26" s="388"/>
      <c r="WQQ26" s="388"/>
      <c r="WQR26" s="388"/>
      <c r="WQS26" s="388"/>
      <c r="WQT26" s="388"/>
      <c r="WQU26" s="388"/>
      <c r="WQV26" s="388"/>
      <c r="WQW26" s="388"/>
      <c r="WQX26" s="388"/>
      <c r="WQY26" s="388"/>
      <c r="WQZ26" s="388"/>
      <c r="WRA26" s="388"/>
      <c r="WRB26" s="388"/>
      <c r="WRC26" s="388"/>
      <c r="WRD26" s="388"/>
      <c r="WRE26" s="388"/>
      <c r="WRF26" s="388"/>
      <c r="WRG26" s="388"/>
      <c r="WRH26" s="388"/>
      <c r="WRI26" s="388"/>
      <c r="WRJ26" s="388"/>
      <c r="WRK26" s="388"/>
      <c r="WRL26" s="388"/>
      <c r="WRM26" s="388"/>
      <c r="WRN26" s="388"/>
      <c r="WRO26" s="388"/>
      <c r="WRP26" s="388"/>
      <c r="WRQ26" s="388"/>
      <c r="WRR26" s="388"/>
      <c r="WRS26" s="388"/>
      <c r="WRT26" s="388"/>
      <c r="WRU26" s="388"/>
      <c r="WRV26" s="388"/>
      <c r="WRW26" s="388"/>
      <c r="WRX26" s="388"/>
      <c r="WRY26" s="388"/>
      <c r="WRZ26" s="388"/>
      <c r="WSA26" s="388"/>
      <c r="WSB26" s="388"/>
      <c r="WSC26" s="388"/>
      <c r="WSD26" s="388"/>
      <c r="WSE26" s="388"/>
      <c r="WSF26" s="388"/>
      <c r="WSG26" s="388"/>
      <c r="WSH26" s="388"/>
      <c r="WSI26" s="388"/>
      <c r="WSJ26" s="388"/>
      <c r="WSK26" s="388"/>
      <c r="WSL26" s="388"/>
      <c r="WSM26" s="388"/>
      <c r="WSN26" s="388"/>
      <c r="WSO26" s="388"/>
      <c r="WSP26" s="388"/>
      <c r="WSQ26" s="388"/>
      <c r="WSR26" s="388"/>
      <c r="WSS26" s="388"/>
      <c r="WST26" s="388"/>
      <c r="WSU26" s="388"/>
      <c r="WSV26" s="388"/>
      <c r="WSW26" s="388"/>
      <c r="WSX26" s="388"/>
      <c r="WSY26" s="388"/>
      <c r="WSZ26" s="388"/>
      <c r="WTA26" s="388"/>
      <c r="WTB26" s="388"/>
      <c r="WTC26" s="388"/>
      <c r="WTD26" s="388"/>
      <c r="WTE26" s="388"/>
      <c r="WTF26" s="388"/>
      <c r="WTG26" s="388"/>
      <c r="WTH26" s="388"/>
      <c r="WTI26" s="388"/>
      <c r="WTJ26" s="388"/>
      <c r="WTK26" s="388"/>
      <c r="WTL26" s="388"/>
      <c r="WTM26" s="388"/>
      <c r="WTN26" s="388"/>
      <c r="WTO26" s="388"/>
      <c r="WTP26" s="388"/>
      <c r="WTQ26" s="388"/>
      <c r="WTR26" s="388"/>
      <c r="WTS26" s="388"/>
      <c r="WTT26" s="388"/>
      <c r="WTU26" s="388"/>
      <c r="WTV26" s="388"/>
      <c r="WTW26" s="388"/>
      <c r="WTX26" s="388"/>
      <c r="WTY26" s="388"/>
      <c r="WTZ26" s="388"/>
      <c r="WUA26" s="388"/>
      <c r="WUB26" s="388"/>
      <c r="WUC26" s="388"/>
      <c r="WUD26" s="388"/>
      <c r="WUE26" s="388"/>
      <c r="WUF26" s="388"/>
      <c r="WUG26" s="388"/>
      <c r="WUH26" s="388"/>
      <c r="WUI26" s="388"/>
      <c r="WUJ26" s="388"/>
      <c r="WUK26" s="388"/>
      <c r="WUL26" s="388"/>
      <c r="WUM26" s="388"/>
      <c r="WUN26" s="388"/>
      <c r="WUO26" s="388"/>
      <c r="WUP26" s="388"/>
      <c r="WUQ26" s="388"/>
      <c r="WUR26" s="388"/>
      <c r="WUS26" s="388"/>
      <c r="WUT26" s="388"/>
      <c r="WUU26" s="388"/>
      <c r="WUV26" s="388"/>
      <c r="WUW26" s="388"/>
      <c r="WUX26" s="388"/>
      <c r="WUY26" s="388"/>
      <c r="WUZ26" s="388"/>
      <c r="WVA26" s="388"/>
      <c r="WVB26" s="388"/>
      <c r="WVC26" s="388"/>
      <c r="WVD26" s="388"/>
      <c r="WVE26" s="388"/>
      <c r="WVF26" s="388"/>
      <c r="WVG26" s="388"/>
      <c r="WVH26" s="388"/>
      <c r="WVI26" s="388"/>
      <c r="WVJ26" s="388"/>
      <c r="WVK26" s="388"/>
      <c r="WVL26" s="388"/>
      <c r="WVM26" s="388"/>
      <c r="WVN26" s="388"/>
      <c r="WVO26" s="388"/>
      <c r="WVP26" s="388"/>
      <c r="WVQ26" s="388"/>
      <c r="WVR26" s="388"/>
      <c r="WVS26" s="388"/>
      <c r="WVT26" s="388"/>
      <c r="WVU26" s="388"/>
      <c r="WVV26" s="388"/>
      <c r="WVW26" s="388"/>
      <c r="WVX26" s="388"/>
      <c r="WVY26" s="388"/>
      <c r="WVZ26" s="388"/>
      <c r="WWA26" s="388"/>
      <c r="WWB26" s="388"/>
      <c r="WWC26" s="388"/>
      <c r="WWD26" s="388"/>
      <c r="WWE26" s="388"/>
      <c r="WWF26" s="388"/>
      <c r="WWG26" s="388"/>
      <c r="WWH26" s="388"/>
      <c r="WWI26" s="388"/>
      <c r="WWJ26" s="388"/>
      <c r="WWK26" s="388"/>
      <c r="WWL26" s="388"/>
      <c r="WWM26" s="388"/>
      <c r="WWN26" s="388"/>
      <c r="WWO26" s="388"/>
      <c r="WWP26" s="388"/>
      <c r="WWQ26" s="388"/>
      <c r="WWR26" s="388"/>
      <c r="WWS26" s="388"/>
      <c r="WWT26" s="388"/>
      <c r="WWU26" s="388"/>
      <c r="WWV26" s="388"/>
      <c r="WWW26" s="388"/>
      <c r="WWX26" s="388"/>
      <c r="WWY26" s="388"/>
      <c r="WWZ26" s="388"/>
      <c r="WXA26" s="388"/>
      <c r="WXB26" s="388"/>
      <c r="WXC26" s="388"/>
      <c r="WXD26" s="388"/>
      <c r="WXE26" s="388"/>
      <c r="WXF26" s="388"/>
      <c r="WXG26" s="388"/>
      <c r="WXH26" s="388"/>
      <c r="WXI26" s="388"/>
      <c r="WXJ26" s="388"/>
      <c r="WXK26" s="388"/>
      <c r="WXL26" s="388"/>
      <c r="WXM26" s="388"/>
      <c r="WXN26" s="388"/>
      <c r="WXO26" s="388"/>
      <c r="WXP26" s="388"/>
      <c r="WXQ26" s="388"/>
      <c r="WXR26" s="388"/>
      <c r="WXS26" s="388"/>
      <c r="WXT26" s="388"/>
      <c r="WXU26" s="388"/>
      <c r="WXV26" s="388"/>
      <c r="WXW26" s="388"/>
      <c r="WXX26" s="388"/>
      <c r="WXY26" s="388"/>
      <c r="WXZ26" s="388"/>
      <c r="WYA26" s="388"/>
      <c r="WYB26" s="388"/>
      <c r="WYC26" s="388"/>
      <c r="WYD26" s="388"/>
      <c r="WYE26" s="388"/>
      <c r="WYF26" s="388"/>
      <c r="WYG26" s="388"/>
      <c r="WYH26" s="388"/>
      <c r="WYI26" s="388"/>
      <c r="WYJ26" s="388"/>
      <c r="WYK26" s="388"/>
      <c r="WYL26" s="388"/>
      <c r="WYM26" s="388"/>
      <c r="WYN26" s="388"/>
      <c r="WYO26" s="388"/>
      <c r="WYP26" s="388"/>
      <c r="WYQ26" s="388"/>
      <c r="WYR26" s="388"/>
      <c r="WYS26" s="388"/>
      <c r="WYT26" s="388"/>
      <c r="WYU26" s="388"/>
      <c r="WYV26" s="388"/>
      <c r="WYW26" s="388"/>
      <c r="WYX26" s="388"/>
      <c r="WYY26" s="388"/>
      <c r="WYZ26" s="388"/>
      <c r="WZA26" s="388"/>
      <c r="WZB26" s="388"/>
      <c r="WZC26" s="388"/>
      <c r="WZD26" s="388"/>
      <c r="WZE26" s="388"/>
      <c r="WZF26" s="388"/>
      <c r="WZG26" s="388"/>
      <c r="WZH26" s="388"/>
      <c r="WZI26" s="388"/>
      <c r="WZJ26" s="388"/>
      <c r="WZK26" s="388"/>
      <c r="WZL26" s="388"/>
      <c r="WZM26" s="388"/>
      <c r="WZN26" s="388"/>
      <c r="WZO26" s="388"/>
      <c r="WZP26" s="388"/>
      <c r="WZQ26" s="388"/>
      <c r="WZR26" s="388"/>
      <c r="WZS26" s="388"/>
      <c r="WZT26" s="388"/>
      <c r="WZU26" s="388"/>
      <c r="WZV26" s="388"/>
      <c r="WZW26" s="388"/>
      <c r="WZX26" s="388"/>
      <c r="WZY26" s="388"/>
      <c r="WZZ26" s="388"/>
      <c r="XAA26" s="388"/>
      <c r="XAB26" s="388"/>
      <c r="XAC26" s="388"/>
      <c r="XAD26" s="388"/>
      <c r="XAE26" s="388"/>
      <c r="XAF26" s="388"/>
      <c r="XAG26" s="388"/>
      <c r="XAH26" s="388"/>
      <c r="XAI26" s="388"/>
      <c r="XAJ26" s="388"/>
      <c r="XAK26" s="388"/>
      <c r="XAL26" s="388"/>
      <c r="XAM26" s="388"/>
      <c r="XAN26" s="388"/>
      <c r="XAO26" s="388"/>
      <c r="XAP26" s="388"/>
      <c r="XAQ26" s="388"/>
      <c r="XAR26" s="388"/>
      <c r="XAS26" s="388"/>
      <c r="XAT26" s="388"/>
      <c r="XAU26" s="388"/>
      <c r="XAV26" s="388"/>
      <c r="XAW26" s="388"/>
      <c r="XAX26" s="388"/>
      <c r="XAY26" s="388"/>
      <c r="XAZ26" s="388"/>
      <c r="XBA26" s="388"/>
      <c r="XBB26" s="388"/>
      <c r="XBC26" s="388"/>
      <c r="XBD26" s="388"/>
      <c r="XBE26" s="388"/>
      <c r="XBF26" s="388"/>
      <c r="XBG26" s="388"/>
      <c r="XBH26" s="388"/>
      <c r="XBI26" s="388"/>
      <c r="XBJ26" s="388"/>
      <c r="XBK26" s="388"/>
      <c r="XBL26" s="388"/>
      <c r="XBM26" s="388"/>
      <c r="XBN26" s="388"/>
      <c r="XBO26" s="388"/>
      <c r="XBP26" s="388"/>
      <c r="XBQ26" s="388"/>
      <c r="XBR26" s="388"/>
      <c r="XBS26" s="388"/>
      <c r="XBT26" s="388"/>
      <c r="XBU26" s="388"/>
      <c r="XBV26" s="388"/>
      <c r="XBW26" s="388"/>
      <c r="XBX26" s="388"/>
      <c r="XBY26" s="388"/>
      <c r="XBZ26" s="388"/>
      <c r="XCA26" s="388"/>
      <c r="XCB26" s="388"/>
      <c r="XCC26" s="388"/>
      <c r="XCD26" s="388"/>
      <c r="XCE26" s="388"/>
      <c r="XCF26" s="388"/>
      <c r="XCG26" s="388"/>
      <c r="XCH26" s="388"/>
      <c r="XCI26" s="388"/>
      <c r="XCJ26" s="388"/>
      <c r="XCK26" s="388"/>
      <c r="XCL26" s="388"/>
      <c r="XCM26" s="388"/>
      <c r="XCN26" s="388"/>
      <c r="XCO26" s="388"/>
      <c r="XCP26" s="388"/>
      <c r="XCQ26" s="388"/>
      <c r="XCR26" s="388"/>
      <c r="XCS26" s="388"/>
      <c r="XCT26" s="388"/>
      <c r="XCU26" s="388"/>
      <c r="XCV26" s="388"/>
      <c r="XCW26" s="388"/>
      <c r="XCX26" s="388"/>
      <c r="XCY26" s="388"/>
      <c r="XCZ26" s="388"/>
      <c r="XDA26" s="388"/>
      <c r="XDB26" s="388"/>
      <c r="XDC26" s="388"/>
      <c r="XDD26" s="388"/>
      <c r="XDE26" s="388"/>
      <c r="XDF26" s="388"/>
      <c r="XDG26" s="388"/>
      <c r="XDH26" s="388"/>
      <c r="XDI26" s="388"/>
      <c r="XDJ26" s="388"/>
      <c r="XDK26" s="388"/>
      <c r="XDL26" s="388"/>
      <c r="XDM26" s="388"/>
      <c r="XDN26" s="388"/>
      <c r="XDO26" s="388"/>
      <c r="XDP26" s="388"/>
      <c r="XDQ26" s="388"/>
      <c r="XDR26" s="388"/>
      <c r="XDS26" s="388"/>
      <c r="XDT26" s="388"/>
      <c r="XDU26" s="388"/>
      <c r="XDV26" s="388"/>
      <c r="XDW26" s="388"/>
      <c r="XDX26" s="388"/>
      <c r="XDY26" s="388"/>
      <c r="XDZ26" s="388"/>
      <c r="XEA26" s="388"/>
      <c r="XEB26" s="388"/>
      <c r="XEC26" s="388"/>
      <c r="XED26" s="388"/>
      <c r="XEE26" s="388"/>
      <c r="XEF26" s="388"/>
      <c r="XEG26" s="388"/>
      <c r="XEH26" s="388"/>
      <c r="XEI26" s="388"/>
      <c r="XEJ26" s="388"/>
      <c r="XEK26" s="388"/>
      <c r="XEL26" s="388"/>
      <c r="XEM26" s="388"/>
      <c r="XEN26" s="388"/>
      <c r="XEO26" s="388"/>
      <c r="XEP26" s="388"/>
      <c r="XEQ26" s="388"/>
      <c r="XER26" s="388"/>
      <c r="XES26" s="388"/>
      <c r="XET26" s="388"/>
      <c r="XEU26" s="388"/>
      <c r="XEV26" s="388"/>
      <c r="XEW26" s="388"/>
      <c r="XEX26" s="388"/>
      <c r="XEY26" s="388"/>
      <c r="XEZ26" s="388"/>
      <c r="XFA26" s="388"/>
      <c r="XFB26" s="170"/>
    </row>
    <row r="27" spans="1:16382" ht="12.75" customHeight="1" x14ac:dyDescent="0.2">
      <c r="A27" s="170">
        <v>16</v>
      </c>
      <c r="B27" s="217" t="s">
        <v>558</v>
      </c>
      <c r="C27" s="247">
        <v>1</v>
      </c>
      <c r="D27" s="247"/>
      <c r="E27" s="247">
        <f>IF(B27=0,"",IF(C27&gt;9999,"",ROUND('General Variables'!$B$4*VLOOKUP(B27,Operations!$A$2:$U$79,10,FALSE)/VLOOKUP(B27,Operations!$A$2:$U$79,9,FALSE)*C27,2)))</f>
        <v>3</v>
      </c>
      <c r="F27" s="247">
        <f>IF(B27=0,0,IF(C27&gt;9999,"",ROUND(IF(VLOOKUP(B27,Operations!$A$2:$U$79,12,FALSE)=0,VLOOKUP(B27,Operations!$A$2:$U$79,13,FALSE)*'General Variables'!$B$8,VLOOKUP(B27,Operations!$A$2:$U$79,12,FALSE)*'General Variables'!$B$7)/VLOOKUP(B27,Operations!$A$2:$U$79,9,FALSE)*C27,2)))</f>
        <v>2.93</v>
      </c>
      <c r="G27" s="247">
        <f>IF(B27=0,0,IF(C27&gt;9999,"",ROUND(VLOOKUP(VLOOKUP(B27,Operations!$A$2:$U$79,11,FALSE),PowerUnits[],10,FALSE)/VLOOKUP(B27,Operations!$A$2:$U$79,9,FALSE)*C27,2)))</f>
        <v>0.38</v>
      </c>
      <c r="H27" s="247">
        <f>IF(B27=0,"",IF(C27&gt;9999,"",ROUND(VLOOKUP($B27,Operations!$A$2:$U$79,15,FALSE)*C27,2)))</f>
        <v>4.95</v>
      </c>
      <c r="I27" s="247">
        <f>IF(B27=0,0,IF(C27&gt;9999,"",ROUND(VLOOKUP(VLOOKUP(B27,Operations!$A$2:$U$79,11,FALSE),PowerUnits[],16,FALSE)/VLOOKUP(B27,Operations!$A$2:$U$79,9,FALSE)*C27,2)))</f>
        <v>10.26</v>
      </c>
      <c r="J27" s="247">
        <f>IF(B27=0,"",IF(C27&gt;9999,"",ROUND(VLOOKUP($B27,Operations!$A$2:$U$79,21,FALSE)*$C27,2)))</f>
        <v>5.42</v>
      </c>
      <c r="K27" s="247">
        <f t="shared" si="1"/>
        <v>26.94</v>
      </c>
      <c r="L27" s="110"/>
      <c r="M27" s="170"/>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Q27" s="388"/>
      <c r="CR27" s="388"/>
      <c r="CS27" s="388"/>
      <c r="CT27" s="388"/>
      <c r="CU27" s="388"/>
      <c r="CV27" s="388"/>
      <c r="CW27" s="388"/>
      <c r="CX27" s="388"/>
      <c r="CY27" s="388"/>
      <c r="CZ27" s="388"/>
      <c r="DA27" s="388"/>
      <c r="DB27" s="388"/>
      <c r="DC27" s="388"/>
      <c r="DD27" s="388"/>
      <c r="DE27" s="388"/>
      <c r="DF27" s="388"/>
      <c r="DG27" s="388"/>
      <c r="DH27" s="388"/>
      <c r="DI27" s="388"/>
      <c r="DJ27" s="388"/>
      <c r="DK27" s="388"/>
      <c r="DL27" s="388"/>
      <c r="DM27" s="388"/>
      <c r="DN27" s="388"/>
      <c r="DO27" s="388"/>
      <c r="DP27" s="388"/>
      <c r="DQ27" s="388"/>
      <c r="DR27" s="388"/>
      <c r="DS27" s="388"/>
      <c r="DT27" s="388"/>
      <c r="DU27" s="388"/>
      <c r="DV27" s="388"/>
      <c r="DW27" s="388"/>
      <c r="DX27" s="388"/>
      <c r="DY27" s="388"/>
      <c r="DZ27" s="388"/>
      <c r="EA27" s="388"/>
      <c r="EB27" s="388"/>
      <c r="EC27" s="388"/>
      <c r="ED27" s="388"/>
      <c r="EE27" s="388"/>
      <c r="EF27" s="388"/>
      <c r="EG27" s="388"/>
      <c r="EH27" s="388"/>
      <c r="EI27" s="388"/>
      <c r="EJ27" s="388"/>
      <c r="EK27" s="388"/>
      <c r="EL27" s="388"/>
      <c r="EM27" s="388"/>
      <c r="EN27" s="388"/>
      <c r="EO27" s="388"/>
      <c r="EP27" s="388"/>
      <c r="EQ27" s="388"/>
      <c r="ER27" s="388"/>
      <c r="ES27" s="388"/>
      <c r="ET27" s="388"/>
      <c r="EU27" s="388"/>
      <c r="EV27" s="388"/>
      <c r="EW27" s="388"/>
      <c r="EX27" s="388"/>
      <c r="EY27" s="388"/>
      <c r="EZ27" s="388"/>
      <c r="FA27" s="388"/>
      <c r="FB27" s="388"/>
      <c r="FC27" s="388"/>
      <c r="FD27" s="388"/>
      <c r="FE27" s="388"/>
      <c r="FF27" s="388"/>
      <c r="FG27" s="388"/>
      <c r="FH27" s="388"/>
      <c r="FI27" s="388"/>
      <c r="FJ27" s="388"/>
      <c r="FK27" s="388"/>
      <c r="FL27" s="388"/>
      <c r="FM27" s="388"/>
      <c r="FN27" s="388"/>
      <c r="FO27" s="388"/>
      <c r="FP27" s="388"/>
      <c r="FQ27" s="388"/>
      <c r="FR27" s="388"/>
      <c r="FS27" s="388"/>
      <c r="FT27" s="388"/>
      <c r="FU27" s="388"/>
      <c r="FV27" s="388"/>
      <c r="FW27" s="388"/>
      <c r="FX27" s="388"/>
      <c r="FY27" s="388"/>
      <c r="FZ27" s="388"/>
      <c r="GA27" s="388"/>
      <c r="GB27" s="388"/>
      <c r="GC27" s="388"/>
      <c r="GD27" s="388"/>
      <c r="GE27" s="388"/>
      <c r="GF27" s="388"/>
      <c r="GG27" s="388"/>
      <c r="GH27" s="388"/>
      <c r="GI27" s="388"/>
      <c r="GJ27" s="388"/>
      <c r="GK27" s="388"/>
      <c r="GL27" s="388"/>
      <c r="GM27" s="388"/>
      <c r="GN27" s="388"/>
      <c r="GO27" s="388"/>
      <c r="GP27" s="388"/>
      <c r="GQ27" s="388"/>
      <c r="GR27" s="388"/>
      <c r="GS27" s="388"/>
      <c r="GT27" s="388"/>
      <c r="GU27" s="388"/>
      <c r="GV27" s="388"/>
      <c r="GW27" s="388"/>
      <c r="GX27" s="388"/>
      <c r="GY27" s="388"/>
      <c r="GZ27" s="388"/>
      <c r="HA27" s="388"/>
      <c r="HB27" s="388"/>
      <c r="HC27" s="388"/>
      <c r="HD27" s="388"/>
      <c r="HE27" s="388"/>
      <c r="HF27" s="388"/>
      <c r="HG27" s="388"/>
      <c r="HH27" s="388"/>
      <c r="HI27" s="388"/>
      <c r="HJ27" s="388"/>
      <c r="HK27" s="388"/>
      <c r="HL27" s="388"/>
      <c r="HM27" s="388"/>
      <c r="HN27" s="388"/>
      <c r="HO27" s="388"/>
      <c r="HP27" s="388"/>
      <c r="HQ27" s="388"/>
      <c r="HR27" s="388"/>
      <c r="HS27" s="388"/>
      <c r="HT27" s="388"/>
      <c r="HU27" s="388"/>
      <c r="HV27" s="388"/>
      <c r="HW27" s="388"/>
      <c r="HX27" s="388"/>
      <c r="HY27" s="388"/>
      <c r="HZ27" s="388"/>
      <c r="IA27" s="388"/>
      <c r="IB27" s="388"/>
      <c r="IC27" s="388"/>
      <c r="ID27" s="388"/>
      <c r="IE27" s="388"/>
      <c r="IF27" s="388"/>
      <c r="IG27" s="388"/>
      <c r="IH27" s="388"/>
      <c r="II27" s="388"/>
      <c r="IJ27" s="388"/>
      <c r="IK27" s="388"/>
      <c r="IL27" s="388"/>
      <c r="IM27" s="388"/>
      <c r="IN27" s="388"/>
      <c r="IO27" s="388"/>
      <c r="IP27" s="388"/>
      <c r="IQ27" s="388"/>
      <c r="IR27" s="388"/>
      <c r="IS27" s="388"/>
      <c r="IT27" s="388"/>
      <c r="IU27" s="388"/>
      <c r="IV27" s="388"/>
      <c r="IW27" s="388"/>
      <c r="IX27" s="388"/>
      <c r="IY27" s="388"/>
      <c r="IZ27" s="388"/>
      <c r="JA27" s="388"/>
      <c r="JB27" s="388"/>
      <c r="JC27" s="388"/>
      <c r="JD27" s="388"/>
      <c r="JE27" s="388"/>
      <c r="JF27" s="388"/>
      <c r="JG27" s="388"/>
      <c r="JH27" s="388"/>
      <c r="JI27" s="388"/>
      <c r="JJ27" s="388"/>
      <c r="JK27" s="388"/>
      <c r="JL27" s="388"/>
      <c r="JM27" s="388"/>
      <c r="JN27" s="388"/>
      <c r="JO27" s="388"/>
      <c r="JP27" s="388"/>
      <c r="JQ27" s="388"/>
      <c r="JR27" s="388"/>
      <c r="JS27" s="388"/>
      <c r="JT27" s="388"/>
      <c r="JU27" s="388"/>
      <c r="JV27" s="388"/>
      <c r="JW27" s="388"/>
      <c r="JX27" s="388"/>
      <c r="JY27" s="388"/>
      <c r="JZ27" s="388"/>
      <c r="KA27" s="388"/>
      <c r="KB27" s="388"/>
      <c r="KC27" s="388"/>
      <c r="KD27" s="388"/>
      <c r="KE27" s="388"/>
      <c r="KF27" s="388"/>
      <c r="KG27" s="388"/>
      <c r="KH27" s="388"/>
      <c r="KI27" s="388"/>
      <c r="KJ27" s="388"/>
      <c r="KK27" s="388"/>
      <c r="KL27" s="388"/>
      <c r="KM27" s="388"/>
      <c r="KN27" s="388"/>
      <c r="KO27" s="388"/>
      <c r="KP27" s="388"/>
      <c r="KQ27" s="388"/>
      <c r="KR27" s="388"/>
      <c r="KS27" s="388"/>
      <c r="KT27" s="388"/>
      <c r="KU27" s="388"/>
      <c r="KV27" s="388"/>
      <c r="KW27" s="388"/>
      <c r="KX27" s="388"/>
      <c r="KY27" s="388"/>
      <c r="KZ27" s="388"/>
      <c r="LA27" s="388"/>
      <c r="LB27" s="388"/>
      <c r="LC27" s="388"/>
      <c r="LD27" s="388"/>
      <c r="LE27" s="388"/>
      <c r="LF27" s="388"/>
      <c r="LG27" s="388"/>
      <c r="LH27" s="388"/>
      <c r="LI27" s="388"/>
      <c r="LJ27" s="388"/>
      <c r="LK27" s="388"/>
      <c r="LL27" s="388"/>
      <c r="LM27" s="388"/>
      <c r="LN27" s="388"/>
      <c r="LO27" s="388"/>
      <c r="LP27" s="388"/>
      <c r="LQ27" s="388"/>
      <c r="LR27" s="388"/>
      <c r="LS27" s="388"/>
      <c r="LT27" s="388"/>
      <c r="LU27" s="388"/>
      <c r="LV27" s="388"/>
      <c r="LW27" s="388"/>
      <c r="LX27" s="388"/>
      <c r="LY27" s="388"/>
      <c r="LZ27" s="388"/>
      <c r="MA27" s="388"/>
      <c r="MB27" s="388"/>
      <c r="MC27" s="388"/>
      <c r="MD27" s="388"/>
      <c r="ME27" s="388"/>
      <c r="MF27" s="388"/>
      <c r="MG27" s="388"/>
      <c r="MH27" s="388"/>
      <c r="MI27" s="388"/>
      <c r="MJ27" s="388"/>
      <c r="MK27" s="388"/>
      <c r="ML27" s="388"/>
      <c r="MM27" s="388"/>
      <c r="MN27" s="388"/>
      <c r="MO27" s="388"/>
      <c r="MP27" s="388"/>
      <c r="MQ27" s="388"/>
      <c r="MR27" s="388"/>
      <c r="MS27" s="388"/>
      <c r="MT27" s="388"/>
      <c r="MU27" s="388"/>
      <c r="MV27" s="388"/>
      <c r="MW27" s="388"/>
      <c r="MX27" s="388"/>
      <c r="MY27" s="388"/>
      <c r="MZ27" s="388"/>
      <c r="NA27" s="388"/>
      <c r="NB27" s="388"/>
      <c r="NC27" s="388"/>
      <c r="ND27" s="388"/>
      <c r="NE27" s="388"/>
      <c r="NF27" s="388"/>
      <c r="NG27" s="388"/>
      <c r="NH27" s="388"/>
      <c r="NI27" s="388"/>
      <c r="NJ27" s="388"/>
      <c r="NK27" s="388"/>
      <c r="NL27" s="388"/>
      <c r="NM27" s="388"/>
      <c r="NN27" s="388"/>
      <c r="NO27" s="388"/>
      <c r="NP27" s="388"/>
      <c r="NQ27" s="388"/>
      <c r="NR27" s="388"/>
      <c r="NS27" s="388"/>
      <c r="NT27" s="388"/>
      <c r="NU27" s="388"/>
      <c r="NV27" s="388"/>
      <c r="NW27" s="388"/>
      <c r="NX27" s="388"/>
      <c r="NY27" s="388"/>
      <c r="NZ27" s="388"/>
      <c r="OA27" s="388"/>
      <c r="OB27" s="388"/>
      <c r="OC27" s="388"/>
      <c r="OD27" s="388"/>
      <c r="OE27" s="388"/>
      <c r="OF27" s="388"/>
      <c r="OG27" s="388"/>
      <c r="OH27" s="388"/>
      <c r="OI27" s="388"/>
      <c r="OJ27" s="388"/>
      <c r="OK27" s="388"/>
      <c r="OL27" s="388"/>
      <c r="OM27" s="388"/>
      <c r="ON27" s="388"/>
      <c r="OO27" s="388"/>
      <c r="OP27" s="388"/>
      <c r="OQ27" s="388"/>
      <c r="OR27" s="388"/>
      <c r="OS27" s="388"/>
      <c r="OT27" s="388"/>
      <c r="OU27" s="388"/>
      <c r="OV27" s="388"/>
      <c r="OW27" s="388"/>
      <c r="OX27" s="388"/>
      <c r="OY27" s="388"/>
      <c r="OZ27" s="388"/>
      <c r="PA27" s="388"/>
      <c r="PB27" s="388"/>
      <c r="PC27" s="388"/>
      <c r="PD27" s="388"/>
      <c r="PE27" s="388"/>
      <c r="PF27" s="388"/>
      <c r="PG27" s="388"/>
      <c r="PH27" s="388"/>
      <c r="PI27" s="388"/>
      <c r="PJ27" s="388"/>
      <c r="PK27" s="388"/>
      <c r="PL27" s="388"/>
      <c r="PM27" s="388"/>
      <c r="PN27" s="388"/>
      <c r="PO27" s="388"/>
      <c r="PP27" s="388"/>
      <c r="PQ27" s="388"/>
      <c r="PR27" s="388"/>
      <c r="PS27" s="388"/>
      <c r="PT27" s="388"/>
      <c r="PU27" s="388"/>
      <c r="PV27" s="388"/>
      <c r="PW27" s="388"/>
      <c r="PX27" s="388"/>
      <c r="PY27" s="388"/>
      <c r="PZ27" s="388"/>
      <c r="QA27" s="388"/>
      <c r="QB27" s="388"/>
      <c r="QC27" s="388"/>
      <c r="QD27" s="388"/>
      <c r="QE27" s="388"/>
      <c r="QF27" s="388"/>
      <c r="QG27" s="388"/>
      <c r="QH27" s="388"/>
      <c r="QI27" s="388"/>
      <c r="QJ27" s="388"/>
      <c r="QK27" s="388"/>
      <c r="QL27" s="388"/>
      <c r="QM27" s="388"/>
      <c r="QN27" s="388"/>
      <c r="QO27" s="388"/>
      <c r="QP27" s="388"/>
      <c r="QQ27" s="388"/>
      <c r="QR27" s="388"/>
      <c r="QS27" s="388"/>
      <c r="QT27" s="388"/>
      <c r="QU27" s="388"/>
      <c r="QV27" s="388"/>
      <c r="QW27" s="388"/>
      <c r="QX27" s="388"/>
      <c r="QY27" s="388"/>
      <c r="QZ27" s="388"/>
      <c r="RA27" s="388"/>
      <c r="RB27" s="388"/>
      <c r="RC27" s="388"/>
      <c r="RD27" s="388"/>
      <c r="RE27" s="388"/>
      <c r="RF27" s="388"/>
      <c r="RG27" s="388"/>
      <c r="RH27" s="388"/>
      <c r="RI27" s="388"/>
      <c r="RJ27" s="388"/>
      <c r="RK27" s="388"/>
      <c r="RL27" s="388"/>
      <c r="RM27" s="388"/>
      <c r="RN27" s="388"/>
      <c r="RO27" s="388"/>
      <c r="RP27" s="388"/>
      <c r="RQ27" s="388"/>
      <c r="RR27" s="388"/>
      <c r="RS27" s="388"/>
      <c r="RT27" s="388"/>
      <c r="RU27" s="388"/>
      <c r="RV27" s="388"/>
      <c r="RW27" s="388"/>
      <c r="RX27" s="388"/>
      <c r="RY27" s="388"/>
      <c r="RZ27" s="388"/>
      <c r="SA27" s="388"/>
      <c r="SB27" s="388"/>
      <c r="SC27" s="388"/>
      <c r="SD27" s="388"/>
      <c r="SE27" s="388"/>
      <c r="SF27" s="388"/>
      <c r="SG27" s="388"/>
      <c r="SH27" s="388"/>
      <c r="SI27" s="388"/>
      <c r="SJ27" s="388"/>
      <c r="SK27" s="388"/>
      <c r="SL27" s="388"/>
      <c r="SM27" s="388"/>
      <c r="SN27" s="388"/>
      <c r="SO27" s="388"/>
      <c r="SP27" s="388"/>
      <c r="SQ27" s="388"/>
      <c r="SR27" s="388"/>
      <c r="SS27" s="388"/>
      <c r="ST27" s="388"/>
      <c r="SU27" s="388"/>
      <c r="SV27" s="388"/>
      <c r="SW27" s="388"/>
      <c r="SX27" s="388"/>
      <c r="SY27" s="388"/>
      <c r="SZ27" s="388"/>
      <c r="TA27" s="388"/>
      <c r="TB27" s="388"/>
      <c r="TC27" s="388"/>
      <c r="TD27" s="388"/>
      <c r="TE27" s="388"/>
      <c r="TF27" s="388"/>
      <c r="TG27" s="388"/>
      <c r="TH27" s="388"/>
      <c r="TI27" s="388"/>
      <c r="TJ27" s="388"/>
      <c r="TK27" s="388"/>
      <c r="TL27" s="388"/>
      <c r="TM27" s="388"/>
      <c r="TN27" s="388"/>
      <c r="TO27" s="388"/>
      <c r="TP27" s="388"/>
      <c r="TQ27" s="388"/>
      <c r="TR27" s="388"/>
      <c r="TS27" s="388"/>
      <c r="TT27" s="388"/>
      <c r="TU27" s="388"/>
      <c r="TV27" s="388"/>
      <c r="TW27" s="388"/>
      <c r="TX27" s="388"/>
      <c r="TY27" s="388"/>
      <c r="TZ27" s="388"/>
      <c r="UA27" s="388"/>
      <c r="UB27" s="388"/>
      <c r="UC27" s="388"/>
      <c r="UD27" s="388"/>
      <c r="UE27" s="388"/>
      <c r="UF27" s="388"/>
      <c r="UG27" s="388"/>
      <c r="UH27" s="388"/>
      <c r="UI27" s="388"/>
      <c r="UJ27" s="388"/>
      <c r="UK27" s="388"/>
      <c r="UL27" s="388"/>
      <c r="UM27" s="388"/>
      <c r="UN27" s="388"/>
      <c r="UO27" s="388"/>
      <c r="UP27" s="388"/>
      <c r="UQ27" s="388"/>
      <c r="UR27" s="388"/>
      <c r="US27" s="388"/>
      <c r="UT27" s="388"/>
      <c r="UU27" s="388"/>
      <c r="UV27" s="388"/>
      <c r="UW27" s="388"/>
      <c r="UX27" s="388"/>
      <c r="UY27" s="388"/>
      <c r="UZ27" s="388"/>
      <c r="VA27" s="388"/>
      <c r="VB27" s="388"/>
      <c r="VC27" s="388"/>
      <c r="VD27" s="388"/>
      <c r="VE27" s="388"/>
      <c r="VF27" s="388"/>
      <c r="VG27" s="388"/>
      <c r="VH27" s="388"/>
      <c r="VI27" s="388"/>
      <c r="VJ27" s="388"/>
      <c r="VK27" s="388"/>
      <c r="VL27" s="388"/>
      <c r="VM27" s="388"/>
      <c r="VN27" s="388"/>
      <c r="VO27" s="388"/>
      <c r="VP27" s="388"/>
      <c r="VQ27" s="388"/>
      <c r="VR27" s="388"/>
      <c r="VS27" s="388"/>
      <c r="VT27" s="388"/>
      <c r="VU27" s="388"/>
      <c r="VV27" s="388"/>
      <c r="VW27" s="388"/>
      <c r="VX27" s="388"/>
      <c r="VY27" s="388"/>
      <c r="VZ27" s="388"/>
      <c r="WA27" s="388"/>
      <c r="WB27" s="388"/>
      <c r="WC27" s="388"/>
      <c r="WD27" s="388"/>
      <c r="WE27" s="388"/>
      <c r="WF27" s="388"/>
      <c r="WG27" s="388"/>
      <c r="WH27" s="388"/>
      <c r="WI27" s="388"/>
      <c r="WJ27" s="388"/>
      <c r="WK27" s="388"/>
      <c r="WL27" s="388"/>
      <c r="WM27" s="388"/>
      <c r="WN27" s="388"/>
      <c r="WO27" s="388"/>
      <c r="WP27" s="388"/>
      <c r="WQ27" s="388"/>
      <c r="WR27" s="388"/>
      <c r="WS27" s="388"/>
      <c r="WT27" s="388"/>
      <c r="WU27" s="388"/>
      <c r="WV27" s="388"/>
      <c r="WW27" s="388"/>
      <c r="WX27" s="388"/>
      <c r="WY27" s="388"/>
      <c r="WZ27" s="388"/>
      <c r="XA27" s="388"/>
      <c r="XB27" s="388"/>
      <c r="XC27" s="388"/>
      <c r="XD27" s="388"/>
      <c r="XE27" s="388"/>
      <c r="XF27" s="388"/>
      <c r="XG27" s="388"/>
      <c r="XH27" s="388"/>
      <c r="XI27" s="388"/>
      <c r="XJ27" s="388"/>
      <c r="XK27" s="388"/>
      <c r="XL27" s="388"/>
      <c r="XM27" s="388"/>
      <c r="XN27" s="388"/>
      <c r="XO27" s="388"/>
      <c r="XP27" s="388"/>
      <c r="XQ27" s="388"/>
      <c r="XR27" s="388"/>
      <c r="XS27" s="388"/>
      <c r="XT27" s="388"/>
      <c r="XU27" s="388"/>
      <c r="XV27" s="388"/>
      <c r="XW27" s="388"/>
      <c r="XX27" s="388"/>
      <c r="XY27" s="388"/>
      <c r="XZ27" s="388"/>
      <c r="YA27" s="388"/>
      <c r="YB27" s="388"/>
      <c r="YC27" s="388"/>
      <c r="YD27" s="388"/>
      <c r="YE27" s="388"/>
      <c r="YF27" s="388"/>
      <c r="YG27" s="388"/>
      <c r="YH27" s="388"/>
      <c r="YI27" s="388"/>
      <c r="YJ27" s="388"/>
      <c r="YK27" s="388"/>
      <c r="YL27" s="388"/>
      <c r="YM27" s="388"/>
      <c r="YN27" s="388"/>
      <c r="YO27" s="388"/>
      <c r="YP27" s="388"/>
      <c r="YQ27" s="388"/>
      <c r="YR27" s="388"/>
      <c r="YS27" s="388"/>
      <c r="YT27" s="388"/>
      <c r="YU27" s="388"/>
      <c r="YV27" s="388"/>
      <c r="YW27" s="388"/>
      <c r="YX27" s="388"/>
      <c r="YY27" s="388"/>
      <c r="YZ27" s="388"/>
      <c r="ZA27" s="388"/>
      <c r="ZB27" s="388"/>
      <c r="ZC27" s="388"/>
      <c r="ZD27" s="388"/>
      <c r="ZE27" s="388"/>
      <c r="ZF27" s="388"/>
      <c r="ZG27" s="388"/>
      <c r="ZH27" s="388"/>
      <c r="ZI27" s="388"/>
      <c r="ZJ27" s="388"/>
      <c r="ZK27" s="388"/>
      <c r="ZL27" s="388"/>
      <c r="ZM27" s="388"/>
      <c r="ZN27" s="388"/>
      <c r="ZO27" s="388"/>
      <c r="ZP27" s="388"/>
      <c r="ZQ27" s="388"/>
      <c r="ZR27" s="388"/>
      <c r="ZS27" s="388"/>
      <c r="ZT27" s="388"/>
      <c r="ZU27" s="388"/>
      <c r="ZV27" s="388"/>
      <c r="ZW27" s="388"/>
      <c r="ZX27" s="388"/>
      <c r="ZY27" s="388"/>
      <c r="ZZ27" s="388"/>
      <c r="AAA27" s="388"/>
      <c r="AAB27" s="388"/>
      <c r="AAC27" s="388"/>
      <c r="AAD27" s="388"/>
      <c r="AAE27" s="388"/>
      <c r="AAF27" s="388"/>
      <c r="AAG27" s="388"/>
      <c r="AAH27" s="388"/>
      <c r="AAI27" s="388"/>
      <c r="AAJ27" s="388"/>
      <c r="AAK27" s="388"/>
      <c r="AAL27" s="388"/>
      <c r="AAM27" s="388"/>
      <c r="AAN27" s="388"/>
      <c r="AAO27" s="388"/>
      <c r="AAP27" s="388"/>
      <c r="AAQ27" s="388"/>
      <c r="AAR27" s="388"/>
      <c r="AAS27" s="388"/>
      <c r="AAT27" s="388"/>
      <c r="AAU27" s="388"/>
      <c r="AAV27" s="388"/>
      <c r="AAW27" s="388"/>
      <c r="AAX27" s="388"/>
      <c r="AAY27" s="388"/>
      <c r="AAZ27" s="388"/>
      <c r="ABA27" s="388"/>
      <c r="ABB27" s="388"/>
      <c r="ABC27" s="388"/>
      <c r="ABD27" s="388"/>
      <c r="ABE27" s="388"/>
      <c r="ABF27" s="388"/>
      <c r="ABG27" s="388"/>
      <c r="ABH27" s="388"/>
      <c r="ABI27" s="388"/>
      <c r="ABJ27" s="388"/>
      <c r="ABK27" s="388"/>
      <c r="ABL27" s="388"/>
      <c r="ABM27" s="388"/>
      <c r="ABN27" s="388"/>
      <c r="ABO27" s="388"/>
      <c r="ABP27" s="388"/>
      <c r="ABQ27" s="388"/>
      <c r="ABR27" s="388"/>
      <c r="ABS27" s="388"/>
      <c r="ABT27" s="388"/>
      <c r="ABU27" s="388"/>
      <c r="ABV27" s="388"/>
      <c r="ABW27" s="388"/>
      <c r="ABX27" s="388"/>
      <c r="ABY27" s="388"/>
      <c r="ABZ27" s="388"/>
      <c r="ACA27" s="388"/>
      <c r="ACB27" s="388"/>
      <c r="ACC27" s="388"/>
      <c r="ACD27" s="388"/>
      <c r="ACE27" s="388"/>
      <c r="ACF27" s="388"/>
      <c r="ACG27" s="388"/>
      <c r="ACH27" s="388"/>
      <c r="ACI27" s="388"/>
      <c r="ACJ27" s="388"/>
      <c r="ACK27" s="388"/>
      <c r="ACL27" s="388"/>
      <c r="ACM27" s="388"/>
      <c r="ACN27" s="388"/>
      <c r="ACO27" s="388"/>
      <c r="ACP27" s="388"/>
      <c r="ACQ27" s="388"/>
      <c r="ACR27" s="388"/>
      <c r="ACS27" s="388"/>
      <c r="ACT27" s="388"/>
      <c r="ACU27" s="388"/>
      <c r="ACV27" s="388"/>
      <c r="ACW27" s="388"/>
      <c r="ACX27" s="388"/>
      <c r="ACY27" s="388"/>
      <c r="ACZ27" s="388"/>
      <c r="ADA27" s="388"/>
      <c r="ADB27" s="388"/>
      <c r="ADC27" s="388"/>
      <c r="ADD27" s="388"/>
      <c r="ADE27" s="388"/>
      <c r="ADF27" s="388"/>
      <c r="ADG27" s="388"/>
      <c r="ADH27" s="388"/>
      <c r="ADI27" s="388"/>
      <c r="ADJ27" s="388"/>
      <c r="ADK27" s="388"/>
      <c r="ADL27" s="388"/>
      <c r="ADM27" s="388"/>
      <c r="ADN27" s="388"/>
      <c r="ADO27" s="388"/>
      <c r="ADP27" s="388"/>
      <c r="ADQ27" s="388"/>
      <c r="ADR27" s="388"/>
      <c r="ADS27" s="388"/>
      <c r="ADT27" s="388"/>
      <c r="ADU27" s="388"/>
      <c r="ADV27" s="388"/>
      <c r="ADW27" s="388"/>
      <c r="ADX27" s="388"/>
      <c r="ADY27" s="388"/>
      <c r="ADZ27" s="388"/>
      <c r="AEA27" s="388"/>
      <c r="AEB27" s="388"/>
      <c r="AEC27" s="388"/>
      <c r="AED27" s="388"/>
      <c r="AEE27" s="388"/>
      <c r="AEF27" s="388"/>
      <c r="AEG27" s="388"/>
      <c r="AEH27" s="388"/>
      <c r="AEI27" s="388"/>
      <c r="AEJ27" s="388"/>
      <c r="AEK27" s="388"/>
      <c r="AEL27" s="388"/>
      <c r="AEM27" s="388"/>
      <c r="AEN27" s="388"/>
      <c r="AEO27" s="388"/>
      <c r="AEP27" s="388"/>
      <c r="AEQ27" s="388"/>
      <c r="AER27" s="388"/>
      <c r="AES27" s="388"/>
      <c r="AET27" s="388"/>
      <c r="AEU27" s="388"/>
      <c r="AEV27" s="388"/>
      <c r="AEW27" s="388"/>
      <c r="AEX27" s="388"/>
      <c r="AEY27" s="388"/>
      <c r="AEZ27" s="388"/>
      <c r="AFA27" s="388"/>
      <c r="AFB27" s="388"/>
      <c r="AFC27" s="388"/>
      <c r="AFD27" s="388"/>
      <c r="AFE27" s="388"/>
      <c r="AFF27" s="388"/>
      <c r="AFG27" s="388"/>
      <c r="AFH27" s="388"/>
      <c r="AFI27" s="388"/>
      <c r="AFJ27" s="388"/>
      <c r="AFK27" s="388"/>
      <c r="AFL27" s="388"/>
      <c r="AFM27" s="388"/>
      <c r="AFN27" s="388"/>
      <c r="AFO27" s="388"/>
      <c r="AFP27" s="388"/>
      <c r="AFQ27" s="388"/>
      <c r="AFR27" s="388"/>
      <c r="AFS27" s="388"/>
      <c r="AFT27" s="388"/>
      <c r="AFU27" s="388"/>
      <c r="AFV27" s="388"/>
      <c r="AFW27" s="388"/>
      <c r="AFX27" s="388"/>
      <c r="AFY27" s="388"/>
      <c r="AFZ27" s="388"/>
      <c r="AGA27" s="388"/>
      <c r="AGB27" s="388"/>
      <c r="AGC27" s="388"/>
      <c r="AGD27" s="388"/>
      <c r="AGE27" s="388"/>
      <c r="AGF27" s="388"/>
      <c r="AGG27" s="388"/>
      <c r="AGH27" s="388"/>
      <c r="AGI27" s="388"/>
      <c r="AGJ27" s="388"/>
      <c r="AGK27" s="388"/>
      <c r="AGL27" s="388"/>
      <c r="AGM27" s="388"/>
      <c r="AGN27" s="388"/>
      <c r="AGO27" s="388"/>
      <c r="AGP27" s="388"/>
      <c r="AGQ27" s="388"/>
      <c r="AGR27" s="388"/>
      <c r="AGS27" s="388"/>
      <c r="AGT27" s="388"/>
      <c r="AGU27" s="388"/>
      <c r="AGV27" s="388"/>
      <c r="AGW27" s="388"/>
      <c r="AGX27" s="388"/>
      <c r="AGY27" s="388"/>
      <c r="AGZ27" s="388"/>
      <c r="AHA27" s="388"/>
      <c r="AHB27" s="388"/>
      <c r="AHC27" s="388"/>
      <c r="AHD27" s="388"/>
      <c r="AHE27" s="388"/>
      <c r="AHF27" s="388"/>
      <c r="AHG27" s="388"/>
      <c r="AHH27" s="388"/>
      <c r="AHI27" s="388"/>
      <c r="AHJ27" s="388"/>
      <c r="AHK27" s="388"/>
      <c r="AHL27" s="388"/>
      <c r="AHM27" s="388"/>
      <c r="AHN27" s="388"/>
      <c r="AHO27" s="388"/>
      <c r="AHP27" s="388"/>
      <c r="AHQ27" s="388"/>
      <c r="AHR27" s="388"/>
      <c r="AHS27" s="388"/>
      <c r="AHT27" s="388"/>
      <c r="AHU27" s="388"/>
      <c r="AHV27" s="388"/>
      <c r="AHW27" s="388"/>
      <c r="AHX27" s="388"/>
      <c r="AHY27" s="388"/>
      <c r="AHZ27" s="388"/>
      <c r="AIA27" s="388"/>
      <c r="AIB27" s="388"/>
      <c r="AIC27" s="388"/>
      <c r="AID27" s="388"/>
      <c r="AIE27" s="388"/>
      <c r="AIF27" s="388"/>
      <c r="AIG27" s="388"/>
      <c r="AIH27" s="388"/>
      <c r="AII27" s="388"/>
      <c r="AIJ27" s="388"/>
      <c r="AIK27" s="388"/>
      <c r="AIL27" s="388"/>
      <c r="AIM27" s="388"/>
      <c r="AIN27" s="388"/>
      <c r="AIO27" s="388"/>
      <c r="AIP27" s="388"/>
      <c r="AIQ27" s="388"/>
      <c r="AIR27" s="388"/>
      <c r="AIS27" s="388"/>
      <c r="AIT27" s="388"/>
      <c r="AIU27" s="388"/>
      <c r="AIV27" s="388"/>
      <c r="AIW27" s="388"/>
      <c r="AIX27" s="388"/>
      <c r="AIY27" s="388"/>
      <c r="AIZ27" s="388"/>
      <c r="AJA27" s="388"/>
      <c r="AJB27" s="388"/>
      <c r="AJC27" s="388"/>
      <c r="AJD27" s="388"/>
      <c r="AJE27" s="388"/>
      <c r="AJF27" s="388"/>
      <c r="AJG27" s="388"/>
      <c r="AJH27" s="388"/>
      <c r="AJI27" s="388"/>
      <c r="AJJ27" s="388"/>
      <c r="AJK27" s="388"/>
      <c r="AJL27" s="388"/>
      <c r="AJM27" s="388"/>
      <c r="AJN27" s="388"/>
      <c r="AJO27" s="388"/>
      <c r="AJP27" s="388"/>
      <c r="AJQ27" s="388"/>
      <c r="AJR27" s="388"/>
      <c r="AJS27" s="388"/>
      <c r="AJT27" s="388"/>
      <c r="AJU27" s="388"/>
      <c r="AJV27" s="388"/>
      <c r="AJW27" s="388"/>
      <c r="AJX27" s="388"/>
      <c r="AJY27" s="388"/>
      <c r="AJZ27" s="388"/>
      <c r="AKA27" s="388"/>
      <c r="AKB27" s="388"/>
      <c r="AKC27" s="388"/>
      <c r="AKD27" s="388"/>
      <c r="AKE27" s="388"/>
      <c r="AKF27" s="388"/>
      <c r="AKG27" s="388"/>
      <c r="AKH27" s="388"/>
      <c r="AKI27" s="388"/>
      <c r="AKJ27" s="388"/>
      <c r="AKK27" s="388"/>
      <c r="AKL27" s="388"/>
      <c r="AKM27" s="388"/>
      <c r="AKN27" s="388"/>
      <c r="AKO27" s="388"/>
      <c r="AKP27" s="388"/>
      <c r="AKQ27" s="388"/>
      <c r="AKR27" s="388"/>
      <c r="AKS27" s="388"/>
      <c r="AKT27" s="388"/>
      <c r="AKU27" s="388"/>
      <c r="AKV27" s="388"/>
      <c r="AKW27" s="388"/>
      <c r="AKX27" s="388"/>
      <c r="AKY27" s="388"/>
      <c r="AKZ27" s="388"/>
      <c r="ALA27" s="388"/>
      <c r="ALB27" s="388"/>
      <c r="ALC27" s="388"/>
      <c r="ALD27" s="388"/>
      <c r="ALE27" s="388"/>
      <c r="ALF27" s="388"/>
      <c r="ALG27" s="388"/>
      <c r="ALH27" s="388"/>
      <c r="ALI27" s="388"/>
      <c r="ALJ27" s="388"/>
      <c r="ALK27" s="388"/>
      <c r="ALL27" s="388"/>
      <c r="ALM27" s="388"/>
      <c r="ALN27" s="388"/>
      <c r="ALO27" s="388"/>
      <c r="ALP27" s="388"/>
      <c r="ALQ27" s="388"/>
      <c r="ALR27" s="388"/>
      <c r="ALS27" s="388"/>
      <c r="ALT27" s="388"/>
      <c r="ALU27" s="388"/>
      <c r="ALV27" s="388"/>
      <c r="ALW27" s="388"/>
      <c r="ALX27" s="388"/>
      <c r="ALY27" s="388"/>
      <c r="ALZ27" s="388"/>
      <c r="AMA27" s="388"/>
      <c r="AMB27" s="388"/>
      <c r="AMC27" s="388"/>
      <c r="AMD27" s="388"/>
      <c r="AME27" s="388"/>
      <c r="AMF27" s="388"/>
      <c r="AMG27" s="388"/>
      <c r="AMH27" s="388"/>
      <c r="AMI27" s="388"/>
      <c r="AMJ27" s="388"/>
      <c r="AMK27" s="388"/>
      <c r="AML27" s="388"/>
      <c r="AMM27" s="388"/>
      <c r="AMN27" s="388"/>
      <c r="AMO27" s="388"/>
      <c r="AMP27" s="388"/>
      <c r="AMQ27" s="388"/>
      <c r="AMR27" s="388"/>
      <c r="AMS27" s="388"/>
      <c r="AMT27" s="388"/>
      <c r="AMU27" s="388"/>
      <c r="AMV27" s="388"/>
      <c r="AMW27" s="388"/>
      <c r="AMX27" s="388"/>
      <c r="AMY27" s="388"/>
      <c r="AMZ27" s="388"/>
      <c r="ANA27" s="388"/>
      <c r="ANB27" s="388"/>
      <c r="ANC27" s="388"/>
      <c r="AND27" s="388"/>
      <c r="ANE27" s="388"/>
      <c r="ANF27" s="388"/>
      <c r="ANG27" s="388"/>
      <c r="ANH27" s="388"/>
      <c r="ANI27" s="388"/>
      <c r="ANJ27" s="388"/>
      <c r="ANK27" s="388"/>
      <c r="ANL27" s="388"/>
      <c r="ANM27" s="388"/>
      <c r="ANN27" s="388"/>
      <c r="ANO27" s="388"/>
      <c r="ANP27" s="388"/>
      <c r="ANQ27" s="388"/>
      <c r="ANR27" s="388"/>
      <c r="ANS27" s="388"/>
      <c r="ANT27" s="388"/>
      <c r="ANU27" s="388"/>
      <c r="ANV27" s="388"/>
      <c r="ANW27" s="388"/>
      <c r="ANX27" s="388"/>
      <c r="ANY27" s="388"/>
      <c r="ANZ27" s="388"/>
      <c r="AOA27" s="388"/>
      <c r="AOB27" s="388"/>
      <c r="AOC27" s="388"/>
      <c r="AOD27" s="388"/>
      <c r="AOE27" s="388"/>
      <c r="AOF27" s="388"/>
      <c r="AOG27" s="388"/>
      <c r="AOH27" s="388"/>
      <c r="AOI27" s="388"/>
      <c r="AOJ27" s="388"/>
      <c r="AOK27" s="388"/>
      <c r="AOL27" s="388"/>
      <c r="AOM27" s="388"/>
      <c r="AON27" s="388"/>
      <c r="AOO27" s="388"/>
      <c r="AOP27" s="388"/>
      <c r="AOQ27" s="388"/>
      <c r="AOR27" s="388"/>
      <c r="AOS27" s="388"/>
      <c r="AOT27" s="388"/>
      <c r="AOU27" s="388"/>
      <c r="AOV27" s="388"/>
      <c r="AOW27" s="388"/>
      <c r="AOX27" s="388"/>
      <c r="AOY27" s="388"/>
      <c r="AOZ27" s="388"/>
      <c r="APA27" s="388"/>
      <c r="APB27" s="388"/>
      <c r="APC27" s="388"/>
      <c r="APD27" s="388"/>
      <c r="APE27" s="388"/>
      <c r="APF27" s="388"/>
      <c r="APG27" s="388"/>
      <c r="APH27" s="388"/>
      <c r="API27" s="388"/>
      <c r="APJ27" s="388"/>
      <c r="APK27" s="388"/>
      <c r="APL27" s="388"/>
      <c r="APM27" s="388"/>
      <c r="APN27" s="388"/>
      <c r="APO27" s="388"/>
      <c r="APP27" s="388"/>
      <c r="APQ27" s="388"/>
      <c r="APR27" s="388"/>
      <c r="APS27" s="388"/>
      <c r="APT27" s="388"/>
      <c r="APU27" s="388"/>
      <c r="APV27" s="388"/>
      <c r="APW27" s="388"/>
      <c r="APX27" s="388"/>
      <c r="APY27" s="388"/>
      <c r="APZ27" s="388"/>
      <c r="AQA27" s="388"/>
      <c r="AQB27" s="388"/>
      <c r="AQC27" s="388"/>
      <c r="AQD27" s="388"/>
      <c r="AQE27" s="388"/>
      <c r="AQF27" s="388"/>
      <c r="AQG27" s="388"/>
      <c r="AQH27" s="388"/>
      <c r="AQI27" s="388"/>
      <c r="AQJ27" s="388"/>
      <c r="AQK27" s="388"/>
      <c r="AQL27" s="388"/>
      <c r="AQM27" s="388"/>
      <c r="AQN27" s="388"/>
      <c r="AQO27" s="388"/>
      <c r="AQP27" s="388"/>
      <c r="AQQ27" s="388"/>
      <c r="AQR27" s="388"/>
      <c r="AQS27" s="388"/>
      <c r="AQT27" s="388"/>
      <c r="AQU27" s="388"/>
      <c r="AQV27" s="388"/>
      <c r="AQW27" s="388"/>
      <c r="AQX27" s="388"/>
      <c r="AQY27" s="388"/>
      <c r="AQZ27" s="388"/>
      <c r="ARA27" s="388"/>
      <c r="ARB27" s="388"/>
      <c r="ARC27" s="388"/>
      <c r="ARD27" s="388"/>
      <c r="ARE27" s="388"/>
      <c r="ARF27" s="388"/>
      <c r="ARG27" s="388"/>
      <c r="ARH27" s="388"/>
      <c r="ARI27" s="388"/>
      <c r="ARJ27" s="388"/>
      <c r="ARK27" s="388"/>
      <c r="ARL27" s="388"/>
      <c r="ARM27" s="388"/>
      <c r="ARN27" s="388"/>
      <c r="ARO27" s="388"/>
      <c r="ARP27" s="388"/>
      <c r="ARQ27" s="388"/>
      <c r="ARR27" s="388"/>
      <c r="ARS27" s="388"/>
      <c r="ART27" s="388"/>
      <c r="ARU27" s="388"/>
      <c r="ARV27" s="388"/>
      <c r="ARW27" s="388"/>
      <c r="ARX27" s="388"/>
      <c r="ARY27" s="388"/>
      <c r="ARZ27" s="388"/>
      <c r="ASA27" s="388"/>
      <c r="ASB27" s="388"/>
      <c r="ASC27" s="388"/>
      <c r="ASD27" s="388"/>
      <c r="ASE27" s="388"/>
      <c r="ASF27" s="388"/>
      <c r="ASG27" s="388"/>
      <c r="ASH27" s="388"/>
      <c r="ASI27" s="388"/>
      <c r="ASJ27" s="388"/>
      <c r="ASK27" s="388"/>
      <c r="ASL27" s="388"/>
      <c r="ASM27" s="388"/>
      <c r="ASN27" s="388"/>
      <c r="ASO27" s="388"/>
      <c r="ASP27" s="388"/>
      <c r="ASQ27" s="388"/>
      <c r="ASR27" s="388"/>
      <c r="ASS27" s="388"/>
      <c r="AST27" s="388"/>
      <c r="ASU27" s="388"/>
      <c r="ASV27" s="388"/>
      <c r="ASW27" s="388"/>
      <c r="ASX27" s="388"/>
      <c r="ASY27" s="388"/>
      <c r="ASZ27" s="388"/>
      <c r="ATA27" s="388"/>
      <c r="ATB27" s="388"/>
      <c r="ATC27" s="388"/>
      <c r="ATD27" s="388"/>
      <c r="ATE27" s="388"/>
      <c r="ATF27" s="388"/>
      <c r="ATG27" s="388"/>
      <c r="ATH27" s="388"/>
      <c r="ATI27" s="388"/>
      <c r="ATJ27" s="388"/>
      <c r="ATK27" s="388"/>
      <c r="ATL27" s="388"/>
      <c r="ATM27" s="388"/>
      <c r="ATN27" s="388"/>
      <c r="ATO27" s="388"/>
      <c r="ATP27" s="388"/>
      <c r="ATQ27" s="388"/>
      <c r="ATR27" s="388"/>
      <c r="ATS27" s="388"/>
      <c r="ATT27" s="388"/>
      <c r="ATU27" s="388"/>
      <c r="ATV27" s="388"/>
      <c r="ATW27" s="388"/>
      <c r="ATX27" s="388"/>
      <c r="ATY27" s="388"/>
      <c r="ATZ27" s="388"/>
      <c r="AUA27" s="388"/>
      <c r="AUB27" s="388"/>
      <c r="AUC27" s="388"/>
      <c r="AUD27" s="388"/>
      <c r="AUE27" s="388"/>
      <c r="AUF27" s="388"/>
      <c r="AUG27" s="388"/>
      <c r="AUH27" s="388"/>
      <c r="AUI27" s="388"/>
      <c r="AUJ27" s="388"/>
      <c r="AUK27" s="388"/>
      <c r="AUL27" s="388"/>
      <c r="AUM27" s="388"/>
      <c r="AUN27" s="388"/>
      <c r="AUO27" s="388"/>
      <c r="AUP27" s="388"/>
      <c r="AUQ27" s="388"/>
      <c r="AUR27" s="388"/>
      <c r="AUS27" s="388"/>
      <c r="AUT27" s="388"/>
      <c r="AUU27" s="388"/>
      <c r="AUV27" s="388"/>
      <c r="AUW27" s="388"/>
      <c r="AUX27" s="388"/>
      <c r="AUY27" s="388"/>
      <c r="AUZ27" s="388"/>
      <c r="AVA27" s="388"/>
      <c r="AVB27" s="388"/>
      <c r="AVC27" s="388"/>
      <c r="AVD27" s="388"/>
      <c r="AVE27" s="388"/>
      <c r="AVF27" s="388"/>
      <c r="AVG27" s="388"/>
      <c r="AVH27" s="388"/>
      <c r="AVI27" s="388"/>
      <c r="AVJ27" s="388"/>
      <c r="AVK27" s="388"/>
      <c r="AVL27" s="388"/>
      <c r="AVM27" s="388"/>
      <c r="AVN27" s="388"/>
      <c r="AVO27" s="388"/>
      <c r="AVP27" s="388"/>
      <c r="AVQ27" s="388"/>
      <c r="AVR27" s="388"/>
      <c r="AVS27" s="388"/>
      <c r="AVT27" s="388"/>
      <c r="AVU27" s="388"/>
      <c r="AVV27" s="388"/>
      <c r="AVW27" s="388"/>
      <c r="AVX27" s="388"/>
      <c r="AVY27" s="388"/>
      <c r="AVZ27" s="388"/>
      <c r="AWA27" s="388"/>
      <c r="AWB27" s="388"/>
      <c r="AWC27" s="388"/>
      <c r="AWD27" s="388"/>
      <c r="AWE27" s="388"/>
      <c r="AWF27" s="388"/>
      <c r="AWG27" s="388"/>
      <c r="AWH27" s="388"/>
      <c r="AWI27" s="388"/>
      <c r="AWJ27" s="388"/>
      <c r="AWK27" s="388"/>
      <c r="AWL27" s="388"/>
      <c r="AWM27" s="388"/>
      <c r="AWN27" s="388"/>
      <c r="AWO27" s="388"/>
      <c r="AWP27" s="388"/>
      <c r="AWQ27" s="388"/>
      <c r="AWR27" s="388"/>
      <c r="AWS27" s="388"/>
      <c r="AWT27" s="388"/>
      <c r="AWU27" s="388"/>
      <c r="AWV27" s="388"/>
      <c r="AWW27" s="388"/>
      <c r="AWX27" s="388"/>
      <c r="AWY27" s="388"/>
      <c r="AWZ27" s="388"/>
      <c r="AXA27" s="388"/>
      <c r="AXB27" s="388"/>
      <c r="AXC27" s="388"/>
      <c r="AXD27" s="388"/>
      <c r="AXE27" s="388"/>
      <c r="AXF27" s="388"/>
      <c r="AXG27" s="388"/>
      <c r="AXH27" s="388"/>
      <c r="AXI27" s="388"/>
      <c r="AXJ27" s="388"/>
      <c r="AXK27" s="388"/>
      <c r="AXL27" s="388"/>
      <c r="AXM27" s="388"/>
      <c r="AXN27" s="388"/>
      <c r="AXO27" s="388"/>
      <c r="AXP27" s="388"/>
      <c r="AXQ27" s="388"/>
      <c r="AXR27" s="388"/>
      <c r="AXS27" s="388"/>
      <c r="AXT27" s="388"/>
      <c r="AXU27" s="388"/>
      <c r="AXV27" s="388"/>
      <c r="AXW27" s="388"/>
      <c r="AXX27" s="388"/>
      <c r="AXY27" s="388"/>
      <c r="AXZ27" s="388"/>
      <c r="AYA27" s="388"/>
      <c r="AYB27" s="388"/>
      <c r="AYC27" s="388"/>
      <c r="AYD27" s="388"/>
      <c r="AYE27" s="388"/>
      <c r="AYF27" s="388"/>
      <c r="AYG27" s="388"/>
      <c r="AYH27" s="388"/>
      <c r="AYI27" s="388"/>
      <c r="AYJ27" s="388"/>
      <c r="AYK27" s="388"/>
      <c r="AYL27" s="388"/>
      <c r="AYM27" s="388"/>
      <c r="AYN27" s="388"/>
      <c r="AYO27" s="388"/>
      <c r="AYP27" s="388"/>
      <c r="AYQ27" s="388"/>
      <c r="AYR27" s="388"/>
      <c r="AYS27" s="388"/>
      <c r="AYT27" s="388"/>
      <c r="AYU27" s="388"/>
      <c r="AYV27" s="388"/>
      <c r="AYW27" s="388"/>
      <c r="AYX27" s="388"/>
      <c r="AYY27" s="388"/>
      <c r="AYZ27" s="388"/>
      <c r="AZA27" s="388"/>
      <c r="AZB27" s="388"/>
      <c r="AZC27" s="388"/>
      <c r="AZD27" s="388"/>
      <c r="AZE27" s="388"/>
      <c r="AZF27" s="388"/>
      <c r="AZG27" s="388"/>
      <c r="AZH27" s="388"/>
      <c r="AZI27" s="388"/>
      <c r="AZJ27" s="388"/>
      <c r="AZK27" s="388"/>
      <c r="AZL27" s="388"/>
      <c r="AZM27" s="388"/>
      <c r="AZN27" s="388"/>
      <c r="AZO27" s="388"/>
      <c r="AZP27" s="388"/>
      <c r="AZQ27" s="388"/>
      <c r="AZR27" s="388"/>
      <c r="AZS27" s="388"/>
      <c r="AZT27" s="388"/>
      <c r="AZU27" s="388"/>
      <c r="AZV27" s="388"/>
      <c r="AZW27" s="388"/>
      <c r="AZX27" s="388"/>
      <c r="AZY27" s="388"/>
      <c r="AZZ27" s="388"/>
      <c r="BAA27" s="388"/>
      <c r="BAB27" s="388"/>
      <c r="BAC27" s="388"/>
      <c r="BAD27" s="388"/>
      <c r="BAE27" s="388"/>
      <c r="BAF27" s="388"/>
      <c r="BAG27" s="388"/>
      <c r="BAH27" s="388"/>
      <c r="BAI27" s="388"/>
      <c r="BAJ27" s="388"/>
      <c r="BAK27" s="388"/>
      <c r="BAL27" s="388"/>
      <c r="BAM27" s="388"/>
      <c r="BAN27" s="388"/>
      <c r="BAO27" s="388"/>
      <c r="BAP27" s="388"/>
      <c r="BAQ27" s="388"/>
      <c r="BAR27" s="388"/>
      <c r="BAS27" s="388"/>
      <c r="BAT27" s="388"/>
      <c r="BAU27" s="388"/>
      <c r="BAV27" s="388"/>
      <c r="BAW27" s="388"/>
      <c r="BAX27" s="388"/>
      <c r="BAY27" s="388"/>
      <c r="BAZ27" s="388"/>
      <c r="BBA27" s="388"/>
      <c r="BBB27" s="388"/>
      <c r="BBC27" s="388"/>
      <c r="BBD27" s="388"/>
      <c r="BBE27" s="388"/>
      <c r="BBF27" s="388"/>
      <c r="BBG27" s="388"/>
      <c r="BBH27" s="388"/>
      <c r="BBI27" s="388"/>
      <c r="BBJ27" s="388"/>
      <c r="BBK27" s="388"/>
      <c r="BBL27" s="388"/>
      <c r="BBM27" s="388"/>
      <c r="BBN27" s="388"/>
      <c r="BBO27" s="388"/>
      <c r="BBP27" s="388"/>
      <c r="BBQ27" s="388"/>
      <c r="BBR27" s="388"/>
      <c r="BBS27" s="388"/>
      <c r="BBT27" s="388"/>
      <c r="BBU27" s="388"/>
      <c r="BBV27" s="388"/>
      <c r="BBW27" s="388"/>
      <c r="BBX27" s="388"/>
      <c r="BBY27" s="388"/>
      <c r="BBZ27" s="388"/>
      <c r="BCA27" s="388"/>
      <c r="BCB27" s="388"/>
      <c r="BCC27" s="388"/>
      <c r="BCD27" s="388"/>
      <c r="BCE27" s="388"/>
      <c r="BCF27" s="388"/>
      <c r="BCG27" s="388"/>
      <c r="BCH27" s="388"/>
      <c r="BCI27" s="388"/>
      <c r="BCJ27" s="388"/>
      <c r="BCK27" s="388"/>
      <c r="BCL27" s="388"/>
      <c r="BCM27" s="388"/>
      <c r="BCN27" s="388"/>
      <c r="BCO27" s="388"/>
      <c r="BCP27" s="388"/>
      <c r="BCQ27" s="388"/>
      <c r="BCR27" s="388"/>
      <c r="BCS27" s="388"/>
      <c r="BCT27" s="388"/>
      <c r="BCU27" s="388"/>
      <c r="BCV27" s="388"/>
      <c r="BCW27" s="388"/>
      <c r="BCX27" s="388"/>
      <c r="BCY27" s="388"/>
      <c r="BCZ27" s="388"/>
      <c r="BDA27" s="388"/>
      <c r="BDB27" s="388"/>
      <c r="BDC27" s="388"/>
      <c r="BDD27" s="388"/>
      <c r="BDE27" s="388"/>
      <c r="BDF27" s="388"/>
      <c r="BDG27" s="388"/>
      <c r="BDH27" s="388"/>
      <c r="BDI27" s="388"/>
      <c r="BDJ27" s="388"/>
      <c r="BDK27" s="388"/>
      <c r="BDL27" s="388"/>
      <c r="BDM27" s="388"/>
      <c r="BDN27" s="388"/>
      <c r="BDO27" s="388"/>
      <c r="BDP27" s="388"/>
      <c r="BDQ27" s="388"/>
      <c r="BDR27" s="388"/>
      <c r="BDS27" s="388"/>
      <c r="BDT27" s="388"/>
      <c r="BDU27" s="388"/>
      <c r="BDV27" s="388"/>
      <c r="BDW27" s="388"/>
      <c r="BDX27" s="388"/>
      <c r="BDY27" s="388"/>
      <c r="BDZ27" s="388"/>
      <c r="BEA27" s="388"/>
      <c r="BEB27" s="388"/>
      <c r="BEC27" s="388"/>
      <c r="BED27" s="388"/>
      <c r="BEE27" s="388"/>
      <c r="BEF27" s="388"/>
      <c r="BEG27" s="388"/>
      <c r="BEH27" s="388"/>
      <c r="BEI27" s="388"/>
      <c r="BEJ27" s="388"/>
      <c r="BEK27" s="388"/>
      <c r="BEL27" s="388"/>
      <c r="BEM27" s="388"/>
      <c r="BEN27" s="388"/>
      <c r="BEO27" s="388"/>
      <c r="BEP27" s="388"/>
      <c r="BEQ27" s="388"/>
      <c r="BER27" s="388"/>
      <c r="BES27" s="388"/>
      <c r="BET27" s="388"/>
      <c r="BEU27" s="388"/>
      <c r="BEV27" s="388"/>
      <c r="BEW27" s="388"/>
      <c r="BEX27" s="388"/>
      <c r="BEY27" s="388"/>
      <c r="BEZ27" s="388"/>
      <c r="BFA27" s="388"/>
      <c r="BFB27" s="388"/>
      <c r="BFC27" s="388"/>
      <c r="BFD27" s="388"/>
      <c r="BFE27" s="388"/>
      <c r="BFF27" s="388"/>
      <c r="BFG27" s="388"/>
      <c r="BFH27" s="388"/>
      <c r="BFI27" s="388"/>
      <c r="BFJ27" s="388"/>
      <c r="BFK27" s="388"/>
      <c r="BFL27" s="388"/>
      <c r="BFM27" s="388"/>
      <c r="BFN27" s="388"/>
      <c r="BFO27" s="388"/>
      <c r="BFP27" s="388"/>
      <c r="BFQ27" s="388"/>
      <c r="BFR27" s="388"/>
      <c r="BFS27" s="388"/>
      <c r="BFT27" s="388"/>
      <c r="BFU27" s="388"/>
      <c r="BFV27" s="388"/>
      <c r="BFW27" s="388"/>
      <c r="BFX27" s="388"/>
      <c r="BFY27" s="388"/>
      <c r="BFZ27" s="388"/>
      <c r="BGA27" s="388"/>
      <c r="BGB27" s="388"/>
      <c r="BGC27" s="388"/>
      <c r="BGD27" s="388"/>
      <c r="BGE27" s="388"/>
      <c r="BGF27" s="388"/>
      <c r="BGG27" s="388"/>
      <c r="BGH27" s="388"/>
      <c r="BGI27" s="388"/>
      <c r="BGJ27" s="388"/>
      <c r="BGK27" s="388"/>
      <c r="BGL27" s="388"/>
      <c r="BGM27" s="388"/>
      <c r="BGN27" s="388"/>
      <c r="BGO27" s="388"/>
      <c r="BGP27" s="388"/>
      <c r="BGQ27" s="388"/>
      <c r="BGR27" s="388"/>
      <c r="BGS27" s="388"/>
      <c r="BGT27" s="388"/>
      <c r="BGU27" s="388"/>
      <c r="BGV27" s="388"/>
      <c r="BGW27" s="388"/>
      <c r="BGX27" s="388"/>
      <c r="BGY27" s="388"/>
      <c r="BGZ27" s="388"/>
      <c r="BHA27" s="388"/>
      <c r="BHB27" s="388"/>
      <c r="BHC27" s="388"/>
      <c r="BHD27" s="388"/>
      <c r="BHE27" s="388"/>
      <c r="BHF27" s="388"/>
      <c r="BHG27" s="388"/>
      <c r="BHH27" s="388"/>
      <c r="BHI27" s="388"/>
      <c r="BHJ27" s="388"/>
      <c r="BHK27" s="388"/>
      <c r="BHL27" s="388"/>
      <c r="BHM27" s="388"/>
      <c r="BHN27" s="388"/>
      <c r="BHO27" s="388"/>
      <c r="BHP27" s="388"/>
      <c r="BHQ27" s="388"/>
      <c r="BHR27" s="388"/>
      <c r="BHS27" s="388"/>
      <c r="BHT27" s="388"/>
      <c r="BHU27" s="388"/>
      <c r="BHV27" s="388"/>
      <c r="BHW27" s="388"/>
      <c r="BHX27" s="388"/>
      <c r="BHY27" s="388"/>
      <c r="BHZ27" s="388"/>
      <c r="BIA27" s="388"/>
      <c r="BIB27" s="388"/>
      <c r="BIC27" s="388"/>
      <c r="BID27" s="388"/>
      <c r="BIE27" s="388"/>
      <c r="BIF27" s="388"/>
      <c r="BIG27" s="388"/>
      <c r="BIH27" s="388"/>
      <c r="BII27" s="388"/>
      <c r="BIJ27" s="388"/>
      <c r="BIK27" s="388"/>
      <c r="BIL27" s="388"/>
      <c r="BIM27" s="388"/>
      <c r="BIN27" s="388"/>
      <c r="BIO27" s="388"/>
      <c r="BIP27" s="388"/>
      <c r="BIQ27" s="388"/>
      <c r="BIR27" s="388"/>
      <c r="BIS27" s="388"/>
      <c r="BIT27" s="388"/>
      <c r="BIU27" s="388"/>
      <c r="BIV27" s="388"/>
      <c r="BIW27" s="388"/>
      <c r="BIX27" s="388"/>
      <c r="BIY27" s="388"/>
      <c r="BIZ27" s="388"/>
      <c r="BJA27" s="388"/>
      <c r="BJB27" s="388"/>
      <c r="BJC27" s="388"/>
      <c r="BJD27" s="388"/>
      <c r="BJE27" s="388"/>
      <c r="BJF27" s="388"/>
      <c r="BJG27" s="388"/>
      <c r="BJH27" s="388"/>
      <c r="BJI27" s="388"/>
      <c r="BJJ27" s="388"/>
      <c r="BJK27" s="388"/>
      <c r="BJL27" s="388"/>
      <c r="BJM27" s="388"/>
      <c r="BJN27" s="388"/>
      <c r="BJO27" s="388"/>
      <c r="BJP27" s="388"/>
      <c r="BJQ27" s="388"/>
      <c r="BJR27" s="388"/>
      <c r="BJS27" s="388"/>
      <c r="BJT27" s="388"/>
      <c r="BJU27" s="388"/>
      <c r="BJV27" s="388"/>
      <c r="BJW27" s="388"/>
      <c r="BJX27" s="388"/>
      <c r="BJY27" s="388"/>
      <c r="BJZ27" s="388"/>
      <c r="BKA27" s="388"/>
      <c r="BKB27" s="388"/>
      <c r="BKC27" s="388"/>
      <c r="BKD27" s="388"/>
      <c r="BKE27" s="388"/>
      <c r="BKF27" s="388"/>
      <c r="BKG27" s="388"/>
      <c r="BKH27" s="388"/>
      <c r="BKI27" s="388"/>
      <c r="BKJ27" s="388"/>
      <c r="BKK27" s="388"/>
      <c r="BKL27" s="388"/>
      <c r="BKM27" s="388"/>
      <c r="BKN27" s="388"/>
      <c r="BKO27" s="388"/>
      <c r="BKP27" s="388"/>
      <c r="BKQ27" s="388"/>
      <c r="BKR27" s="388"/>
      <c r="BKS27" s="388"/>
      <c r="BKT27" s="388"/>
      <c r="BKU27" s="388"/>
      <c r="BKV27" s="388"/>
      <c r="BKW27" s="388"/>
      <c r="BKX27" s="388"/>
      <c r="BKY27" s="388"/>
      <c r="BKZ27" s="388"/>
      <c r="BLA27" s="388"/>
      <c r="BLB27" s="388"/>
      <c r="BLC27" s="388"/>
      <c r="BLD27" s="388"/>
      <c r="BLE27" s="388"/>
      <c r="BLF27" s="388"/>
      <c r="BLG27" s="388"/>
      <c r="BLH27" s="388"/>
      <c r="BLI27" s="388"/>
      <c r="BLJ27" s="388"/>
      <c r="BLK27" s="388"/>
      <c r="BLL27" s="388"/>
      <c r="BLM27" s="388"/>
      <c r="BLN27" s="388"/>
      <c r="BLO27" s="388"/>
      <c r="BLP27" s="388"/>
      <c r="BLQ27" s="388"/>
      <c r="BLR27" s="388"/>
      <c r="BLS27" s="388"/>
      <c r="BLT27" s="388"/>
      <c r="BLU27" s="388"/>
      <c r="BLV27" s="388"/>
      <c r="BLW27" s="388"/>
      <c r="BLX27" s="388"/>
      <c r="BLY27" s="388"/>
      <c r="BLZ27" s="388"/>
      <c r="BMA27" s="388"/>
      <c r="BMB27" s="388"/>
      <c r="BMC27" s="388"/>
      <c r="BMD27" s="388"/>
      <c r="BME27" s="388"/>
      <c r="BMF27" s="388"/>
      <c r="BMG27" s="388"/>
      <c r="BMH27" s="388"/>
      <c r="BMI27" s="388"/>
      <c r="BMJ27" s="388"/>
      <c r="BMK27" s="388"/>
      <c r="BML27" s="388"/>
      <c r="BMM27" s="388"/>
      <c r="BMN27" s="388"/>
      <c r="BMO27" s="388"/>
      <c r="BMP27" s="388"/>
      <c r="BMQ27" s="388"/>
      <c r="BMR27" s="388"/>
      <c r="BMS27" s="388"/>
      <c r="BMT27" s="388"/>
      <c r="BMU27" s="388"/>
      <c r="BMV27" s="388"/>
      <c r="BMW27" s="388"/>
      <c r="BMX27" s="388"/>
      <c r="BMY27" s="388"/>
      <c r="BMZ27" s="388"/>
      <c r="BNA27" s="388"/>
      <c r="BNB27" s="388"/>
      <c r="BNC27" s="388"/>
      <c r="BND27" s="388"/>
      <c r="BNE27" s="388"/>
      <c r="BNF27" s="388"/>
      <c r="BNG27" s="388"/>
      <c r="BNH27" s="388"/>
      <c r="BNI27" s="388"/>
      <c r="BNJ27" s="388"/>
      <c r="BNK27" s="388"/>
      <c r="BNL27" s="388"/>
      <c r="BNM27" s="388"/>
      <c r="BNN27" s="388"/>
      <c r="BNO27" s="388"/>
      <c r="BNP27" s="388"/>
      <c r="BNQ27" s="388"/>
      <c r="BNR27" s="388"/>
      <c r="BNS27" s="388"/>
      <c r="BNT27" s="388"/>
      <c r="BNU27" s="388"/>
      <c r="BNV27" s="388"/>
      <c r="BNW27" s="388"/>
      <c r="BNX27" s="388"/>
      <c r="BNY27" s="388"/>
      <c r="BNZ27" s="388"/>
      <c r="BOA27" s="388"/>
      <c r="BOB27" s="388"/>
      <c r="BOC27" s="388"/>
      <c r="BOD27" s="388"/>
      <c r="BOE27" s="388"/>
      <c r="BOF27" s="388"/>
      <c r="BOG27" s="388"/>
      <c r="BOH27" s="388"/>
      <c r="BOI27" s="388"/>
      <c r="BOJ27" s="388"/>
      <c r="BOK27" s="388"/>
      <c r="BOL27" s="388"/>
      <c r="BOM27" s="388"/>
      <c r="BON27" s="388"/>
      <c r="BOO27" s="388"/>
      <c r="BOP27" s="388"/>
      <c r="BOQ27" s="388"/>
      <c r="BOR27" s="388"/>
      <c r="BOS27" s="388"/>
      <c r="BOT27" s="388"/>
      <c r="BOU27" s="388"/>
      <c r="BOV27" s="388"/>
      <c r="BOW27" s="388"/>
      <c r="BOX27" s="388"/>
      <c r="BOY27" s="388"/>
      <c r="BOZ27" s="388"/>
      <c r="BPA27" s="388"/>
      <c r="BPB27" s="388"/>
      <c r="BPC27" s="388"/>
      <c r="BPD27" s="388"/>
      <c r="BPE27" s="388"/>
      <c r="BPF27" s="388"/>
      <c r="BPG27" s="388"/>
      <c r="BPH27" s="388"/>
      <c r="BPI27" s="388"/>
      <c r="BPJ27" s="388"/>
      <c r="BPK27" s="388"/>
      <c r="BPL27" s="388"/>
      <c r="BPM27" s="388"/>
      <c r="BPN27" s="388"/>
      <c r="BPO27" s="388"/>
      <c r="BPP27" s="388"/>
      <c r="BPQ27" s="388"/>
      <c r="BPR27" s="388"/>
      <c r="BPS27" s="388"/>
      <c r="BPT27" s="388"/>
      <c r="BPU27" s="388"/>
      <c r="BPV27" s="388"/>
      <c r="BPW27" s="388"/>
      <c r="BPX27" s="388"/>
      <c r="BPY27" s="388"/>
      <c r="BPZ27" s="388"/>
      <c r="BQA27" s="388"/>
      <c r="BQB27" s="388"/>
      <c r="BQC27" s="388"/>
      <c r="BQD27" s="388"/>
      <c r="BQE27" s="388"/>
      <c r="BQF27" s="388"/>
      <c r="BQG27" s="388"/>
      <c r="BQH27" s="388"/>
      <c r="BQI27" s="388"/>
      <c r="BQJ27" s="388"/>
      <c r="BQK27" s="388"/>
      <c r="BQL27" s="388"/>
      <c r="BQM27" s="388"/>
      <c r="BQN27" s="388"/>
      <c r="BQO27" s="388"/>
      <c r="BQP27" s="388"/>
      <c r="BQQ27" s="388"/>
      <c r="BQR27" s="388"/>
      <c r="BQS27" s="388"/>
      <c r="BQT27" s="388"/>
      <c r="BQU27" s="388"/>
      <c r="BQV27" s="388"/>
      <c r="BQW27" s="388"/>
      <c r="BQX27" s="388"/>
      <c r="BQY27" s="388"/>
      <c r="BQZ27" s="388"/>
      <c r="BRA27" s="388"/>
      <c r="BRB27" s="388"/>
      <c r="BRC27" s="388"/>
      <c r="BRD27" s="388"/>
      <c r="BRE27" s="388"/>
      <c r="BRF27" s="388"/>
      <c r="BRG27" s="388"/>
      <c r="BRH27" s="388"/>
      <c r="BRI27" s="388"/>
      <c r="BRJ27" s="388"/>
      <c r="BRK27" s="388"/>
      <c r="BRL27" s="388"/>
      <c r="BRM27" s="388"/>
      <c r="BRN27" s="388"/>
      <c r="BRO27" s="388"/>
      <c r="BRP27" s="388"/>
      <c r="BRQ27" s="388"/>
      <c r="BRR27" s="388"/>
      <c r="BRS27" s="388"/>
      <c r="BRT27" s="388"/>
      <c r="BRU27" s="388"/>
      <c r="BRV27" s="388"/>
      <c r="BRW27" s="388"/>
      <c r="BRX27" s="388"/>
      <c r="BRY27" s="388"/>
      <c r="BRZ27" s="388"/>
      <c r="BSA27" s="388"/>
      <c r="BSB27" s="388"/>
      <c r="BSC27" s="388"/>
      <c r="BSD27" s="388"/>
      <c r="BSE27" s="388"/>
      <c r="BSF27" s="388"/>
      <c r="BSG27" s="388"/>
      <c r="BSH27" s="388"/>
      <c r="BSI27" s="388"/>
      <c r="BSJ27" s="388"/>
      <c r="BSK27" s="388"/>
      <c r="BSL27" s="388"/>
      <c r="BSM27" s="388"/>
      <c r="BSN27" s="388"/>
      <c r="BSO27" s="388"/>
      <c r="BSP27" s="388"/>
      <c r="BSQ27" s="388"/>
      <c r="BSR27" s="388"/>
      <c r="BSS27" s="388"/>
      <c r="BST27" s="388"/>
      <c r="BSU27" s="388"/>
      <c r="BSV27" s="388"/>
      <c r="BSW27" s="388"/>
      <c r="BSX27" s="388"/>
      <c r="BSY27" s="388"/>
      <c r="BSZ27" s="388"/>
      <c r="BTA27" s="388"/>
      <c r="BTB27" s="388"/>
      <c r="BTC27" s="388"/>
      <c r="BTD27" s="388"/>
      <c r="BTE27" s="388"/>
      <c r="BTF27" s="388"/>
      <c r="BTG27" s="388"/>
      <c r="BTH27" s="388"/>
      <c r="BTI27" s="388"/>
      <c r="BTJ27" s="388"/>
      <c r="BTK27" s="388"/>
      <c r="BTL27" s="388"/>
      <c r="BTM27" s="388"/>
      <c r="BTN27" s="388"/>
      <c r="BTO27" s="388"/>
      <c r="BTP27" s="388"/>
      <c r="BTQ27" s="388"/>
      <c r="BTR27" s="388"/>
      <c r="BTS27" s="388"/>
      <c r="BTT27" s="388"/>
      <c r="BTU27" s="388"/>
      <c r="BTV27" s="388"/>
      <c r="BTW27" s="388"/>
      <c r="BTX27" s="388"/>
      <c r="BTY27" s="388"/>
      <c r="BTZ27" s="388"/>
      <c r="BUA27" s="388"/>
      <c r="BUB27" s="388"/>
      <c r="BUC27" s="388"/>
      <c r="BUD27" s="388"/>
      <c r="BUE27" s="388"/>
      <c r="BUF27" s="388"/>
      <c r="BUG27" s="388"/>
      <c r="BUH27" s="388"/>
      <c r="BUI27" s="388"/>
      <c r="BUJ27" s="388"/>
      <c r="BUK27" s="388"/>
      <c r="BUL27" s="388"/>
      <c r="BUM27" s="388"/>
      <c r="BUN27" s="388"/>
      <c r="BUO27" s="388"/>
      <c r="BUP27" s="388"/>
      <c r="BUQ27" s="388"/>
      <c r="BUR27" s="388"/>
      <c r="BUS27" s="388"/>
      <c r="BUT27" s="388"/>
      <c r="BUU27" s="388"/>
      <c r="BUV27" s="388"/>
      <c r="BUW27" s="388"/>
      <c r="BUX27" s="388"/>
      <c r="BUY27" s="388"/>
      <c r="BUZ27" s="388"/>
      <c r="BVA27" s="388"/>
      <c r="BVB27" s="388"/>
      <c r="BVC27" s="388"/>
      <c r="BVD27" s="388"/>
      <c r="BVE27" s="388"/>
      <c r="BVF27" s="388"/>
      <c r="BVG27" s="388"/>
      <c r="BVH27" s="388"/>
      <c r="BVI27" s="388"/>
      <c r="BVJ27" s="388"/>
      <c r="BVK27" s="388"/>
      <c r="BVL27" s="388"/>
      <c r="BVM27" s="388"/>
      <c r="BVN27" s="388"/>
      <c r="BVO27" s="388"/>
      <c r="BVP27" s="388"/>
      <c r="BVQ27" s="388"/>
      <c r="BVR27" s="388"/>
      <c r="BVS27" s="388"/>
      <c r="BVT27" s="388"/>
      <c r="BVU27" s="388"/>
      <c r="BVV27" s="388"/>
      <c r="BVW27" s="388"/>
      <c r="BVX27" s="388"/>
      <c r="BVY27" s="388"/>
      <c r="BVZ27" s="388"/>
      <c r="BWA27" s="388"/>
      <c r="BWB27" s="388"/>
      <c r="BWC27" s="388"/>
      <c r="BWD27" s="388"/>
      <c r="BWE27" s="388"/>
      <c r="BWF27" s="388"/>
      <c r="BWG27" s="388"/>
      <c r="BWH27" s="388"/>
      <c r="BWI27" s="388"/>
      <c r="BWJ27" s="388"/>
      <c r="BWK27" s="388"/>
      <c r="BWL27" s="388"/>
      <c r="BWM27" s="388"/>
      <c r="BWN27" s="388"/>
      <c r="BWO27" s="388"/>
      <c r="BWP27" s="388"/>
      <c r="BWQ27" s="388"/>
      <c r="BWR27" s="388"/>
      <c r="BWS27" s="388"/>
      <c r="BWT27" s="388"/>
      <c r="BWU27" s="388"/>
      <c r="BWV27" s="388"/>
      <c r="BWW27" s="388"/>
      <c r="BWX27" s="388"/>
      <c r="BWY27" s="388"/>
      <c r="BWZ27" s="388"/>
      <c r="BXA27" s="388"/>
      <c r="BXB27" s="388"/>
      <c r="BXC27" s="388"/>
      <c r="BXD27" s="388"/>
      <c r="BXE27" s="388"/>
      <c r="BXF27" s="388"/>
      <c r="BXG27" s="388"/>
      <c r="BXH27" s="388"/>
      <c r="BXI27" s="388"/>
      <c r="BXJ27" s="388"/>
      <c r="BXK27" s="388"/>
      <c r="BXL27" s="388"/>
      <c r="BXM27" s="388"/>
      <c r="BXN27" s="388"/>
      <c r="BXO27" s="388"/>
      <c r="BXP27" s="388"/>
      <c r="BXQ27" s="388"/>
      <c r="BXR27" s="388"/>
      <c r="BXS27" s="388"/>
      <c r="BXT27" s="388"/>
      <c r="BXU27" s="388"/>
      <c r="BXV27" s="388"/>
      <c r="BXW27" s="388"/>
      <c r="BXX27" s="388"/>
      <c r="BXY27" s="388"/>
      <c r="BXZ27" s="388"/>
      <c r="BYA27" s="388"/>
      <c r="BYB27" s="388"/>
      <c r="BYC27" s="388"/>
      <c r="BYD27" s="388"/>
      <c r="BYE27" s="388"/>
      <c r="BYF27" s="388"/>
      <c r="BYG27" s="388"/>
      <c r="BYH27" s="388"/>
      <c r="BYI27" s="388"/>
      <c r="BYJ27" s="388"/>
      <c r="BYK27" s="388"/>
      <c r="BYL27" s="388"/>
      <c r="BYM27" s="388"/>
      <c r="BYN27" s="388"/>
      <c r="BYO27" s="388"/>
      <c r="BYP27" s="388"/>
      <c r="BYQ27" s="388"/>
      <c r="BYR27" s="388"/>
      <c r="BYS27" s="388"/>
      <c r="BYT27" s="388"/>
      <c r="BYU27" s="388"/>
      <c r="BYV27" s="388"/>
      <c r="BYW27" s="388"/>
      <c r="BYX27" s="388"/>
      <c r="BYY27" s="388"/>
      <c r="BYZ27" s="388"/>
      <c r="BZA27" s="388"/>
      <c r="BZB27" s="388"/>
      <c r="BZC27" s="388"/>
      <c r="BZD27" s="388"/>
      <c r="BZE27" s="388"/>
      <c r="BZF27" s="388"/>
      <c r="BZG27" s="388"/>
      <c r="BZH27" s="388"/>
      <c r="BZI27" s="388"/>
      <c r="BZJ27" s="388"/>
      <c r="BZK27" s="388"/>
      <c r="BZL27" s="388"/>
      <c r="BZM27" s="388"/>
      <c r="BZN27" s="388"/>
      <c r="BZO27" s="388"/>
      <c r="BZP27" s="388"/>
      <c r="BZQ27" s="388"/>
      <c r="BZR27" s="388"/>
      <c r="BZS27" s="388"/>
      <c r="BZT27" s="388"/>
      <c r="BZU27" s="388"/>
      <c r="BZV27" s="388"/>
      <c r="BZW27" s="388"/>
      <c r="BZX27" s="388"/>
      <c r="BZY27" s="388"/>
      <c r="BZZ27" s="388"/>
      <c r="CAA27" s="388"/>
      <c r="CAB27" s="388"/>
      <c r="CAC27" s="388"/>
      <c r="CAD27" s="388"/>
      <c r="CAE27" s="388"/>
      <c r="CAF27" s="388"/>
      <c r="CAG27" s="388"/>
      <c r="CAH27" s="388"/>
      <c r="CAI27" s="388"/>
      <c r="CAJ27" s="388"/>
      <c r="CAK27" s="388"/>
      <c r="CAL27" s="388"/>
      <c r="CAM27" s="388"/>
      <c r="CAN27" s="388"/>
      <c r="CAO27" s="388"/>
      <c r="CAP27" s="388"/>
      <c r="CAQ27" s="388"/>
      <c r="CAR27" s="388"/>
      <c r="CAS27" s="388"/>
      <c r="CAT27" s="388"/>
      <c r="CAU27" s="388"/>
      <c r="CAV27" s="388"/>
      <c r="CAW27" s="388"/>
      <c r="CAX27" s="388"/>
      <c r="CAY27" s="388"/>
      <c r="CAZ27" s="388"/>
      <c r="CBA27" s="388"/>
      <c r="CBB27" s="388"/>
      <c r="CBC27" s="388"/>
      <c r="CBD27" s="388"/>
      <c r="CBE27" s="388"/>
      <c r="CBF27" s="388"/>
      <c r="CBG27" s="388"/>
      <c r="CBH27" s="388"/>
      <c r="CBI27" s="388"/>
      <c r="CBJ27" s="388"/>
      <c r="CBK27" s="388"/>
      <c r="CBL27" s="388"/>
      <c r="CBM27" s="388"/>
      <c r="CBN27" s="388"/>
      <c r="CBO27" s="388"/>
      <c r="CBP27" s="388"/>
      <c r="CBQ27" s="388"/>
      <c r="CBR27" s="388"/>
      <c r="CBS27" s="388"/>
      <c r="CBT27" s="388"/>
      <c r="CBU27" s="388"/>
      <c r="CBV27" s="388"/>
      <c r="CBW27" s="388"/>
      <c r="CBX27" s="388"/>
      <c r="CBY27" s="388"/>
      <c r="CBZ27" s="388"/>
      <c r="CCA27" s="388"/>
      <c r="CCB27" s="388"/>
      <c r="CCC27" s="388"/>
      <c r="CCD27" s="388"/>
      <c r="CCE27" s="388"/>
      <c r="CCF27" s="388"/>
      <c r="CCG27" s="388"/>
      <c r="CCH27" s="388"/>
      <c r="CCI27" s="388"/>
      <c r="CCJ27" s="388"/>
      <c r="CCK27" s="388"/>
      <c r="CCL27" s="388"/>
      <c r="CCM27" s="388"/>
      <c r="CCN27" s="388"/>
      <c r="CCO27" s="388"/>
      <c r="CCP27" s="388"/>
      <c r="CCQ27" s="388"/>
      <c r="CCR27" s="388"/>
      <c r="CCS27" s="388"/>
      <c r="CCT27" s="388"/>
      <c r="CCU27" s="388"/>
      <c r="CCV27" s="388"/>
      <c r="CCW27" s="388"/>
      <c r="CCX27" s="388"/>
      <c r="CCY27" s="388"/>
      <c r="CCZ27" s="388"/>
      <c r="CDA27" s="388"/>
      <c r="CDB27" s="388"/>
      <c r="CDC27" s="388"/>
      <c r="CDD27" s="388"/>
      <c r="CDE27" s="388"/>
      <c r="CDF27" s="388"/>
      <c r="CDG27" s="388"/>
      <c r="CDH27" s="388"/>
      <c r="CDI27" s="388"/>
      <c r="CDJ27" s="388"/>
      <c r="CDK27" s="388"/>
      <c r="CDL27" s="388"/>
      <c r="CDM27" s="388"/>
      <c r="CDN27" s="388"/>
      <c r="CDO27" s="388"/>
      <c r="CDP27" s="388"/>
      <c r="CDQ27" s="388"/>
      <c r="CDR27" s="388"/>
      <c r="CDS27" s="388"/>
      <c r="CDT27" s="388"/>
      <c r="CDU27" s="388"/>
      <c r="CDV27" s="388"/>
      <c r="CDW27" s="388"/>
      <c r="CDX27" s="388"/>
      <c r="CDY27" s="388"/>
      <c r="CDZ27" s="388"/>
      <c r="CEA27" s="388"/>
      <c r="CEB27" s="388"/>
      <c r="CEC27" s="388"/>
      <c r="CED27" s="388"/>
      <c r="CEE27" s="388"/>
      <c r="CEF27" s="388"/>
      <c r="CEG27" s="388"/>
      <c r="CEH27" s="388"/>
      <c r="CEI27" s="388"/>
      <c r="CEJ27" s="388"/>
      <c r="CEK27" s="388"/>
      <c r="CEL27" s="388"/>
      <c r="CEM27" s="388"/>
      <c r="CEN27" s="388"/>
      <c r="CEO27" s="388"/>
      <c r="CEP27" s="388"/>
      <c r="CEQ27" s="388"/>
      <c r="CER27" s="388"/>
      <c r="CES27" s="388"/>
      <c r="CET27" s="388"/>
      <c r="CEU27" s="388"/>
      <c r="CEV27" s="388"/>
      <c r="CEW27" s="388"/>
      <c r="CEX27" s="388"/>
      <c r="CEY27" s="388"/>
      <c r="CEZ27" s="388"/>
      <c r="CFA27" s="388"/>
      <c r="CFB27" s="388"/>
      <c r="CFC27" s="388"/>
      <c r="CFD27" s="388"/>
      <c r="CFE27" s="388"/>
      <c r="CFF27" s="388"/>
      <c r="CFG27" s="388"/>
      <c r="CFH27" s="388"/>
      <c r="CFI27" s="388"/>
      <c r="CFJ27" s="388"/>
      <c r="CFK27" s="388"/>
      <c r="CFL27" s="388"/>
      <c r="CFM27" s="388"/>
      <c r="CFN27" s="388"/>
      <c r="CFO27" s="388"/>
      <c r="CFP27" s="388"/>
      <c r="CFQ27" s="388"/>
      <c r="CFR27" s="388"/>
      <c r="CFS27" s="388"/>
      <c r="CFT27" s="388"/>
      <c r="CFU27" s="388"/>
      <c r="CFV27" s="388"/>
      <c r="CFW27" s="388"/>
      <c r="CFX27" s="388"/>
      <c r="CFY27" s="388"/>
      <c r="CFZ27" s="388"/>
      <c r="CGA27" s="388"/>
      <c r="CGB27" s="388"/>
      <c r="CGC27" s="388"/>
      <c r="CGD27" s="388"/>
      <c r="CGE27" s="388"/>
      <c r="CGF27" s="388"/>
      <c r="CGG27" s="388"/>
      <c r="CGH27" s="388"/>
      <c r="CGI27" s="388"/>
      <c r="CGJ27" s="388"/>
      <c r="CGK27" s="388"/>
      <c r="CGL27" s="388"/>
      <c r="CGM27" s="388"/>
      <c r="CGN27" s="388"/>
      <c r="CGO27" s="388"/>
      <c r="CGP27" s="388"/>
      <c r="CGQ27" s="388"/>
      <c r="CGR27" s="388"/>
      <c r="CGS27" s="388"/>
      <c r="CGT27" s="388"/>
      <c r="CGU27" s="388"/>
      <c r="CGV27" s="388"/>
      <c r="CGW27" s="388"/>
      <c r="CGX27" s="388"/>
      <c r="CGY27" s="388"/>
      <c r="CGZ27" s="388"/>
      <c r="CHA27" s="388"/>
      <c r="CHB27" s="388"/>
      <c r="CHC27" s="388"/>
      <c r="CHD27" s="388"/>
      <c r="CHE27" s="388"/>
      <c r="CHF27" s="388"/>
      <c r="CHG27" s="388"/>
      <c r="CHH27" s="388"/>
      <c r="CHI27" s="388"/>
      <c r="CHJ27" s="388"/>
      <c r="CHK27" s="388"/>
      <c r="CHL27" s="388"/>
      <c r="CHM27" s="388"/>
      <c r="CHN27" s="388"/>
      <c r="CHO27" s="388"/>
      <c r="CHP27" s="388"/>
      <c r="CHQ27" s="388"/>
      <c r="CHR27" s="388"/>
      <c r="CHS27" s="388"/>
      <c r="CHT27" s="388"/>
      <c r="CHU27" s="388"/>
      <c r="CHV27" s="388"/>
      <c r="CHW27" s="388"/>
      <c r="CHX27" s="388"/>
      <c r="CHY27" s="388"/>
      <c r="CHZ27" s="388"/>
      <c r="CIA27" s="388"/>
      <c r="CIB27" s="388"/>
      <c r="CIC27" s="388"/>
      <c r="CID27" s="388"/>
      <c r="CIE27" s="388"/>
      <c r="CIF27" s="388"/>
      <c r="CIG27" s="388"/>
      <c r="CIH27" s="388"/>
      <c r="CII27" s="388"/>
      <c r="CIJ27" s="388"/>
      <c r="CIK27" s="388"/>
      <c r="CIL27" s="388"/>
      <c r="CIM27" s="388"/>
      <c r="CIN27" s="388"/>
      <c r="CIO27" s="388"/>
      <c r="CIP27" s="388"/>
      <c r="CIQ27" s="388"/>
      <c r="CIR27" s="388"/>
      <c r="CIS27" s="388"/>
      <c r="CIT27" s="388"/>
      <c r="CIU27" s="388"/>
      <c r="CIV27" s="388"/>
      <c r="CIW27" s="388"/>
      <c r="CIX27" s="388"/>
      <c r="CIY27" s="388"/>
      <c r="CIZ27" s="388"/>
      <c r="CJA27" s="388"/>
      <c r="CJB27" s="388"/>
      <c r="CJC27" s="388"/>
      <c r="CJD27" s="388"/>
      <c r="CJE27" s="388"/>
      <c r="CJF27" s="388"/>
      <c r="CJG27" s="388"/>
      <c r="CJH27" s="388"/>
      <c r="CJI27" s="388"/>
      <c r="CJJ27" s="388"/>
      <c r="CJK27" s="388"/>
      <c r="CJL27" s="388"/>
      <c r="CJM27" s="388"/>
      <c r="CJN27" s="388"/>
      <c r="CJO27" s="388"/>
      <c r="CJP27" s="388"/>
      <c r="CJQ27" s="388"/>
      <c r="CJR27" s="388"/>
      <c r="CJS27" s="388"/>
      <c r="CJT27" s="388"/>
      <c r="CJU27" s="388"/>
      <c r="CJV27" s="388"/>
      <c r="CJW27" s="388"/>
      <c r="CJX27" s="388"/>
      <c r="CJY27" s="388"/>
      <c r="CJZ27" s="388"/>
      <c r="CKA27" s="388"/>
      <c r="CKB27" s="388"/>
      <c r="CKC27" s="388"/>
      <c r="CKD27" s="388"/>
      <c r="CKE27" s="388"/>
      <c r="CKF27" s="388"/>
      <c r="CKG27" s="388"/>
      <c r="CKH27" s="388"/>
      <c r="CKI27" s="388"/>
      <c r="CKJ27" s="388"/>
      <c r="CKK27" s="388"/>
      <c r="CKL27" s="388"/>
      <c r="CKM27" s="388"/>
      <c r="CKN27" s="388"/>
      <c r="CKO27" s="388"/>
      <c r="CKP27" s="388"/>
      <c r="CKQ27" s="388"/>
      <c r="CKR27" s="388"/>
      <c r="CKS27" s="388"/>
      <c r="CKT27" s="388"/>
      <c r="CKU27" s="388"/>
      <c r="CKV27" s="388"/>
      <c r="CKW27" s="388"/>
      <c r="CKX27" s="388"/>
      <c r="CKY27" s="388"/>
      <c r="CKZ27" s="388"/>
      <c r="CLA27" s="388"/>
      <c r="CLB27" s="388"/>
      <c r="CLC27" s="388"/>
      <c r="CLD27" s="388"/>
      <c r="CLE27" s="388"/>
      <c r="CLF27" s="388"/>
      <c r="CLG27" s="388"/>
      <c r="CLH27" s="388"/>
      <c r="CLI27" s="388"/>
      <c r="CLJ27" s="388"/>
      <c r="CLK27" s="388"/>
      <c r="CLL27" s="388"/>
      <c r="CLM27" s="388"/>
      <c r="CLN27" s="388"/>
      <c r="CLO27" s="388"/>
      <c r="CLP27" s="388"/>
      <c r="CLQ27" s="388"/>
      <c r="CLR27" s="388"/>
      <c r="CLS27" s="388"/>
      <c r="CLT27" s="388"/>
      <c r="CLU27" s="388"/>
      <c r="CLV27" s="388"/>
      <c r="CLW27" s="388"/>
      <c r="CLX27" s="388"/>
      <c r="CLY27" s="388"/>
      <c r="CLZ27" s="388"/>
      <c r="CMA27" s="388"/>
      <c r="CMB27" s="388"/>
      <c r="CMC27" s="388"/>
      <c r="CMD27" s="388"/>
      <c r="CME27" s="388"/>
      <c r="CMF27" s="388"/>
      <c r="CMG27" s="388"/>
      <c r="CMH27" s="388"/>
      <c r="CMI27" s="388"/>
      <c r="CMJ27" s="388"/>
      <c r="CMK27" s="388"/>
      <c r="CML27" s="388"/>
      <c r="CMM27" s="388"/>
      <c r="CMN27" s="388"/>
      <c r="CMO27" s="388"/>
      <c r="CMP27" s="388"/>
      <c r="CMQ27" s="388"/>
      <c r="CMR27" s="388"/>
      <c r="CMS27" s="388"/>
      <c r="CMT27" s="388"/>
      <c r="CMU27" s="388"/>
      <c r="CMV27" s="388"/>
      <c r="CMW27" s="388"/>
      <c r="CMX27" s="388"/>
      <c r="CMY27" s="388"/>
      <c r="CMZ27" s="388"/>
      <c r="CNA27" s="388"/>
      <c r="CNB27" s="388"/>
      <c r="CNC27" s="388"/>
      <c r="CND27" s="388"/>
      <c r="CNE27" s="388"/>
      <c r="CNF27" s="388"/>
      <c r="CNG27" s="388"/>
      <c r="CNH27" s="388"/>
      <c r="CNI27" s="388"/>
      <c r="CNJ27" s="388"/>
      <c r="CNK27" s="388"/>
      <c r="CNL27" s="388"/>
      <c r="CNM27" s="388"/>
      <c r="CNN27" s="388"/>
      <c r="CNO27" s="388"/>
      <c r="CNP27" s="388"/>
      <c r="CNQ27" s="388"/>
      <c r="CNR27" s="388"/>
      <c r="CNS27" s="388"/>
      <c r="CNT27" s="388"/>
      <c r="CNU27" s="388"/>
      <c r="CNV27" s="388"/>
      <c r="CNW27" s="388"/>
      <c r="CNX27" s="388"/>
      <c r="CNY27" s="388"/>
      <c r="CNZ27" s="388"/>
      <c r="COA27" s="388"/>
      <c r="COB27" s="388"/>
      <c r="COC27" s="388"/>
      <c r="COD27" s="388"/>
      <c r="COE27" s="388"/>
      <c r="COF27" s="388"/>
      <c r="COG27" s="388"/>
      <c r="COH27" s="388"/>
      <c r="COI27" s="388"/>
      <c r="COJ27" s="388"/>
      <c r="COK27" s="388"/>
      <c r="COL27" s="388"/>
      <c r="COM27" s="388"/>
      <c r="CON27" s="388"/>
      <c r="COO27" s="388"/>
      <c r="COP27" s="388"/>
      <c r="COQ27" s="388"/>
      <c r="COR27" s="388"/>
      <c r="COS27" s="388"/>
      <c r="COT27" s="388"/>
      <c r="COU27" s="388"/>
      <c r="COV27" s="388"/>
      <c r="COW27" s="388"/>
      <c r="COX27" s="388"/>
      <c r="COY27" s="388"/>
      <c r="COZ27" s="388"/>
      <c r="CPA27" s="388"/>
      <c r="CPB27" s="388"/>
      <c r="CPC27" s="388"/>
      <c r="CPD27" s="388"/>
      <c r="CPE27" s="388"/>
      <c r="CPF27" s="388"/>
      <c r="CPG27" s="388"/>
      <c r="CPH27" s="388"/>
      <c r="CPI27" s="388"/>
      <c r="CPJ27" s="388"/>
      <c r="CPK27" s="388"/>
      <c r="CPL27" s="388"/>
      <c r="CPM27" s="388"/>
      <c r="CPN27" s="388"/>
      <c r="CPO27" s="388"/>
      <c r="CPP27" s="388"/>
      <c r="CPQ27" s="388"/>
      <c r="CPR27" s="388"/>
      <c r="CPS27" s="388"/>
      <c r="CPT27" s="388"/>
      <c r="CPU27" s="388"/>
      <c r="CPV27" s="388"/>
      <c r="CPW27" s="388"/>
      <c r="CPX27" s="388"/>
      <c r="CPY27" s="388"/>
      <c r="CPZ27" s="388"/>
      <c r="CQA27" s="388"/>
      <c r="CQB27" s="388"/>
      <c r="CQC27" s="388"/>
      <c r="CQD27" s="388"/>
      <c r="CQE27" s="388"/>
      <c r="CQF27" s="388"/>
      <c r="CQG27" s="388"/>
      <c r="CQH27" s="388"/>
      <c r="CQI27" s="388"/>
      <c r="CQJ27" s="388"/>
      <c r="CQK27" s="388"/>
      <c r="CQL27" s="388"/>
      <c r="CQM27" s="388"/>
      <c r="CQN27" s="388"/>
      <c r="CQO27" s="388"/>
      <c r="CQP27" s="388"/>
      <c r="CQQ27" s="388"/>
      <c r="CQR27" s="388"/>
      <c r="CQS27" s="388"/>
      <c r="CQT27" s="388"/>
      <c r="CQU27" s="388"/>
      <c r="CQV27" s="388"/>
      <c r="CQW27" s="388"/>
      <c r="CQX27" s="388"/>
      <c r="CQY27" s="388"/>
      <c r="CQZ27" s="388"/>
      <c r="CRA27" s="388"/>
      <c r="CRB27" s="388"/>
      <c r="CRC27" s="388"/>
      <c r="CRD27" s="388"/>
      <c r="CRE27" s="388"/>
      <c r="CRF27" s="388"/>
      <c r="CRG27" s="388"/>
      <c r="CRH27" s="388"/>
      <c r="CRI27" s="388"/>
      <c r="CRJ27" s="388"/>
      <c r="CRK27" s="388"/>
      <c r="CRL27" s="388"/>
      <c r="CRM27" s="388"/>
      <c r="CRN27" s="388"/>
      <c r="CRO27" s="388"/>
      <c r="CRP27" s="388"/>
      <c r="CRQ27" s="388"/>
      <c r="CRR27" s="388"/>
      <c r="CRS27" s="388"/>
      <c r="CRT27" s="388"/>
      <c r="CRU27" s="388"/>
      <c r="CRV27" s="388"/>
      <c r="CRW27" s="388"/>
      <c r="CRX27" s="388"/>
      <c r="CRY27" s="388"/>
      <c r="CRZ27" s="388"/>
      <c r="CSA27" s="388"/>
      <c r="CSB27" s="388"/>
      <c r="CSC27" s="388"/>
      <c r="CSD27" s="388"/>
      <c r="CSE27" s="388"/>
      <c r="CSF27" s="388"/>
      <c r="CSG27" s="388"/>
      <c r="CSH27" s="388"/>
      <c r="CSI27" s="388"/>
      <c r="CSJ27" s="388"/>
      <c r="CSK27" s="388"/>
      <c r="CSL27" s="388"/>
      <c r="CSM27" s="388"/>
      <c r="CSN27" s="388"/>
      <c r="CSO27" s="388"/>
      <c r="CSP27" s="388"/>
      <c r="CSQ27" s="388"/>
      <c r="CSR27" s="388"/>
      <c r="CSS27" s="388"/>
      <c r="CST27" s="388"/>
      <c r="CSU27" s="388"/>
      <c r="CSV27" s="388"/>
      <c r="CSW27" s="388"/>
      <c r="CSX27" s="388"/>
      <c r="CSY27" s="388"/>
      <c r="CSZ27" s="388"/>
      <c r="CTA27" s="388"/>
      <c r="CTB27" s="388"/>
      <c r="CTC27" s="388"/>
      <c r="CTD27" s="388"/>
      <c r="CTE27" s="388"/>
      <c r="CTF27" s="388"/>
      <c r="CTG27" s="388"/>
      <c r="CTH27" s="388"/>
      <c r="CTI27" s="388"/>
      <c r="CTJ27" s="388"/>
      <c r="CTK27" s="388"/>
      <c r="CTL27" s="388"/>
      <c r="CTM27" s="388"/>
      <c r="CTN27" s="388"/>
      <c r="CTO27" s="388"/>
      <c r="CTP27" s="388"/>
      <c r="CTQ27" s="388"/>
      <c r="CTR27" s="388"/>
      <c r="CTS27" s="388"/>
      <c r="CTT27" s="388"/>
      <c r="CTU27" s="388"/>
      <c r="CTV27" s="388"/>
      <c r="CTW27" s="388"/>
      <c r="CTX27" s="388"/>
      <c r="CTY27" s="388"/>
      <c r="CTZ27" s="388"/>
      <c r="CUA27" s="388"/>
      <c r="CUB27" s="388"/>
      <c r="CUC27" s="388"/>
      <c r="CUD27" s="388"/>
      <c r="CUE27" s="388"/>
      <c r="CUF27" s="388"/>
      <c r="CUG27" s="388"/>
      <c r="CUH27" s="388"/>
      <c r="CUI27" s="388"/>
      <c r="CUJ27" s="388"/>
      <c r="CUK27" s="388"/>
      <c r="CUL27" s="388"/>
      <c r="CUM27" s="388"/>
      <c r="CUN27" s="388"/>
      <c r="CUO27" s="388"/>
      <c r="CUP27" s="388"/>
      <c r="CUQ27" s="388"/>
      <c r="CUR27" s="388"/>
      <c r="CUS27" s="388"/>
      <c r="CUT27" s="388"/>
      <c r="CUU27" s="388"/>
      <c r="CUV27" s="388"/>
      <c r="CUW27" s="388"/>
      <c r="CUX27" s="388"/>
      <c r="CUY27" s="388"/>
      <c r="CUZ27" s="388"/>
      <c r="CVA27" s="388"/>
      <c r="CVB27" s="388"/>
      <c r="CVC27" s="388"/>
      <c r="CVD27" s="388"/>
      <c r="CVE27" s="388"/>
      <c r="CVF27" s="388"/>
      <c r="CVG27" s="388"/>
      <c r="CVH27" s="388"/>
      <c r="CVI27" s="388"/>
      <c r="CVJ27" s="388"/>
      <c r="CVK27" s="388"/>
      <c r="CVL27" s="388"/>
      <c r="CVM27" s="388"/>
      <c r="CVN27" s="388"/>
      <c r="CVO27" s="388"/>
      <c r="CVP27" s="388"/>
      <c r="CVQ27" s="388"/>
      <c r="CVR27" s="388"/>
      <c r="CVS27" s="388"/>
      <c r="CVT27" s="388"/>
      <c r="CVU27" s="388"/>
      <c r="CVV27" s="388"/>
      <c r="CVW27" s="388"/>
      <c r="CVX27" s="388"/>
      <c r="CVY27" s="388"/>
      <c r="CVZ27" s="388"/>
      <c r="CWA27" s="388"/>
      <c r="CWB27" s="388"/>
      <c r="CWC27" s="388"/>
      <c r="CWD27" s="388"/>
      <c r="CWE27" s="388"/>
      <c r="CWF27" s="388"/>
      <c r="CWG27" s="388"/>
      <c r="CWH27" s="388"/>
      <c r="CWI27" s="388"/>
      <c r="CWJ27" s="388"/>
      <c r="CWK27" s="388"/>
      <c r="CWL27" s="388"/>
      <c r="CWM27" s="388"/>
      <c r="CWN27" s="388"/>
      <c r="CWO27" s="388"/>
      <c r="CWP27" s="388"/>
      <c r="CWQ27" s="388"/>
      <c r="CWR27" s="388"/>
      <c r="CWS27" s="388"/>
      <c r="CWT27" s="388"/>
      <c r="CWU27" s="388"/>
      <c r="CWV27" s="388"/>
      <c r="CWW27" s="388"/>
      <c r="CWX27" s="388"/>
      <c r="CWY27" s="388"/>
      <c r="CWZ27" s="388"/>
      <c r="CXA27" s="388"/>
      <c r="CXB27" s="388"/>
      <c r="CXC27" s="388"/>
      <c r="CXD27" s="388"/>
      <c r="CXE27" s="388"/>
      <c r="CXF27" s="388"/>
      <c r="CXG27" s="388"/>
      <c r="CXH27" s="388"/>
      <c r="CXI27" s="388"/>
      <c r="CXJ27" s="388"/>
      <c r="CXK27" s="388"/>
      <c r="CXL27" s="388"/>
      <c r="CXM27" s="388"/>
      <c r="CXN27" s="388"/>
      <c r="CXO27" s="388"/>
      <c r="CXP27" s="388"/>
      <c r="CXQ27" s="388"/>
      <c r="CXR27" s="388"/>
      <c r="CXS27" s="388"/>
      <c r="CXT27" s="388"/>
      <c r="CXU27" s="388"/>
      <c r="CXV27" s="388"/>
      <c r="CXW27" s="388"/>
      <c r="CXX27" s="388"/>
      <c r="CXY27" s="388"/>
      <c r="CXZ27" s="388"/>
      <c r="CYA27" s="388"/>
      <c r="CYB27" s="388"/>
      <c r="CYC27" s="388"/>
      <c r="CYD27" s="388"/>
      <c r="CYE27" s="388"/>
      <c r="CYF27" s="388"/>
      <c r="CYG27" s="388"/>
      <c r="CYH27" s="388"/>
      <c r="CYI27" s="388"/>
      <c r="CYJ27" s="388"/>
      <c r="CYK27" s="388"/>
      <c r="CYL27" s="388"/>
      <c r="CYM27" s="388"/>
      <c r="CYN27" s="388"/>
      <c r="CYO27" s="388"/>
      <c r="CYP27" s="388"/>
      <c r="CYQ27" s="388"/>
      <c r="CYR27" s="388"/>
      <c r="CYS27" s="388"/>
      <c r="CYT27" s="388"/>
      <c r="CYU27" s="388"/>
      <c r="CYV27" s="388"/>
      <c r="CYW27" s="388"/>
      <c r="CYX27" s="388"/>
      <c r="CYY27" s="388"/>
      <c r="CYZ27" s="388"/>
      <c r="CZA27" s="388"/>
      <c r="CZB27" s="388"/>
      <c r="CZC27" s="388"/>
      <c r="CZD27" s="388"/>
      <c r="CZE27" s="388"/>
      <c r="CZF27" s="388"/>
      <c r="CZG27" s="388"/>
      <c r="CZH27" s="388"/>
      <c r="CZI27" s="388"/>
      <c r="CZJ27" s="388"/>
      <c r="CZK27" s="388"/>
      <c r="CZL27" s="388"/>
      <c r="CZM27" s="388"/>
      <c r="CZN27" s="388"/>
      <c r="CZO27" s="388"/>
      <c r="CZP27" s="388"/>
      <c r="CZQ27" s="388"/>
      <c r="CZR27" s="388"/>
      <c r="CZS27" s="388"/>
      <c r="CZT27" s="388"/>
      <c r="CZU27" s="388"/>
      <c r="CZV27" s="388"/>
      <c r="CZW27" s="388"/>
      <c r="CZX27" s="388"/>
      <c r="CZY27" s="388"/>
      <c r="CZZ27" s="388"/>
      <c r="DAA27" s="388"/>
      <c r="DAB27" s="388"/>
      <c r="DAC27" s="388"/>
      <c r="DAD27" s="388"/>
      <c r="DAE27" s="388"/>
      <c r="DAF27" s="388"/>
      <c r="DAG27" s="388"/>
      <c r="DAH27" s="388"/>
      <c r="DAI27" s="388"/>
      <c r="DAJ27" s="388"/>
      <c r="DAK27" s="388"/>
      <c r="DAL27" s="388"/>
      <c r="DAM27" s="388"/>
      <c r="DAN27" s="388"/>
      <c r="DAO27" s="388"/>
      <c r="DAP27" s="388"/>
      <c r="DAQ27" s="388"/>
      <c r="DAR27" s="388"/>
      <c r="DAS27" s="388"/>
      <c r="DAT27" s="388"/>
      <c r="DAU27" s="388"/>
      <c r="DAV27" s="388"/>
      <c r="DAW27" s="388"/>
      <c r="DAX27" s="388"/>
      <c r="DAY27" s="388"/>
      <c r="DAZ27" s="388"/>
      <c r="DBA27" s="388"/>
      <c r="DBB27" s="388"/>
      <c r="DBC27" s="388"/>
      <c r="DBD27" s="388"/>
      <c r="DBE27" s="388"/>
      <c r="DBF27" s="388"/>
      <c r="DBG27" s="388"/>
      <c r="DBH27" s="388"/>
      <c r="DBI27" s="388"/>
      <c r="DBJ27" s="388"/>
      <c r="DBK27" s="388"/>
      <c r="DBL27" s="388"/>
      <c r="DBM27" s="388"/>
      <c r="DBN27" s="388"/>
      <c r="DBO27" s="388"/>
      <c r="DBP27" s="388"/>
      <c r="DBQ27" s="388"/>
      <c r="DBR27" s="388"/>
      <c r="DBS27" s="388"/>
      <c r="DBT27" s="388"/>
      <c r="DBU27" s="388"/>
      <c r="DBV27" s="388"/>
      <c r="DBW27" s="388"/>
      <c r="DBX27" s="388"/>
      <c r="DBY27" s="388"/>
      <c r="DBZ27" s="388"/>
      <c r="DCA27" s="388"/>
      <c r="DCB27" s="388"/>
      <c r="DCC27" s="388"/>
      <c r="DCD27" s="388"/>
      <c r="DCE27" s="388"/>
      <c r="DCF27" s="388"/>
      <c r="DCG27" s="388"/>
      <c r="DCH27" s="388"/>
      <c r="DCI27" s="388"/>
      <c r="DCJ27" s="388"/>
      <c r="DCK27" s="388"/>
      <c r="DCL27" s="388"/>
      <c r="DCM27" s="388"/>
      <c r="DCN27" s="388"/>
      <c r="DCO27" s="388"/>
      <c r="DCP27" s="388"/>
      <c r="DCQ27" s="388"/>
      <c r="DCR27" s="388"/>
      <c r="DCS27" s="388"/>
      <c r="DCT27" s="388"/>
      <c r="DCU27" s="388"/>
      <c r="DCV27" s="388"/>
      <c r="DCW27" s="388"/>
      <c r="DCX27" s="388"/>
      <c r="DCY27" s="388"/>
      <c r="DCZ27" s="388"/>
      <c r="DDA27" s="388"/>
      <c r="DDB27" s="388"/>
      <c r="DDC27" s="388"/>
      <c r="DDD27" s="388"/>
      <c r="DDE27" s="388"/>
      <c r="DDF27" s="388"/>
      <c r="DDG27" s="388"/>
      <c r="DDH27" s="388"/>
      <c r="DDI27" s="388"/>
      <c r="DDJ27" s="388"/>
      <c r="DDK27" s="388"/>
      <c r="DDL27" s="388"/>
      <c r="DDM27" s="388"/>
      <c r="DDN27" s="388"/>
      <c r="DDO27" s="388"/>
      <c r="DDP27" s="388"/>
      <c r="DDQ27" s="388"/>
      <c r="DDR27" s="388"/>
      <c r="DDS27" s="388"/>
      <c r="DDT27" s="388"/>
      <c r="DDU27" s="388"/>
      <c r="DDV27" s="388"/>
      <c r="DDW27" s="388"/>
      <c r="DDX27" s="388"/>
      <c r="DDY27" s="388"/>
      <c r="DDZ27" s="388"/>
      <c r="DEA27" s="388"/>
      <c r="DEB27" s="388"/>
      <c r="DEC27" s="388"/>
      <c r="DED27" s="388"/>
      <c r="DEE27" s="388"/>
      <c r="DEF27" s="388"/>
      <c r="DEG27" s="388"/>
      <c r="DEH27" s="388"/>
      <c r="DEI27" s="388"/>
      <c r="DEJ27" s="388"/>
      <c r="DEK27" s="388"/>
      <c r="DEL27" s="388"/>
      <c r="DEM27" s="388"/>
      <c r="DEN27" s="388"/>
      <c r="DEO27" s="388"/>
      <c r="DEP27" s="388"/>
      <c r="DEQ27" s="388"/>
      <c r="DER27" s="388"/>
      <c r="DES27" s="388"/>
      <c r="DET27" s="388"/>
      <c r="DEU27" s="388"/>
      <c r="DEV27" s="388"/>
      <c r="DEW27" s="388"/>
      <c r="DEX27" s="388"/>
      <c r="DEY27" s="388"/>
      <c r="DEZ27" s="388"/>
      <c r="DFA27" s="388"/>
      <c r="DFB27" s="388"/>
      <c r="DFC27" s="388"/>
      <c r="DFD27" s="388"/>
      <c r="DFE27" s="388"/>
      <c r="DFF27" s="388"/>
      <c r="DFG27" s="388"/>
      <c r="DFH27" s="388"/>
      <c r="DFI27" s="388"/>
      <c r="DFJ27" s="388"/>
      <c r="DFK27" s="388"/>
      <c r="DFL27" s="388"/>
      <c r="DFM27" s="388"/>
      <c r="DFN27" s="388"/>
      <c r="DFO27" s="388"/>
      <c r="DFP27" s="388"/>
      <c r="DFQ27" s="388"/>
      <c r="DFR27" s="388"/>
      <c r="DFS27" s="388"/>
      <c r="DFT27" s="388"/>
      <c r="DFU27" s="388"/>
      <c r="DFV27" s="388"/>
      <c r="DFW27" s="388"/>
      <c r="DFX27" s="388"/>
      <c r="DFY27" s="388"/>
      <c r="DFZ27" s="388"/>
      <c r="DGA27" s="388"/>
      <c r="DGB27" s="388"/>
      <c r="DGC27" s="388"/>
      <c r="DGD27" s="388"/>
      <c r="DGE27" s="388"/>
      <c r="DGF27" s="388"/>
      <c r="DGG27" s="388"/>
      <c r="DGH27" s="388"/>
      <c r="DGI27" s="388"/>
      <c r="DGJ27" s="388"/>
      <c r="DGK27" s="388"/>
      <c r="DGL27" s="388"/>
      <c r="DGM27" s="388"/>
      <c r="DGN27" s="388"/>
      <c r="DGO27" s="388"/>
      <c r="DGP27" s="388"/>
      <c r="DGQ27" s="388"/>
      <c r="DGR27" s="388"/>
      <c r="DGS27" s="388"/>
      <c r="DGT27" s="388"/>
      <c r="DGU27" s="388"/>
      <c r="DGV27" s="388"/>
      <c r="DGW27" s="388"/>
      <c r="DGX27" s="388"/>
      <c r="DGY27" s="388"/>
      <c r="DGZ27" s="388"/>
      <c r="DHA27" s="388"/>
      <c r="DHB27" s="388"/>
      <c r="DHC27" s="388"/>
      <c r="DHD27" s="388"/>
      <c r="DHE27" s="388"/>
      <c r="DHF27" s="388"/>
      <c r="DHG27" s="388"/>
      <c r="DHH27" s="388"/>
      <c r="DHI27" s="388"/>
      <c r="DHJ27" s="388"/>
      <c r="DHK27" s="388"/>
      <c r="DHL27" s="388"/>
      <c r="DHM27" s="388"/>
      <c r="DHN27" s="388"/>
      <c r="DHO27" s="388"/>
      <c r="DHP27" s="388"/>
      <c r="DHQ27" s="388"/>
      <c r="DHR27" s="388"/>
      <c r="DHS27" s="388"/>
      <c r="DHT27" s="388"/>
      <c r="DHU27" s="388"/>
      <c r="DHV27" s="388"/>
      <c r="DHW27" s="388"/>
      <c r="DHX27" s="388"/>
      <c r="DHY27" s="388"/>
      <c r="DHZ27" s="388"/>
      <c r="DIA27" s="388"/>
      <c r="DIB27" s="388"/>
      <c r="DIC27" s="388"/>
      <c r="DID27" s="388"/>
      <c r="DIE27" s="388"/>
      <c r="DIF27" s="388"/>
      <c r="DIG27" s="388"/>
      <c r="DIH27" s="388"/>
      <c r="DII27" s="388"/>
      <c r="DIJ27" s="388"/>
      <c r="DIK27" s="388"/>
      <c r="DIL27" s="388"/>
      <c r="DIM27" s="388"/>
      <c r="DIN27" s="388"/>
      <c r="DIO27" s="388"/>
      <c r="DIP27" s="388"/>
      <c r="DIQ27" s="388"/>
      <c r="DIR27" s="388"/>
      <c r="DIS27" s="388"/>
      <c r="DIT27" s="388"/>
      <c r="DIU27" s="388"/>
      <c r="DIV27" s="388"/>
      <c r="DIW27" s="388"/>
      <c r="DIX27" s="388"/>
      <c r="DIY27" s="388"/>
      <c r="DIZ27" s="388"/>
      <c r="DJA27" s="388"/>
      <c r="DJB27" s="388"/>
      <c r="DJC27" s="388"/>
      <c r="DJD27" s="388"/>
      <c r="DJE27" s="388"/>
      <c r="DJF27" s="388"/>
      <c r="DJG27" s="388"/>
      <c r="DJH27" s="388"/>
      <c r="DJI27" s="388"/>
      <c r="DJJ27" s="388"/>
      <c r="DJK27" s="388"/>
      <c r="DJL27" s="388"/>
      <c r="DJM27" s="388"/>
      <c r="DJN27" s="388"/>
      <c r="DJO27" s="388"/>
      <c r="DJP27" s="388"/>
      <c r="DJQ27" s="388"/>
      <c r="DJR27" s="388"/>
      <c r="DJS27" s="388"/>
      <c r="DJT27" s="388"/>
      <c r="DJU27" s="388"/>
      <c r="DJV27" s="388"/>
      <c r="DJW27" s="388"/>
      <c r="DJX27" s="388"/>
      <c r="DJY27" s="388"/>
      <c r="DJZ27" s="388"/>
      <c r="DKA27" s="388"/>
      <c r="DKB27" s="388"/>
      <c r="DKC27" s="388"/>
      <c r="DKD27" s="388"/>
      <c r="DKE27" s="388"/>
      <c r="DKF27" s="388"/>
      <c r="DKG27" s="388"/>
      <c r="DKH27" s="388"/>
      <c r="DKI27" s="388"/>
      <c r="DKJ27" s="388"/>
      <c r="DKK27" s="388"/>
      <c r="DKL27" s="388"/>
      <c r="DKM27" s="388"/>
      <c r="DKN27" s="388"/>
      <c r="DKO27" s="388"/>
      <c r="DKP27" s="388"/>
      <c r="DKQ27" s="388"/>
      <c r="DKR27" s="388"/>
      <c r="DKS27" s="388"/>
      <c r="DKT27" s="388"/>
      <c r="DKU27" s="388"/>
      <c r="DKV27" s="388"/>
      <c r="DKW27" s="388"/>
      <c r="DKX27" s="388"/>
      <c r="DKY27" s="388"/>
      <c r="DKZ27" s="388"/>
      <c r="DLA27" s="388"/>
      <c r="DLB27" s="388"/>
      <c r="DLC27" s="388"/>
      <c r="DLD27" s="388"/>
      <c r="DLE27" s="388"/>
      <c r="DLF27" s="388"/>
      <c r="DLG27" s="388"/>
      <c r="DLH27" s="388"/>
      <c r="DLI27" s="388"/>
      <c r="DLJ27" s="388"/>
      <c r="DLK27" s="388"/>
      <c r="DLL27" s="388"/>
      <c r="DLM27" s="388"/>
      <c r="DLN27" s="388"/>
      <c r="DLO27" s="388"/>
      <c r="DLP27" s="388"/>
      <c r="DLQ27" s="388"/>
      <c r="DLR27" s="388"/>
      <c r="DLS27" s="388"/>
      <c r="DLT27" s="388"/>
      <c r="DLU27" s="388"/>
      <c r="DLV27" s="388"/>
      <c r="DLW27" s="388"/>
      <c r="DLX27" s="388"/>
      <c r="DLY27" s="388"/>
      <c r="DLZ27" s="388"/>
      <c r="DMA27" s="388"/>
      <c r="DMB27" s="388"/>
      <c r="DMC27" s="388"/>
      <c r="DMD27" s="388"/>
      <c r="DME27" s="388"/>
      <c r="DMF27" s="388"/>
      <c r="DMG27" s="388"/>
      <c r="DMH27" s="388"/>
      <c r="DMI27" s="388"/>
      <c r="DMJ27" s="388"/>
      <c r="DMK27" s="388"/>
      <c r="DML27" s="388"/>
      <c r="DMM27" s="388"/>
      <c r="DMN27" s="388"/>
      <c r="DMO27" s="388"/>
      <c r="DMP27" s="388"/>
      <c r="DMQ27" s="388"/>
      <c r="DMR27" s="388"/>
      <c r="DMS27" s="388"/>
      <c r="DMT27" s="388"/>
      <c r="DMU27" s="388"/>
      <c r="DMV27" s="388"/>
      <c r="DMW27" s="388"/>
      <c r="DMX27" s="388"/>
      <c r="DMY27" s="388"/>
      <c r="DMZ27" s="388"/>
      <c r="DNA27" s="388"/>
      <c r="DNB27" s="388"/>
      <c r="DNC27" s="388"/>
      <c r="DND27" s="388"/>
      <c r="DNE27" s="388"/>
      <c r="DNF27" s="388"/>
      <c r="DNG27" s="388"/>
      <c r="DNH27" s="388"/>
      <c r="DNI27" s="388"/>
      <c r="DNJ27" s="388"/>
      <c r="DNK27" s="388"/>
      <c r="DNL27" s="388"/>
      <c r="DNM27" s="388"/>
      <c r="DNN27" s="388"/>
      <c r="DNO27" s="388"/>
      <c r="DNP27" s="388"/>
      <c r="DNQ27" s="388"/>
      <c r="DNR27" s="388"/>
      <c r="DNS27" s="388"/>
      <c r="DNT27" s="388"/>
      <c r="DNU27" s="388"/>
      <c r="DNV27" s="388"/>
      <c r="DNW27" s="388"/>
      <c r="DNX27" s="388"/>
      <c r="DNY27" s="388"/>
      <c r="DNZ27" s="388"/>
      <c r="DOA27" s="388"/>
      <c r="DOB27" s="388"/>
      <c r="DOC27" s="388"/>
      <c r="DOD27" s="388"/>
      <c r="DOE27" s="388"/>
      <c r="DOF27" s="388"/>
      <c r="DOG27" s="388"/>
      <c r="DOH27" s="388"/>
      <c r="DOI27" s="388"/>
      <c r="DOJ27" s="388"/>
      <c r="DOK27" s="388"/>
      <c r="DOL27" s="388"/>
      <c r="DOM27" s="388"/>
      <c r="DON27" s="388"/>
      <c r="DOO27" s="388"/>
      <c r="DOP27" s="388"/>
      <c r="DOQ27" s="388"/>
      <c r="DOR27" s="388"/>
      <c r="DOS27" s="388"/>
      <c r="DOT27" s="388"/>
      <c r="DOU27" s="388"/>
      <c r="DOV27" s="388"/>
      <c r="DOW27" s="388"/>
      <c r="DOX27" s="388"/>
      <c r="DOY27" s="388"/>
      <c r="DOZ27" s="388"/>
      <c r="DPA27" s="388"/>
      <c r="DPB27" s="388"/>
      <c r="DPC27" s="388"/>
      <c r="DPD27" s="388"/>
      <c r="DPE27" s="388"/>
      <c r="DPF27" s="388"/>
      <c r="DPG27" s="388"/>
      <c r="DPH27" s="388"/>
      <c r="DPI27" s="388"/>
      <c r="DPJ27" s="388"/>
      <c r="DPK27" s="388"/>
      <c r="DPL27" s="388"/>
      <c r="DPM27" s="388"/>
      <c r="DPN27" s="388"/>
      <c r="DPO27" s="388"/>
      <c r="DPP27" s="388"/>
      <c r="DPQ27" s="388"/>
      <c r="DPR27" s="388"/>
      <c r="DPS27" s="388"/>
      <c r="DPT27" s="388"/>
      <c r="DPU27" s="388"/>
      <c r="DPV27" s="388"/>
      <c r="DPW27" s="388"/>
      <c r="DPX27" s="388"/>
      <c r="DPY27" s="388"/>
      <c r="DPZ27" s="388"/>
      <c r="DQA27" s="388"/>
      <c r="DQB27" s="388"/>
      <c r="DQC27" s="388"/>
      <c r="DQD27" s="388"/>
      <c r="DQE27" s="388"/>
      <c r="DQF27" s="388"/>
      <c r="DQG27" s="388"/>
      <c r="DQH27" s="388"/>
      <c r="DQI27" s="388"/>
      <c r="DQJ27" s="388"/>
      <c r="DQK27" s="388"/>
      <c r="DQL27" s="388"/>
      <c r="DQM27" s="388"/>
      <c r="DQN27" s="388"/>
      <c r="DQO27" s="388"/>
      <c r="DQP27" s="388"/>
      <c r="DQQ27" s="388"/>
      <c r="DQR27" s="388"/>
      <c r="DQS27" s="388"/>
      <c r="DQT27" s="388"/>
      <c r="DQU27" s="388"/>
      <c r="DQV27" s="388"/>
      <c r="DQW27" s="388"/>
      <c r="DQX27" s="388"/>
      <c r="DQY27" s="388"/>
      <c r="DQZ27" s="388"/>
      <c r="DRA27" s="388"/>
      <c r="DRB27" s="388"/>
      <c r="DRC27" s="388"/>
      <c r="DRD27" s="388"/>
      <c r="DRE27" s="388"/>
      <c r="DRF27" s="388"/>
      <c r="DRG27" s="388"/>
      <c r="DRH27" s="388"/>
      <c r="DRI27" s="388"/>
      <c r="DRJ27" s="388"/>
      <c r="DRK27" s="388"/>
      <c r="DRL27" s="388"/>
      <c r="DRM27" s="388"/>
      <c r="DRN27" s="388"/>
      <c r="DRO27" s="388"/>
      <c r="DRP27" s="388"/>
      <c r="DRQ27" s="388"/>
      <c r="DRR27" s="388"/>
      <c r="DRS27" s="388"/>
      <c r="DRT27" s="388"/>
      <c r="DRU27" s="388"/>
      <c r="DRV27" s="388"/>
      <c r="DRW27" s="388"/>
      <c r="DRX27" s="388"/>
      <c r="DRY27" s="388"/>
      <c r="DRZ27" s="388"/>
      <c r="DSA27" s="388"/>
      <c r="DSB27" s="388"/>
      <c r="DSC27" s="388"/>
      <c r="DSD27" s="388"/>
      <c r="DSE27" s="388"/>
      <c r="DSF27" s="388"/>
      <c r="DSG27" s="388"/>
      <c r="DSH27" s="388"/>
      <c r="DSI27" s="388"/>
      <c r="DSJ27" s="388"/>
      <c r="DSK27" s="388"/>
      <c r="DSL27" s="388"/>
      <c r="DSM27" s="388"/>
      <c r="DSN27" s="388"/>
      <c r="DSO27" s="388"/>
      <c r="DSP27" s="388"/>
      <c r="DSQ27" s="388"/>
      <c r="DSR27" s="388"/>
      <c r="DSS27" s="388"/>
      <c r="DST27" s="388"/>
      <c r="DSU27" s="388"/>
      <c r="DSV27" s="388"/>
      <c r="DSW27" s="388"/>
      <c r="DSX27" s="388"/>
      <c r="DSY27" s="388"/>
      <c r="DSZ27" s="388"/>
      <c r="DTA27" s="388"/>
      <c r="DTB27" s="388"/>
      <c r="DTC27" s="388"/>
      <c r="DTD27" s="388"/>
      <c r="DTE27" s="388"/>
      <c r="DTF27" s="388"/>
      <c r="DTG27" s="388"/>
      <c r="DTH27" s="388"/>
      <c r="DTI27" s="388"/>
      <c r="DTJ27" s="388"/>
      <c r="DTK27" s="388"/>
      <c r="DTL27" s="388"/>
      <c r="DTM27" s="388"/>
      <c r="DTN27" s="388"/>
      <c r="DTO27" s="388"/>
      <c r="DTP27" s="388"/>
      <c r="DTQ27" s="388"/>
      <c r="DTR27" s="388"/>
      <c r="DTS27" s="388"/>
      <c r="DTT27" s="388"/>
      <c r="DTU27" s="388"/>
      <c r="DTV27" s="388"/>
      <c r="DTW27" s="388"/>
      <c r="DTX27" s="388"/>
      <c r="DTY27" s="388"/>
      <c r="DTZ27" s="388"/>
      <c r="DUA27" s="388"/>
      <c r="DUB27" s="388"/>
      <c r="DUC27" s="388"/>
      <c r="DUD27" s="388"/>
      <c r="DUE27" s="388"/>
      <c r="DUF27" s="388"/>
      <c r="DUG27" s="388"/>
      <c r="DUH27" s="388"/>
      <c r="DUI27" s="388"/>
      <c r="DUJ27" s="388"/>
      <c r="DUK27" s="388"/>
      <c r="DUL27" s="388"/>
      <c r="DUM27" s="388"/>
      <c r="DUN27" s="388"/>
      <c r="DUO27" s="388"/>
      <c r="DUP27" s="388"/>
      <c r="DUQ27" s="388"/>
      <c r="DUR27" s="388"/>
      <c r="DUS27" s="388"/>
      <c r="DUT27" s="388"/>
      <c r="DUU27" s="388"/>
      <c r="DUV27" s="388"/>
      <c r="DUW27" s="388"/>
      <c r="DUX27" s="388"/>
      <c r="DUY27" s="388"/>
      <c r="DUZ27" s="388"/>
      <c r="DVA27" s="388"/>
      <c r="DVB27" s="388"/>
      <c r="DVC27" s="388"/>
      <c r="DVD27" s="388"/>
      <c r="DVE27" s="388"/>
      <c r="DVF27" s="388"/>
      <c r="DVG27" s="388"/>
      <c r="DVH27" s="388"/>
      <c r="DVI27" s="388"/>
      <c r="DVJ27" s="388"/>
      <c r="DVK27" s="388"/>
      <c r="DVL27" s="388"/>
      <c r="DVM27" s="388"/>
      <c r="DVN27" s="388"/>
      <c r="DVO27" s="388"/>
      <c r="DVP27" s="388"/>
      <c r="DVQ27" s="388"/>
      <c r="DVR27" s="388"/>
      <c r="DVS27" s="388"/>
      <c r="DVT27" s="388"/>
      <c r="DVU27" s="388"/>
      <c r="DVV27" s="388"/>
      <c r="DVW27" s="388"/>
      <c r="DVX27" s="388"/>
      <c r="DVY27" s="388"/>
      <c r="DVZ27" s="388"/>
      <c r="DWA27" s="388"/>
      <c r="DWB27" s="388"/>
      <c r="DWC27" s="388"/>
      <c r="DWD27" s="388"/>
      <c r="DWE27" s="388"/>
      <c r="DWF27" s="388"/>
      <c r="DWG27" s="388"/>
      <c r="DWH27" s="388"/>
      <c r="DWI27" s="388"/>
      <c r="DWJ27" s="388"/>
      <c r="DWK27" s="388"/>
      <c r="DWL27" s="388"/>
      <c r="DWM27" s="388"/>
      <c r="DWN27" s="388"/>
      <c r="DWO27" s="388"/>
      <c r="DWP27" s="388"/>
      <c r="DWQ27" s="388"/>
      <c r="DWR27" s="388"/>
      <c r="DWS27" s="388"/>
      <c r="DWT27" s="388"/>
      <c r="DWU27" s="388"/>
      <c r="DWV27" s="388"/>
      <c r="DWW27" s="388"/>
      <c r="DWX27" s="388"/>
      <c r="DWY27" s="388"/>
      <c r="DWZ27" s="388"/>
      <c r="DXA27" s="388"/>
      <c r="DXB27" s="388"/>
      <c r="DXC27" s="388"/>
      <c r="DXD27" s="388"/>
      <c r="DXE27" s="388"/>
      <c r="DXF27" s="388"/>
      <c r="DXG27" s="388"/>
      <c r="DXH27" s="388"/>
      <c r="DXI27" s="388"/>
      <c r="DXJ27" s="388"/>
      <c r="DXK27" s="388"/>
      <c r="DXL27" s="388"/>
      <c r="DXM27" s="388"/>
      <c r="DXN27" s="388"/>
      <c r="DXO27" s="388"/>
      <c r="DXP27" s="388"/>
      <c r="DXQ27" s="388"/>
      <c r="DXR27" s="388"/>
      <c r="DXS27" s="388"/>
      <c r="DXT27" s="388"/>
      <c r="DXU27" s="388"/>
      <c r="DXV27" s="388"/>
      <c r="DXW27" s="388"/>
      <c r="DXX27" s="388"/>
      <c r="DXY27" s="388"/>
      <c r="DXZ27" s="388"/>
      <c r="DYA27" s="388"/>
      <c r="DYB27" s="388"/>
      <c r="DYC27" s="388"/>
      <c r="DYD27" s="388"/>
      <c r="DYE27" s="388"/>
      <c r="DYF27" s="388"/>
      <c r="DYG27" s="388"/>
      <c r="DYH27" s="388"/>
      <c r="DYI27" s="388"/>
      <c r="DYJ27" s="388"/>
      <c r="DYK27" s="388"/>
      <c r="DYL27" s="388"/>
      <c r="DYM27" s="388"/>
      <c r="DYN27" s="388"/>
      <c r="DYO27" s="388"/>
      <c r="DYP27" s="388"/>
      <c r="DYQ27" s="388"/>
      <c r="DYR27" s="388"/>
      <c r="DYS27" s="388"/>
      <c r="DYT27" s="388"/>
      <c r="DYU27" s="388"/>
      <c r="DYV27" s="388"/>
      <c r="DYW27" s="388"/>
      <c r="DYX27" s="388"/>
      <c r="DYY27" s="388"/>
      <c r="DYZ27" s="388"/>
      <c r="DZA27" s="388"/>
      <c r="DZB27" s="388"/>
      <c r="DZC27" s="388"/>
      <c r="DZD27" s="388"/>
      <c r="DZE27" s="388"/>
      <c r="DZF27" s="388"/>
      <c r="DZG27" s="388"/>
      <c r="DZH27" s="388"/>
      <c r="DZI27" s="388"/>
      <c r="DZJ27" s="388"/>
      <c r="DZK27" s="388"/>
      <c r="DZL27" s="388"/>
      <c r="DZM27" s="388"/>
      <c r="DZN27" s="388"/>
      <c r="DZO27" s="388"/>
      <c r="DZP27" s="388"/>
      <c r="DZQ27" s="388"/>
      <c r="DZR27" s="388"/>
      <c r="DZS27" s="388"/>
      <c r="DZT27" s="388"/>
      <c r="DZU27" s="388"/>
      <c r="DZV27" s="388"/>
      <c r="DZW27" s="388"/>
      <c r="DZX27" s="388"/>
      <c r="DZY27" s="388"/>
      <c r="DZZ27" s="388"/>
      <c r="EAA27" s="388"/>
      <c r="EAB27" s="388"/>
      <c r="EAC27" s="388"/>
      <c r="EAD27" s="388"/>
      <c r="EAE27" s="388"/>
      <c r="EAF27" s="388"/>
      <c r="EAG27" s="388"/>
      <c r="EAH27" s="388"/>
      <c r="EAI27" s="388"/>
      <c r="EAJ27" s="388"/>
      <c r="EAK27" s="388"/>
      <c r="EAL27" s="388"/>
      <c r="EAM27" s="388"/>
      <c r="EAN27" s="388"/>
      <c r="EAO27" s="388"/>
      <c r="EAP27" s="388"/>
      <c r="EAQ27" s="388"/>
      <c r="EAR27" s="388"/>
      <c r="EAS27" s="388"/>
      <c r="EAT27" s="388"/>
      <c r="EAU27" s="388"/>
      <c r="EAV27" s="388"/>
      <c r="EAW27" s="388"/>
      <c r="EAX27" s="388"/>
      <c r="EAY27" s="388"/>
      <c r="EAZ27" s="388"/>
      <c r="EBA27" s="388"/>
      <c r="EBB27" s="388"/>
      <c r="EBC27" s="388"/>
      <c r="EBD27" s="388"/>
      <c r="EBE27" s="388"/>
      <c r="EBF27" s="388"/>
      <c r="EBG27" s="388"/>
      <c r="EBH27" s="388"/>
      <c r="EBI27" s="388"/>
      <c r="EBJ27" s="388"/>
      <c r="EBK27" s="388"/>
      <c r="EBL27" s="388"/>
      <c r="EBM27" s="388"/>
      <c r="EBN27" s="388"/>
      <c r="EBO27" s="388"/>
      <c r="EBP27" s="388"/>
      <c r="EBQ27" s="388"/>
      <c r="EBR27" s="388"/>
      <c r="EBS27" s="388"/>
      <c r="EBT27" s="388"/>
      <c r="EBU27" s="388"/>
      <c r="EBV27" s="388"/>
      <c r="EBW27" s="388"/>
      <c r="EBX27" s="388"/>
      <c r="EBY27" s="388"/>
      <c r="EBZ27" s="388"/>
      <c r="ECA27" s="388"/>
      <c r="ECB27" s="388"/>
      <c r="ECC27" s="388"/>
      <c r="ECD27" s="388"/>
      <c r="ECE27" s="388"/>
      <c r="ECF27" s="388"/>
      <c r="ECG27" s="388"/>
      <c r="ECH27" s="388"/>
      <c r="ECI27" s="388"/>
      <c r="ECJ27" s="388"/>
      <c r="ECK27" s="388"/>
      <c r="ECL27" s="388"/>
      <c r="ECM27" s="388"/>
      <c r="ECN27" s="388"/>
      <c r="ECO27" s="388"/>
      <c r="ECP27" s="388"/>
      <c r="ECQ27" s="388"/>
      <c r="ECR27" s="388"/>
      <c r="ECS27" s="388"/>
      <c r="ECT27" s="388"/>
      <c r="ECU27" s="388"/>
      <c r="ECV27" s="388"/>
      <c r="ECW27" s="388"/>
      <c r="ECX27" s="388"/>
      <c r="ECY27" s="388"/>
      <c r="ECZ27" s="388"/>
      <c r="EDA27" s="388"/>
      <c r="EDB27" s="388"/>
      <c r="EDC27" s="388"/>
      <c r="EDD27" s="388"/>
      <c r="EDE27" s="388"/>
      <c r="EDF27" s="388"/>
      <c r="EDG27" s="388"/>
      <c r="EDH27" s="388"/>
      <c r="EDI27" s="388"/>
      <c r="EDJ27" s="388"/>
      <c r="EDK27" s="388"/>
      <c r="EDL27" s="388"/>
      <c r="EDM27" s="388"/>
      <c r="EDN27" s="388"/>
      <c r="EDO27" s="388"/>
      <c r="EDP27" s="388"/>
      <c r="EDQ27" s="388"/>
      <c r="EDR27" s="388"/>
      <c r="EDS27" s="388"/>
      <c r="EDT27" s="388"/>
      <c r="EDU27" s="388"/>
      <c r="EDV27" s="388"/>
      <c r="EDW27" s="388"/>
      <c r="EDX27" s="388"/>
      <c r="EDY27" s="388"/>
      <c r="EDZ27" s="388"/>
      <c r="EEA27" s="388"/>
      <c r="EEB27" s="388"/>
      <c r="EEC27" s="388"/>
      <c r="EED27" s="388"/>
      <c r="EEE27" s="388"/>
      <c r="EEF27" s="388"/>
      <c r="EEG27" s="388"/>
      <c r="EEH27" s="388"/>
      <c r="EEI27" s="388"/>
      <c r="EEJ27" s="388"/>
      <c r="EEK27" s="388"/>
      <c r="EEL27" s="388"/>
      <c r="EEM27" s="388"/>
      <c r="EEN27" s="388"/>
      <c r="EEO27" s="388"/>
      <c r="EEP27" s="388"/>
      <c r="EEQ27" s="388"/>
      <c r="EER27" s="388"/>
      <c r="EES27" s="388"/>
      <c r="EET27" s="388"/>
      <c r="EEU27" s="388"/>
      <c r="EEV27" s="388"/>
      <c r="EEW27" s="388"/>
      <c r="EEX27" s="388"/>
      <c r="EEY27" s="388"/>
      <c r="EEZ27" s="388"/>
      <c r="EFA27" s="388"/>
      <c r="EFB27" s="388"/>
      <c r="EFC27" s="388"/>
      <c r="EFD27" s="388"/>
      <c r="EFE27" s="388"/>
      <c r="EFF27" s="388"/>
      <c r="EFG27" s="388"/>
      <c r="EFH27" s="388"/>
      <c r="EFI27" s="388"/>
      <c r="EFJ27" s="388"/>
      <c r="EFK27" s="388"/>
      <c r="EFL27" s="388"/>
      <c r="EFM27" s="388"/>
      <c r="EFN27" s="388"/>
      <c r="EFO27" s="388"/>
      <c r="EFP27" s="388"/>
      <c r="EFQ27" s="388"/>
      <c r="EFR27" s="388"/>
      <c r="EFS27" s="388"/>
      <c r="EFT27" s="388"/>
      <c r="EFU27" s="388"/>
      <c r="EFV27" s="388"/>
      <c r="EFW27" s="388"/>
      <c r="EFX27" s="388"/>
      <c r="EFY27" s="388"/>
      <c r="EFZ27" s="388"/>
      <c r="EGA27" s="388"/>
      <c r="EGB27" s="388"/>
      <c r="EGC27" s="388"/>
      <c r="EGD27" s="388"/>
      <c r="EGE27" s="388"/>
      <c r="EGF27" s="388"/>
      <c r="EGG27" s="388"/>
      <c r="EGH27" s="388"/>
      <c r="EGI27" s="388"/>
      <c r="EGJ27" s="388"/>
      <c r="EGK27" s="388"/>
      <c r="EGL27" s="388"/>
      <c r="EGM27" s="388"/>
      <c r="EGN27" s="388"/>
      <c r="EGO27" s="388"/>
      <c r="EGP27" s="388"/>
      <c r="EGQ27" s="388"/>
      <c r="EGR27" s="388"/>
      <c r="EGS27" s="388"/>
      <c r="EGT27" s="388"/>
      <c r="EGU27" s="388"/>
      <c r="EGV27" s="388"/>
      <c r="EGW27" s="388"/>
      <c r="EGX27" s="388"/>
      <c r="EGY27" s="388"/>
      <c r="EGZ27" s="388"/>
      <c r="EHA27" s="388"/>
      <c r="EHB27" s="388"/>
      <c r="EHC27" s="388"/>
      <c r="EHD27" s="388"/>
      <c r="EHE27" s="388"/>
      <c r="EHF27" s="388"/>
      <c r="EHG27" s="388"/>
      <c r="EHH27" s="388"/>
      <c r="EHI27" s="388"/>
      <c r="EHJ27" s="388"/>
      <c r="EHK27" s="388"/>
      <c r="EHL27" s="388"/>
      <c r="EHM27" s="388"/>
      <c r="EHN27" s="388"/>
      <c r="EHO27" s="388"/>
      <c r="EHP27" s="388"/>
      <c r="EHQ27" s="388"/>
      <c r="EHR27" s="388"/>
      <c r="EHS27" s="388"/>
      <c r="EHT27" s="388"/>
      <c r="EHU27" s="388"/>
      <c r="EHV27" s="388"/>
      <c r="EHW27" s="388"/>
      <c r="EHX27" s="388"/>
      <c r="EHY27" s="388"/>
      <c r="EHZ27" s="388"/>
      <c r="EIA27" s="388"/>
      <c r="EIB27" s="388"/>
      <c r="EIC27" s="388"/>
      <c r="EID27" s="388"/>
      <c r="EIE27" s="388"/>
      <c r="EIF27" s="388"/>
      <c r="EIG27" s="388"/>
      <c r="EIH27" s="388"/>
      <c r="EII27" s="388"/>
      <c r="EIJ27" s="388"/>
      <c r="EIK27" s="388"/>
      <c r="EIL27" s="388"/>
      <c r="EIM27" s="388"/>
      <c r="EIN27" s="388"/>
      <c r="EIO27" s="388"/>
      <c r="EIP27" s="388"/>
      <c r="EIQ27" s="388"/>
      <c r="EIR27" s="388"/>
      <c r="EIS27" s="388"/>
      <c r="EIT27" s="388"/>
      <c r="EIU27" s="388"/>
      <c r="EIV27" s="388"/>
      <c r="EIW27" s="388"/>
      <c r="EIX27" s="388"/>
      <c r="EIY27" s="388"/>
      <c r="EIZ27" s="388"/>
      <c r="EJA27" s="388"/>
      <c r="EJB27" s="388"/>
      <c r="EJC27" s="388"/>
      <c r="EJD27" s="388"/>
      <c r="EJE27" s="388"/>
      <c r="EJF27" s="388"/>
      <c r="EJG27" s="388"/>
      <c r="EJH27" s="388"/>
      <c r="EJI27" s="388"/>
      <c r="EJJ27" s="388"/>
      <c r="EJK27" s="388"/>
      <c r="EJL27" s="388"/>
      <c r="EJM27" s="388"/>
      <c r="EJN27" s="388"/>
      <c r="EJO27" s="388"/>
      <c r="EJP27" s="388"/>
      <c r="EJQ27" s="388"/>
      <c r="EJR27" s="388"/>
      <c r="EJS27" s="388"/>
      <c r="EJT27" s="388"/>
      <c r="EJU27" s="388"/>
      <c r="EJV27" s="388"/>
      <c r="EJW27" s="388"/>
      <c r="EJX27" s="388"/>
      <c r="EJY27" s="388"/>
      <c r="EJZ27" s="388"/>
      <c r="EKA27" s="388"/>
      <c r="EKB27" s="388"/>
      <c r="EKC27" s="388"/>
      <c r="EKD27" s="388"/>
      <c r="EKE27" s="388"/>
      <c r="EKF27" s="388"/>
      <c r="EKG27" s="388"/>
      <c r="EKH27" s="388"/>
      <c r="EKI27" s="388"/>
      <c r="EKJ27" s="388"/>
      <c r="EKK27" s="388"/>
      <c r="EKL27" s="388"/>
      <c r="EKM27" s="388"/>
      <c r="EKN27" s="388"/>
      <c r="EKO27" s="388"/>
      <c r="EKP27" s="388"/>
      <c r="EKQ27" s="388"/>
      <c r="EKR27" s="388"/>
      <c r="EKS27" s="388"/>
      <c r="EKT27" s="388"/>
      <c r="EKU27" s="388"/>
      <c r="EKV27" s="388"/>
      <c r="EKW27" s="388"/>
      <c r="EKX27" s="388"/>
      <c r="EKY27" s="388"/>
      <c r="EKZ27" s="388"/>
      <c r="ELA27" s="388"/>
      <c r="ELB27" s="388"/>
      <c r="ELC27" s="388"/>
      <c r="ELD27" s="388"/>
      <c r="ELE27" s="388"/>
      <c r="ELF27" s="388"/>
      <c r="ELG27" s="388"/>
      <c r="ELH27" s="388"/>
      <c r="ELI27" s="388"/>
      <c r="ELJ27" s="388"/>
      <c r="ELK27" s="388"/>
      <c r="ELL27" s="388"/>
      <c r="ELM27" s="388"/>
      <c r="ELN27" s="388"/>
      <c r="ELO27" s="388"/>
      <c r="ELP27" s="388"/>
      <c r="ELQ27" s="388"/>
      <c r="ELR27" s="388"/>
      <c r="ELS27" s="388"/>
      <c r="ELT27" s="388"/>
      <c r="ELU27" s="388"/>
      <c r="ELV27" s="388"/>
      <c r="ELW27" s="388"/>
      <c r="ELX27" s="388"/>
      <c r="ELY27" s="388"/>
      <c r="ELZ27" s="388"/>
      <c r="EMA27" s="388"/>
      <c r="EMB27" s="388"/>
      <c r="EMC27" s="388"/>
      <c r="EMD27" s="388"/>
      <c r="EME27" s="388"/>
      <c r="EMF27" s="388"/>
      <c r="EMG27" s="388"/>
      <c r="EMH27" s="388"/>
      <c r="EMI27" s="388"/>
      <c r="EMJ27" s="388"/>
      <c r="EMK27" s="388"/>
      <c r="EML27" s="388"/>
      <c r="EMM27" s="388"/>
      <c r="EMN27" s="388"/>
      <c r="EMO27" s="388"/>
      <c r="EMP27" s="388"/>
      <c r="EMQ27" s="388"/>
      <c r="EMR27" s="388"/>
      <c r="EMS27" s="388"/>
      <c r="EMT27" s="388"/>
      <c r="EMU27" s="388"/>
      <c r="EMV27" s="388"/>
      <c r="EMW27" s="388"/>
      <c r="EMX27" s="388"/>
      <c r="EMY27" s="388"/>
      <c r="EMZ27" s="388"/>
      <c r="ENA27" s="388"/>
      <c r="ENB27" s="388"/>
      <c r="ENC27" s="388"/>
      <c r="END27" s="388"/>
      <c r="ENE27" s="388"/>
      <c r="ENF27" s="388"/>
      <c r="ENG27" s="388"/>
      <c r="ENH27" s="388"/>
      <c r="ENI27" s="388"/>
      <c r="ENJ27" s="388"/>
      <c r="ENK27" s="388"/>
      <c r="ENL27" s="388"/>
      <c r="ENM27" s="388"/>
      <c r="ENN27" s="388"/>
      <c r="ENO27" s="388"/>
      <c r="ENP27" s="388"/>
      <c r="ENQ27" s="388"/>
      <c r="ENR27" s="388"/>
      <c r="ENS27" s="388"/>
      <c r="ENT27" s="388"/>
      <c r="ENU27" s="388"/>
      <c r="ENV27" s="388"/>
      <c r="ENW27" s="388"/>
      <c r="ENX27" s="388"/>
      <c r="ENY27" s="388"/>
      <c r="ENZ27" s="388"/>
      <c r="EOA27" s="388"/>
      <c r="EOB27" s="388"/>
      <c r="EOC27" s="388"/>
      <c r="EOD27" s="388"/>
      <c r="EOE27" s="388"/>
      <c r="EOF27" s="388"/>
      <c r="EOG27" s="388"/>
      <c r="EOH27" s="388"/>
      <c r="EOI27" s="388"/>
      <c r="EOJ27" s="388"/>
      <c r="EOK27" s="388"/>
      <c r="EOL27" s="388"/>
      <c r="EOM27" s="388"/>
      <c r="EON27" s="388"/>
      <c r="EOO27" s="388"/>
      <c r="EOP27" s="388"/>
      <c r="EOQ27" s="388"/>
      <c r="EOR27" s="388"/>
      <c r="EOS27" s="388"/>
      <c r="EOT27" s="388"/>
      <c r="EOU27" s="388"/>
      <c r="EOV27" s="388"/>
      <c r="EOW27" s="388"/>
      <c r="EOX27" s="388"/>
      <c r="EOY27" s="388"/>
      <c r="EOZ27" s="388"/>
      <c r="EPA27" s="388"/>
      <c r="EPB27" s="388"/>
      <c r="EPC27" s="388"/>
      <c r="EPD27" s="388"/>
      <c r="EPE27" s="388"/>
      <c r="EPF27" s="388"/>
      <c r="EPG27" s="388"/>
      <c r="EPH27" s="388"/>
      <c r="EPI27" s="388"/>
      <c r="EPJ27" s="388"/>
      <c r="EPK27" s="388"/>
      <c r="EPL27" s="388"/>
      <c r="EPM27" s="388"/>
      <c r="EPN27" s="388"/>
      <c r="EPO27" s="388"/>
      <c r="EPP27" s="388"/>
      <c r="EPQ27" s="388"/>
      <c r="EPR27" s="388"/>
      <c r="EPS27" s="388"/>
      <c r="EPT27" s="388"/>
      <c r="EPU27" s="388"/>
      <c r="EPV27" s="388"/>
      <c r="EPW27" s="388"/>
      <c r="EPX27" s="388"/>
      <c r="EPY27" s="388"/>
      <c r="EPZ27" s="388"/>
      <c r="EQA27" s="388"/>
      <c r="EQB27" s="388"/>
      <c r="EQC27" s="388"/>
      <c r="EQD27" s="388"/>
      <c r="EQE27" s="388"/>
      <c r="EQF27" s="388"/>
      <c r="EQG27" s="388"/>
      <c r="EQH27" s="388"/>
      <c r="EQI27" s="388"/>
      <c r="EQJ27" s="388"/>
      <c r="EQK27" s="388"/>
      <c r="EQL27" s="388"/>
      <c r="EQM27" s="388"/>
      <c r="EQN27" s="388"/>
      <c r="EQO27" s="388"/>
      <c r="EQP27" s="388"/>
      <c r="EQQ27" s="388"/>
      <c r="EQR27" s="388"/>
      <c r="EQS27" s="388"/>
      <c r="EQT27" s="388"/>
      <c r="EQU27" s="388"/>
      <c r="EQV27" s="388"/>
      <c r="EQW27" s="388"/>
      <c r="EQX27" s="388"/>
      <c r="EQY27" s="388"/>
      <c r="EQZ27" s="388"/>
      <c r="ERA27" s="388"/>
      <c r="ERB27" s="388"/>
      <c r="ERC27" s="388"/>
      <c r="ERD27" s="388"/>
      <c r="ERE27" s="388"/>
      <c r="ERF27" s="388"/>
      <c r="ERG27" s="388"/>
      <c r="ERH27" s="388"/>
      <c r="ERI27" s="388"/>
      <c r="ERJ27" s="388"/>
      <c r="ERK27" s="388"/>
      <c r="ERL27" s="388"/>
      <c r="ERM27" s="388"/>
      <c r="ERN27" s="388"/>
      <c r="ERO27" s="388"/>
      <c r="ERP27" s="388"/>
      <c r="ERQ27" s="388"/>
      <c r="ERR27" s="388"/>
      <c r="ERS27" s="388"/>
      <c r="ERT27" s="388"/>
      <c r="ERU27" s="388"/>
      <c r="ERV27" s="388"/>
      <c r="ERW27" s="388"/>
      <c r="ERX27" s="388"/>
      <c r="ERY27" s="388"/>
      <c r="ERZ27" s="388"/>
      <c r="ESA27" s="388"/>
      <c r="ESB27" s="388"/>
      <c r="ESC27" s="388"/>
      <c r="ESD27" s="388"/>
      <c r="ESE27" s="388"/>
      <c r="ESF27" s="388"/>
      <c r="ESG27" s="388"/>
      <c r="ESH27" s="388"/>
      <c r="ESI27" s="388"/>
      <c r="ESJ27" s="388"/>
      <c r="ESK27" s="388"/>
      <c r="ESL27" s="388"/>
      <c r="ESM27" s="388"/>
      <c r="ESN27" s="388"/>
      <c r="ESO27" s="388"/>
      <c r="ESP27" s="388"/>
      <c r="ESQ27" s="388"/>
      <c r="ESR27" s="388"/>
      <c r="ESS27" s="388"/>
      <c r="EST27" s="388"/>
      <c r="ESU27" s="388"/>
      <c r="ESV27" s="388"/>
      <c r="ESW27" s="388"/>
      <c r="ESX27" s="388"/>
      <c r="ESY27" s="388"/>
      <c r="ESZ27" s="388"/>
      <c r="ETA27" s="388"/>
      <c r="ETB27" s="388"/>
      <c r="ETC27" s="388"/>
      <c r="ETD27" s="388"/>
      <c r="ETE27" s="388"/>
      <c r="ETF27" s="388"/>
      <c r="ETG27" s="388"/>
      <c r="ETH27" s="388"/>
      <c r="ETI27" s="388"/>
      <c r="ETJ27" s="388"/>
      <c r="ETK27" s="388"/>
      <c r="ETL27" s="388"/>
      <c r="ETM27" s="388"/>
      <c r="ETN27" s="388"/>
      <c r="ETO27" s="388"/>
      <c r="ETP27" s="388"/>
      <c r="ETQ27" s="388"/>
      <c r="ETR27" s="388"/>
      <c r="ETS27" s="388"/>
      <c r="ETT27" s="388"/>
      <c r="ETU27" s="388"/>
      <c r="ETV27" s="388"/>
      <c r="ETW27" s="388"/>
      <c r="ETX27" s="388"/>
      <c r="ETY27" s="388"/>
      <c r="ETZ27" s="388"/>
      <c r="EUA27" s="388"/>
      <c r="EUB27" s="388"/>
      <c r="EUC27" s="388"/>
      <c r="EUD27" s="388"/>
      <c r="EUE27" s="388"/>
      <c r="EUF27" s="388"/>
      <c r="EUG27" s="388"/>
      <c r="EUH27" s="388"/>
      <c r="EUI27" s="388"/>
      <c r="EUJ27" s="388"/>
      <c r="EUK27" s="388"/>
      <c r="EUL27" s="388"/>
      <c r="EUM27" s="388"/>
      <c r="EUN27" s="388"/>
      <c r="EUO27" s="388"/>
      <c r="EUP27" s="388"/>
      <c r="EUQ27" s="388"/>
      <c r="EUR27" s="388"/>
      <c r="EUS27" s="388"/>
      <c r="EUT27" s="388"/>
      <c r="EUU27" s="388"/>
      <c r="EUV27" s="388"/>
      <c r="EUW27" s="388"/>
      <c r="EUX27" s="388"/>
      <c r="EUY27" s="388"/>
      <c r="EUZ27" s="388"/>
      <c r="EVA27" s="388"/>
      <c r="EVB27" s="388"/>
      <c r="EVC27" s="388"/>
      <c r="EVD27" s="388"/>
      <c r="EVE27" s="388"/>
      <c r="EVF27" s="388"/>
      <c r="EVG27" s="388"/>
      <c r="EVH27" s="388"/>
      <c r="EVI27" s="388"/>
      <c r="EVJ27" s="388"/>
      <c r="EVK27" s="388"/>
      <c r="EVL27" s="388"/>
      <c r="EVM27" s="388"/>
      <c r="EVN27" s="388"/>
      <c r="EVO27" s="388"/>
      <c r="EVP27" s="388"/>
      <c r="EVQ27" s="388"/>
      <c r="EVR27" s="388"/>
      <c r="EVS27" s="388"/>
      <c r="EVT27" s="388"/>
      <c r="EVU27" s="388"/>
      <c r="EVV27" s="388"/>
      <c r="EVW27" s="388"/>
      <c r="EVX27" s="388"/>
      <c r="EVY27" s="388"/>
      <c r="EVZ27" s="388"/>
      <c r="EWA27" s="388"/>
      <c r="EWB27" s="388"/>
      <c r="EWC27" s="388"/>
      <c r="EWD27" s="388"/>
      <c r="EWE27" s="388"/>
      <c r="EWF27" s="388"/>
      <c r="EWG27" s="388"/>
      <c r="EWH27" s="388"/>
      <c r="EWI27" s="388"/>
      <c r="EWJ27" s="388"/>
      <c r="EWK27" s="388"/>
      <c r="EWL27" s="388"/>
      <c r="EWM27" s="388"/>
      <c r="EWN27" s="388"/>
      <c r="EWO27" s="388"/>
      <c r="EWP27" s="388"/>
      <c r="EWQ27" s="388"/>
      <c r="EWR27" s="388"/>
      <c r="EWS27" s="388"/>
      <c r="EWT27" s="388"/>
      <c r="EWU27" s="388"/>
      <c r="EWV27" s="388"/>
      <c r="EWW27" s="388"/>
      <c r="EWX27" s="388"/>
      <c r="EWY27" s="388"/>
      <c r="EWZ27" s="388"/>
      <c r="EXA27" s="388"/>
      <c r="EXB27" s="388"/>
      <c r="EXC27" s="388"/>
      <c r="EXD27" s="388"/>
      <c r="EXE27" s="388"/>
      <c r="EXF27" s="388"/>
      <c r="EXG27" s="388"/>
      <c r="EXH27" s="388"/>
      <c r="EXI27" s="388"/>
      <c r="EXJ27" s="388"/>
      <c r="EXK27" s="388"/>
      <c r="EXL27" s="388"/>
      <c r="EXM27" s="388"/>
      <c r="EXN27" s="388"/>
      <c r="EXO27" s="388"/>
      <c r="EXP27" s="388"/>
      <c r="EXQ27" s="388"/>
      <c r="EXR27" s="388"/>
      <c r="EXS27" s="388"/>
      <c r="EXT27" s="388"/>
      <c r="EXU27" s="388"/>
      <c r="EXV27" s="388"/>
      <c r="EXW27" s="388"/>
      <c r="EXX27" s="388"/>
      <c r="EXY27" s="388"/>
      <c r="EXZ27" s="388"/>
      <c r="EYA27" s="388"/>
      <c r="EYB27" s="388"/>
      <c r="EYC27" s="388"/>
      <c r="EYD27" s="388"/>
      <c r="EYE27" s="388"/>
      <c r="EYF27" s="388"/>
      <c r="EYG27" s="388"/>
      <c r="EYH27" s="388"/>
      <c r="EYI27" s="388"/>
      <c r="EYJ27" s="388"/>
      <c r="EYK27" s="388"/>
      <c r="EYL27" s="388"/>
      <c r="EYM27" s="388"/>
      <c r="EYN27" s="388"/>
      <c r="EYO27" s="388"/>
      <c r="EYP27" s="388"/>
      <c r="EYQ27" s="388"/>
      <c r="EYR27" s="388"/>
      <c r="EYS27" s="388"/>
      <c r="EYT27" s="388"/>
      <c r="EYU27" s="388"/>
      <c r="EYV27" s="388"/>
      <c r="EYW27" s="388"/>
      <c r="EYX27" s="388"/>
      <c r="EYY27" s="388"/>
      <c r="EYZ27" s="388"/>
      <c r="EZA27" s="388"/>
      <c r="EZB27" s="388"/>
      <c r="EZC27" s="388"/>
      <c r="EZD27" s="388"/>
      <c r="EZE27" s="388"/>
      <c r="EZF27" s="388"/>
      <c r="EZG27" s="388"/>
      <c r="EZH27" s="388"/>
      <c r="EZI27" s="388"/>
      <c r="EZJ27" s="388"/>
      <c r="EZK27" s="388"/>
      <c r="EZL27" s="388"/>
      <c r="EZM27" s="388"/>
      <c r="EZN27" s="388"/>
      <c r="EZO27" s="388"/>
      <c r="EZP27" s="388"/>
      <c r="EZQ27" s="388"/>
      <c r="EZR27" s="388"/>
      <c r="EZS27" s="388"/>
      <c r="EZT27" s="388"/>
      <c r="EZU27" s="388"/>
      <c r="EZV27" s="388"/>
      <c r="EZW27" s="388"/>
      <c r="EZX27" s="388"/>
      <c r="EZY27" s="388"/>
      <c r="EZZ27" s="388"/>
      <c r="FAA27" s="388"/>
      <c r="FAB27" s="388"/>
      <c r="FAC27" s="388"/>
      <c r="FAD27" s="388"/>
      <c r="FAE27" s="388"/>
      <c r="FAF27" s="388"/>
      <c r="FAG27" s="388"/>
      <c r="FAH27" s="388"/>
      <c r="FAI27" s="388"/>
      <c r="FAJ27" s="388"/>
      <c r="FAK27" s="388"/>
      <c r="FAL27" s="388"/>
      <c r="FAM27" s="388"/>
      <c r="FAN27" s="388"/>
      <c r="FAO27" s="388"/>
      <c r="FAP27" s="388"/>
      <c r="FAQ27" s="388"/>
      <c r="FAR27" s="388"/>
      <c r="FAS27" s="388"/>
      <c r="FAT27" s="388"/>
      <c r="FAU27" s="388"/>
      <c r="FAV27" s="388"/>
      <c r="FAW27" s="388"/>
      <c r="FAX27" s="388"/>
      <c r="FAY27" s="388"/>
      <c r="FAZ27" s="388"/>
      <c r="FBA27" s="388"/>
      <c r="FBB27" s="388"/>
      <c r="FBC27" s="388"/>
      <c r="FBD27" s="388"/>
      <c r="FBE27" s="388"/>
      <c r="FBF27" s="388"/>
      <c r="FBG27" s="388"/>
      <c r="FBH27" s="388"/>
      <c r="FBI27" s="388"/>
      <c r="FBJ27" s="388"/>
      <c r="FBK27" s="388"/>
      <c r="FBL27" s="388"/>
      <c r="FBM27" s="388"/>
      <c r="FBN27" s="388"/>
      <c r="FBO27" s="388"/>
      <c r="FBP27" s="388"/>
      <c r="FBQ27" s="388"/>
      <c r="FBR27" s="388"/>
      <c r="FBS27" s="388"/>
      <c r="FBT27" s="388"/>
      <c r="FBU27" s="388"/>
      <c r="FBV27" s="388"/>
      <c r="FBW27" s="388"/>
      <c r="FBX27" s="388"/>
      <c r="FBY27" s="388"/>
      <c r="FBZ27" s="388"/>
      <c r="FCA27" s="388"/>
      <c r="FCB27" s="388"/>
      <c r="FCC27" s="388"/>
      <c r="FCD27" s="388"/>
      <c r="FCE27" s="388"/>
      <c r="FCF27" s="388"/>
      <c r="FCG27" s="388"/>
      <c r="FCH27" s="388"/>
      <c r="FCI27" s="388"/>
      <c r="FCJ27" s="388"/>
      <c r="FCK27" s="388"/>
      <c r="FCL27" s="388"/>
      <c r="FCM27" s="388"/>
      <c r="FCN27" s="388"/>
      <c r="FCO27" s="388"/>
      <c r="FCP27" s="388"/>
      <c r="FCQ27" s="388"/>
      <c r="FCR27" s="388"/>
      <c r="FCS27" s="388"/>
      <c r="FCT27" s="388"/>
      <c r="FCU27" s="388"/>
      <c r="FCV27" s="388"/>
      <c r="FCW27" s="388"/>
      <c r="FCX27" s="388"/>
      <c r="FCY27" s="388"/>
      <c r="FCZ27" s="388"/>
      <c r="FDA27" s="388"/>
      <c r="FDB27" s="388"/>
      <c r="FDC27" s="388"/>
      <c r="FDD27" s="388"/>
      <c r="FDE27" s="388"/>
      <c r="FDF27" s="388"/>
      <c r="FDG27" s="388"/>
      <c r="FDH27" s="388"/>
      <c r="FDI27" s="388"/>
      <c r="FDJ27" s="388"/>
      <c r="FDK27" s="388"/>
      <c r="FDL27" s="388"/>
      <c r="FDM27" s="388"/>
      <c r="FDN27" s="388"/>
      <c r="FDO27" s="388"/>
      <c r="FDP27" s="388"/>
      <c r="FDQ27" s="388"/>
      <c r="FDR27" s="388"/>
      <c r="FDS27" s="388"/>
      <c r="FDT27" s="388"/>
      <c r="FDU27" s="388"/>
      <c r="FDV27" s="388"/>
      <c r="FDW27" s="388"/>
      <c r="FDX27" s="388"/>
      <c r="FDY27" s="388"/>
      <c r="FDZ27" s="388"/>
      <c r="FEA27" s="388"/>
      <c r="FEB27" s="388"/>
      <c r="FEC27" s="388"/>
      <c r="FED27" s="388"/>
      <c r="FEE27" s="388"/>
      <c r="FEF27" s="388"/>
      <c r="FEG27" s="388"/>
      <c r="FEH27" s="388"/>
      <c r="FEI27" s="388"/>
      <c r="FEJ27" s="388"/>
      <c r="FEK27" s="388"/>
      <c r="FEL27" s="388"/>
      <c r="FEM27" s="388"/>
      <c r="FEN27" s="388"/>
      <c r="FEO27" s="388"/>
      <c r="FEP27" s="388"/>
      <c r="FEQ27" s="388"/>
      <c r="FER27" s="388"/>
      <c r="FES27" s="388"/>
      <c r="FET27" s="388"/>
      <c r="FEU27" s="388"/>
      <c r="FEV27" s="388"/>
      <c r="FEW27" s="388"/>
      <c r="FEX27" s="388"/>
      <c r="FEY27" s="388"/>
      <c r="FEZ27" s="388"/>
      <c r="FFA27" s="388"/>
      <c r="FFB27" s="388"/>
      <c r="FFC27" s="388"/>
      <c r="FFD27" s="388"/>
      <c r="FFE27" s="388"/>
      <c r="FFF27" s="388"/>
      <c r="FFG27" s="388"/>
      <c r="FFH27" s="388"/>
      <c r="FFI27" s="388"/>
      <c r="FFJ27" s="388"/>
      <c r="FFK27" s="388"/>
      <c r="FFL27" s="388"/>
      <c r="FFM27" s="388"/>
      <c r="FFN27" s="388"/>
      <c r="FFO27" s="388"/>
      <c r="FFP27" s="388"/>
      <c r="FFQ27" s="388"/>
      <c r="FFR27" s="388"/>
      <c r="FFS27" s="388"/>
      <c r="FFT27" s="388"/>
      <c r="FFU27" s="388"/>
      <c r="FFV27" s="388"/>
      <c r="FFW27" s="388"/>
      <c r="FFX27" s="388"/>
      <c r="FFY27" s="388"/>
      <c r="FFZ27" s="388"/>
      <c r="FGA27" s="388"/>
      <c r="FGB27" s="388"/>
      <c r="FGC27" s="388"/>
      <c r="FGD27" s="388"/>
      <c r="FGE27" s="388"/>
      <c r="FGF27" s="388"/>
      <c r="FGG27" s="388"/>
      <c r="FGH27" s="388"/>
      <c r="FGI27" s="388"/>
      <c r="FGJ27" s="388"/>
      <c r="FGK27" s="388"/>
      <c r="FGL27" s="388"/>
      <c r="FGM27" s="388"/>
      <c r="FGN27" s="388"/>
      <c r="FGO27" s="388"/>
      <c r="FGP27" s="388"/>
      <c r="FGQ27" s="388"/>
      <c r="FGR27" s="388"/>
      <c r="FGS27" s="388"/>
      <c r="FGT27" s="388"/>
      <c r="FGU27" s="388"/>
      <c r="FGV27" s="388"/>
      <c r="FGW27" s="388"/>
      <c r="FGX27" s="388"/>
      <c r="FGY27" s="388"/>
      <c r="FGZ27" s="388"/>
      <c r="FHA27" s="388"/>
      <c r="FHB27" s="388"/>
      <c r="FHC27" s="388"/>
      <c r="FHD27" s="388"/>
      <c r="FHE27" s="388"/>
      <c r="FHF27" s="388"/>
      <c r="FHG27" s="388"/>
      <c r="FHH27" s="388"/>
      <c r="FHI27" s="388"/>
      <c r="FHJ27" s="388"/>
      <c r="FHK27" s="388"/>
      <c r="FHL27" s="388"/>
      <c r="FHM27" s="388"/>
      <c r="FHN27" s="388"/>
      <c r="FHO27" s="388"/>
      <c r="FHP27" s="388"/>
      <c r="FHQ27" s="388"/>
      <c r="FHR27" s="388"/>
      <c r="FHS27" s="388"/>
      <c r="FHT27" s="388"/>
      <c r="FHU27" s="388"/>
      <c r="FHV27" s="388"/>
      <c r="FHW27" s="388"/>
      <c r="FHX27" s="388"/>
      <c r="FHY27" s="388"/>
      <c r="FHZ27" s="388"/>
      <c r="FIA27" s="388"/>
      <c r="FIB27" s="388"/>
      <c r="FIC27" s="388"/>
      <c r="FID27" s="388"/>
      <c r="FIE27" s="388"/>
      <c r="FIF27" s="388"/>
      <c r="FIG27" s="388"/>
      <c r="FIH27" s="388"/>
      <c r="FII27" s="388"/>
      <c r="FIJ27" s="388"/>
      <c r="FIK27" s="388"/>
      <c r="FIL27" s="388"/>
      <c r="FIM27" s="388"/>
      <c r="FIN27" s="388"/>
      <c r="FIO27" s="388"/>
      <c r="FIP27" s="388"/>
      <c r="FIQ27" s="388"/>
      <c r="FIR27" s="388"/>
      <c r="FIS27" s="388"/>
      <c r="FIT27" s="388"/>
      <c r="FIU27" s="388"/>
      <c r="FIV27" s="388"/>
      <c r="FIW27" s="388"/>
      <c r="FIX27" s="388"/>
      <c r="FIY27" s="388"/>
      <c r="FIZ27" s="388"/>
      <c r="FJA27" s="388"/>
      <c r="FJB27" s="388"/>
      <c r="FJC27" s="388"/>
      <c r="FJD27" s="388"/>
      <c r="FJE27" s="388"/>
      <c r="FJF27" s="388"/>
      <c r="FJG27" s="388"/>
      <c r="FJH27" s="388"/>
      <c r="FJI27" s="388"/>
      <c r="FJJ27" s="388"/>
      <c r="FJK27" s="388"/>
      <c r="FJL27" s="388"/>
      <c r="FJM27" s="388"/>
      <c r="FJN27" s="388"/>
      <c r="FJO27" s="388"/>
      <c r="FJP27" s="388"/>
      <c r="FJQ27" s="388"/>
      <c r="FJR27" s="388"/>
      <c r="FJS27" s="388"/>
      <c r="FJT27" s="388"/>
      <c r="FJU27" s="388"/>
      <c r="FJV27" s="388"/>
      <c r="FJW27" s="388"/>
      <c r="FJX27" s="388"/>
      <c r="FJY27" s="388"/>
      <c r="FJZ27" s="388"/>
      <c r="FKA27" s="388"/>
      <c r="FKB27" s="388"/>
      <c r="FKC27" s="388"/>
      <c r="FKD27" s="388"/>
      <c r="FKE27" s="388"/>
      <c r="FKF27" s="388"/>
      <c r="FKG27" s="388"/>
      <c r="FKH27" s="388"/>
      <c r="FKI27" s="388"/>
      <c r="FKJ27" s="388"/>
      <c r="FKK27" s="388"/>
      <c r="FKL27" s="388"/>
      <c r="FKM27" s="388"/>
      <c r="FKN27" s="388"/>
      <c r="FKO27" s="388"/>
      <c r="FKP27" s="388"/>
      <c r="FKQ27" s="388"/>
      <c r="FKR27" s="388"/>
      <c r="FKS27" s="388"/>
      <c r="FKT27" s="388"/>
      <c r="FKU27" s="388"/>
      <c r="FKV27" s="388"/>
      <c r="FKW27" s="388"/>
      <c r="FKX27" s="388"/>
      <c r="FKY27" s="388"/>
      <c r="FKZ27" s="388"/>
      <c r="FLA27" s="388"/>
      <c r="FLB27" s="388"/>
      <c r="FLC27" s="388"/>
      <c r="FLD27" s="388"/>
      <c r="FLE27" s="388"/>
      <c r="FLF27" s="388"/>
      <c r="FLG27" s="388"/>
      <c r="FLH27" s="388"/>
      <c r="FLI27" s="388"/>
      <c r="FLJ27" s="388"/>
      <c r="FLK27" s="388"/>
      <c r="FLL27" s="388"/>
      <c r="FLM27" s="388"/>
      <c r="FLN27" s="388"/>
      <c r="FLO27" s="388"/>
      <c r="FLP27" s="388"/>
      <c r="FLQ27" s="388"/>
      <c r="FLR27" s="388"/>
      <c r="FLS27" s="388"/>
      <c r="FLT27" s="388"/>
      <c r="FLU27" s="388"/>
      <c r="FLV27" s="388"/>
      <c r="FLW27" s="388"/>
      <c r="FLX27" s="388"/>
      <c r="FLY27" s="388"/>
      <c r="FLZ27" s="388"/>
      <c r="FMA27" s="388"/>
      <c r="FMB27" s="388"/>
      <c r="FMC27" s="388"/>
      <c r="FMD27" s="388"/>
      <c r="FME27" s="388"/>
      <c r="FMF27" s="388"/>
      <c r="FMG27" s="388"/>
      <c r="FMH27" s="388"/>
      <c r="FMI27" s="388"/>
      <c r="FMJ27" s="388"/>
      <c r="FMK27" s="388"/>
      <c r="FML27" s="388"/>
      <c r="FMM27" s="388"/>
      <c r="FMN27" s="388"/>
      <c r="FMO27" s="388"/>
      <c r="FMP27" s="388"/>
      <c r="FMQ27" s="388"/>
      <c r="FMR27" s="388"/>
      <c r="FMS27" s="388"/>
      <c r="FMT27" s="388"/>
      <c r="FMU27" s="388"/>
      <c r="FMV27" s="388"/>
      <c r="FMW27" s="388"/>
      <c r="FMX27" s="388"/>
      <c r="FMY27" s="388"/>
      <c r="FMZ27" s="388"/>
      <c r="FNA27" s="388"/>
      <c r="FNB27" s="388"/>
      <c r="FNC27" s="388"/>
      <c r="FND27" s="388"/>
      <c r="FNE27" s="388"/>
      <c r="FNF27" s="388"/>
      <c r="FNG27" s="388"/>
      <c r="FNH27" s="388"/>
      <c r="FNI27" s="388"/>
      <c r="FNJ27" s="388"/>
      <c r="FNK27" s="388"/>
      <c r="FNL27" s="388"/>
      <c r="FNM27" s="388"/>
      <c r="FNN27" s="388"/>
      <c r="FNO27" s="388"/>
      <c r="FNP27" s="388"/>
      <c r="FNQ27" s="388"/>
      <c r="FNR27" s="388"/>
      <c r="FNS27" s="388"/>
      <c r="FNT27" s="388"/>
      <c r="FNU27" s="388"/>
      <c r="FNV27" s="388"/>
      <c r="FNW27" s="388"/>
      <c r="FNX27" s="388"/>
      <c r="FNY27" s="388"/>
      <c r="FNZ27" s="388"/>
      <c r="FOA27" s="388"/>
      <c r="FOB27" s="388"/>
      <c r="FOC27" s="388"/>
      <c r="FOD27" s="388"/>
      <c r="FOE27" s="388"/>
      <c r="FOF27" s="388"/>
      <c r="FOG27" s="388"/>
      <c r="FOH27" s="388"/>
      <c r="FOI27" s="388"/>
      <c r="FOJ27" s="388"/>
      <c r="FOK27" s="388"/>
      <c r="FOL27" s="388"/>
      <c r="FOM27" s="388"/>
      <c r="FON27" s="388"/>
      <c r="FOO27" s="388"/>
      <c r="FOP27" s="388"/>
      <c r="FOQ27" s="388"/>
      <c r="FOR27" s="388"/>
      <c r="FOS27" s="388"/>
      <c r="FOT27" s="388"/>
      <c r="FOU27" s="388"/>
      <c r="FOV27" s="388"/>
      <c r="FOW27" s="388"/>
      <c r="FOX27" s="388"/>
      <c r="FOY27" s="388"/>
      <c r="FOZ27" s="388"/>
      <c r="FPA27" s="388"/>
      <c r="FPB27" s="388"/>
      <c r="FPC27" s="388"/>
      <c r="FPD27" s="388"/>
      <c r="FPE27" s="388"/>
      <c r="FPF27" s="388"/>
      <c r="FPG27" s="388"/>
      <c r="FPH27" s="388"/>
      <c r="FPI27" s="388"/>
      <c r="FPJ27" s="388"/>
      <c r="FPK27" s="388"/>
      <c r="FPL27" s="388"/>
      <c r="FPM27" s="388"/>
      <c r="FPN27" s="388"/>
      <c r="FPO27" s="388"/>
      <c r="FPP27" s="388"/>
      <c r="FPQ27" s="388"/>
      <c r="FPR27" s="388"/>
      <c r="FPS27" s="388"/>
      <c r="FPT27" s="388"/>
      <c r="FPU27" s="388"/>
      <c r="FPV27" s="388"/>
      <c r="FPW27" s="388"/>
      <c r="FPX27" s="388"/>
      <c r="FPY27" s="388"/>
      <c r="FPZ27" s="388"/>
      <c r="FQA27" s="388"/>
      <c r="FQB27" s="388"/>
      <c r="FQC27" s="388"/>
      <c r="FQD27" s="388"/>
      <c r="FQE27" s="388"/>
      <c r="FQF27" s="388"/>
      <c r="FQG27" s="388"/>
      <c r="FQH27" s="388"/>
      <c r="FQI27" s="388"/>
      <c r="FQJ27" s="388"/>
      <c r="FQK27" s="388"/>
      <c r="FQL27" s="388"/>
      <c r="FQM27" s="388"/>
      <c r="FQN27" s="388"/>
      <c r="FQO27" s="388"/>
      <c r="FQP27" s="388"/>
      <c r="FQQ27" s="388"/>
      <c r="FQR27" s="388"/>
      <c r="FQS27" s="388"/>
      <c r="FQT27" s="388"/>
      <c r="FQU27" s="388"/>
      <c r="FQV27" s="388"/>
      <c r="FQW27" s="388"/>
      <c r="FQX27" s="388"/>
      <c r="FQY27" s="388"/>
      <c r="FQZ27" s="388"/>
      <c r="FRA27" s="388"/>
      <c r="FRB27" s="388"/>
      <c r="FRC27" s="388"/>
      <c r="FRD27" s="388"/>
      <c r="FRE27" s="388"/>
      <c r="FRF27" s="388"/>
      <c r="FRG27" s="388"/>
      <c r="FRH27" s="388"/>
      <c r="FRI27" s="388"/>
      <c r="FRJ27" s="388"/>
      <c r="FRK27" s="388"/>
      <c r="FRL27" s="388"/>
      <c r="FRM27" s="388"/>
      <c r="FRN27" s="388"/>
      <c r="FRO27" s="388"/>
      <c r="FRP27" s="388"/>
      <c r="FRQ27" s="388"/>
      <c r="FRR27" s="388"/>
      <c r="FRS27" s="388"/>
      <c r="FRT27" s="388"/>
      <c r="FRU27" s="388"/>
      <c r="FRV27" s="388"/>
      <c r="FRW27" s="388"/>
      <c r="FRX27" s="388"/>
      <c r="FRY27" s="388"/>
      <c r="FRZ27" s="388"/>
      <c r="FSA27" s="388"/>
      <c r="FSB27" s="388"/>
      <c r="FSC27" s="388"/>
      <c r="FSD27" s="388"/>
      <c r="FSE27" s="388"/>
      <c r="FSF27" s="388"/>
      <c r="FSG27" s="388"/>
      <c r="FSH27" s="388"/>
      <c r="FSI27" s="388"/>
      <c r="FSJ27" s="388"/>
      <c r="FSK27" s="388"/>
      <c r="FSL27" s="388"/>
      <c r="FSM27" s="388"/>
      <c r="FSN27" s="388"/>
      <c r="FSO27" s="388"/>
      <c r="FSP27" s="388"/>
      <c r="FSQ27" s="388"/>
      <c r="FSR27" s="388"/>
      <c r="FSS27" s="388"/>
      <c r="FST27" s="388"/>
      <c r="FSU27" s="388"/>
      <c r="FSV27" s="388"/>
      <c r="FSW27" s="388"/>
      <c r="FSX27" s="388"/>
      <c r="FSY27" s="388"/>
      <c r="FSZ27" s="388"/>
      <c r="FTA27" s="388"/>
      <c r="FTB27" s="388"/>
      <c r="FTC27" s="388"/>
      <c r="FTD27" s="388"/>
      <c r="FTE27" s="388"/>
      <c r="FTF27" s="388"/>
      <c r="FTG27" s="388"/>
      <c r="FTH27" s="388"/>
      <c r="FTI27" s="388"/>
      <c r="FTJ27" s="388"/>
      <c r="FTK27" s="388"/>
      <c r="FTL27" s="388"/>
      <c r="FTM27" s="388"/>
      <c r="FTN27" s="388"/>
      <c r="FTO27" s="388"/>
      <c r="FTP27" s="388"/>
      <c r="FTQ27" s="388"/>
      <c r="FTR27" s="388"/>
      <c r="FTS27" s="388"/>
      <c r="FTT27" s="388"/>
      <c r="FTU27" s="388"/>
      <c r="FTV27" s="388"/>
      <c r="FTW27" s="388"/>
      <c r="FTX27" s="388"/>
      <c r="FTY27" s="388"/>
      <c r="FTZ27" s="388"/>
      <c r="FUA27" s="388"/>
      <c r="FUB27" s="388"/>
      <c r="FUC27" s="388"/>
      <c r="FUD27" s="388"/>
      <c r="FUE27" s="388"/>
      <c r="FUF27" s="388"/>
      <c r="FUG27" s="388"/>
      <c r="FUH27" s="388"/>
      <c r="FUI27" s="388"/>
      <c r="FUJ27" s="388"/>
      <c r="FUK27" s="388"/>
      <c r="FUL27" s="388"/>
      <c r="FUM27" s="388"/>
      <c r="FUN27" s="388"/>
      <c r="FUO27" s="388"/>
      <c r="FUP27" s="388"/>
      <c r="FUQ27" s="388"/>
      <c r="FUR27" s="388"/>
      <c r="FUS27" s="388"/>
      <c r="FUT27" s="388"/>
      <c r="FUU27" s="388"/>
      <c r="FUV27" s="388"/>
      <c r="FUW27" s="388"/>
      <c r="FUX27" s="388"/>
      <c r="FUY27" s="388"/>
      <c r="FUZ27" s="388"/>
      <c r="FVA27" s="388"/>
      <c r="FVB27" s="388"/>
      <c r="FVC27" s="388"/>
      <c r="FVD27" s="388"/>
      <c r="FVE27" s="388"/>
      <c r="FVF27" s="388"/>
      <c r="FVG27" s="388"/>
      <c r="FVH27" s="388"/>
      <c r="FVI27" s="388"/>
      <c r="FVJ27" s="388"/>
      <c r="FVK27" s="388"/>
      <c r="FVL27" s="388"/>
      <c r="FVM27" s="388"/>
      <c r="FVN27" s="388"/>
      <c r="FVO27" s="388"/>
      <c r="FVP27" s="388"/>
      <c r="FVQ27" s="388"/>
      <c r="FVR27" s="388"/>
      <c r="FVS27" s="388"/>
      <c r="FVT27" s="388"/>
      <c r="FVU27" s="388"/>
      <c r="FVV27" s="388"/>
      <c r="FVW27" s="388"/>
      <c r="FVX27" s="388"/>
      <c r="FVY27" s="388"/>
      <c r="FVZ27" s="388"/>
      <c r="FWA27" s="388"/>
      <c r="FWB27" s="388"/>
      <c r="FWC27" s="388"/>
      <c r="FWD27" s="388"/>
      <c r="FWE27" s="388"/>
      <c r="FWF27" s="388"/>
      <c r="FWG27" s="388"/>
      <c r="FWH27" s="388"/>
      <c r="FWI27" s="388"/>
      <c r="FWJ27" s="388"/>
      <c r="FWK27" s="388"/>
      <c r="FWL27" s="388"/>
      <c r="FWM27" s="388"/>
      <c r="FWN27" s="388"/>
      <c r="FWO27" s="388"/>
      <c r="FWP27" s="388"/>
      <c r="FWQ27" s="388"/>
      <c r="FWR27" s="388"/>
      <c r="FWS27" s="388"/>
      <c r="FWT27" s="388"/>
      <c r="FWU27" s="388"/>
      <c r="FWV27" s="388"/>
      <c r="FWW27" s="388"/>
      <c r="FWX27" s="388"/>
      <c r="FWY27" s="388"/>
      <c r="FWZ27" s="388"/>
      <c r="FXA27" s="388"/>
      <c r="FXB27" s="388"/>
      <c r="FXC27" s="388"/>
      <c r="FXD27" s="388"/>
      <c r="FXE27" s="388"/>
      <c r="FXF27" s="388"/>
      <c r="FXG27" s="388"/>
      <c r="FXH27" s="388"/>
      <c r="FXI27" s="388"/>
      <c r="FXJ27" s="388"/>
      <c r="FXK27" s="388"/>
      <c r="FXL27" s="388"/>
      <c r="FXM27" s="388"/>
      <c r="FXN27" s="388"/>
      <c r="FXO27" s="388"/>
      <c r="FXP27" s="388"/>
      <c r="FXQ27" s="388"/>
      <c r="FXR27" s="388"/>
      <c r="FXS27" s="388"/>
      <c r="FXT27" s="388"/>
      <c r="FXU27" s="388"/>
      <c r="FXV27" s="388"/>
      <c r="FXW27" s="388"/>
      <c r="FXX27" s="388"/>
      <c r="FXY27" s="388"/>
      <c r="FXZ27" s="388"/>
      <c r="FYA27" s="388"/>
      <c r="FYB27" s="388"/>
      <c r="FYC27" s="388"/>
      <c r="FYD27" s="388"/>
      <c r="FYE27" s="388"/>
      <c r="FYF27" s="388"/>
      <c r="FYG27" s="388"/>
      <c r="FYH27" s="388"/>
      <c r="FYI27" s="388"/>
      <c r="FYJ27" s="388"/>
      <c r="FYK27" s="388"/>
      <c r="FYL27" s="388"/>
      <c r="FYM27" s="388"/>
      <c r="FYN27" s="388"/>
      <c r="FYO27" s="388"/>
      <c r="FYP27" s="388"/>
      <c r="FYQ27" s="388"/>
      <c r="FYR27" s="388"/>
      <c r="FYS27" s="388"/>
      <c r="FYT27" s="388"/>
      <c r="FYU27" s="388"/>
      <c r="FYV27" s="388"/>
      <c r="FYW27" s="388"/>
      <c r="FYX27" s="388"/>
      <c r="FYY27" s="388"/>
      <c r="FYZ27" s="388"/>
      <c r="FZA27" s="388"/>
      <c r="FZB27" s="388"/>
      <c r="FZC27" s="388"/>
      <c r="FZD27" s="388"/>
      <c r="FZE27" s="388"/>
      <c r="FZF27" s="388"/>
      <c r="FZG27" s="388"/>
      <c r="FZH27" s="388"/>
      <c r="FZI27" s="388"/>
      <c r="FZJ27" s="388"/>
      <c r="FZK27" s="388"/>
      <c r="FZL27" s="388"/>
      <c r="FZM27" s="388"/>
      <c r="FZN27" s="388"/>
      <c r="FZO27" s="388"/>
      <c r="FZP27" s="388"/>
      <c r="FZQ27" s="388"/>
      <c r="FZR27" s="388"/>
      <c r="FZS27" s="388"/>
      <c r="FZT27" s="388"/>
      <c r="FZU27" s="388"/>
      <c r="FZV27" s="388"/>
      <c r="FZW27" s="388"/>
      <c r="FZX27" s="388"/>
      <c r="FZY27" s="388"/>
      <c r="FZZ27" s="388"/>
      <c r="GAA27" s="388"/>
      <c r="GAB27" s="388"/>
      <c r="GAC27" s="388"/>
      <c r="GAD27" s="388"/>
      <c r="GAE27" s="388"/>
      <c r="GAF27" s="388"/>
      <c r="GAG27" s="388"/>
      <c r="GAH27" s="388"/>
      <c r="GAI27" s="388"/>
      <c r="GAJ27" s="388"/>
      <c r="GAK27" s="388"/>
      <c r="GAL27" s="388"/>
      <c r="GAM27" s="388"/>
      <c r="GAN27" s="388"/>
      <c r="GAO27" s="388"/>
      <c r="GAP27" s="388"/>
      <c r="GAQ27" s="388"/>
      <c r="GAR27" s="388"/>
      <c r="GAS27" s="388"/>
      <c r="GAT27" s="388"/>
      <c r="GAU27" s="388"/>
      <c r="GAV27" s="388"/>
      <c r="GAW27" s="388"/>
      <c r="GAX27" s="388"/>
      <c r="GAY27" s="388"/>
      <c r="GAZ27" s="388"/>
      <c r="GBA27" s="388"/>
      <c r="GBB27" s="388"/>
      <c r="GBC27" s="388"/>
      <c r="GBD27" s="388"/>
      <c r="GBE27" s="388"/>
      <c r="GBF27" s="388"/>
      <c r="GBG27" s="388"/>
      <c r="GBH27" s="388"/>
      <c r="GBI27" s="388"/>
      <c r="GBJ27" s="388"/>
      <c r="GBK27" s="388"/>
      <c r="GBL27" s="388"/>
      <c r="GBM27" s="388"/>
      <c r="GBN27" s="388"/>
      <c r="GBO27" s="388"/>
      <c r="GBP27" s="388"/>
      <c r="GBQ27" s="388"/>
      <c r="GBR27" s="388"/>
      <c r="GBS27" s="388"/>
      <c r="GBT27" s="388"/>
      <c r="GBU27" s="388"/>
      <c r="GBV27" s="388"/>
      <c r="GBW27" s="388"/>
      <c r="GBX27" s="388"/>
      <c r="GBY27" s="388"/>
      <c r="GBZ27" s="388"/>
      <c r="GCA27" s="388"/>
      <c r="GCB27" s="388"/>
      <c r="GCC27" s="388"/>
      <c r="GCD27" s="388"/>
      <c r="GCE27" s="388"/>
      <c r="GCF27" s="388"/>
      <c r="GCG27" s="388"/>
      <c r="GCH27" s="388"/>
      <c r="GCI27" s="388"/>
      <c r="GCJ27" s="388"/>
      <c r="GCK27" s="388"/>
      <c r="GCL27" s="388"/>
      <c r="GCM27" s="388"/>
      <c r="GCN27" s="388"/>
      <c r="GCO27" s="388"/>
      <c r="GCP27" s="388"/>
      <c r="GCQ27" s="388"/>
      <c r="GCR27" s="388"/>
      <c r="GCS27" s="388"/>
      <c r="GCT27" s="388"/>
      <c r="GCU27" s="388"/>
      <c r="GCV27" s="388"/>
      <c r="GCW27" s="388"/>
      <c r="GCX27" s="388"/>
      <c r="GCY27" s="388"/>
      <c r="GCZ27" s="388"/>
      <c r="GDA27" s="388"/>
      <c r="GDB27" s="388"/>
      <c r="GDC27" s="388"/>
      <c r="GDD27" s="388"/>
      <c r="GDE27" s="388"/>
      <c r="GDF27" s="388"/>
      <c r="GDG27" s="388"/>
      <c r="GDH27" s="388"/>
      <c r="GDI27" s="388"/>
      <c r="GDJ27" s="388"/>
      <c r="GDK27" s="388"/>
      <c r="GDL27" s="388"/>
      <c r="GDM27" s="388"/>
      <c r="GDN27" s="388"/>
      <c r="GDO27" s="388"/>
      <c r="GDP27" s="388"/>
      <c r="GDQ27" s="388"/>
      <c r="GDR27" s="388"/>
      <c r="GDS27" s="388"/>
      <c r="GDT27" s="388"/>
      <c r="GDU27" s="388"/>
      <c r="GDV27" s="388"/>
      <c r="GDW27" s="388"/>
      <c r="GDX27" s="388"/>
      <c r="GDY27" s="388"/>
      <c r="GDZ27" s="388"/>
      <c r="GEA27" s="388"/>
      <c r="GEB27" s="388"/>
      <c r="GEC27" s="388"/>
      <c r="GED27" s="388"/>
      <c r="GEE27" s="388"/>
      <c r="GEF27" s="388"/>
      <c r="GEG27" s="388"/>
      <c r="GEH27" s="388"/>
      <c r="GEI27" s="388"/>
      <c r="GEJ27" s="388"/>
      <c r="GEK27" s="388"/>
      <c r="GEL27" s="388"/>
      <c r="GEM27" s="388"/>
      <c r="GEN27" s="388"/>
      <c r="GEO27" s="388"/>
      <c r="GEP27" s="388"/>
      <c r="GEQ27" s="388"/>
      <c r="GER27" s="388"/>
      <c r="GES27" s="388"/>
      <c r="GET27" s="388"/>
      <c r="GEU27" s="388"/>
      <c r="GEV27" s="388"/>
      <c r="GEW27" s="388"/>
      <c r="GEX27" s="388"/>
      <c r="GEY27" s="388"/>
      <c r="GEZ27" s="388"/>
      <c r="GFA27" s="388"/>
      <c r="GFB27" s="388"/>
      <c r="GFC27" s="388"/>
      <c r="GFD27" s="388"/>
      <c r="GFE27" s="388"/>
      <c r="GFF27" s="388"/>
      <c r="GFG27" s="388"/>
      <c r="GFH27" s="388"/>
      <c r="GFI27" s="388"/>
      <c r="GFJ27" s="388"/>
      <c r="GFK27" s="388"/>
      <c r="GFL27" s="388"/>
      <c r="GFM27" s="388"/>
      <c r="GFN27" s="388"/>
      <c r="GFO27" s="388"/>
      <c r="GFP27" s="388"/>
      <c r="GFQ27" s="388"/>
      <c r="GFR27" s="388"/>
      <c r="GFS27" s="388"/>
      <c r="GFT27" s="388"/>
      <c r="GFU27" s="388"/>
      <c r="GFV27" s="388"/>
      <c r="GFW27" s="388"/>
      <c r="GFX27" s="388"/>
      <c r="GFY27" s="388"/>
      <c r="GFZ27" s="388"/>
      <c r="GGA27" s="388"/>
      <c r="GGB27" s="388"/>
      <c r="GGC27" s="388"/>
      <c r="GGD27" s="388"/>
      <c r="GGE27" s="388"/>
      <c r="GGF27" s="388"/>
      <c r="GGG27" s="388"/>
      <c r="GGH27" s="388"/>
      <c r="GGI27" s="388"/>
      <c r="GGJ27" s="388"/>
      <c r="GGK27" s="388"/>
      <c r="GGL27" s="388"/>
      <c r="GGM27" s="388"/>
      <c r="GGN27" s="388"/>
      <c r="GGO27" s="388"/>
      <c r="GGP27" s="388"/>
      <c r="GGQ27" s="388"/>
      <c r="GGR27" s="388"/>
      <c r="GGS27" s="388"/>
      <c r="GGT27" s="388"/>
      <c r="GGU27" s="388"/>
      <c r="GGV27" s="388"/>
      <c r="GGW27" s="388"/>
      <c r="GGX27" s="388"/>
      <c r="GGY27" s="388"/>
      <c r="GGZ27" s="388"/>
      <c r="GHA27" s="388"/>
      <c r="GHB27" s="388"/>
      <c r="GHC27" s="388"/>
      <c r="GHD27" s="388"/>
      <c r="GHE27" s="388"/>
      <c r="GHF27" s="388"/>
      <c r="GHG27" s="388"/>
      <c r="GHH27" s="388"/>
      <c r="GHI27" s="388"/>
      <c r="GHJ27" s="388"/>
      <c r="GHK27" s="388"/>
      <c r="GHL27" s="388"/>
      <c r="GHM27" s="388"/>
      <c r="GHN27" s="388"/>
      <c r="GHO27" s="388"/>
      <c r="GHP27" s="388"/>
      <c r="GHQ27" s="388"/>
      <c r="GHR27" s="388"/>
      <c r="GHS27" s="388"/>
      <c r="GHT27" s="388"/>
      <c r="GHU27" s="388"/>
      <c r="GHV27" s="388"/>
      <c r="GHW27" s="388"/>
      <c r="GHX27" s="388"/>
      <c r="GHY27" s="388"/>
      <c r="GHZ27" s="388"/>
      <c r="GIA27" s="388"/>
      <c r="GIB27" s="388"/>
      <c r="GIC27" s="388"/>
      <c r="GID27" s="388"/>
      <c r="GIE27" s="388"/>
      <c r="GIF27" s="388"/>
      <c r="GIG27" s="388"/>
      <c r="GIH27" s="388"/>
      <c r="GII27" s="388"/>
      <c r="GIJ27" s="388"/>
      <c r="GIK27" s="388"/>
      <c r="GIL27" s="388"/>
      <c r="GIM27" s="388"/>
      <c r="GIN27" s="388"/>
      <c r="GIO27" s="388"/>
      <c r="GIP27" s="388"/>
      <c r="GIQ27" s="388"/>
      <c r="GIR27" s="388"/>
      <c r="GIS27" s="388"/>
      <c r="GIT27" s="388"/>
      <c r="GIU27" s="388"/>
      <c r="GIV27" s="388"/>
      <c r="GIW27" s="388"/>
      <c r="GIX27" s="388"/>
      <c r="GIY27" s="388"/>
      <c r="GIZ27" s="388"/>
      <c r="GJA27" s="388"/>
      <c r="GJB27" s="388"/>
      <c r="GJC27" s="388"/>
      <c r="GJD27" s="388"/>
      <c r="GJE27" s="388"/>
      <c r="GJF27" s="388"/>
      <c r="GJG27" s="388"/>
      <c r="GJH27" s="388"/>
      <c r="GJI27" s="388"/>
      <c r="GJJ27" s="388"/>
      <c r="GJK27" s="388"/>
      <c r="GJL27" s="388"/>
      <c r="GJM27" s="388"/>
      <c r="GJN27" s="388"/>
      <c r="GJO27" s="388"/>
      <c r="GJP27" s="388"/>
      <c r="GJQ27" s="388"/>
      <c r="GJR27" s="388"/>
      <c r="GJS27" s="388"/>
      <c r="GJT27" s="388"/>
      <c r="GJU27" s="388"/>
      <c r="GJV27" s="388"/>
      <c r="GJW27" s="388"/>
      <c r="GJX27" s="388"/>
      <c r="GJY27" s="388"/>
      <c r="GJZ27" s="388"/>
      <c r="GKA27" s="388"/>
      <c r="GKB27" s="388"/>
      <c r="GKC27" s="388"/>
      <c r="GKD27" s="388"/>
      <c r="GKE27" s="388"/>
      <c r="GKF27" s="388"/>
      <c r="GKG27" s="388"/>
      <c r="GKH27" s="388"/>
      <c r="GKI27" s="388"/>
      <c r="GKJ27" s="388"/>
      <c r="GKK27" s="388"/>
      <c r="GKL27" s="388"/>
      <c r="GKM27" s="388"/>
      <c r="GKN27" s="388"/>
      <c r="GKO27" s="388"/>
      <c r="GKP27" s="388"/>
      <c r="GKQ27" s="388"/>
      <c r="GKR27" s="388"/>
      <c r="GKS27" s="388"/>
      <c r="GKT27" s="388"/>
      <c r="GKU27" s="388"/>
      <c r="GKV27" s="388"/>
      <c r="GKW27" s="388"/>
      <c r="GKX27" s="388"/>
      <c r="GKY27" s="388"/>
      <c r="GKZ27" s="388"/>
      <c r="GLA27" s="388"/>
      <c r="GLB27" s="388"/>
      <c r="GLC27" s="388"/>
      <c r="GLD27" s="388"/>
      <c r="GLE27" s="388"/>
      <c r="GLF27" s="388"/>
      <c r="GLG27" s="388"/>
      <c r="GLH27" s="388"/>
      <c r="GLI27" s="388"/>
      <c r="GLJ27" s="388"/>
      <c r="GLK27" s="388"/>
      <c r="GLL27" s="388"/>
      <c r="GLM27" s="388"/>
      <c r="GLN27" s="388"/>
      <c r="GLO27" s="388"/>
      <c r="GLP27" s="388"/>
      <c r="GLQ27" s="388"/>
      <c r="GLR27" s="388"/>
      <c r="GLS27" s="388"/>
      <c r="GLT27" s="388"/>
      <c r="GLU27" s="388"/>
      <c r="GLV27" s="388"/>
      <c r="GLW27" s="388"/>
      <c r="GLX27" s="388"/>
      <c r="GLY27" s="388"/>
      <c r="GLZ27" s="388"/>
      <c r="GMA27" s="388"/>
      <c r="GMB27" s="388"/>
      <c r="GMC27" s="388"/>
      <c r="GMD27" s="388"/>
      <c r="GME27" s="388"/>
      <c r="GMF27" s="388"/>
      <c r="GMG27" s="388"/>
      <c r="GMH27" s="388"/>
      <c r="GMI27" s="388"/>
      <c r="GMJ27" s="388"/>
      <c r="GMK27" s="388"/>
      <c r="GML27" s="388"/>
      <c r="GMM27" s="388"/>
      <c r="GMN27" s="388"/>
      <c r="GMO27" s="388"/>
      <c r="GMP27" s="388"/>
      <c r="GMQ27" s="388"/>
      <c r="GMR27" s="388"/>
      <c r="GMS27" s="388"/>
      <c r="GMT27" s="388"/>
      <c r="GMU27" s="388"/>
      <c r="GMV27" s="388"/>
      <c r="GMW27" s="388"/>
      <c r="GMX27" s="388"/>
      <c r="GMY27" s="388"/>
      <c r="GMZ27" s="388"/>
      <c r="GNA27" s="388"/>
      <c r="GNB27" s="388"/>
      <c r="GNC27" s="388"/>
      <c r="GND27" s="388"/>
      <c r="GNE27" s="388"/>
      <c r="GNF27" s="388"/>
      <c r="GNG27" s="388"/>
      <c r="GNH27" s="388"/>
      <c r="GNI27" s="388"/>
      <c r="GNJ27" s="388"/>
      <c r="GNK27" s="388"/>
      <c r="GNL27" s="388"/>
      <c r="GNM27" s="388"/>
      <c r="GNN27" s="388"/>
      <c r="GNO27" s="388"/>
      <c r="GNP27" s="388"/>
      <c r="GNQ27" s="388"/>
      <c r="GNR27" s="388"/>
      <c r="GNS27" s="388"/>
      <c r="GNT27" s="388"/>
      <c r="GNU27" s="388"/>
      <c r="GNV27" s="388"/>
      <c r="GNW27" s="388"/>
      <c r="GNX27" s="388"/>
      <c r="GNY27" s="388"/>
      <c r="GNZ27" s="388"/>
      <c r="GOA27" s="388"/>
      <c r="GOB27" s="388"/>
      <c r="GOC27" s="388"/>
      <c r="GOD27" s="388"/>
      <c r="GOE27" s="388"/>
      <c r="GOF27" s="388"/>
      <c r="GOG27" s="388"/>
      <c r="GOH27" s="388"/>
      <c r="GOI27" s="388"/>
      <c r="GOJ27" s="388"/>
      <c r="GOK27" s="388"/>
      <c r="GOL27" s="388"/>
      <c r="GOM27" s="388"/>
      <c r="GON27" s="388"/>
      <c r="GOO27" s="388"/>
      <c r="GOP27" s="388"/>
      <c r="GOQ27" s="388"/>
      <c r="GOR27" s="388"/>
      <c r="GOS27" s="388"/>
      <c r="GOT27" s="388"/>
      <c r="GOU27" s="388"/>
      <c r="GOV27" s="388"/>
      <c r="GOW27" s="388"/>
      <c r="GOX27" s="388"/>
      <c r="GOY27" s="388"/>
      <c r="GOZ27" s="388"/>
      <c r="GPA27" s="388"/>
      <c r="GPB27" s="388"/>
      <c r="GPC27" s="388"/>
      <c r="GPD27" s="388"/>
      <c r="GPE27" s="388"/>
      <c r="GPF27" s="388"/>
      <c r="GPG27" s="388"/>
      <c r="GPH27" s="388"/>
      <c r="GPI27" s="388"/>
      <c r="GPJ27" s="388"/>
      <c r="GPK27" s="388"/>
      <c r="GPL27" s="388"/>
      <c r="GPM27" s="388"/>
      <c r="GPN27" s="388"/>
      <c r="GPO27" s="388"/>
      <c r="GPP27" s="388"/>
      <c r="GPQ27" s="388"/>
      <c r="GPR27" s="388"/>
      <c r="GPS27" s="388"/>
      <c r="GPT27" s="388"/>
      <c r="GPU27" s="388"/>
      <c r="GPV27" s="388"/>
      <c r="GPW27" s="388"/>
      <c r="GPX27" s="388"/>
      <c r="GPY27" s="388"/>
      <c r="GPZ27" s="388"/>
      <c r="GQA27" s="388"/>
      <c r="GQB27" s="388"/>
      <c r="GQC27" s="388"/>
      <c r="GQD27" s="388"/>
      <c r="GQE27" s="388"/>
      <c r="GQF27" s="388"/>
      <c r="GQG27" s="388"/>
      <c r="GQH27" s="388"/>
      <c r="GQI27" s="388"/>
      <c r="GQJ27" s="388"/>
      <c r="GQK27" s="388"/>
      <c r="GQL27" s="388"/>
      <c r="GQM27" s="388"/>
      <c r="GQN27" s="388"/>
      <c r="GQO27" s="388"/>
      <c r="GQP27" s="388"/>
      <c r="GQQ27" s="388"/>
      <c r="GQR27" s="388"/>
      <c r="GQS27" s="388"/>
      <c r="GQT27" s="388"/>
      <c r="GQU27" s="388"/>
      <c r="GQV27" s="388"/>
      <c r="GQW27" s="388"/>
      <c r="GQX27" s="388"/>
      <c r="GQY27" s="388"/>
      <c r="GQZ27" s="388"/>
      <c r="GRA27" s="388"/>
      <c r="GRB27" s="388"/>
      <c r="GRC27" s="388"/>
      <c r="GRD27" s="388"/>
      <c r="GRE27" s="388"/>
      <c r="GRF27" s="388"/>
      <c r="GRG27" s="388"/>
      <c r="GRH27" s="388"/>
      <c r="GRI27" s="388"/>
      <c r="GRJ27" s="388"/>
      <c r="GRK27" s="388"/>
      <c r="GRL27" s="388"/>
      <c r="GRM27" s="388"/>
      <c r="GRN27" s="388"/>
      <c r="GRO27" s="388"/>
      <c r="GRP27" s="388"/>
      <c r="GRQ27" s="388"/>
      <c r="GRR27" s="388"/>
      <c r="GRS27" s="388"/>
      <c r="GRT27" s="388"/>
      <c r="GRU27" s="388"/>
      <c r="GRV27" s="388"/>
      <c r="GRW27" s="388"/>
      <c r="GRX27" s="388"/>
      <c r="GRY27" s="388"/>
      <c r="GRZ27" s="388"/>
      <c r="GSA27" s="388"/>
      <c r="GSB27" s="388"/>
      <c r="GSC27" s="388"/>
      <c r="GSD27" s="388"/>
      <c r="GSE27" s="388"/>
      <c r="GSF27" s="388"/>
      <c r="GSG27" s="388"/>
      <c r="GSH27" s="388"/>
      <c r="GSI27" s="388"/>
      <c r="GSJ27" s="388"/>
      <c r="GSK27" s="388"/>
      <c r="GSL27" s="388"/>
      <c r="GSM27" s="388"/>
      <c r="GSN27" s="388"/>
      <c r="GSO27" s="388"/>
      <c r="GSP27" s="388"/>
      <c r="GSQ27" s="388"/>
      <c r="GSR27" s="388"/>
      <c r="GSS27" s="388"/>
      <c r="GST27" s="388"/>
      <c r="GSU27" s="388"/>
      <c r="GSV27" s="388"/>
      <c r="GSW27" s="388"/>
      <c r="GSX27" s="388"/>
      <c r="GSY27" s="388"/>
      <c r="GSZ27" s="388"/>
      <c r="GTA27" s="388"/>
      <c r="GTB27" s="388"/>
      <c r="GTC27" s="388"/>
      <c r="GTD27" s="388"/>
      <c r="GTE27" s="388"/>
      <c r="GTF27" s="388"/>
      <c r="GTG27" s="388"/>
      <c r="GTH27" s="388"/>
      <c r="GTI27" s="388"/>
      <c r="GTJ27" s="388"/>
      <c r="GTK27" s="388"/>
      <c r="GTL27" s="388"/>
      <c r="GTM27" s="388"/>
      <c r="GTN27" s="388"/>
      <c r="GTO27" s="388"/>
      <c r="GTP27" s="388"/>
      <c r="GTQ27" s="388"/>
      <c r="GTR27" s="388"/>
      <c r="GTS27" s="388"/>
      <c r="GTT27" s="388"/>
      <c r="GTU27" s="388"/>
      <c r="GTV27" s="388"/>
      <c r="GTW27" s="388"/>
      <c r="GTX27" s="388"/>
      <c r="GTY27" s="388"/>
      <c r="GTZ27" s="388"/>
      <c r="GUA27" s="388"/>
      <c r="GUB27" s="388"/>
      <c r="GUC27" s="388"/>
      <c r="GUD27" s="388"/>
      <c r="GUE27" s="388"/>
      <c r="GUF27" s="388"/>
      <c r="GUG27" s="388"/>
      <c r="GUH27" s="388"/>
      <c r="GUI27" s="388"/>
      <c r="GUJ27" s="388"/>
      <c r="GUK27" s="388"/>
      <c r="GUL27" s="388"/>
      <c r="GUM27" s="388"/>
      <c r="GUN27" s="388"/>
      <c r="GUO27" s="388"/>
      <c r="GUP27" s="388"/>
      <c r="GUQ27" s="388"/>
      <c r="GUR27" s="388"/>
      <c r="GUS27" s="388"/>
      <c r="GUT27" s="388"/>
      <c r="GUU27" s="388"/>
      <c r="GUV27" s="388"/>
      <c r="GUW27" s="388"/>
      <c r="GUX27" s="388"/>
      <c r="GUY27" s="388"/>
      <c r="GUZ27" s="388"/>
      <c r="GVA27" s="388"/>
      <c r="GVB27" s="388"/>
      <c r="GVC27" s="388"/>
      <c r="GVD27" s="388"/>
      <c r="GVE27" s="388"/>
      <c r="GVF27" s="388"/>
      <c r="GVG27" s="388"/>
      <c r="GVH27" s="388"/>
      <c r="GVI27" s="388"/>
      <c r="GVJ27" s="388"/>
      <c r="GVK27" s="388"/>
      <c r="GVL27" s="388"/>
      <c r="GVM27" s="388"/>
      <c r="GVN27" s="388"/>
      <c r="GVO27" s="388"/>
      <c r="GVP27" s="388"/>
      <c r="GVQ27" s="388"/>
      <c r="GVR27" s="388"/>
      <c r="GVS27" s="388"/>
      <c r="GVT27" s="388"/>
      <c r="GVU27" s="388"/>
      <c r="GVV27" s="388"/>
      <c r="GVW27" s="388"/>
      <c r="GVX27" s="388"/>
      <c r="GVY27" s="388"/>
      <c r="GVZ27" s="388"/>
      <c r="GWA27" s="388"/>
      <c r="GWB27" s="388"/>
      <c r="GWC27" s="388"/>
      <c r="GWD27" s="388"/>
      <c r="GWE27" s="388"/>
      <c r="GWF27" s="388"/>
      <c r="GWG27" s="388"/>
      <c r="GWH27" s="388"/>
      <c r="GWI27" s="388"/>
      <c r="GWJ27" s="388"/>
      <c r="GWK27" s="388"/>
      <c r="GWL27" s="388"/>
      <c r="GWM27" s="388"/>
      <c r="GWN27" s="388"/>
      <c r="GWO27" s="388"/>
      <c r="GWP27" s="388"/>
      <c r="GWQ27" s="388"/>
      <c r="GWR27" s="388"/>
      <c r="GWS27" s="388"/>
      <c r="GWT27" s="388"/>
      <c r="GWU27" s="388"/>
      <c r="GWV27" s="388"/>
      <c r="GWW27" s="388"/>
      <c r="GWX27" s="388"/>
      <c r="GWY27" s="388"/>
      <c r="GWZ27" s="388"/>
      <c r="GXA27" s="388"/>
      <c r="GXB27" s="388"/>
      <c r="GXC27" s="388"/>
      <c r="GXD27" s="388"/>
      <c r="GXE27" s="388"/>
      <c r="GXF27" s="388"/>
      <c r="GXG27" s="388"/>
      <c r="GXH27" s="388"/>
      <c r="GXI27" s="388"/>
      <c r="GXJ27" s="388"/>
      <c r="GXK27" s="388"/>
      <c r="GXL27" s="388"/>
      <c r="GXM27" s="388"/>
      <c r="GXN27" s="388"/>
      <c r="GXO27" s="388"/>
      <c r="GXP27" s="388"/>
      <c r="GXQ27" s="388"/>
      <c r="GXR27" s="388"/>
      <c r="GXS27" s="388"/>
      <c r="GXT27" s="388"/>
      <c r="GXU27" s="388"/>
      <c r="GXV27" s="388"/>
      <c r="GXW27" s="388"/>
      <c r="GXX27" s="388"/>
      <c r="GXY27" s="388"/>
      <c r="GXZ27" s="388"/>
      <c r="GYA27" s="388"/>
      <c r="GYB27" s="388"/>
      <c r="GYC27" s="388"/>
      <c r="GYD27" s="388"/>
      <c r="GYE27" s="388"/>
      <c r="GYF27" s="388"/>
      <c r="GYG27" s="388"/>
      <c r="GYH27" s="388"/>
      <c r="GYI27" s="388"/>
      <c r="GYJ27" s="388"/>
      <c r="GYK27" s="388"/>
      <c r="GYL27" s="388"/>
      <c r="GYM27" s="388"/>
      <c r="GYN27" s="388"/>
      <c r="GYO27" s="388"/>
      <c r="GYP27" s="388"/>
      <c r="GYQ27" s="388"/>
      <c r="GYR27" s="388"/>
      <c r="GYS27" s="388"/>
      <c r="GYT27" s="388"/>
      <c r="GYU27" s="388"/>
      <c r="GYV27" s="388"/>
      <c r="GYW27" s="388"/>
      <c r="GYX27" s="388"/>
      <c r="GYY27" s="388"/>
      <c r="GYZ27" s="388"/>
      <c r="GZA27" s="388"/>
      <c r="GZB27" s="388"/>
      <c r="GZC27" s="388"/>
      <c r="GZD27" s="388"/>
      <c r="GZE27" s="388"/>
      <c r="GZF27" s="388"/>
      <c r="GZG27" s="388"/>
      <c r="GZH27" s="388"/>
      <c r="GZI27" s="388"/>
      <c r="GZJ27" s="388"/>
      <c r="GZK27" s="388"/>
      <c r="GZL27" s="388"/>
      <c r="GZM27" s="388"/>
      <c r="GZN27" s="388"/>
      <c r="GZO27" s="388"/>
      <c r="GZP27" s="388"/>
      <c r="GZQ27" s="388"/>
      <c r="GZR27" s="388"/>
      <c r="GZS27" s="388"/>
      <c r="GZT27" s="388"/>
      <c r="GZU27" s="388"/>
      <c r="GZV27" s="388"/>
      <c r="GZW27" s="388"/>
      <c r="GZX27" s="388"/>
      <c r="GZY27" s="388"/>
      <c r="GZZ27" s="388"/>
      <c r="HAA27" s="388"/>
      <c r="HAB27" s="388"/>
      <c r="HAC27" s="388"/>
      <c r="HAD27" s="388"/>
      <c r="HAE27" s="388"/>
      <c r="HAF27" s="388"/>
      <c r="HAG27" s="388"/>
      <c r="HAH27" s="388"/>
      <c r="HAI27" s="388"/>
      <c r="HAJ27" s="388"/>
      <c r="HAK27" s="388"/>
      <c r="HAL27" s="388"/>
      <c r="HAM27" s="388"/>
      <c r="HAN27" s="388"/>
      <c r="HAO27" s="388"/>
      <c r="HAP27" s="388"/>
      <c r="HAQ27" s="388"/>
      <c r="HAR27" s="388"/>
      <c r="HAS27" s="388"/>
      <c r="HAT27" s="388"/>
      <c r="HAU27" s="388"/>
      <c r="HAV27" s="388"/>
      <c r="HAW27" s="388"/>
      <c r="HAX27" s="388"/>
      <c r="HAY27" s="388"/>
      <c r="HAZ27" s="388"/>
      <c r="HBA27" s="388"/>
      <c r="HBB27" s="388"/>
      <c r="HBC27" s="388"/>
      <c r="HBD27" s="388"/>
      <c r="HBE27" s="388"/>
      <c r="HBF27" s="388"/>
      <c r="HBG27" s="388"/>
      <c r="HBH27" s="388"/>
      <c r="HBI27" s="388"/>
      <c r="HBJ27" s="388"/>
      <c r="HBK27" s="388"/>
      <c r="HBL27" s="388"/>
      <c r="HBM27" s="388"/>
      <c r="HBN27" s="388"/>
      <c r="HBO27" s="388"/>
      <c r="HBP27" s="388"/>
      <c r="HBQ27" s="388"/>
      <c r="HBR27" s="388"/>
      <c r="HBS27" s="388"/>
      <c r="HBT27" s="388"/>
      <c r="HBU27" s="388"/>
      <c r="HBV27" s="388"/>
      <c r="HBW27" s="388"/>
      <c r="HBX27" s="388"/>
      <c r="HBY27" s="388"/>
      <c r="HBZ27" s="388"/>
      <c r="HCA27" s="388"/>
      <c r="HCB27" s="388"/>
      <c r="HCC27" s="388"/>
      <c r="HCD27" s="388"/>
      <c r="HCE27" s="388"/>
      <c r="HCF27" s="388"/>
      <c r="HCG27" s="388"/>
      <c r="HCH27" s="388"/>
      <c r="HCI27" s="388"/>
      <c r="HCJ27" s="388"/>
      <c r="HCK27" s="388"/>
      <c r="HCL27" s="388"/>
      <c r="HCM27" s="388"/>
      <c r="HCN27" s="388"/>
      <c r="HCO27" s="388"/>
      <c r="HCP27" s="388"/>
      <c r="HCQ27" s="388"/>
      <c r="HCR27" s="388"/>
      <c r="HCS27" s="388"/>
      <c r="HCT27" s="388"/>
      <c r="HCU27" s="388"/>
      <c r="HCV27" s="388"/>
      <c r="HCW27" s="388"/>
      <c r="HCX27" s="388"/>
      <c r="HCY27" s="388"/>
      <c r="HCZ27" s="388"/>
      <c r="HDA27" s="388"/>
      <c r="HDB27" s="388"/>
      <c r="HDC27" s="388"/>
      <c r="HDD27" s="388"/>
      <c r="HDE27" s="388"/>
      <c r="HDF27" s="388"/>
      <c r="HDG27" s="388"/>
      <c r="HDH27" s="388"/>
      <c r="HDI27" s="388"/>
      <c r="HDJ27" s="388"/>
      <c r="HDK27" s="388"/>
      <c r="HDL27" s="388"/>
      <c r="HDM27" s="388"/>
      <c r="HDN27" s="388"/>
      <c r="HDO27" s="388"/>
      <c r="HDP27" s="388"/>
      <c r="HDQ27" s="388"/>
      <c r="HDR27" s="388"/>
      <c r="HDS27" s="388"/>
      <c r="HDT27" s="388"/>
      <c r="HDU27" s="388"/>
      <c r="HDV27" s="388"/>
      <c r="HDW27" s="388"/>
      <c r="HDX27" s="388"/>
      <c r="HDY27" s="388"/>
      <c r="HDZ27" s="388"/>
      <c r="HEA27" s="388"/>
      <c r="HEB27" s="388"/>
      <c r="HEC27" s="388"/>
      <c r="HED27" s="388"/>
      <c r="HEE27" s="388"/>
      <c r="HEF27" s="388"/>
      <c r="HEG27" s="388"/>
      <c r="HEH27" s="388"/>
      <c r="HEI27" s="388"/>
      <c r="HEJ27" s="388"/>
      <c r="HEK27" s="388"/>
      <c r="HEL27" s="388"/>
      <c r="HEM27" s="388"/>
      <c r="HEN27" s="388"/>
      <c r="HEO27" s="388"/>
      <c r="HEP27" s="388"/>
      <c r="HEQ27" s="388"/>
      <c r="HER27" s="388"/>
      <c r="HES27" s="388"/>
      <c r="HET27" s="388"/>
      <c r="HEU27" s="388"/>
      <c r="HEV27" s="388"/>
      <c r="HEW27" s="388"/>
      <c r="HEX27" s="388"/>
      <c r="HEY27" s="388"/>
      <c r="HEZ27" s="388"/>
      <c r="HFA27" s="388"/>
      <c r="HFB27" s="388"/>
      <c r="HFC27" s="388"/>
      <c r="HFD27" s="388"/>
      <c r="HFE27" s="388"/>
      <c r="HFF27" s="388"/>
      <c r="HFG27" s="388"/>
      <c r="HFH27" s="388"/>
      <c r="HFI27" s="388"/>
      <c r="HFJ27" s="388"/>
      <c r="HFK27" s="388"/>
      <c r="HFL27" s="388"/>
      <c r="HFM27" s="388"/>
      <c r="HFN27" s="388"/>
      <c r="HFO27" s="388"/>
      <c r="HFP27" s="388"/>
      <c r="HFQ27" s="388"/>
      <c r="HFR27" s="388"/>
      <c r="HFS27" s="388"/>
      <c r="HFT27" s="388"/>
      <c r="HFU27" s="388"/>
      <c r="HFV27" s="388"/>
      <c r="HFW27" s="388"/>
      <c r="HFX27" s="388"/>
      <c r="HFY27" s="388"/>
      <c r="HFZ27" s="388"/>
      <c r="HGA27" s="388"/>
      <c r="HGB27" s="388"/>
      <c r="HGC27" s="388"/>
      <c r="HGD27" s="388"/>
      <c r="HGE27" s="388"/>
      <c r="HGF27" s="388"/>
      <c r="HGG27" s="388"/>
      <c r="HGH27" s="388"/>
      <c r="HGI27" s="388"/>
      <c r="HGJ27" s="388"/>
      <c r="HGK27" s="388"/>
      <c r="HGL27" s="388"/>
      <c r="HGM27" s="388"/>
      <c r="HGN27" s="388"/>
      <c r="HGO27" s="388"/>
      <c r="HGP27" s="388"/>
      <c r="HGQ27" s="388"/>
      <c r="HGR27" s="388"/>
      <c r="HGS27" s="388"/>
      <c r="HGT27" s="388"/>
      <c r="HGU27" s="388"/>
      <c r="HGV27" s="388"/>
      <c r="HGW27" s="388"/>
      <c r="HGX27" s="388"/>
      <c r="HGY27" s="388"/>
      <c r="HGZ27" s="388"/>
      <c r="HHA27" s="388"/>
      <c r="HHB27" s="388"/>
      <c r="HHC27" s="388"/>
      <c r="HHD27" s="388"/>
      <c r="HHE27" s="388"/>
      <c r="HHF27" s="388"/>
      <c r="HHG27" s="388"/>
      <c r="HHH27" s="388"/>
      <c r="HHI27" s="388"/>
      <c r="HHJ27" s="388"/>
      <c r="HHK27" s="388"/>
      <c r="HHL27" s="388"/>
      <c r="HHM27" s="388"/>
      <c r="HHN27" s="388"/>
      <c r="HHO27" s="388"/>
      <c r="HHP27" s="388"/>
      <c r="HHQ27" s="388"/>
      <c r="HHR27" s="388"/>
      <c r="HHS27" s="388"/>
      <c r="HHT27" s="388"/>
      <c r="HHU27" s="388"/>
      <c r="HHV27" s="388"/>
      <c r="HHW27" s="388"/>
      <c r="HHX27" s="388"/>
      <c r="HHY27" s="388"/>
      <c r="HHZ27" s="388"/>
      <c r="HIA27" s="388"/>
      <c r="HIB27" s="388"/>
      <c r="HIC27" s="388"/>
      <c r="HID27" s="388"/>
      <c r="HIE27" s="388"/>
      <c r="HIF27" s="388"/>
      <c r="HIG27" s="388"/>
      <c r="HIH27" s="388"/>
      <c r="HII27" s="388"/>
      <c r="HIJ27" s="388"/>
      <c r="HIK27" s="388"/>
      <c r="HIL27" s="388"/>
      <c r="HIM27" s="388"/>
      <c r="HIN27" s="388"/>
      <c r="HIO27" s="388"/>
      <c r="HIP27" s="388"/>
      <c r="HIQ27" s="388"/>
      <c r="HIR27" s="388"/>
      <c r="HIS27" s="388"/>
      <c r="HIT27" s="388"/>
      <c r="HIU27" s="388"/>
      <c r="HIV27" s="388"/>
      <c r="HIW27" s="388"/>
      <c r="HIX27" s="388"/>
      <c r="HIY27" s="388"/>
      <c r="HIZ27" s="388"/>
      <c r="HJA27" s="388"/>
      <c r="HJB27" s="388"/>
      <c r="HJC27" s="388"/>
      <c r="HJD27" s="388"/>
      <c r="HJE27" s="388"/>
      <c r="HJF27" s="388"/>
      <c r="HJG27" s="388"/>
      <c r="HJH27" s="388"/>
      <c r="HJI27" s="388"/>
      <c r="HJJ27" s="388"/>
      <c r="HJK27" s="388"/>
      <c r="HJL27" s="388"/>
      <c r="HJM27" s="388"/>
      <c r="HJN27" s="388"/>
      <c r="HJO27" s="388"/>
      <c r="HJP27" s="388"/>
      <c r="HJQ27" s="388"/>
      <c r="HJR27" s="388"/>
      <c r="HJS27" s="388"/>
      <c r="HJT27" s="388"/>
      <c r="HJU27" s="388"/>
      <c r="HJV27" s="388"/>
      <c r="HJW27" s="388"/>
      <c r="HJX27" s="388"/>
      <c r="HJY27" s="388"/>
      <c r="HJZ27" s="388"/>
      <c r="HKA27" s="388"/>
      <c r="HKB27" s="388"/>
      <c r="HKC27" s="388"/>
      <c r="HKD27" s="388"/>
      <c r="HKE27" s="388"/>
      <c r="HKF27" s="388"/>
      <c r="HKG27" s="388"/>
      <c r="HKH27" s="388"/>
      <c r="HKI27" s="388"/>
      <c r="HKJ27" s="388"/>
      <c r="HKK27" s="388"/>
      <c r="HKL27" s="388"/>
      <c r="HKM27" s="388"/>
      <c r="HKN27" s="388"/>
      <c r="HKO27" s="388"/>
      <c r="HKP27" s="388"/>
      <c r="HKQ27" s="388"/>
      <c r="HKR27" s="388"/>
      <c r="HKS27" s="388"/>
      <c r="HKT27" s="388"/>
      <c r="HKU27" s="388"/>
      <c r="HKV27" s="388"/>
      <c r="HKW27" s="388"/>
      <c r="HKX27" s="388"/>
      <c r="HKY27" s="388"/>
      <c r="HKZ27" s="388"/>
      <c r="HLA27" s="388"/>
      <c r="HLB27" s="388"/>
      <c r="HLC27" s="388"/>
      <c r="HLD27" s="388"/>
      <c r="HLE27" s="388"/>
      <c r="HLF27" s="388"/>
      <c r="HLG27" s="388"/>
      <c r="HLH27" s="388"/>
      <c r="HLI27" s="388"/>
      <c r="HLJ27" s="388"/>
      <c r="HLK27" s="388"/>
      <c r="HLL27" s="388"/>
      <c r="HLM27" s="388"/>
      <c r="HLN27" s="388"/>
      <c r="HLO27" s="388"/>
      <c r="HLP27" s="388"/>
      <c r="HLQ27" s="388"/>
      <c r="HLR27" s="388"/>
      <c r="HLS27" s="388"/>
      <c r="HLT27" s="388"/>
      <c r="HLU27" s="388"/>
      <c r="HLV27" s="388"/>
      <c r="HLW27" s="388"/>
      <c r="HLX27" s="388"/>
      <c r="HLY27" s="388"/>
      <c r="HLZ27" s="388"/>
      <c r="HMA27" s="388"/>
      <c r="HMB27" s="388"/>
      <c r="HMC27" s="388"/>
      <c r="HMD27" s="388"/>
      <c r="HME27" s="388"/>
      <c r="HMF27" s="388"/>
      <c r="HMG27" s="388"/>
      <c r="HMH27" s="388"/>
      <c r="HMI27" s="388"/>
      <c r="HMJ27" s="388"/>
      <c r="HMK27" s="388"/>
      <c r="HML27" s="388"/>
      <c r="HMM27" s="388"/>
      <c r="HMN27" s="388"/>
      <c r="HMO27" s="388"/>
      <c r="HMP27" s="388"/>
      <c r="HMQ27" s="388"/>
      <c r="HMR27" s="388"/>
      <c r="HMS27" s="388"/>
      <c r="HMT27" s="388"/>
      <c r="HMU27" s="388"/>
      <c r="HMV27" s="388"/>
      <c r="HMW27" s="388"/>
      <c r="HMX27" s="388"/>
      <c r="HMY27" s="388"/>
      <c r="HMZ27" s="388"/>
      <c r="HNA27" s="388"/>
      <c r="HNB27" s="388"/>
      <c r="HNC27" s="388"/>
      <c r="HND27" s="388"/>
      <c r="HNE27" s="388"/>
      <c r="HNF27" s="388"/>
      <c r="HNG27" s="388"/>
      <c r="HNH27" s="388"/>
      <c r="HNI27" s="388"/>
      <c r="HNJ27" s="388"/>
      <c r="HNK27" s="388"/>
      <c r="HNL27" s="388"/>
      <c r="HNM27" s="388"/>
      <c r="HNN27" s="388"/>
      <c r="HNO27" s="388"/>
      <c r="HNP27" s="388"/>
      <c r="HNQ27" s="388"/>
      <c r="HNR27" s="388"/>
      <c r="HNS27" s="388"/>
      <c r="HNT27" s="388"/>
      <c r="HNU27" s="388"/>
      <c r="HNV27" s="388"/>
      <c r="HNW27" s="388"/>
      <c r="HNX27" s="388"/>
      <c r="HNY27" s="388"/>
      <c r="HNZ27" s="388"/>
      <c r="HOA27" s="388"/>
      <c r="HOB27" s="388"/>
      <c r="HOC27" s="388"/>
      <c r="HOD27" s="388"/>
      <c r="HOE27" s="388"/>
      <c r="HOF27" s="388"/>
      <c r="HOG27" s="388"/>
      <c r="HOH27" s="388"/>
      <c r="HOI27" s="388"/>
      <c r="HOJ27" s="388"/>
      <c r="HOK27" s="388"/>
      <c r="HOL27" s="388"/>
      <c r="HOM27" s="388"/>
      <c r="HON27" s="388"/>
      <c r="HOO27" s="388"/>
      <c r="HOP27" s="388"/>
      <c r="HOQ27" s="388"/>
      <c r="HOR27" s="388"/>
      <c r="HOS27" s="388"/>
      <c r="HOT27" s="388"/>
      <c r="HOU27" s="388"/>
      <c r="HOV27" s="388"/>
      <c r="HOW27" s="388"/>
      <c r="HOX27" s="388"/>
      <c r="HOY27" s="388"/>
      <c r="HOZ27" s="388"/>
      <c r="HPA27" s="388"/>
      <c r="HPB27" s="388"/>
      <c r="HPC27" s="388"/>
      <c r="HPD27" s="388"/>
      <c r="HPE27" s="388"/>
      <c r="HPF27" s="388"/>
      <c r="HPG27" s="388"/>
      <c r="HPH27" s="388"/>
      <c r="HPI27" s="388"/>
      <c r="HPJ27" s="388"/>
      <c r="HPK27" s="388"/>
      <c r="HPL27" s="388"/>
      <c r="HPM27" s="388"/>
      <c r="HPN27" s="388"/>
      <c r="HPO27" s="388"/>
      <c r="HPP27" s="388"/>
      <c r="HPQ27" s="388"/>
      <c r="HPR27" s="388"/>
      <c r="HPS27" s="388"/>
      <c r="HPT27" s="388"/>
      <c r="HPU27" s="388"/>
      <c r="HPV27" s="388"/>
      <c r="HPW27" s="388"/>
      <c r="HPX27" s="388"/>
      <c r="HPY27" s="388"/>
      <c r="HPZ27" s="388"/>
      <c r="HQA27" s="388"/>
      <c r="HQB27" s="388"/>
      <c r="HQC27" s="388"/>
      <c r="HQD27" s="388"/>
      <c r="HQE27" s="388"/>
      <c r="HQF27" s="388"/>
      <c r="HQG27" s="388"/>
      <c r="HQH27" s="388"/>
      <c r="HQI27" s="388"/>
      <c r="HQJ27" s="388"/>
      <c r="HQK27" s="388"/>
      <c r="HQL27" s="388"/>
      <c r="HQM27" s="388"/>
      <c r="HQN27" s="388"/>
      <c r="HQO27" s="388"/>
      <c r="HQP27" s="388"/>
      <c r="HQQ27" s="388"/>
      <c r="HQR27" s="388"/>
      <c r="HQS27" s="388"/>
      <c r="HQT27" s="388"/>
      <c r="HQU27" s="388"/>
      <c r="HQV27" s="388"/>
      <c r="HQW27" s="388"/>
      <c r="HQX27" s="388"/>
      <c r="HQY27" s="388"/>
      <c r="HQZ27" s="388"/>
      <c r="HRA27" s="388"/>
      <c r="HRB27" s="388"/>
      <c r="HRC27" s="388"/>
      <c r="HRD27" s="388"/>
      <c r="HRE27" s="388"/>
      <c r="HRF27" s="388"/>
      <c r="HRG27" s="388"/>
      <c r="HRH27" s="388"/>
      <c r="HRI27" s="388"/>
      <c r="HRJ27" s="388"/>
      <c r="HRK27" s="388"/>
      <c r="HRL27" s="388"/>
      <c r="HRM27" s="388"/>
      <c r="HRN27" s="388"/>
      <c r="HRO27" s="388"/>
      <c r="HRP27" s="388"/>
      <c r="HRQ27" s="388"/>
      <c r="HRR27" s="388"/>
      <c r="HRS27" s="388"/>
      <c r="HRT27" s="388"/>
      <c r="HRU27" s="388"/>
      <c r="HRV27" s="388"/>
      <c r="HRW27" s="388"/>
      <c r="HRX27" s="388"/>
      <c r="HRY27" s="388"/>
      <c r="HRZ27" s="388"/>
      <c r="HSA27" s="388"/>
      <c r="HSB27" s="388"/>
      <c r="HSC27" s="388"/>
      <c r="HSD27" s="388"/>
      <c r="HSE27" s="388"/>
      <c r="HSF27" s="388"/>
      <c r="HSG27" s="388"/>
      <c r="HSH27" s="388"/>
      <c r="HSI27" s="388"/>
      <c r="HSJ27" s="388"/>
      <c r="HSK27" s="388"/>
      <c r="HSL27" s="388"/>
      <c r="HSM27" s="388"/>
      <c r="HSN27" s="388"/>
      <c r="HSO27" s="388"/>
      <c r="HSP27" s="388"/>
      <c r="HSQ27" s="388"/>
      <c r="HSR27" s="388"/>
      <c r="HSS27" s="388"/>
      <c r="HST27" s="388"/>
      <c r="HSU27" s="388"/>
      <c r="HSV27" s="388"/>
      <c r="HSW27" s="388"/>
      <c r="HSX27" s="388"/>
      <c r="HSY27" s="388"/>
      <c r="HSZ27" s="388"/>
      <c r="HTA27" s="388"/>
      <c r="HTB27" s="388"/>
      <c r="HTC27" s="388"/>
      <c r="HTD27" s="388"/>
      <c r="HTE27" s="388"/>
      <c r="HTF27" s="388"/>
      <c r="HTG27" s="388"/>
      <c r="HTH27" s="388"/>
      <c r="HTI27" s="388"/>
      <c r="HTJ27" s="388"/>
      <c r="HTK27" s="388"/>
      <c r="HTL27" s="388"/>
      <c r="HTM27" s="388"/>
      <c r="HTN27" s="388"/>
      <c r="HTO27" s="388"/>
      <c r="HTP27" s="388"/>
      <c r="HTQ27" s="388"/>
      <c r="HTR27" s="388"/>
      <c r="HTS27" s="388"/>
      <c r="HTT27" s="388"/>
      <c r="HTU27" s="388"/>
      <c r="HTV27" s="388"/>
      <c r="HTW27" s="388"/>
      <c r="HTX27" s="388"/>
      <c r="HTY27" s="388"/>
      <c r="HTZ27" s="388"/>
      <c r="HUA27" s="388"/>
      <c r="HUB27" s="388"/>
      <c r="HUC27" s="388"/>
      <c r="HUD27" s="388"/>
      <c r="HUE27" s="388"/>
      <c r="HUF27" s="388"/>
      <c r="HUG27" s="388"/>
      <c r="HUH27" s="388"/>
      <c r="HUI27" s="388"/>
      <c r="HUJ27" s="388"/>
      <c r="HUK27" s="388"/>
      <c r="HUL27" s="388"/>
      <c r="HUM27" s="388"/>
      <c r="HUN27" s="388"/>
      <c r="HUO27" s="388"/>
      <c r="HUP27" s="388"/>
      <c r="HUQ27" s="388"/>
      <c r="HUR27" s="388"/>
      <c r="HUS27" s="388"/>
      <c r="HUT27" s="388"/>
      <c r="HUU27" s="388"/>
      <c r="HUV27" s="388"/>
      <c r="HUW27" s="388"/>
      <c r="HUX27" s="388"/>
      <c r="HUY27" s="388"/>
      <c r="HUZ27" s="388"/>
      <c r="HVA27" s="388"/>
      <c r="HVB27" s="388"/>
      <c r="HVC27" s="388"/>
      <c r="HVD27" s="388"/>
      <c r="HVE27" s="388"/>
      <c r="HVF27" s="388"/>
      <c r="HVG27" s="388"/>
      <c r="HVH27" s="388"/>
      <c r="HVI27" s="388"/>
      <c r="HVJ27" s="388"/>
      <c r="HVK27" s="388"/>
      <c r="HVL27" s="388"/>
      <c r="HVM27" s="388"/>
      <c r="HVN27" s="388"/>
      <c r="HVO27" s="388"/>
      <c r="HVP27" s="388"/>
      <c r="HVQ27" s="388"/>
      <c r="HVR27" s="388"/>
      <c r="HVS27" s="388"/>
      <c r="HVT27" s="388"/>
      <c r="HVU27" s="388"/>
      <c r="HVV27" s="388"/>
      <c r="HVW27" s="388"/>
      <c r="HVX27" s="388"/>
      <c r="HVY27" s="388"/>
      <c r="HVZ27" s="388"/>
      <c r="HWA27" s="388"/>
      <c r="HWB27" s="388"/>
      <c r="HWC27" s="388"/>
      <c r="HWD27" s="388"/>
      <c r="HWE27" s="388"/>
      <c r="HWF27" s="388"/>
      <c r="HWG27" s="388"/>
      <c r="HWH27" s="388"/>
      <c r="HWI27" s="388"/>
      <c r="HWJ27" s="388"/>
      <c r="HWK27" s="388"/>
      <c r="HWL27" s="388"/>
      <c r="HWM27" s="388"/>
      <c r="HWN27" s="388"/>
      <c r="HWO27" s="388"/>
      <c r="HWP27" s="388"/>
      <c r="HWQ27" s="388"/>
      <c r="HWR27" s="388"/>
      <c r="HWS27" s="388"/>
      <c r="HWT27" s="388"/>
      <c r="HWU27" s="388"/>
      <c r="HWV27" s="388"/>
      <c r="HWW27" s="388"/>
      <c r="HWX27" s="388"/>
      <c r="HWY27" s="388"/>
      <c r="HWZ27" s="388"/>
      <c r="HXA27" s="388"/>
      <c r="HXB27" s="388"/>
      <c r="HXC27" s="388"/>
      <c r="HXD27" s="388"/>
      <c r="HXE27" s="388"/>
      <c r="HXF27" s="388"/>
      <c r="HXG27" s="388"/>
      <c r="HXH27" s="388"/>
      <c r="HXI27" s="388"/>
      <c r="HXJ27" s="388"/>
      <c r="HXK27" s="388"/>
      <c r="HXL27" s="388"/>
      <c r="HXM27" s="388"/>
      <c r="HXN27" s="388"/>
      <c r="HXO27" s="388"/>
      <c r="HXP27" s="388"/>
      <c r="HXQ27" s="388"/>
      <c r="HXR27" s="388"/>
      <c r="HXS27" s="388"/>
      <c r="HXT27" s="388"/>
      <c r="HXU27" s="388"/>
      <c r="HXV27" s="388"/>
      <c r="HXW27" s="388"/>
      <c r="HXX27" s="388"/>
      <c r="HXY27" s="388"/>
      <c r="HXZ27" s="388"/>
      <c r="HYA27" s="388"/>
      <c r="HYB27" s="388"/>
      <c r="HYC27" s="388"/>
      <c r="HYD27" s="388"/>
      <c r="HYE27" s="388"/>
      <c r="HYF27" s="388"/>
      <c r="HYG27" s="388"/>
      <c r="HYH27" s="388"/>
      <c r="HYI27" s="388"/>
      <c r="HYJ27" s="388"/>
      <c r="HYK27" s="388"/>
      <c r="HYL27" s="388"/>
      <c r="HYM27" s="388"/>
      <c r="HYN27" s="388"/>
      <c r="HYO27" s="388"/>
      <c r="HYP27" s="388"/>
      <c r="HYQ27" s="388"/>
      <c r="HYR27" s="388"/>
      <c r="HYS27" s="388"/>
      <c r="HYT27" s="388"/>
      <c r="HYU27" s="388"/>
      <c r="HYV27" s="388"/>
      <c r="HYW27" s="388"/>
      <c r="HYX27" s="388"/>
      <c r="HYY27" s="388"/>
      <c r="HYZ27" s="388"/>
      <c r="HZA27" s="388"/>
      <c r="HZB27" s="388"/>
      <c r="HZC27" s="388"/>
      <c r="HZD27" s="388"/>
      <c r="HZE27" s="388"/>
      <c r="HZF27" s="388"/>
      <c r="HZG27" s="388"/>
      <c r="HZH27" s="388"/>
      <c r="HZI27" s="388"/>
      <c r="HZJ27" s="388"/>
      <c r="HZK27" s="388"/>
      <c r="HZL27" s="388"/>
      <c r="HZM27" s="388"/>
      <c r="HZN27" s="388"/>
      <c r="HZO27" s="388"/>
      <c r="HZP27" s="388"/>
      <c r="HZQ27" s="388"/>
      <c r="HZR27" s="388"/>
      <c r="HZS27" s="388"/>
      <c r="HZT27" s="388"/>
      <c r="HZU27" s="388"/>
      <c r="HZV27" s="388"/>
      <c r="HZW27" s="388"/>
      <c r="HZX27" s="388"/>
      <c r="HZY27" s="388"/>
      <c r="HZZ27" s="388"/>
      <c r="IAA27" s="388"/>
      <c r="IAB27" s="388"/>
      <c r="IAC27" s="388"/>
      <c r="IAD27" s="388"/>
      <c r="IAE27" s="388"/>
      <c r="IAF27" s="388"/>
      <c r="IAG27" s="388"/>
      <c r="IAH27" s="388"/>
      <c r="IAI27" s="388"/>
      <c r="IAJ27" s="388"/>
      <c r="IAK27" s="388"/>
      <c r="IAL27" s="388"/>
      <c r="IAM27" s="388"/>
      <c r="IAN27" s="388"/>
      <c r="IAO27" s="388"/>
      <c r="IAP27" s="388"/>
      <c r="IAQ27" s="388"/>
      <c r="IAR27" s="388"/>
      <c r="IAS27" s="388"/>
      <c r="IAT27" s="388"/>
      <c r="IAU27" s="388"/>
      <c r="IAV27" s="388"/>
      <c r="IAW27" s="388"/>
      <c r="IAX27" s="388"/>
      <c r="IAY27" s="388"/>
      <c r="IAZ27" s="388"/>
      <c r="IBA27" s="388"/>
      <c r="IBB27" s="388"/>
      <c r="IBC27" s="388"/>
      <c r="IBD27" s="388"/>
      <c r="IBE27" s="388"/>
      <c r="IBF27" s="388"/>
      <c r="IBG27" s="388"/>
      <c r="IBH27" s="388"/>
      <c r="IBI27" s="388"/>
      <c r="IBJ27" s="388"/>
      <c r="IBK27" s="388"/>
      <c r="IBL27" s="388"/>
      <c r="IBM27" s="388"/>
      <c r="IBN27" s="388"/>
      <c r="IBO27" s="388"/>
      <c r="IBP27" s="388"/>
      <c r="IBQ27" s="388"/>
      <c r="IBR27" s="388"/>
      <c r="IBS27" s="388"/>
      <c r="IBT27" s="388"/>
      <c r="IBU27" s="388"/>
      <c r="IBV27" s="388"/>
      <c r="IBW27" s="388"/>
      <c r="IBX27" s="388"/>
      <c r="IBY27" s="388"/>
      <c r="IBZ27" s="388"/>
      <c r="ICA27" s="388"/>
      <c r="ICB27" s="388"/>
      <c r="ICC27" s="388"/>
      <c r="ICD27" s="388"/>
      <c r="ICE27" s="388"/>
      <c r="ICF27" s="388"/>
      <c r="ICG27" s="388"/>
      <c r="ICH27" s="388"/>
      <c r="ICI27" s="388"/>
      <c r="ICJ27" s="388"/>
      <c r="ICK27" s="388"/>
      <c r="ICL27" s="388"/>
      <c r="ICM27" s="388"/>
      <c r="ICN27" s="388"/>
      <c r="ICO27" s="388"/>
      <c r="ICP27" s="388"/>
      <c r="ICQ27" s="388"/>
      <c r="ICR27" s="388"/>
      <c r="ICS27" s="388"/>
      <c r="ICT27" s="388"/>
      <c r="ICU27" s="388"/>
      <c r="ICV27" s="388"/>
      <c r="ICW27" s="388"/>
      <c r="ICX27" s="388"/>
      <c r="ICY27" s="388"/>
      <c r="ICZ27" s="388"/>
      <c r="IDA27" s="388"/>
      <c r="IDB27" s="388"/>
      <c r="IDC27" s="388"/>
      <c r="IDD27" s="388"/>
      <c r="IDE27" s="388"/>
      <c r="IDF27" s="388"/>
      <c r="IDG27" s="388"/>
      <c r="IDH27" s="388"/>
      <c r="IDI27" s="388"/>
      <c r="IDJ27" s="388"/>
      <c r="IDK27" s="388"/>
      <c r="IDL27" s="388"/>
      <c r="IDM27" s="388"/>
      <c r="IDN27" s="388"/>
      <c r="IDO27" s="388"/>
      <c r="IDP27" s="388"/>
      <c r="IDQ27" s="388"/>
      <c r="IDR27" s="388"/>
      <c r="IDS27" s="388"/>
      <c r="IDT27" s="388"/>
      <c r="IDU27" s="388"/>
      <c r="IDV27" s="388"/>
      <c r="IDW27" s="388"/>
      <c r="IDX27" s="388"/>
      <c r="IDY27" s="388"/>
      <c r="IDZ27" s="388"/>
      <c r="IEA27" s="388"/>
      <c r="IEB27" s="388"/>
      <c r="IEC27" s="388"/>
      <c r="IED27" s="388"/>
      <c r="IEE27" s="388"/>
      <c r="IEF27" s="388"/>
      <c r="IEG27" s="388"/>
      <c r="IEH27" s="388"/>
      <c r="IEI27" s="388"/>
      <c r="IEJ27" s="388"/>
      <c r="IEK27" s="388"/>
      <c r="IEL27" s="388"/>
      <c r="IEM27" s="388"/>
      <c r="IEN27" s="388"/>
      <c r="IEO27" s="388"/>
      <c r="IEP27" s="388"/>
      <c r="IEQ27" s="388"/>
      <c r="IER27" s="388"/>
      <c r="IES27" s="388"/>
      <c r="IET27" s="388"/>
      <c r="IEU27" s="388"/>
      <c r="IEV27" s="388"/>
      <c r="IEW27" s="388"/>
      <c r="IEX27" s="388"/>
      <c r="IEY27" s="388"/>
      <c r="IEZ27" s="388"/>
      <c r="IFA27" s="388"/>
      <c r="IFB27" s="388"/>
      <c r="IFC27" s="388"/>
      <c r="IFD27" s="388"/>
      <c r="IFE27" s="388"/>
      <c r="IFF27" s="388"/>
      <c r="IFG27" s="388"/>
      <c r="IFH27" s="388"/>
      <c r="IFI27" s="388"/>
      <c r="IFJ27" s="388"/>
      <c r="IFK27" s="388"/>
      <c r="IFL27" s="388"/>
      <c r="IFM27" s="388"/>
      <c r="IFN27" s="388"/>
      <c r="IFO27" s="388"/>
      <c r="IFP27" s="388"/>
      <c r="IFQ27" s="388"/>
      <c r="IFR27" s="388"/>
      <c r="IFS27" s="388"/>
      <c r="IFT27" s="388"/>
      <c r="IFU27" s="388"/>
      <c r="IFV27" s="388"/>
      <c r="IFW27" s="388"/>
      <c r="IFX27" s="388"/>
      <c r="IFY27" s="388"/>
      <c r="IFZ27" s="388"/>
      <c r="IGA27" s="388"/>
      <c r="IGB27" s="388"/>
      <c r="IGC27" s="388"/>
      <c r="IGD27" s="388"/>
      <c r="IGE27" s="388"/>
      <c r="IGF27" s="388"/>
      <c r="IGG27" s="388"/>
      <c r="IGH27" s="388"/>
      <c r="IGI27" s="388"/>
      <c r="IGJ27" s="388"/>
      <c r="IGK27" s="388"/>
      <c r="IGL27" s="388"/>
      <c r="IGM27" s="388"/>
      <c r="IGN27" s="388"/>
      <c r="IGO27" s="388"/>
      <c r="IGP27" s="388"/>
      <c r="IGQ27" s="388"/>
      <c r="IGR27" s="388"/>
      <c r="IGS27" s="388"/>
      <c r="IGT27" s="388"/>
      <c r="IGU27" s="388"/>
      <c r="IGV27" s="388"/>
      <c r="IGW27" s="388"/>
      <c r="IGX27" s="388"/>
      <c r="IGY27" s="388"/>
      <c r="IGZ27" s="388"/>
      <c r="IHA27" s="388"/>
      <c r="IHB27" s="388"/>
      <c r="IHC27" s="388"/>
      <c r="IHD27" s="388"/>
      <c r="IHE27" s="388"/>
      <c r="IHF27" s="388"/>
      <c r="IHG27" s="388"/>
      <c r="IHH27" s="388"/>
      <c r="IHI27" s="388"/>
      <c r="IHJ27" s="388"/>
      <c r="IHK27" s="388"/>
      <c r="IHL27" s="388"/>
      <c r="IHM27" s="388"/>
      <c r="IHN27" s="388"/>
      <c r="IHO27" s="388"/>
      <c r="IHP27" s="388"/>
      <c r="IHQ27" s="388"/>
      <c r="IHR27" s="388"/>
      <c r="IHS27" s="388"/>
      <c r="IHT27" s="388"/>
      <c r="IHU27" s="388"/>
      <c r="IHV27" s="388"/>
      <c r="IHW27" s="388"/>
      <c r="IHX27" s="388"/>
      <c r="IHY27" s="388"/>
      <c r="IHZ27" s="388"/>
      <c r="IIA27" s="388"/>
      <c r="IIB27" s="388"/>
      <c r="IIC27" s="388"/>
      <c r="IID27" s="388"/>
      <c r="IIE27" s="388"/>
      <c r="IIF27" s="388"/>
      <c r="IIG27" s="388"/>
      <c r="IIH27" s="388"/>
      <c r="III27" s="388"/>
      <c r="IIJ27" s="388"/>
      <c r="IIK27" s="388"/>
      <c r="IIL27" s="388"/>
      <c r="IIM27" s="388"/>
      <c r="IIN27" s="388"/>
      <c r="IIO27" s="388"/>
      <c r="IIP27" s="388"/>
      <c r="IIQ27" s="388"/>
      <c r="IIR27" s="388"/>
      <c r="IIS27" s="388"/>
      <c r="IIT27" s="388"/>
      <c r="IIU27" s="388"/>
      <c r="IIV27" s="388"/>
      <c r="IIW27" s="388"/>
      <c r="IIX27" s="388"/>
      <c r="IIY27" s="388"/>
      <c r="IIZ27" s="388"/>
      <c r="IJA27" s="388"/>
      <c r="IJB27" s="388"/>
      <c r="IJC27" s="388"/>
      <c r="IJD27" s="388"/>
      <c r="IJE27" s="388"/>
      <c r="IJF27" s="388"/>
      <c r="IJG27" s="388"/>
      <c r="IJH27" s="388"/>
      <c r="IJI27" s="388"/>
      <c r="IJJ27" s="388"/>
      <c r="IJK27" s="388"/>
      <c r="IJL27" s="388"/>
      <c r="IJM27" s="388"/>
      <c r="IJN27" s="388"/>
      <c r="IJO27" s="388"/>
      <c r="IJP27" s="388"/>
      <c r="IJQ27" s="388"/>
      <c r="IJR27" s="388"/>
      <c r="IJS27" s="388"/>
      <c r="IJT27" s="388"/>
      <c r="IJU27" s="388"/>
      <c r="IJV27" s="388"/>
      <c r="IJW27" s="388"/>
      <c r="IJX27" s="388"/>
      <c r="IJY27" s="388"/>
      <c r="IJZ27" s="388"/>
      <c r="IKA27" s="388"/>
      <c r="IKB27" s="388"/>
      <c r="IKC27" s="388"/>
      <c r="IKD27" s="388"/>
      <c r="IKE27" s="388"/>
      <c r="IKF27" s="388"/>
      <c r="IKG27" s="388"/>
      <c r="IKH27" s="388"/>
      <c r="IKI27" s="388"/>
      <c r="IKJ27" s="388"/>
      <c r="IKK27" s="388"/>
      <c r="IKL27" s="388"/>
      <c r="IKM27" s="388"/>
      <c r="IKN27" s="388"/>
      <c r="IKO27" s="388"/>
      <c r="IKP27" s="388"/>
      <c r="IKQ27" s="388"/>
      <c r="IKR27" s="388"/>
      <c r="IKS27" s="388"/>
      <c r="IKT27" s="388"/>
      <c r="IKU27" s="388"/>
      <c r="IKV27" s="388"/>
      <c r="IKW27" s="388"/>
      <c r="IKX27" s="388"/>
      <c r="IKY27" s="388"/>
      <c r="IKZ27" s="388"/>
      <c r="ILA27" s="388"/>
      <c r="ILB27" s="388"/>
      <c r="ILC27" s="388"/>
      <c r="ILD27" s="388"/>
      <c r="ILE27" s="388"/>
      <c r="ILF27" s="388"/>
      <c r="ILG27" s="388"/>
      <c r="ILH27" s="388"/>
      <c r="ILI27" s="388"/>
      <c r="ILJ27" s="388"/>
      <c r="ILK27" s="388"/>
      <c r="ILL27" s="388"/>
      <c r="ILM27" s="388"/>
      <c r="ILN27" s="388"/>
      <c r="ILO27" s="388"/>
      <c r="ILP27" s="388"/>
      <c r="ILQ27" s="388"/>
      <c r="ILR27" s="388"/>
      <c r="ILS27" s="388"/>
      <c r="ILT27" s="388"/>
      <c r="ILU27" s="388"/>
      <c r="ILV27" s="388"/>
      <c r="ILW27" s="388"/>
      <c r="ILX27" s="388"/>
      <c r="ILY27" s="388"/>
      <c r="ILZ27" s="388"/>
      <c r="IMA27" s="388"/>
      <c r="IMB27" s="388"/>
      <c r="IMC27" s="388"/>
      <c r="IMD27" s="388"/>
      <c r="IME27" s="388"/>
      <c r="IMF27" s="388"/>
      <c r="IMG27" s="388"/>
      <c r="IMH27" s="388"/>
      <c r="IMI27" s="388"/>
      <c r="IMJ27" s="388"/>
      <c r="IMK27" s="388"/>
      <c r="IML27" s="388"/>
      <c r="IMM27" s="388"/>
      <c r="IMN27" s="388"/>
      <c r="IMO27" s="388"/>
      <c r="IMP27" s="388"/>
      <c r="IMQ27" s="388"/>
      <c r="IMR27" s="388"/>
      <c r="IMS27" s="388"/>
      <c r="IMT27" s="388"/>
      <c r="IMU27" s="388"/>
      <c r="IMV27" s="388"/>
      <c r="IMW27" s="388"/>
      <c r="IMX27" s="388"/>
      <c r="IMY27" s="388"/>
      <c r="IMZ27" s="388"/>
      <c r="INA27" s="388"/>
      <c r="INB27" s="388"/>
      <c r="INC27" s="388"/>
      <c r="IND27" s="388"/>
      <c r="INE27" s="388"/>
      <c r="INF27" s="388"/>
      <c r="ING27" s="388"/>
      <c r="INH27" s="388"/>
      <c r="INI27" s="388"/>
      <c r="INJ27" s="388"/>
      <c r="INK27" s="388"/>
      <c r="INL27" s="388"/>
      <c r="INM27" s="388"/>
      <c r="INN27" s="388"/>
      <c r="INO27" s="388"/>
      <c r="INP27" s="388"/>
      <c r="INQ27" s="388"/>
      <c r="INR27" s="388"/>
      <c r="INS27" s="388"/>
      <c r="INT27" s="388"/>
      <c r="INU27" s="388"/>
      <c r="INV27" s="388"/>
      <c r="INW27" s="388"/>
      <c r="INX27" s="388"/>
      <c r="INY27" s="388"/>
      <c r="INZ27" s="388"/>
      <c r="IOA27" s="388"/>
      <c r="IOB27" s="388"/>
      <c r="IOC27" s="388"/>
      <c r="IOD27" s="388"/>
      <c r="IOE27" s="388"/>
      <c r="IOF27" s="388"/>
      <c r="IOG27" s="388"/>
      <c r="IOH27" s="388"/>
      <c r="IOI27" s="388"/>
      <c r="IOJ27" s="388"/>
      <c r="IOK27" s="388"/>
      <c r="IOL27" s="388"/>
      <c r="IOM27" s="388"/>
      <c r="ION27" s="388"/>
      <c r="IOO27" s="388"/>
      <c r="IOP27" s="388"/>
      <c r="IOQ27" s="388"/>
      <c r="IOR27" s="388"/>
      <c r="IOS27" s="388"/>
      <c r="IOT27" s="388"/>
      <c r="IOU27" s="388"/>
      <c r="IOV27" s="388"/>
      <c r="IOW27" s="388"/>
      <c r="IOX27" s="388"/>
      <c r="IOY27" s="388"/>
      <c r="IOZ27" s="388"/>
      <c r="IPA27" s="388"/>
      <c r="IPB27" s="388"/>
      <c r="IPC27" s="388"/>
      <c r="IPD27" s="388"/>
      <c r="IPE27" s="388"/>
      <c r="IPF27" s="388"/>
      <c r="IPG27" s="388"/>
      <c r="IPH27" s="388"/>
      <c r="IPI27" s="388"/>
      <c r="IPJ27" s="388"/>
      <c r="IPK27" s="388"/>
      <c r="IPL27" s="388"/>
      <c r="IPM27" s="388"/>
      <c r="IPN27" s="388"/>
      <c r="IPO27" s="388"/>
      <c r="IPP27" s="388"/>
      <c r="IPQ27" s="388"/>
      <c r="IPR27" s="388"/>
      <c r="IPS27" s="388"/>
      <c r="IPT27" s="388"/>
      <c r="IPU27" s="388"/>
      <c r="IPV27" s="388"/>
      <c r="IPW27" s="388"/>
      <c r="IPX27" s="388"/>
      <c r="IPY27" s="388"/>
      <c r="IPZ27" s="388"/>
      <c r="IQA27" s="388"/>
      <c r="IQB27" s="388"/>
      <c r="IQC27" s="388"/>
      <c r="IQD27" s="388"/>
      <c r="IQE27" s="388"/>
      <c r="IQF27" s="388"/>
      <c r="IQG27" s="388"/>
      <c r="IQH27" s="388"/>
      <c r="IQI27" s="388"/>
      <c r="IQJ27" s="388"/>
      <c r="IQK27" s="388"/>
      <c r="IQL27" s="388"/>
      <c r="IQM27" s="388"/>
      <c r="IQN27" s="388"/>
      <c r="IQO27" s="388"/>
      <c r="IQP27" s="388"/>
      <c r="IQQ27" s="388"/>
      <c r="IQR27" s="388"/>
      <c r="IQS27" s="388"/>
      <c r="IQT27" s="388"/>
      <c r="IQU27" s="388"/>
      <c r="IQV27" s="388"/>
      <c r="IQW27" s="388"/>
      <c r="IQX27" s="388"/>
      <c r="IQY27" s="388"/>
      <c r="IQZ27" s="388"/>
      <c r="IRA27" s="388"/>
      <c r="IRB27" s="388"/>
      <c r="IRC27" s="388"/>
      <c r="IRD27" s="388"/>
      <c r="IRE27" s="388"/>
      <c r="IRF27" s="388"/>
      <c r="IRG27" s="388"/>
      <c r="IRH27" s="388"/>
      <c r="IRI27" s="388"/>
      <c r="IRJ27" s="388"/>
      <c r="IRK27" s="388"/>
      <c r="IRL27" s="388"/>
      <c r="IRM27" s="388"/>
      <c r="IRN27" s="388"/>
      <c r="IRO27" s="388"/>
      <c r="IRP27" s="388"/>
      <c r="IRQ27" s="388"/>
      <c r="IRR27" s="388"/>
      <c r="IRS27" s="388"/>
      <c r="IRT27" s="388"/>
      <c r="IRU27" s="388"/>
      <c r="IRV27" s="388"/>
      <c r="IRW27" s="388"/>
      <c r="IRX27" s="388"/>
      <c r="IRY27" s="388"/>
      <c r="IRZ27" s="388"/>
      <c r="ISA27" s="388"/>
      <c r="ISB27" s="388"/>
      <c r="ISC27" s="388"/>
      <c r="ISD27" s="388"/>
      <c r="ISE27" s="388"/>
      <c r="ISF27" s="388"/>
      <c r="ISG27" s="388"/>
      <c r="ISH27" s="388"/>
      <c r="ISI27" s="388"/>
      <c r="ISJ27" s="388"/>
      <c r="ISK27" s="388"/>
      <c r="ISL27" s="388"/>
      <c r="ISM27" s="388"/>
      <c r="ISN27" s="388"/>
      <c r="ISO27" s="388"/>
      <c r="ISP27" s="388"/>
      <c r="ISQ27" s="388"/>
      <c r="ISR27" s="388"/>
      <c r="ISS27" s="388"/>
      <c r="IST27" s="388"/>
      <c r="ISU27" s="388"/>
      <c r="ISV27" s="388"/>
      <c r="ISW27" s="388"/>
      <c r="ISX27" s="388"/>
      <c r="ISY27" s="388"/>
      <c r="ISZ27" s="388"/>
      <c r="ITA27" s="388"/>
      <c r="ITB27" s="388"/>
      <c r="ITC27" s="388"/>
      <c r="ITD27" s="388"/>
      <c r="ITE27" s="388"/>
      <c r="ITF27" s="388"/>
      <c r="ITG27" s="388"/>
      <c r="ITH27" s="388"/>
      <c r="ITI27" s="388"/>
      <c r="ITJ27" s="388"/>
      <c r="ITK27" s="388"/>
      <c r="ITL27" s="388"/>
      <c r="ITM27" s="388"/>
      <c r="ITN27" s="388"/>
      <c r="ITO27" s="388"/>
      <c r="ITP27" s="388"/>
      <c r="ITQ27" s="388"/>
      <c r="ITR27" s="388"/>
      <c r="ITS27" s="388"/>
      <c r="ITT27" s="388"/>
      <c r="ITU27" s="388"/>
      <c r="ITV27" s="388"/>
      <c r="ITW27" s="388"/>
      <c r="ITX27" s="388"/>
      <c r="ITY27" s="388"/>
      <c r="ITZ27" s="388"/>
      <c r="IUA27" s="388"/>
      <c r="IUB27" s="388"/>
      <c r="IUC27" s="388"/>
      <c r="IUD27" s="388"/>
      <c r="IUE27" s="388"/>
      <c r="IUF27" s="388"/>
      <c r="IUG27" s="388"/>
      <c r="IUH27" s="388"/>
      <c r="IUI27" s="388"/>
      <c r="IUJ27" s="388"/>
      <c r="IUK27" s="388"/>
      <c r="IUL27" s="388"/>
      <c r="IUM27" s="388"/>
      <c r="IUN27" s="388"/>
      <c r="IUO27" s="388"/>
      <c r="IUP27" s="388"/>
      <c r="IUQ27" s="388"/>
      <c r="IUR27" s="388"/>
      <c r="IUS27" s="388"/>
      <c r="IUT27" s="388"/>
      <c r="IUU27" s="388"/>
      <c r="IUV27" s="388"/>
      <c r="IUW27" s="388"/>
      <c r="IUX27" s="388"/>
      <c r="IUY27" s="388"/>
      <c r="IUZ27" s="388"/>
      <c r="IVA27" s="388"/>
      <c r="IVB27" s="388"/>
      <c r="IVC27" s="388"/>
      <c r="IVD27" s="388"/>
      <c r="IVE27" s="388"/>
      <c r="IVF27" s="388"/>
      <c r="IVG27" s="388"/>
      <c r="IVH27" s="388"/>
      <c r="IVI27" s="388"/>
      <c r="IVJ27" s="388"/>
      <c r="IVK27" s="388"/>
      <c r="IVL27" s="388"/>
      <c r="IVM27" s="388"/>
      <c r="IVN27" s="388"/>
      <c r="IVO27" s="388"/>
      <c r="IVP27" s="388"/>
      <c r="IVQ27" s="388"/>
      <c r="IVR27" s="388"/>
      <c r="IVS27" s="388"/>
      <c r="IVT27" s="388"/>
      <c r="IVU27" s="388"/>
      <c r="IVV27" s="388"/>
      <c r="IVW27" s="388"/>
      <c r="IVX27" s="388"/>
      <c r="IVY27" s="388"/>
      <c r="IVZ27" s="388"/>
      <c r="IWA27" s="388"/>
      <c r="IWB27" s="388"/>
      <c r="IWC27" s="388"/>
      <c r="IWD27" s="388"/>
      <c r="IWE27" s="388"/>
      <c r="IWF27" s="388"/>
      <c r="IWG27" s="388"/>
      <c r="IWH27" s="388"/>
      <c r="IWI27" s="388"/>
      <c r="IWJ27" s="388"/>
      <c r="IWK27" s="388"/>
      <c r="IWL27" s="388"/>
      <c r="IWM27" s="388"/>
      <c r="IWN27" s="388"/>
      <c r="IWO27" s="388"/>
      <c r="IWP27" s="388"/>
      <c r="IWQ27" s="388"/>
      <c r="IWR27" s="388"/>
      <c r="IWS27" s="388"/>
      <c r="IWT27" s="388"/>
      <c r="IWU27" s="388"/>
      <c r="IWV27" s="388"/>
      <c r="IWW27" s="388"/>
      <c r="IWX27" s="388"/>
      <c r="IWY27" s="388"/>
      <c r="IWZ27" s="388"/>
      <c r="IXA27" s="388"/>
      <c r="IXB27" s="388"/>
      <c r="IXC27" s="388"/>
      <c r="IXD27" s="388"/>
      <c r="IXE27" s="388"/>
      <c r="IXF27" s="388"/>
      <c r="IXG27" s="388"/>
      <c r="IXH27" s="388"/>
      <c r="IXI27" s="388"/>
      <c r="IXJ27" s="388"/>
      <c r="IXK27" s="388"/>
      <c r="IXL27" s="388"/>
      <c r="IXM27" s="388"/>
      <c r="IXN27" s="388"/>
      <c r="IXO27" s="388"/>
      <c r="IXP27" s="388"/>
      <c r="IXQ27" s="388"/>
      <c r="IXR27" s="388"/>
      <c r="IXS27" s="388"/>
      <c r="IXT27" s="388"/>
      <c r="IXU27" s="388"/>
      <c r="IXV27" s="388"/>
      <c r="IXW27" s="388"/>
      <c r="IXX27" s="388"/>
      <c r="IXY27" s="388"/>
      <c r="IXZ27" s="388"/>
      <c r="IYA27" s="388"/>
      <c r="IYB27" s="388"/>
      <c r="IYC27" s="388"/>
      <c r="IYD27" s="388"/>
      <c r="IYE27" s="388"/>
      <c r="IYF27" s="388"/>
      <c r="IYG27" s="388"/>
      <c r="IYH27" s="388"/>
      <c r="IYI27" s="388"/>
      <c r="IYJ27" s="388"/>
      <c r="IYK27" s="388"/>
      <c r="IYL27" s="388"/>
      <c r="IYM27" s="388"/>
      <c r="IYN27" s="388"/>
      <c r="IYO27" s="388"/>
      <c r="IYP27" s="388"/>
      <c r="IYQ27" s="388"/>
      <c r="IYR27" s="388"/>
      <c r="IYS27" s="388"/>
      <c r="IYT27" s="388"/>
      <c r="IYU27" s="388"/>
      <c r="IYV27" s="388"/>
      <c r="IYW27" s="388"/>
      <c r="IYX27" s="388"/>
      <c r="IYY27" s="388"/>
      <c r="IYZ27" s="388"/>
      <c r="IZA27" s="388"/>
      <c r="IZB27" s="388"/>
      <c r="IZC27" s="388"/>
      <c r="IZD27" s="388"/>
      <c r="IZE27" s="388"/>
      <c r="IZF27" s="388"/>
      <c r="IZG27" s="388"/>
      <c r="IZH27" s="388"/>
      <c r="IZI27" s="388"/>
      <c r="IZJ27" s="388"/>
      <c r="IZK27" s="388"/>
      <c r="IZL27" s="388"/>
      <c r="IZM27" s="388"/>
      <c r="IZN27" s="388"/>
      <c r="IZO27" s="388"/>
      <c r="IZP27" s="388"/>
      <c r="IZQ27" s="388"/>
      <c r="IZR27" s="388"/>
      <c r="IZS27" s="388"/>
      <c r="IZT27" s="388"/>
      <c r="IZU27" s="388"/>
      <c r="IZV27" s="388"/>
      <c r="IZW27" s="388"/>
      <c r="IZX27" s="388"/>
      <c r="IZY27" s="388"/>
      <c r="IZZ27" s="388"/>
      <c r="JAA27" s="388"/>
      <c r="JAB27" s="388"/>
      <c r="JAC27" s="388"/>
      <c r="JAD27" s="388"/>
      <c r="JAE27" s="388"/>
      <c r="JAF27" s="388"/>
      <c r="JAG27" s="388"/>
      <c r="JAH27" s="388"/>
      <c r="JAI27" s="388"/>
      <c r="JAJ27" s="388"/>
      <c r="JAK27" s="388"/>
      <c r="JAL27" s="388"/>
      <c r="JAM27" s="388"/>
      <c r="JAN27" s="388"/>
      <c r="JAO27" s="388"/>
      <c r="JAP27" s="388"/>
      <c r="JAQ27" s="388"/>
      <c r="JAR27" s="388"/>
      <c r="JAS27" s="388"/>
      <c r="JAT27" s="388"/>
      <c r="JAU27" s="388"/>
      <c r="JAV27" s="388"/>
      <c r="JAW27" s="388"/>
      <c r="JAX27" s="388"/>
      <c r="JAY27" s="388"/>
      <c r="JAZ27" s="388"/>
      <c r="JBA27" s="388"/>
      <c r="JBB27" s="388"/>
      <c r="JBC27" s="388"/>
      <c r="JBD27" s="388"/>
      <c r="JBE27" s="388"/>
      <c r="JBF27" s="388"/>
      <c r="JBG27" s="388"/>
      <c r="JBH27" s="388"/>
      <c r="JBI27" s="388"/>
      <c r="JBJ27" s="388"/>
      <c r="JBK27" s="388"/>
      <c r="JBL27" s="388"/>
      <c r="JBM27" s="388"/>
      <c r="JBN27" s="388"/>
      <c r="JBO27" s="388"/>
      <c r="JBP27" s="388"/>
      <c r="JBQ27" s="388"/>
      <c r="JBR27" s="388"/>
      <c r="JBS27" s="388"/>
      <c r="JBT27" s="388"/>
      <c r="JBU27" s="388"/>
      <c r="JBV27" s="388"/>
      <c r="JBW27" s="388"/>
      <c r="JBX27" s="388"/>
      <c r="JBY27" s="388"/>
      <c r="JBZ27" s="388"/>
      <c r="JCA27" s="388"/>
      <c r="JCB27" s="388"/>
      <c r="JCC27" s="388"/>
      <c r="JCD27" s="388"/>
      <c r="JCE27" s="388"/>
      <c r="JCF27" s="388"/>
      <c r="JCG27" s="388"/>
      <c r="JCH27" s="388"/>
      <c r="JCI27" s="388"/>
      <c r="JCJ27" s="388"/>
      <c r="JCK27" s="388"/>
      <c r="JCL27" s="388"/>
      <c r="JCM27" s="388"/>
      <c r="JCN27" s="388"/>
      <c r="JCO27" s="388"/>
      <c r="JCP27" s="388"/>
      <c r="JCQ27" s="388"/>
      <c r="JCR27" s="388"/>
      <c r="JCS27" s="388"/>
      <c r="JCT27" s="388"/>
      <c r="JCU27" s="388"/>
      <c r="JCV27" s="388"/>
      <c r="JCW27" s="388"/>
      <c r="JCX27" s="388"/>
      <c r="JCY27" s="388"/>
      <c r="JCZ27" s="388"/>
      <c r="JDA27" s="388"/>
      <c r="JDB27" s="388"/>
      <c r="JDC27" s="388"/>
      <c r="JDD27" s="388"/>
      <c r="JDE27" s="388"/>
      <c r="JDF27" s="388"/>
      <c r="JDG27" s="388"/>
      <c r="JDH27" s="388"/>
      <c r="JDI27" s="388"/>
      <c r="JDJ27" s="388"/>
      <c r="JDK27" s="388"/>
      <c r="JDL27" s="388"/>
      <c r="JDM27" s="388"/>
      <c r="JDN27" s="388"/>
      <c r="JDO27" s="388"/>
      <c r="JDP27" s="388"/>
      <c r="JDQ27" s="388"/>
      <c r="JDR27" s="388"/>
      <c r="JDS27" s="388"/>
      <c r="JDT27" s="388"/>
      <c r="JDU27" s="388"/>
      <c r="JDV27" s="388"/>
      <c r="JDW27" s="388"/>
      <c r="JDX27" s="388"/>
      <c r="JDY27" s="388"/>
      <c r="JDZ27" s="388"/>
      <c r="JEA27" s="388"/>
      <c r="JEB27" s="388"/>
      <c r="JEC27" s="388"/>
      <c r="JED27" s="388"/>
      <c r="JEE27" s="388"/>
      <c r="JEF27" s="388"/>
      <c r="JEG27" s="388"/>
      <c r="JEH27" s="388"/>
      <c r="JEI27" s="388"/>
      <c r="JEJ27" s="388"/>
      <c r="JEK27" s="388"/>
      <c r="JEL27" s="388"/>
      <c r="JEM27" s="388"/>
      <c r="JEN27" s="388"/>
      <c r="JEO27" s="388"/>
      <c r="JEP27" s="388"/>
      <c r="JEQ27" s="388"/>
      <c r="JER27" s="388"/>
      <c r="JES27" s="388"/>
      <c r="JET27" s="388"/>
      <c r="JEU27" s="388"/>
      <c r="JEV27" s="388"/>
      <c r="JEW27" s="388"/>
      <c r="JEX27" s="388"/>
      <c r="JEY27" s="388"/>
      <c r="JEZ27" s="388"/>
      <c r="JFA27" s="388"/>
      <c r="JFB27" s="388"/>
      <c r="JFC27" s="388"/>
      <c r="JFD27" s="388"/>
      <c r="JFE27" s="388"/>
      <c r="JFF27" s="388"/>
      <c r="JFG27" s="388"/>
      <c r="JFH27" s="388"/>
      <c r="JFI27" s="388"/>
      <c r="JFJ27" s="388"/>
      <c r="JFK27" s="388"/>
      <c r="JFL27" s="388"/>
      <c r="JFM27" s="388"/>
      <c r="JFN27" s="388"/>
      <c r="JFO27" s="388"/>
      <c r="JFP27" s="388"/>
      <c r="JFQ27" s="388"/>
      <c r="JFR27" s="388"/>
      <c r="JFS27" s="388"/>
      <c r="JFT27" s="388"/>
      <c r="JFU27" s="388"/>
      <c r="JFV27" s="388"/>
      <c r="JFW27" s="388"/>
      <c r="JFX27" s="388"/>
      <c r="JFY27" s="388"/>
      <c r="JFZ27" s="388"/>
      <c r="JGA27" s="388"/>
      <c r="JGB27" s="388"/>
      <c r="JGC27" s="388"/>
      <c r="JGD27" s="388"/>
      <c r="JGE27" s="388"/>
      <c r="JGF27" s="388"/>
      <c r="JGG27" s="388"/>
      <c r="JGH27" s="388"/>
      <c r="JGI27" s="388"/>
      <c r="JGJ27" s="388"/>
      <c r="JGK27" s="388"/>
      <c r="JGL27" s="388"/>
      <c r="JGM27" s="388"/>
      <c r="JGN27" s="388"/>
      <c r="JGO27" s="388"/>
      <c r="JGP27" s="388"/>
      <c r="JGQ27" s="388"/>
      <c r="JGR27" s="388"/>
      <c r="JGS27" s="388"/>
      <c r="JGT27" s="388"/>
      <c r="JGU27" s="388"/>
      <c r="JGV27" s="388"/>
      <c r="JGW27" s="388"/>
      <c r="JGX27" s="388"/>
      <c r="JGY27" s="388"/>
      <c r="JGZ27" s="388"/>
      <c r="JHA27" s="388"/>
      <c r="JHB27" s="388"/>
      <c r="JHC27" s="388"/>
      <c r="JHD27" s="388"/>
      <c r="JHE27" s="388"/>
      <c r="JHF27" s="388"/>
      <c r="JHG27" s="388"/>
      <c r="JHH27" s="388"/>
      <c r="JHI27" s="388"/>
      <c r="JHJ27" s="388"/>
      <c r="JHK27" s="388"/>
      <c r="JHL27" s="388"/>
      <c r="JHM27" s="388"/>
      <c r="JHN27" s="388"/>
      <c r="JHO27" s="388"/>
      <c r="JHP27" s="388"/>
      <c r="JHQ27" s="388"/>
      <c r="JHR27" s="388"/>
      <c r="JHS27" s="388"/>
      <c r="JHT27" s="388"/>
      <c r="JHU27" s="388"/>
      <c r="JHV27" s="388"/>
      <c r="JHW27" s="388"/>
      <c r="JHX27" s="388"/>
      <c r="JHY27" s="388"/>
      <c r="JHZ27" s="388"/>
      <c r="JIA27" s="388"/>
      <c r="JIB27" s="388"/>
      <c r="JIC27" s="388"/>
      <c r="JID27" s="388"/>
      <c r="JIE27" s="388"/>
      <c r="JIF27" s="388"/>
      <c r="JIG27" s="388"/>
      <c r="JIH27" s="388"/>
      <c r="JII27" s="388"/>
      <c r="JIJ27" s="388"/>
      <c r="JIK27" s="388"/>
      <c r="JIL27" s="388"/>
      <c r="JIM27" s="388"/>
      <c r="JIN27" s="388"/>
      <c r="JIO27" s="388"/>
      <c r="JIP27" s="388"/>
      <c r="JIQ27" s="388"/>
      <c r="JIR27" s="388"/>
      <c r="JIS27" s="388"/>
      <c r="JIT27" s="388"/>
      <c r="JIU27" s="388"/>
      <c r="JIV27" s="388"/>
      <c r="JIW27" s="388"/>
      <c r="JIX27" s="388"/>
      <c r="JIY27" s="388"/>
      <c r="JIZ27" s="388"/>
      <c r="JJA27" s="388"/>
      <c r="JJB27" s="388"/>
      <c r="JJC27" s="388"/>
      <c r="JJD27" s="388"/>
      <c r="JJE27" s="388"/>
      <c r="JJF27" s="388"/>
      <c r="JJG27" s="388"/>
      <c r="JJH27" s="388"/>
      <c r="JJI27" s="388"/>
      <c r="JJJ27" s="388"/>
      <c r="JJK27" s="388"/>
      <c r="JJL27" s="388"/>
      <c r="JJM27" s="388"/>
      <c r="JJN27" s="388"/>
      <c r="JJO27" s="388"/>
      <c r="JJP27" s="388"/>
      <c r="JJQ27" s="388"/>
      <c r="JJR27" s="388"/>
      <c r="JJS27" s="388"/>
      <c r="JJT27" s="388"/>
      <c r="JJU27" s="388"/>
      <c r="JJV27" s="388"/>
      <c r="JJW27" s="388"/>
      <c r="JJX27" s="388"/>
      <c r="JJY27" s="388"/>
      <c r="JJZ27" s="388"/>
      <c r="JKA27" s="388"/>
      <c r="JKB27" s="388"/>
      <c r="JKC27" s="388"/>
      <c r="JKD27" s="388"/>
      <c r="JKE27" s="388"/>
      <c r="JKF27" s="388"/>
      <c r="JKG27" s="388"/>
      <c r="JKH27" s="388"/>
      <c r="JKI27" s="388"/>
      <c r="JKJ27" s="388"/>
      <c r="JKK27" s="388"/>
      <c r="JKL27" s="388"/>
      <c r="JKM27" s="388"/>
      <c r="JKN27" s="388"/>
      <c r="JKO27" s="388"/>
      <c r="JKP27" s="388"/>
      <c r="JKQ27" s="388"/>
      <c r="JKR27" s="388"/>
      <c r="JKS27" s="388"/>
      <c r="JKT27" s="388"/>
      <c r="JKU27" s="388"/>
      <c r="JKV27" s="388"/>
      <c r="JKW27" s="388"/>
      <c r="JKX27" s="388"/>
      <c r="JKY27" s="388"/>
      <c r="JKZ27" s="388"/>
      <c r="JLA27" s="388"/>
      <c r="JLB27" s="388"/>
      <c r="JLC27" s="388"/>
      <c r="JLD27" s="388"/>
      <c r="JLE27" s="388"/>
      <c r="JLF27" s="388"/>
      <c r="JLG27" s="388"/>
      <c r="JLH27" s="388"/>
      <c r="JLI27" s="388"/>
      <c r="JLJ27" s="388"/>
      <c r="JLK27" s="388"/>
      <c r="JLL27" s="388"/>
      <c r="JLM27" s="388"/>
      <c r="JLN27" s="388"/>
      <c r="JLO27" s="388"/>
      <c r="JLP27" s="388"/>
      <c r="JLQ27" s="388"/>
      <c r="JLR27" s="388"/>
      <c r="JLS27" s="388"/>
      <c r="JLT27" s="388"/>
      <c r="JLU27" s="388"/>
      <c r="JLV27" s="388"/>
      <c r="JLW27" s="388"/>
      <c r="JLX27" s="388"/>
      <c r="JLY27" s="388"/>
      <c r="JLZ27" s="388"/>
      <c r="JMA27" s="388"/>
      <c r="JMB27" s="388"/>
      <c r="JMC27" s="388"/>
      <c r="JMD27" s="388"/>
      <c r="JME27" s="388"/>
      <c r="JMF27" s="388"/>
      <c r="JMG27" s="388"/>
      <c r="JMH27" s="388"/>
      <c r="JMI27" s="388"/>
      <c r="JMJ27" s="388"/>
      <c r="JMK27" s="388"/>
      <c r="JML27" s="388"/>
      <c r="JMM27" s="388"/>
      <c r="JMN27" s="388"/>
      <c r="JMO27" s="388"/>
      <c r="JMP27" s="388"/>
      <c r="JMQ27" s="388"/>
      <c r="JMR27" s="388"/>
      <c r="JMS27" s="388"/>
      <c r="JMT27" s="388"/>
      <c r="JMU27" s="388"/>
      <c r="JMV27" s="388"/>
      <c r="JMW27" s="388"/>
      <c r="JMX27" s="388"/>
      <c r="JMY27" s="388"/>
      <c r="JMZ27" s="388"/>
      <c r="JNA27" s="388"/>
      <c r="JNB27" s="388"/>
      <c r="JNC27" s="388"/>
      <c r="JND27" s="388"/>
      <c r="JNE27" s="388"/>
      <c r="JNF27" s="388"/>
      <c r="JNG27" s="388"/>
      <c r="JNH27" s="388"/>
      <c r="JNI27" s="388"/>
      <c r="JNJ27" s="388"/>
      <c r="JNK27" s="388"/>
      <c r="JNL27" s="388"/>
      <c r="JNM27" s="388"/>
      <c r="JNN27" s="388"/>
      <c r="JNO27" s="388"/>
      <c r="JNP27" s="388"/>
      <c r="JNQ27" s="388"/>
      <c r="JNR27" s="388"/>
      <c r="JNS27" s="388"/>
      <c r="JNT27" s="388"/>
      <c r="JNU27" s="388"/>
      <c r="JNV27" s="388"/>
      <c r="JNW27" s="388"/>
      <c r="JNX27" s="388"/>
      <c r="JNY27" s="388"/>
      <c r="JNZ27" s="388"/>
      <c r="JOA27" s="388"/>
      <c r="JOB27" s="388"/>
      <c r="JOC27" s="388"/>
      <c r="JOD27" s="388"/>
      <c r="JOE27" s="388"/>
      <c r="JOF27" s="388"/>
      <c r="JOG27" s="388"/>
      <c r="JOH27" s="388"/>
      <c r="JOI27" s="388"/>
      <c r="JOJ27" s="388"/>
      <c r="JOK27" s="388"/>
      <c r="JOL27" s="388"/>
      <c r="JOM27" s="388"/>
      <c r="JON27" s="388"/>
      <c r="JOO27" s="388"/>
      <c r="JOP27" s="388"/>
      <c r="JOQ27" s="388"/>
      <c r="JOR27" s="388"/>
      <c r="JOS27" s="388"/>
      <c r="JOT27" s="388"/>
      <c r="JOU27" s="388"/>
      <c r="JOV27" s="388"/>
      <c r="JOW27" s="388"/>
      <c r="JOX27" s="388"/>
      <c r="JOY27" s="388"/>
      <c r="JOZ27" s="388"/>
      <c r="JPA27" s="388"/>
      <c r="JPB27" s="388"/>
      <c r="JPC27" s="388"/>
      <c r="JPD27" s="388"/>
      <c r="JPE27" s="388"/>
      <c r="JPF27" s="388"/>
      <c r="JPG27" s="388"/>
      <c r="JPH27" s="388"/>
      <c r="JPI27" s="388"/>
      <c r="JPJ27" s="388"/>
      <c r="JPK27" s="388"/>
      <c r="JPL27" s="388"/>
      <c r="JPM27" s="388"/>
      <c r="JPN27" s="388"/>
      <c r="JPO27" s="388"/>
      <c r="JPP27" s="388"/>
      <c r="JPQ27" s="388"/>
      <c r="JPR27" s="388"/>
      <c r="JPS27" s="388"/>
      <c r="JPT27" s="388"/>
      <c r="JPU27" s="388"/>
      <c r="JPV27" s="388"/>
      <c r="JPW27" s="388"/>
      <c r="JPX27" s="388"/>
      <c r="JPY27" s="388"/>
      <c r="JPZ27" s="388"/>
      <c r="JQA27" s="388"/>
      <c r="JQB27" s="388"/>
      <c r="JQC27" s="388"/>
      <c r="JQD27" s="388"/>
      <c r="JQE27" s="388"/>
      <c r="JQF27" s="388"/>
      <c r="JQG27" s="388"/>
      <c r="JQH27" s="388"/>
      <c r="JQI27" s="388"/>
      <c r="JQJ27" s="388"/>
      <c r="JQK27" s="388"/>
      <c r="JQL27" s="388"/>
      <c r="JQM27" s="388"/>
      <c r="JQN27" s="388"/>
      <c r="JQO27" s="388"/>
      <c r="JQP27" s="388"/>
      <c r="JQQ27" s="388"/>
      <c r="JQR27" s="388"/>
      <c r="JQS27" s="388"/>
      <c r="JQT27" s="388"/>
      <c r="JQU27" s="388"/>
      <c r="JQV27" s="388"/>
      <c r="JQW27" s="388"/>
      <c r="JQX27" s="388"/>
      <c r="JQY27" s="388"/>
      <c r="JQZ27" s="388"/>
      <c r="JRA27" s="388"/>
      <c r="JRB27" s="388"/>
      <c r="JRC27" s="388"/>
      <c r="JRD27" s="388"/>
      <c r="JRE27" s="388"/>
      <c r="JRF27" s="388"/>
      <c r="JRG27" s="388"/>
      <c r="JRH27" s="388"/>
      <c r="JRI27" s="388"/>
      <c r="JRJ27" s="388"/>
      <c r="JRK27" s="388"/>
      <c r="JRL27" s="388"/>
      <c r="JRM27" s="388"/>
      <c r="JRN27" s="388"/>
      <c r="JRO27" s="388"/>
      <c r="JRP27" s="388"/>
      <c r="JRQ27" s="388"/>
      <c r="JRR27" s="388"/>
      <c r="JRS27" s="388"/>
      <c r="JRT27" s="388"/>
      <c r="JRU27" s="388"/>
      <c r="JRV27" s="388"/>
      <c r="JRW27" s="388"/>
      <c r="JRX27" s="388"/>
      <c r="JRY27" s="388"/>
      <c r="JRZ27" s="388"/>
      <c r="JSA27" s="388"/>
      <c r="JSB27" s="388"/>
      <c r="JSC27" s="388"/>
      <c r="JSD27" s="388"/>
      <c r="JSE27" s="388"/>
      <c r="JSF27" s="388"/>
      <c r="JSG27" s="388"/>
      <c r="JSH27" s="388"/>
      <c r="JSI27" s="388"/>
      <c r="JSJ27" s="388"/>
      <c r="JSK27" s="388"/>
      <c r="JSL27" s="388"/>
      <c r="JSM27" s="388"/>
      <c r="JSN27" s="388"/>
      <c r="JSO27" s="388"/>
      <c r="JSP27" s="388"/>
      <c r="JSQ27" s="388"/>
      <c r="JSR27" s="388"/>
      <c r="JSS27" s="388"/>
      <c r="JST27" s="388"/>
      <c r="JSU27" s="388"/>
      <c r="JSV27" s="388"/>
      <c r="JSW27" s="388"/>
      <c r="JSX27" s="388"/>
      <c r="JSY27" s="388"/>
      <c r="JSZ27" s="388"/>
      <c r="JTA27" s="388"/>
      <c r="JTB27" s="388"/>
      <c r="JTC27" s="388"/>
      <c r="JTD27" s="388"/>
      <c r="JTE27" s="388"/>
      <c r="JTF27" s="388"/>
      <c r="JTG27" s="388"/>
      <c r="JTH27" s="388"/>
      <c r="JTI27" s="388"/>
      <c r="JTJ27" s="388"/>
      <c r="JTK27" s="388"/>
      <c r="JTL27" s="388"/>
      <c r="JTM27" s="388"/>
      <c r="JTN27" s="388"/>
      <c r="JTO27" s="388"/>
      <c r="JTP27" s="388"/>
      <c r="JTQ27" s="388"/>
      <c r="JTR27" s="388"/>
      <c r="JTS27" s="388"/>
      <c r="JTT27" s="388"/>
      <c r="JTU27" s="388"/>
      <c r="JTV27" s="388"/>
      <c r="JTW27" s="388"/>
      <c r="JTX27" s="388"/>
      <c r="JTY27" s="388"/>
      <c r="JTZ27" s="388"/>
      <c r="JUA27" s="388"/>
      <c r="JUB27" s="388"/>
      <c r="JUC27" s="388"/>
      <c r="JUD27" s="388"/>
      <c r="JUE27" s="388"/>
      <c r="JUF27" s="388"/>
      <c r="JUG27" s="388"/>
      <c r="JUH27" s="388"/>
      <c r="JUI27" s="388"/>
      <c r="JUJ27" s="388"/>
      <c r="JUK27" s="388"/>
      <c r="JUL27" s="388"/>
      <c r="JUM27" s="388"/>
      <c r="JUN27" s="388"/>
      <c r="JUO27" s="388"/>
      <c r="JUP27" s="388"/>
      <c r="JUQ27" s="388"/>
      <c r="JUR27" s="388"/>
      <c r="JUS27" s="388"/>
      <c r="JUT27" s="388"/>
      <c r="JUU27" s="388"/>
      <c r="JUV27" s="388"/>
      <c r="JUW27" s="388"/>
      <c r="JUX27" s="388"/>
      <c r="JUY27" s="388"/>
      <c r="JUZ27" s="388"/>
      <c r="JVA27" s="388"/>
      <c r="JVB27" s="388"/>
      <c r="JVC27" s="388"/>
      <c r="JVD27" s="388"/>
      <c r="JVE27" s="388"/>
      <c r="JVF27" s="388"/>
      <c r="JVG27" s="388"/>
      <c r="JVH27" s="388"/>
      <c r="JVI27" s="388"/>
      <c r="JVJ27" s="388"/>
      <c r="JVK27" s="388"/>
      <c r="JVL27" s="388"/>
      <c r="JVM27" s="388"/>
      <c r="JVN27" s="388"/>
      <c r="JVO27" s="388"/>
      <c r="JVP27" s="388"/>
      <c r="JVQ27" s="388"/>
      <c r="JVR27" s="388"/>
      <c r="JVS27" s="388"/>
      <c r="JVT27" s="388"/>
      <c r="JVU27" s="388"/>
      <c r="JVV27" s="388"/>
      <c r="JVW27" s="388"/>
      <c r="JVX27" s="388"/>
      <c r="JVY27" s="388"/>
      <c r="JVZ27" s="388"/>
      <c r="JWA27" s="388"/>
      <c r="JWB27" s="388"/>
      <c r="JWC27" s="388"/>
      <c r="JWD27" s="388"/>
      <c r="JWE27" s="388"/>
      <c r="JWF27" s="388"/>
      <c r="JWG27" s="388"/>
      <c r="JWH27" s="388"/>
      <c r="JWI27" s="388"/>
      <c r="JWJ27" s="388"/>
      <c r="JWK27" s="388"/>
      <c r="JWL27" s="388"/>
      <c r="JWM27" s="388"/>
      <c r="JWN27" s="388"/>
      <c r="JWO27" s="388"/>
      <c r="JWP27" s="388"/>
      <c r="JWQ27" s="388"/>
      <c r="JWR27" s="388"/>
      <c r="JWS27" s="388"/>
      <c r="JWT27" s="388"/>
      <c r="JWU27" s="388"/>
      <c r="JWV27" s="388"/>
      <c r="JWW27" s="388"/>
      <c r="JWX27" s="388"/>
      <c r="JWY27" s="388"/>
      <c r="JWZ27" s="388"/>
      <c r="JXA27" s="388"/>
      <c r="JXB27" s="388"/>
      <c r="JXC27" s="388"/>
      <c r="JXD27" s="388"/>
      <c r="JXE27" s="388"/>
      <c r="JXF27" s="388"/>
      <c r="JXG27" s="388"/>
      <c r="JXH27" s="388"/>
      <c r="JXI27" s="388"/>
      <c r="JXJ27" s="388"/>
      <c r="JXK27" s="388"/>
      <c r="JXL27" s="388"/>
      <c r="JXM27" s="388"/>
      <c r="JXN27" s="388"/>
      <c r="JXO27" s="388"/>
      <c r="JXP27" s="388"/>
      <c r="JXQ27" s="388"/>
      <c r="JXR27" s="388"/>
      <c r="JXS27" s="388"/>
      <c r="JXT27" s="388"/>
      <c r="JXU27" s="388"/>
      <c r="JXV27" s="388"/>
      <c r="JXW27" s="388"/>
      <c r="JXX27" s="388"/>
      <c r="JXY27" s="388"/>
      <c r="JXZ27" s="388"/>
      <c r="JYA27" s="388"/>
      <c r="JYB27" s="388"/>
      <c r="JYC27" s="388"/>
      <c r="JYD27" s="388"/>
      <c r="JYE27" s="388"/>
      <c r="JYF27" s="388"/>
      <c r="JYG27" s="388"/>
      <c r="JYH27" s="388"/>
      <c r="JYI27" s="388"/>
      <c r="JYJ27" s="388"/>
      <c r="JYK27" s="388"/>
      <c r="JYL27" s="388"/>
      <c r="JYM27" s="388"/>
      <c r="JYN27" s="388"/>
      <c r="JYO27" s="388"/>
      <c r="JYP27" s="388"/>
      <c r="JYQ27" s="388"/>
      <c r="JYR27" s="388"/>
      <c r="JYS27" s="388"/>
      <c r="JYT27" s="388"/>
      <c r="JYU27" s="388"/>
      <c r="JYV27" s="388"/>
      <c r="JYW27" s="388"/>
      <c r="JYX27" s="388"/>
      <c r="JYY27" s="388"/>
      <c r="JYZ27" s="388"/>
      <c r="JZA27" s="388"/>
      <c r="JZB27" s="388"/>
      <c r="JZC27" s="388"/>
      <c r="JZD27" s="388"/>
      <c r="JZE27" s="388"/>
      <c r="JZF27" s="388"/>
      <c r="JZG27" s="388"/>
      <c r="JZH27" s="388"/>
      <c r="JZI27" s="388"/>
      <c r="JZJ27" s="388"/>
      <c r="JZK27" s="388"/>
      <c r="JZL27" s="388"/>
      <c r="JZM27" s="388"/>
      <c r="JZN27" s="388"/>
      <c r="JZO27" s="388"/>
      <c r="JZP27" s="388"/>
      <c r="JZQ27" s="388"/>
      <c r="JZR27" s="388"/>
      <c r="JZS27" s="388"/>
      <c r="JZT27" s="388"/>
      <c r="JZU27" s="388"/>
      <c r="JZV27" s="388"/>
      <c r="JZW27" s="388"/>
      <c r="JZX27" s="388"/>
      <c r="JZY27" s="388"/>
      <c r="JZZ27" s="388"/>
      <c r="KAA27" s="388"/>
      <c r="KAB27" s="388"/>
      <c r="KAC27" s="388"/>
      <c r="KAD27" s="388"/>
      <c r="KAE27" s="388"/>
      <c r="KAF27" s="388"/>
      <c r="KAG27" s="388"/>
      <c r="KAH27" s="388"/>
      <c r="KAI27" s="388"/>
      <c r="KAJ27" s="388"/>
      <c r="KAK27" s="388"/>
      <c r="KAL27" s="388"/>
      <c r="KAM27" s="388"/>
      <c r="KAN27" s="388"/>
      <c r="KAO27" s="388"/>
      <c r="KAP27" s="388"/>
      <c r="KAQ27" s="388"/>
      <c r="KAR27" s="388"/>
      <c r="KAS27" s="388"/>
      <c r="KAT27" s="388"/>
      <c r="KAU27" s="388"/>
      <c r="KAV27" s="388"/>
      <c r="KAW27" s="388"/>
      <c r="KAX27" s="388"/>
      <c r="KAY27" s="388"/>
      <c r="KAZ27" s="388"/>
      <c r="KBA27" s="388"/>
      <c r="KBB27" s="388"/>
      <c r="KBC27" s="388"/>
      <c r="KBD27" s="388"/>
      <c r="KBE27" s="388"/>
      <c r="KBF27" s="388"/>
      <c r="KBG27" s="388"/>
      <c r="KBH27" s="388"/>
      <c r="KBI27" s="388"/>
      <c r="KBJ27" s="388"/>
      <c r="KBK27" s="388"/>
      <c r="KBL27" s="388"/>
      <c r="KBM27" s="388"/>
      <c r="KBN27" s="388"/>
      <c r="KBO27" s="388"/>
      <c r="KBP27" s="388"/>
      <c r="KBQ27" s="388"/>
      <c r="KBR27" s="388"/>
      <c r="KBS27" s="388"/>
      <c r="KBT27" s="388"/>
      <c r="KBU27" s="388"/>
      <c r="KBV27" s="388"/>
      <c r="KBW27" s="388"/>
      <c r="KBX27" s="388"/>
      <c r="KBY27" s="388"/>
      <c r="KBZ27" s="388"/>
      <c r="KCA27" s="388"/>
      <c r="KCB27" s="388"/>
      <c r="KCC27" s="388"/>
      <c r="KCD27" s="388"/>
      <c r="KCE27" s="388"/>
      <c r="KCF27" s="388"/>
      <c r="KCG27" s="388"/>
      <c r="KCH27" s="388"/>
      <c r="KCI27" s="388"/>
      <c r="KCJ27" s="388"/>
      <c r="KCK27" s="388"/>
      <c r="KCL27" s="388"/>
      <c r="KCM27" s="388"/>
      <c r="KCN27" s="388"/>
      <c r="KCO27" s="388"/>
      <c r="KCP27" s="388"/>
      <c r="KCQ27" s="388"/>
      <c r="KCR27" s="388"/>
      <c r="KCS27" s="388"/>
      <c r="KCT27" s="388"/>
      <c r="KCU27" s="388"/>
      <c r="KCV27" s="388"/>
      <c r="KCW27" s="388"/>
      <c r="KCX27" s="388"/>
      <c r="KCY27" s="388"/>
      <c r="KCZ27" s="388"/>
      <c r="KDA27" s="388"/>
      <c r="KDB27" s="388"/>
      <c r="KDC27" s="388"/>
      <c r="KDD27" s="388"/>
      <c r="KDE27" s="388"/>
      <c r="KDF27" s="388"/>
      <c r="KDG27" s="388"/>
      <c r="KDH27" s="388"/>
      <c r="KDI27" s="388"/>
      <c r="KDJ27" s="388"/>
      <c r="KDK27" s="388"/>
      <c r="KDL27" s="388"/>
      <c r="KDM27" s="388"/>
      <c r="KDN27" s="388"/>
      <c r="KDO27" s="388"/>
      <c r="KDP27" s="388"/>
      <c r="KDQ27" s="388"/>
      <c r="KDR27" s="388"/>
      <c r="KDS27" s="388"/>
      <c r="KDT27" s="388"/>
      <c r="KDU27" s="388"/>
      <c r="KDV27" s="388"/>
      <c r="KDW27" s="388"/>
      <c r="KDX27" s="388"/>
      <c r="KDY27" s="388"/>
      <c r="KDZ27" s="388"/>
      <c r="KEA27" s="388"/>
      <c r="KEB27" s="388"/>
      <c r="KEC27" s="388"/>
      <c r="KED27" s="388"/>
      <c r="KEE27" s="388"/>
      <c r="KEF27" s="388"/>
      <c r="KEG27" s="388"/>
      <c r="KEH27" s="388"/>
      <c r="KEI27" s="388"/>
      <c r="KEJ27" s="388"/>
      <c r="KEK27" s="388"/>
      <c r="KEL27" s="388"/>
      <c r="KEM27" s="388"/>
      <c r="KEN27" s="388"/>
      <c r="KEO27" s="388"/>
      <c r="KEP27" s="388"/>
      <c r="KEQ27" s="388"/>
      <c r="KER27" s="388"/>
      <c r="KES27" s="388"/>
      <c r="KET27" s="388"/>
      <c r="KEU27" s="388"/>
      <c r="KEV27" s="388"/>
      <c r="KEW27" s="388"/>
      <c r="KEX27" s="388"/>
      <c r="KEY27" s="388"/>
      <c r="KEZ27" s="388"/>
      <c r="KFA27" s="388"/>
      <c r="KFB27" s="388"/>
      <c r="KFC27" s="388"/>
      <c r="KFD27" s="388"/>
      <c r="KFE27" s="388"/>
      <c r="KFF27" s="388"/>
      <c r="KFG27" s="388"/>
      <c r="KFH27" s="388"/>
      <c r="KFI27" s="388"/>
      <c r="KFJ27" s="388"/>
      <c r="KFK27" s="388"/>
      <c r="KFL27" s="388"/>
      <c r="KFM27" s="388"/>
      <c r="KFN27" s="388"/>
      <c r="KFO27" s="388"/>
      <c r="KFP27" s="388"/>
      <c r="KFQ27" s="388"/>
      <c r="KFR27" s="388"/>
      <c r="KFS27" s="388"/>
      <c r="KFT27" s="388"/>
      <c r="KFU27" s="388"/>
      <c r="KFV27" s="388"/>
      <c r="KFW27" s="388"/>
      <c r="KFX27" s="388"/>
      <c r="KFY27" s="388"/>
      <c r="KFZ27" s="388"/>
      <c r="KGA27" s="388"/>
      <c r="KGB27" s="388"/>
      <c r="KGC27" s="388"/>
      <c r="KGD27" s="388"/>
      <c r="KGE27" s="388"/>
      <c r="KGF27" s="388"/>
      <c r="KGG27" s="388"/>
      <c r="KGH27" s="388"/>
      <c r="KGI27" s="388"/>
      <c r="KGJ27" s="388"/>
      <c r="KGK27" s="388"/>
      <c r="KGL27" s="388"/>
      <c r="KGM27" s="388"/>
      <c r="KGN27" s="388"/>
      <c r="KGO27" s="388"/>
      <c r="KGP27" s="388"/>
      <c r="KGQ27" s="388"/>
      <c r="KGR27" s="388"/>
      <c r="KGS27" s="388"/>
      <c r="KGT27" s="388"/>
      <c r="KGU27" s="388"/>
      <c r="KGV27" s="388"/>
      <c r="KGW27" s="388"/>
      <c r="KGX27" s="388"/>
      <c r="KGY27" s="388"/>
      <c r="KGZ27" s="388"/>
      <c r="KHA27" s="388"/>
      <c r="KHB27" s="388"/>
      <c r="KHC27" s="388"/>
      <c r="KHD27" s="388"/>
      <c r="KHE27" s="388"/>
      <c r="KHF27" s="388"/>
      <c r="KHG27" s="388"/>
      <c r="KHH27" s="388"/>
      <c r="KHI27" s="388"/>
      <c r="KHJ27" s="388"/>
      <c r="KHK27" s="388"/>
      <c r="KHL27" s="388"/>
      <c r="KHM27" s="388"/>
      <c r="KHN27" s="388"/>
      <c r="KHO27" s="388"/>
      <c r="KHP27" s="388"/>
      <c r="KHQ27" s="388"/>
      <c r="KHR27" s="388"/>
      <c r="KHS27" s="388"/>
      <c r="KHT27" s="388"/>
      <c r="KHU27" s="388"/>
      <c r="KHV27" s="388"/>
      <c r="KHW27" s="388"/>
      <c r="KHX27" s="388"/>
      <c r="KHY27" s="388"/>
      <c r="KHZ27" s="388"/>
      <c r="KIA27" s="388"/>
      <c r="KIB27" s="388"/>
      <c r="KIC27" s="388"/>
      <c r="KID27" s="388"/>
      <c r="KIE27" s="388"/>
      <c r="KIF27" s="388"/>
      <c r="KIG27" s="388"/>
      <c r="KIH27" s="388"/>
      <c r="KII27" s="388"/>
      <c r="KIJ27" s="388"/>
      <c r="KIK27" s="388"/>
      <c r="KIL27" s="388"/>
      <c r="KIM27" s="388"/>
      <c r="KIN27" s="388"/>
      <c r="KIO27" s="388"/>
      <c r="KIP27" s="388"/>
      <c r="KIQ27" s="388"/>
      <c r="KIR27" s="388"/>
      <c r="KIS27" s="388"/>
      <c r="KIT27" s="388"/>
      <c r="KIU27" s="388"/>
      <c r="KIV27" s="388"/>
      <c r="KIW27" s="388"/>
      <c r="KIX27" s="388"/>
      <c r="KIY27" s="388"/>
      <c r="KIZ27" s="388"/>
      <c r="KJA27" s="388"/>
      <c r="KJB27" s="388"/>
      <c r="KJC27" s="388"/>
      <c r="KJD27" s="388"/>
      <c r="KJE27" s="388"/>
      <c r="KJF27" s="388"/>
      <c r="KJG27" s="388"/>
      <c r="KJH27" s="388"/>
      <c r="KJI27" s="388"/>
      <c r="KJJ27" s="388"/>
      <c r="KJK27" s="388"/>
      <c r="KJL27" s="388"/>
      <c r="KJM27" s="388"/>
      <c r="KJN27" s="388"/>
      <c r="KJO27" s="388"/>
      <c r="KJP27" s="388"/>
      <c r="KJQ27" s="388"/>
      <c r="KJR27" s="388"/>
      <c r="KJS27" s="388"/>
      <c r="KJT27" s="388"/>
      <c r="KJU27" s="388"/>
      <c r="KJV27" s="388"/>
      <c r="KJW27" s="388"/>
      <c r="KJX27" s="388"/>
      <c r="KJY27" s="388"/>
      <c r="KJZ27" s="388"/>
      <c r="KKA27" s="388"/>
      <c r="KKB27" s="388"/>
      <c r="KKC27" s="388"/>
      <c r="KKD27" s="388"/>
      <c r="KKE27" s="388"/>
      <c r="KKF27" s="388"/>
      <c r="KKG27" s="388"/>
      <c r="KKH27" s="388"/>
      <c r="KKI27" s="388"/>
      <c r="KKJ27" s="388"/>
      <c r="KKK27" s="388"/>
      <c r="KKL27" s="388"/>
      <c r="KKM27" s="388"/>
      <c r="KKN27" s="388"/>
      <c r="KKO27" s="388"/>
      <c r="KKP27" s="388"/>
      <c r="KKQ27" s="388"/>
      <c r="KKR27" s="388"/>
      <c r="KKS27" s="388"/>
      <c r="KKT27" s="388"/>
      <c r="KKU27" s="388"/>
      <c r="KKV27" s="388"/>
      <c r="KKW27" s="388"/>
      <c r="KKX27" s="388"/>
      <c r="KKY27" s="388"/>
      <c r="KKZ27" s="388"/>
      <c r="KLA27" s="388"/>
      <c r="KLB27" s="388"/>
      <c r="KLC27" s="388"/>
      <c r="KLD27" s="388"/>
      <c r="KLE27" s="388"/>
      <c r="KLF27" s="388"/>
      <c r="KLG27" s="388"/>
      <c r="KLH27" s="388"/>
      <c r="KLI27" s="388"/>
      <c r="KLJ27" s="388"/>
      <c r="KLK27" s="388"/>
      <c r="KLL27" s="388"/>
      <c r="KLM27" s="388"/>
      <c r="KLN27" s="388"/>
      <c r="KLO27" s="388"/>
      <c r="KLP27" s="388"/>
      <c r="KLQ27" s="388"/>
      <c r="KLR27" s="388"/>
      <c r="KLS27" s="388"/>
      <c r="KLT27" s="388"/>
      <c r="KLU27" s="388"/>
      <c r="KLV27" s="388"/>
      <c r="KLW27" s="388"/>
      <c r="KLX27" s="388"/>
      <c r="KLY27" s="388"/>
      <c r="KLZ27" s="388"/>
      <c r="KMA27" s="388"/>
      <c r="KMB27" s="388"/>
      <c r="KMC27" s="388"/>
      <c r="KMD27" s="388"/>
      <c r="KME27" s="388"/>
      <c r="KMF27" s="388"/>
      <c r="KMG27" s="388"/>
      <c r="KMH27" s="388"/>
      <c r="KMI27" s="388"/>
      <c r="KMJ27" s="388"/>
      <c r="KMK27" s="388"/>
      <c r="KML27" s="388"/>
      <c r="KMM27" s="388"/>
      <c r="KMN27" s="388"/>
      <c r="KMO27" s="388"/>
      <c r="KMP27" s="388"/>
      <c r="KMQ27" s="388"/>
      <c r="KMR27" s="388"/>
      <c r="KMS27" s="388"/>
      <c r="KMT27" s="388"/>
      <c r="KMU27" s="388"/>
      <c r="KMV27" s="388"/>
      <c r="KMW27" s="388"/>
      <c r="KMX27" s="388"/>
      <c r="KMY27" s="388"/>
      <c r="KMZ27" s="388"/>
      <c r="KNA27" s="388"/>
      <c r="KNB27" s="388"/>
      <c r="KNC27" s="388"/>
      <c r="KND27" s="388"/>
      <c r="KNE27" s="388"/>
      <c r="KNF27" s="388"/>
      <c r="KNG27" s="388"/>
      <c r="KNH27" s="388"/>
      <c r="KNI27" s="388"/>
      <c r="KNJ27" s="388"/>
      <c r="KNK27" s="388"/>
      <c r="KNL27" s="388"/>
      <c r="KNM27" s="388"/>
      <c r="KNN27" s="388"/>
      <c r="KNO27" s="388"/>
      <c r="KNP27" s="388"/>
      <c r="KNQ27" s="388"/>
      <c r="KNR27" s="388"/>
      <c r="KNS27" s="388"/>
      <c r="KNT27" s="388"/>
      <c r="KNU27" s="388"/>
      <c r="KNV27" s="388"/>
      <c r="KNW27" s="388"/>
      <c r="KNX27" s="388"/>
      <c r="KNY27" s="388"/>
      <c r="KNZ27" s="388"/>
      <c r="KOA27" s="388"/>
      <c r="KOB27" s="388"/>
      <c r="KOC27" s="388"/>
      <c r="KOD27" s="388"/>
      <c r="KOE27" s="388"/>
      <c r="KOF27" s="388"/>
      <c r="KOG27" s="388"/>
      <c r="KOH27" s="388"/>
      <c r="KOI27" s="388"/>
      <c r="KOJ27" s="388"/>
      <c r="KOK27" s="388"/>
      <c r="KOL27" s="388"/>
      <c r="KOM27" s="388"/>
      <c r="KON27" s="388"/>
      <c r="KOO27" s="388"/>
      <c r="KOP27" s="388"/>
      <c r="KOQ27" s="388"/>
      <c r="KOR27" s="388"/>
      <c r="KOS27" s="388"/>
      <c r="KOT27" s="388"/>
      <c r="KOU27" s="388"/>
      <c r="KOV27" s="388"/>
      <c r="KOW27" s="388"/>
      <c r="KOX27" s="388"/>
      <c r="KOY27" s="388"/>
      <c r="KOZ27" s="388"/>
      <c r="KPA27" s="388"/>
      <c r="KPB27" s="388"/>
      <c r="KPC27" s="388"/>
      <c r="KPD27" s="388"/>
      <c r="KPE27" s="388"/>
      <c r="KPF27" s="388"/>
      <c r="KPG27" s="388"/>
      <c r="KPH27" s="388"/>
      <c r="KPI27" s="388"/>
      <c r="KPJ27" s="388"/>
      <c r="KPK27" s="388"/>
      <c r="KPL27" s="388"/>
      <c r="KPM27" s="388"/>
      <c r="KPN27" s="388"/>
      <c r="KPO27" s="388"/>
      <c r="KPP27" s="388"/>
      <c r="KPQ27" s="388"/>
      <c r="KPR27" s="388"/>
      <c r="KPS27" s="388"/>
      <c r="KPT27" s="388"/>
      <c r="KPU27" s="388"/>
      <c r="KPV27" s="388"/>
      <c r="KPW27" s="388"/>
      <c r="KPX27" s="388"/>
      <c r="KPY27" s="388"/>
      <c r="KPZ27" s="388"/>
      <c r="KQA27" s="388"/>
      <c r="KQB27" s="388"/>
      <c r="KQC27" s="388"/>
      <c r="KQD27" s="388"/>
      <c r="KQE27" s="388"/>
      <c r="KQF27" s="388"/>
      <c r="KQG27" s="388"/>
      <c r="KQH27" s="388"/>
      <c r="KQI27" s="388"/>
      <c r="KQJ27" s="388"/>
      <c r="KQK27" s="388"/>
      <c r="KQL27" s="388"/>
      <c r="KQM27" s="388"/>
      <c r="KQN27" s="388"/>
      <c r="KQO27" s="388"/>
      <c r="KQP27" s="388"/>
      <c r="KQQ27" s="388"/>
      <c r="KQR27" s="388"/>
      <c r="KQS27" s="388"/>
      <c r="KQT27" s="388"/>
      <c r="KQU27" s="388"/>
      <c r="KQV27" s="388"/>
      <c r="KQW27" s="388"/>
      <c r="KQX27" s="388"/>
      <c r="KQY27" s="388"/>
      <c r="KQZ27" s="388"/>
      <c r="KRA27" s="388"/>
      <c r="KRB27" s="388"/>
      <c r="KRC27" s="388"/>
      <c r="KRD27" s="388"/>
      <c r="KRE27" s="388"/>
      <c r="KRF27" s="388"/>
      <c r="KRG27" s="388"/>
      <c r="KRH27" s="388"/>
      <c r="KRI27" s="388"/>
      <c r="KRJ27" s="388"/>
      <c r="KRK27" s="388"/>
      <c r="KRL27" s="388"/>
      <c r="KRM27" s="388"/>
      <c r="KRN27" s="388"/>
      <c r="KRO27" s="388"/>
      <c r="KRP27" s="388"/>
      <c r="KRQ27" s="388"/>
      <c r="KRR27" s="388"/>
      <c r="KRS27" s="388"/>
      <c r="KRT27" s="388"/>
      <c r="KRU27" s="388"/>
      <c r="KRV27" s="388"/>
      <c r="KRW27" s="388"/>
      <c r="KRX27" s="388"/>
      <c r="KRY27" s="388"/>
      <c r="KRZ27" s="388"/>
      <c r="KSA27" s="388"/>
      <c r="KSB27" s="388"/>
      <c r="KSC27" s="388"/>
      <c r="KSD27" s="388"/>
      <c r="KSE27" s="388"/>
      <c r="KSF27" s="388"/>
      <c r="KSG27" s="388"/>
      <c r="KSH27" s="388"/>
      <c r="KSI27" s="388"/>
      <c r="KSJ27" s="388"/>
      <c r="KSK27" s="388"/>
      <c r="KSL27" s="388"/>
      <c r="KSM27" s="388"/>
      <c r="KSN27" s="388"/>
      <c r="KSO27" s="388"/>
      <c r="KSP27" s="388"/>
      <c r="KSQ27" s="388"/>
      <c r="KSR27" s="388"/>
      <c r="KSS27" s="388"/>
      <c r="KST27" s="388"/>
      <c r="KSU27" s="388"/>
      <c r="KSV27" s="388"/>
      <c r="KSW27" s="388"/>
      <c r="KSX27" s="388"/>
      <c r="KSY27" s="388"/>
      <c r="KSZ27" s="388"/>
      <c r="KTA27" s="388"/>
      <c r="KTB27" s="388"/>
      <c r="KTC27" s="388"/>
      <c r="KTD27" s="388"/>
      <c r="KTE27" s="388"/>
      <c r="KTF27" s="388"/>
      <c r="KTG27" s="388"/>
      <c r="KTH27" s="388"/>
      <c r="KTI27" s="388"/>
      <c r="KTJ27" s="388"/>
      <c r="KTK27" s="388"/>
      <c r="KTL27" s="388"/>
      <c r="KTM27" s="388"/>
      <c r="KTN27" s="388"/>
      <c r="KTO27" s="388"/>
      <c r="KTP27" s="388"/>
      <c r="KTQ27" s="388"/>
      <c r="KTR27" s="388"/>
      <c r="KTS27" s="388"/>
      <c r="KTT27" s="388"/>
      <c r="KTU27" s="388"/>
      <c r="KTV27" s="388"/>
      <c r="KTW27" s="388"/>
      <c r="KTX27" s="388"/>
      <c r="KTY27" s="388"/>
      <c r="KTZ27" s="388"/>
      <c r="KUA27" s="388"/>
      <c r="KUB27" s="388"/>
      <c r="KUC27" s="388"/>
      <c r="KUD27" s="388"/>
      <c r="KUE27" s="388"/>
      <c r="KUF27" s="388"/>
      <c r="KUG27" s="388"/>
      <c r="KUH27" s="388"/>
      <c r="KUI27" s="388"/>
      <c r="KUJ27" s="388"/>
      <c r="KUK27" s="388"/>
      <c r="KUL27" s="388"/>
      <c r="KUM27" s="388"/>
      <c r="KUN27" s="388"/>
      <c r="KUO27" s="388"/>
      <c r="KUP27" s="388"/>
      <c r="KUQ27" s="388"/>
      <c r="KUR27" s="388"/>
      <c r="KUS27" s="388"/>
      <c r="KUT27" s="388"/>
      <c r="KUU27" s="388"/>
      <c r="KUV27" s="388"/>
      <c r="KUW27" s="388"/>
      <c r="KUX27" s="388"/>
      <c r="KUY27" s="388"/>
      <c r="KUZ27" s="388"/>
      <c r="KVA27" s="388"/>
      <c r="KVB27" s="388"/>
      <c r="KVC27" s="388"/>
      <c r="KVD27" s="388"/>
      <c r="KVE27" s="388"/>
      <c r="KVF27" s="388"/>
      <c r="KVG27" s="388"/>
      <c r="KVH27" s="388"/>
      <c r="KVI27" s="388"/>
      <c r="KVJ27" s="388"/>
      <c r="KVK27" s="388"/>
      <c r="KVL27" s="388"/>
      <c r="KVM27" s="388"/>
      <c r="KVN27" s="388"/>
      <c r="KVO27" s="388"/>
      <c r="KVP27" s="388"/>
      <c r="KVQ27" s="388"/>
      <c r="KVR27" s="388"/>
      <c r="KVS27" s="388"/>
      <c r="KVT27" s="388"/>
      <c r="KVU27" s="388"/>
      <c r="KVV27" s="388"/>
      <c r="KVW27" s="388"/>
      <c r="KVX27" s="388"/>
      <c r="KVY27" s="388"/>
      <c r="KVZ27" s="388"/>
      <c r="KWA27" s="388"/>
      <c r="KWB27" s="388"/>
      <c r="KWC27" s="388"/>
      <c r="KWD27" s="388"/>
      <c r="KWE27" s="388"/>
      <c r="KWF27" s="388"/>
      <c r="KWG27" s="388"/>
      <c r="KWH27" s="388"/>
      <c r="KWI27" s="388"/>
      <c r="KWJ27" s="388"/>
      <c r="KWK27" s="388"/>
      <c r="KWL27" s="388"/>
      <c r="KWM27" s="388"/>
      <c r="KWN27" s="388"/>
      <c r="KWO27" s="388"/>
      <c r="KWP27" s="388"/>
      <c r="KWQ27" s="388"/>
      <c r="KWR27" s="388"/>
      <c r="KWS27" s="388"/>
      <c r="KWT27" s="388"/>
      <c r="KWU27" s="388"/>
      <c r="KWV27" s="388"/>
      <c r="KWW27" s="388"/>
      <c r="KWX27" s="388"/>
      <c r="KWY27" s="388"/>
      <c r="KWZ27" s="388"/>
      <c r="KXA27" s="388"/>
      <c r="KXB27" s="388"/>
      <c r="KXC27" s="388"/>
      <c r="KXD27" s="388"/>
      <c r="KXE27" s="388"/>
      <c r="KXF27" s="388"/>
      <c r="KXG27" s="388"/>
      <c r="KXH27" s="388"/>
      <c r="KXI27" s="388"/>
      <c r="KXJ27" s="388"/>
      <c r="KXK27" s="388"/>
      <c r="KXL27" s="388"/>
      <c r="KXM27" s="388"/>
      <c r="KXN27" s="388"/>
      <c r="KXO27" s="388"/>
      <c r="KXP27" s="388"/>
      <c r="KXQ27" s="388"/>
      <c r="KXR27" s="388"/>
      <c r="KXS27" s="388"/>
      <c r="KXT27" s="388"/>
      <c r="KXU27" s="388"/>
      <c r="KXV27" s="388"/>
      <c r="KXW27" s="388"/>
      <c r="KXX27" s="388"/>
      <c r="KXY27" s="388"/>
      <c r="KXZ27" s="388"/>
      <c r="KYA27" s="388"/>
      <c r="KYB27" s="388"/>
      <c r="KYC27" s="388"/>
      <c r="KYD27" s="388"/>
      <c r="KYE27" s="388"/>
      <c r="KYF27" s="388"/>
      <c r="KYG27" s="388"/>
      <c r="KYH27" s="388"/>
      <c r="KYI27" s="388"/>
      <c r="KYJ27" s="388"/>
      <c r="KYK27" s="388"/>
      <c r="KYL27" s="388"/>
      <c r="KYM27" s="388"/>
      <c r="KYN27" s="388"/>
      <c r="KYO27" s="388"/>
      <c r="KYP27" s="388"/>
      <c r="KYQ27" s="388"/>
      <c r="KYR27" s="388"/>
      <c r="KYS27" s="388"/>
      <c r="KYT27" s="388"/>
      <c r="KYU27" s="388"/>
      <c r="KYV27" s="388"/>
      <c r="KYW27" s="388"/>
      <c r="KYX27" s="388"/>
      <c r="KYY27" s="388"/>
      <c r="KYZ27" s="388"/>
      <c r="KZA27" s="388"/>
      <c r="KZB27" s="388"/>
      <c r="KZC27" s="388"/>
      <c r="KZD27" s="388"/>
      <c r="KZE27" s="388"/>
      <c r="KZF27" s="388"/>
      <c r="KZG27" s="388"/>
      <c r="KZH27" s="388"/>
      <c r="KZI27" s="388"/>
      <c r="KZJ27" s="388"/>
      <c r="KZK27" s="388"/>
      <c r="KZL27" s="388"/>
      <c r="KZM27" s="388"/>
      <c r="KZN27" s="388"/>
      <c r="KZO27" s="388"/>
      <c r="KZP27" s="388"/>
      <c r="KZQ27" s="388"/>
      <c r="KZR27" s="388"/>
      <c r="KZS27" s="388"/>
      <c r="KZT27" s="388"/>
      <c r="KZU27" s="388"/>
      <c r="KZV27" s="388"/>
      <c r="KZW27" s="388"/>
      <c r="KZX27" s="388"/>
      <c r="KZY27" s="388"/>
      <c r="KZZ27" s="388"/>
      <c r="LAA27" s="388"/>
      <c r="LAB27" s="388"/>
      <c r="LAC27" s="388"/>
      <c r="LAD27" s="388"/>
      <c r="LAE27" s="388"/>
      <c r="LAF27" s="388"/>
      <c r="LAG27" s="388"/>
      <c r="LAH27" s="388"/>
      <c r="LAI27" s="388"/>
      <c r="LAJ27" s="388"/>
      <c r="LAK27" s="388"/>
      <c r="LAL27" s="388"/>
      <c r="LAM27" s="388"/>
      <c r="LAN27" s="388"/>
      <c r="LAO27" s="388"/>
      <c r="LAP27" s="388"/>
      <c r="LAQ27" s="388"/>
      <c r="LAR27" s="388"/>
      <c r="LAS27" s="388"/>
      <c r="LAT27" s="388"/>
      <c r="LAU27" s="388"/>
      <c r="LAV27" s="388"/>
      <c r="LAW27" s="388"/>
      <c r="LAX27" s="388"/>
      <c r="LAY27" s="388"/>
      <c r="LAZ27" s="388"/>
      <c r="LBA27" s="388"/>
      <c r="LBB27" s="388"/>
      <c r="LBC27" s="388"/>
      <c r="LBD27" s="388"/>
      <c r="LBE27" s="388"/>
      <c r="LBF27" s="388"/>
      <c r="LBG27" s="388"/>
      <c r="LBH27" s="388"/>
      <c r="LBI27" s="388"/>
      <c r="LBJ27" s="388"/>
      <c r="LBK27" s="388"/>
      <c r="LBL27" s="388"/>
      <c r="LBM27" s="388"/>
      <c r="LBN27" s="388"/>
      <c r="LBO27" s="388"/>
      <c r="LBP27" s="388"/>
      <c r="LBQ27" s="388"/>
      <c r="LBR27" s="388"/>
      <c r="LBS27" s="388"/>
      <c r="LBT27" s="388"/>
      <c r="LBU27" s="388"/>
      <c r="LBV27" s="388"/>
      <c r="LBW27" s="388"/>
      <c r="LBX27" s="388"/>
      <c r="LBY27" s="388"/>
      <c r="LBZ27" s="388"/>
      <c r="LCA27" s="388"/>
      <c r="LCB27" s="388"/>
      <c r="LCC27" s="388"/>
      <c r="LCD27" s="388"/>
      <c r="LCE27" s="388"/>
      <c r="LCF27" s="388"/>
      <c r="LCG27" s="388"/>
      <c r="LCH27" s="388"/>
      <c r="LCI27" s="388"/>
      <c r="LCJ27" s="388"/>
      <c r="LCK27" s="388"/>
      <c r="LCL27" s="388"/>
      <c r="LCM27" s="388"/>
      <c r="LCN27" s="388"/>
      <c r="LCO27" s="388"/>
      <c r="LCP27" s="388"/>
      <c r="LCQ27" s="388"/>
      <c r="LCR27" s="388"/>
      <c r="LCS27" s="388"/>
      <c r="LCT27" s="388"/>
      <c r="LCU27" s="388"/>
      <c r="LCV27" s="388"/>
      <c r="LCW27" s="388"/>
      <c r="LCX27" s="388"/>
      <c r="LCY27" s="388"/>
      <c r="LCZ27" s="388"/>
      <c r="LDA27" s="388"/>
      <c r="LDB27" s="388"/>
      <c r="LDC27" s="388"/>
      <c r="LDD27" s="388"/>
      <c r="LDE27" s="388"/>
      <c r="LDF27" s="388"/>
      <c r="LDG27" s="388"/>
      <c r="LDH27" s="388"/>
      <c r="LDI27" s="388"/>
      <c r="LDJ27" s="388"/>
      <c r="LDK27" s="388"/>
      <c r="LDL27" s="388"/>
      <c r="LDM27" s="388"/>
      <c r="LDN27" s="388"/>
      <c r="LDO27" s="388"/>
      <c r="LDP27" s="388"/>
      <c r="LDQ27" s="388"/>
      <c r="LDR27" s="388"/>
      <c r="LDS27" s="388"/>
      <c r="LDT27" s="388"/>
      <c r="LDU27" s="388"/>
      <c r="LDV27" s="388"/>
      <c r="LDW27" s="388"/>
      <c r="LDX27" s="388"/>
      <c r="LDY27" s="388"/>
      <c r="LDZ27" s="388"/>
      <c r="LEA27" s="388"/>
      <c r="LEB27" s="388"/>
      <c r="LEC27" s="388"/>
      <c r="LED27" s="388"/>
      <c r="LEE27" s="388"/>
      <c r="LEF27" s="388"/>
      <c r="LEG27" s="388"/>
      <c r="LEH27" s="388"/>
      <c r="LEI27" s="388"/>
      <c r="LEJ27" s="388"/>
      <c r="LEK27" s="388"/>
      <c r="LEL27" s="388"/>
      <c r="LEM27" s="388"/>
      <c r="LEN27" s="388"/>
      <c r="LEO27" s="388"/>
      <c r="LEP27" s="388"/>
      <c r="LEQ27" s="388"/>
      <c r="LER27" s="388"/>
      <c r="LES27" s="388"/>
      <c r="LET27" s="388"/>
      <c r="LEU27" s="388"/>
      <c r="LEV27" s="388"/>
      <c r="LEW27" s="388"/>
      <c r="LEX27" s="388"/>
      <c r="LEY27" s="388"/>
      <c r="LEZ27" s="388"/>
      <c r="LFA27" s="388"/>
      <c r="LFB27" s="388"/>
      <c r="LFC27" s="388"/>
      <c r="LFD27" s="388"/>
      <c r="LFE27" s="388"/>
      <c r="LFF27" s="388"/>
      <c r="LFG27" s="388"/>
      <c r="LFH27" s="388"/>
      <c r="LFI27" s="388"/>
      <c r="LFJ27" s="388"/>
      <c r="LFK27" s="388"/>
      <c r="LFL27" s="388"/>
      <c r="LFM27" s="388"/>
      <c r="LFN27" s="388"/>
      <c r="LFO27" s="388"/>
      <c r="LFP27" s="388"/>
      <c r="LFQ27" s="388"/>
      <c r="LFR27" s="388"/>
      <c r="LFS27" s="388"/>
      <c r="LFT27" s="388"/>
      <c r="LFU27" s="388"/>
      <c r="LFV27" s="388"/>
      <c r="LFW27" s="388"/>
      <c r="LFX27" s="388"/>
      <c r="LFY27" s="388"/>
      <c r="LFZ27" s="388"/>
      <c r="LGA27" s="388"/>
      <c r="LGB27" s="388"/>
      <c r="LGC27" s="388"/>
      <c r="LGD27" s="388"/>
      <c r="LGE27" s="388"/>
      <c r="LGF27" s="388"/>
      <c r="LGG27" s="388"/>
      <c r="LGH27" s="388"/>
      <c r="LGI27" s="388"/>
      <c r="LGJ27" s="388"/>
      <c r="LGK27" s="388"/>
      <c r="LGL27" s="388"/>
      <c r="LGM27" s="388"/>
      <c r="LGN27" s="388"/>
      <c r="LGO27" s="388"/>
      <c r="LGP27" s="388"/>
      <c r="LGQ27" s="388"/>
      <c r="LGR27" s="388"/>
      <c r="LGS27" s="388"/>
      <c r="LGT27" s="388"/>
      <c r="LGU27" s="388"/>
      <c r="LGV27" s="388"/>
      <c r="LGW27" s="388"/>
      <c r="LGX27" s="388"/>
      <c r="LGY27" s="388"/>
      <c r="LGZ27" s="388"/>
      <c r="LHA27" s="388"/>
      <c r="LHB27" s="388"/>
      <c r="LHC27" s="388"/>
      <c r="LHD27" s="388"/>
      <c r="LHE27" s="388"/>
      <c r="LHF27" s="388"/>
      <c r="LHG27" s="388"/>
      <c r="LHH27" s="388"/>
      <c r="LHI27" s="388"/>
      <c r="LHJ27" s="388"/>
      <c r="LHK27" s="388"/>
      <c r="LHL27" s="388"/>
      <c r="LHM27" s="388"/>
      <c r="LHN27" s="388"/>
      <c r="LHO27" s="388"/>
      <c r="LHP27" s="388"/>
      <c r="LHQ27" s="388"/>
      <c r="LHR27" s="388"/>
      <c r="LHS27" s="388"/>
      <c r="LHT27" s="388"/>
      <c r="LHU27" s="388"/>
      <c r="LHV27" s="388"/>
      <c r="LHW27" s="388"/>
      <c r="LHX27" s="388"/>
      <c r="LHY27" s="388"/>
      <c r="LHZ27" s="388"/>
      <c r="LIA27" s="388"/>
      <c r="LIB27" s="388"/>
      <c r="LIC27" s="388"/>
      <c r="LID27" s="388"/>
      <c r="LIE27" s="388"/>
      <c r="LIF27" s="388"/>
      <c r="LIG27" s="388"/>
      <c r="LIH27" s="388"/>
      <c r="LII27" s="388"/>
      <c r="LIJ27" s="388"/>
      <c r="LIK27" s="388"/>
      <c r="LIL27" s="388"/>
      <c r="LIM27" s="388"/>
      <c r="LIN27" s="388"/>
      <c r="LIO27" s="388"/>
      <c r="LIP27" s="388"/>
      <c r="LIQ27" s="388"/>
      <c r="LIR27" s="388"/>
      <c r="LIS27" s="388"/>
      <c r="LIT27" s="388"/>
      <c r="LIU27" s="388"/>
      <c r="LIV27" s="388"/>
      <c r="LIW27" s="388"/>
      <c r="LIX27" s="388"/>
      <c r="LIY27" s="388"/>
      <c r="LIZ27" s="388"/>
      <c r="LJA27" s="388"/>
      <c r="LJB27" s="388"/>
      <c r="LJC27" s="388"/>
      <c r="LJD27" s="388"/>
      <c r="LJE27" s="388"/>
      <c r="LJF27" s="388"/>
      <c r="LJG27" s="388"/>
      <c r="LJH27" s="388"/>
      <c r="LJI27" s="388"/>
      <c r="LJJ27" s="388"/>
      <c r="LJK27" s="388"/>
      <c r="LJL27" s="388"/>
      <c r="LJM27" s="388"/>
      <c r="LJN27" s="388"/>
      <c r="LJO27" s="388"/>
      <c r="LJP27" s="388"/>
      <c r="LJQ27" s="388"/>
      <c r="LJR27" s="388"/>
      <c r="LJS27" s="388"/>
      <c r="LJT27" s="388"/>
      <c r="LJU27" s="388"/>
      <c r="LJV27" s="388"/>
      <c r="LJW27" s="388"/>
      <c r="LJX27" s="388"/>
      <c r="LJY27" s="388"/>
      <c r="LJZ27" s="388"/>
      <c r="LKA27" s="388"/>
      <c r="LKB27" s="388"/>
      <c r="LKC27" s="388"/>
      <c r="LKD27" s="388"/>
      <c r="LKE27" s="388"/>
      <c r="LKF27" s="388"/>
      <c r="LKG27" s="388"/>
      <c r="LKH27" s="388"/>
      <c r="LKI27" s="388"/>
      <c r="LKJ27" s="388"/>
      <c r="LKK27" s="388"/>
      <c r="LKL27" s="388"/>
      <c r="LKM27" s="388"/>
      <c r="LKN27" s="388"/>
      <c r="LKO27" s="388"/>
      <c r="LKP27" s="388"/>
      <c r="LKQ27" s="388"/>
      <c r="LKR27" s="388"/>
      <c r="LKS27" s="388"/>
      <c r="LKT27" s="388"/>
      <c r="LKU27" s="388"/>
      <c r="LKV27" s="388"/>
      <c r="LKW27" s="388"/>
      <c r="LKX27" s="388"/>
      <c r="LKY27" s="388"/>
      <c r="LKZ27" s="388"/>
      <c r="LLA27" s="388"/>
      <c r="LLB27" s="388"/>
      <c r="LLC27" s="388"/>
      <c r="LLD27" s="388"/>
      <c r="LLE27" s="388"/>
      <c r="LLF27" s="388"/>
      <c r="LLG27" s="388"/>
      <c r="LLH27" s="388"/>
      <c r="LLI27" s="388"/>
      <c r="LLJ27" s="388"/>
      <c r="LLK27" s="388"/>
      <c r="LLL27" s="388"/>
      <c r="LLM27" s="388"/>
      <c r="LLN27" s="388"/>
      <c r="LLO27" s="388"/>
      <c r="LLP27" s="388"/>
      <c r="LLQ27" s="388"/>
      <c r="LLR27" s="388"/>
      <c r="LLS27" s="388"/>
      <c r="LLT27" s="388"/>
      <c r="LLU27" s="388"/>
      <c r="LLV27" s="388"/>
      <c r="LLW27" s="388"/>
      <c r="LLX27" s="388"/>
      <c r="LLY27" s="388"/>
      <c r="LLZ27" s="388"/>
      <c r="LMA27" s="388"/>
      <c r="LMB27" s="388"/>
      <c r="LMC27" s="388"/>
      <c r="LMD27" s="388"/>
      <c r="LME27" s="388"/>
      <c r="LMF27" s="388"/>
      <c r="LMG27" s="388"/>
      <c r="LMH27" s="388"/>
      <c r="LMI27" s="388"/>
      <c r="LMJ27" s="388"/>
      <c r="LMK27" s="388"/>
      <c r="LML27" s="388"/>
      <c r="LMM27" s="388"/>
      <c r="LMN27" s="388"/>
      <c r="LMO27" s="388"/>
      <c r="LMP27" s="388"/>
      <c r="LMQ27" s="388"/>
      <c r="LMR27" s="388"/>
      <c r="LMS27" s="388"/>
      <c r="LMT27" s="388"/>
      <c r="LMU27" s="388"/>
      <c r="LMV27" s="388"/>
      <c r="LMW27" s="388"/>
      <c r="LMX27" s="388"/>
      <c r="LMY27" s="388"/>
      <c r="LMZ27" s="388"/>
      <c r="LNA27" s="388"/>
      <c r="LNB27" s="388"/>
      <c r="LNC27" s="388"/>
      <c r="LND27" s="388"/>
      <c r="LNE27" s="388"/>
      <c r="LNF27" s="388"/>
      <c r="LNG27" s="388"/>
      <c r="LNH27" s="388"/>
      <c r="LNI27" s="388"/>
      <c r="LNJ27" s="388"/>
      <c r="LNK27" s="388"/>
      <c r="LNL27" s="388"/>
      <c r="LNM27" s="388"/>
      <c r="LNN27" s="388"/>
      <c r="LNO27" s="388"/>
      <c r="LNP27" s="388"/>
      <c r="LNQ27" s="388"/>
      <c r="LNR27" s="388"/>
      <c r="LNS27" s="388"/>
      <c r="LNT27" s="388"/>
      <c r="LNU27" s="388"/>
      <c r="LNV27" s="388"/>
      <c r="LNW27" s="388"/>
      <c r="LNX27" s="388"/>
      <c r="LNY27" s="388"/>
      <c r="LNZ27" s="388"/>
      <c r="LOA27" s="388"/>
      <c r="LOB27" s="388"/>
      <c r="LOC27" s="388"/>
      <c r="LOD27" s="388"/>
      <c r="LOE27" s="388"/>
      <c r="LOF27" s="388"/>
      <c r="LOG27" s="388"/>
      <c r="LOH27" s="388"/>
      <c r="LOI27" s="388"/>
      <c r="LOJ27" s="388"/>
      <c r="LOK27" s="388"/>
      <c r="LOL27" s="388"/>
      <c r="LOM27" s="388"/>
      <c r="LON27" s="388"/>
      <c r="LOO27" s="388"/>
      <c r="LOP27" s="388"/>
      <c r="LOQ27" s="388"/>
      <c r="LOR27" s="388"/>
      <c r="LOS27" s="388"/>
      <c r="LOT27" s="388"/>
      <c r="LOU27" s="388"/>
      <c r="LOV27" s="388"/>
      <c r="LOW27" s="388"/>
      <c r="LOX27" s="388"/>
      <c r="LOY27" s="388"/>
      <c r="LOZ27" s="388"/>
      <c r="LPA27" s="388"/>
      <c r="LPB27" s="388"/>
      <c r="LPC27" s="388"/>
      <c r="LPD27" s="388"/>
      <c r="LPE27" s="388"/>
      <c r="LPF27" s="388"/>
      <c r="LPG27" s="388"/>
      <c r="LPH27" s="388"/>
      <c r="LPI27" s="388"/>
      <c r="LPJ27" s="388"/>
      <c r="LPK27" s="388"/>
      <c r="LPL27" s="388"/>
      <c r="LPM27" s="388"/>
      <c r="LPN27" s="388"/>
      <c r="LPO27" s="388"/>
      <c r="LPP27" s="388"/>
      <c r="LPQ27" s="388"/>
      <c r="LPR27" s="388"/>
      <c r="LPS27" s="388"/>
      <c r="LPT27" s="388"/>
      <c r="LPU27" s="388"/>
      <c r="LPV27" s="388"/>
      <c r="LPW27" s="388"/>
      <c r="LPX27" s="388"/>
      <c r="LPY27" s="388"/>
      <c r="LPZ27" s="388"/>
      <c r="LQA27" s="388"/>
      <c r="LQB27" s="388"/>
      <c r="LQC27" s="388"/>
      <c r="LQD27" s="388"/>
      <c r="LQE27" s="388"/>
      <c r="LQF27" s="388"/>
      <c r="LQG27" s="388"/>
      <c r="LQH27" s="388"/>
      <c r="LQI27" s="388"/>
      <c r="LQJ27" s="388"/>
      <c r="LQK27" s="388"/>
      <c r="LQL27" s="388"/>
      <c r="LQM27" s="388"/>
      <c r="LQN27" s="388"/>
      <c r="LQO27" s="388"/>
      <c r="LQP27" s="388"/>
      <c r="LQQ27" s="388"/>
      <c r="LQR27" s="388"/>
      <c r="LQS27" s="388"/>
      <c r="LQT27" s="388"/>
      <c r="LQU27" s="388"/>
      <c r="LQV27" s="388"/>
      <c r="LQW27" s="388"/>
      <c r="LQX27" s="388"/>
      <c r="LQY27" s="388"/>
      <c r="LQZ27" s="388"/>
      <c r="LRA27" s="388"/>
      <c r="LRB27" s="388"/>
      <c r="LRC27" s="388"/>
      <c r="LRD27" s="388"/>
      <c r="LRE27" s="388"/>
      <c r="LRF27" s="388"/>
      <c r="LRG27" s="388"/>
      <c r="LRH27" s="388"/>
      <c r="LRI27" s="388"/>
      <c r="LRJ27" s="388"/>
      <c r="LRK27" s="388"/>
      <c r="LRL27" s="388"/>
      <c r="LRM27" s="388"/>
      <c r="LRN27" s="388"/>
      <c r="LRO27" s="388"/>
      <c r="LRP27" s="388"/>
      <c r="LRQ27" s="388"/>
      <c r="LRR27" s="388"/>
      <c r="LRS27" s="388"/>
      <c r="LRT27" s="388"/>
      <c r="LRU27" s="388"/>
      <c r="LRV27" s="388"/>
      <c r="LRW27" s="388"/>
      <c r="LRX27" s="388"/>
      <c r="LRY27" s="388"/>
      <c r="LRZ27" s="388"/>
      <c r="LSA27" s="388"/>
      <c r="LSB27" s="388"/>
      <c r="LSC27" s="388"/>
      <c r="LSD27" s="388"/>
      <c r="LSE27" s="388"/>
      <c r="LSF27" s="388"/>
      <c r="LSG27" s="388"/>
      <c r="LSH27" s="388"/>
      <c r="LSI27" s="388"/>
      <c r="LSJ27" s="388"/>
      <c r="LSK27" s="388"/>
      <c r="LSL27" s="388"/>
      <c r="LSM27" s="388"/>
      <c r="LSN27" s="388"/>
      <c r="LSO27" s="388"/>
      <c r="LSP27" s="388"/>
      <c r="LSQ27" s="388"/>
      <c r="LSR27" s="388"/>
      <c r="LSS27" s="388"/>
      <c r="LST27" s="388"/>
      <c r="LSU27" s="388"/>
      <c r="LSV27" s="388"/>
      <c r="LSW27" s="388"/>
      <c r="LSX27" s="388"/>
      <c r="LSY27" s="388"/>
      <c r="LSZ27" s="388"/>
      <c r="LTA27" s="388"/>
      <c r="LTB27" s="388"/>
      <c r="LTC27" s="388"/>
      <c r="LTD27" s="388"/>
      <c r="LTE27" s="388"/>
      <c r="LTF27" s="388"/>
      <c r="LTG27" s="388"/>
      <c r="LTH27" s="388"/>
      <c r="LTI27" s="388"/>
      <c r="LTJ27" s="388"/>
      <c r="LTK27" s="388"/>
      <c r="LTL27" s="388"/>
      <c r="LTM27" s="388"/>
      <c r="LTN27" s="388"/>
      <c r="LTO27" s="388"/>
      <c r="LTP27" s="388"/>
      <c r="LTQ27" s="388"/>
      <c r="LTR27" s="388"/>
      <c r="LTS27" s="388"/>
      <c r="LTT27" s="388"/>
      <c r="LTU27" s="388"/>
      <c r="LTV27" s="388"/>
      <c r="LTW27" s="388"/>
      <c r="LTX27" s="388"/>
      <c r="LTY27" s="388"/>
      <c r="LTZ27" s="388"/>
      <c r="LUA27" s="388"/>
      <c r="LUB27" s="388"/>
      <c r="LUC27" s="388"/>
      <c r="LUD27" s="388"/>
      <c r="LUE27" s="388"/>
      <c r="LUF27" s="388"/>
      <c r="LUG27" s="388"/>
      <c r="LUH27" s="388"/>
      <c r="LUI27" s="388"/>
      <c r="LUJ27" s="388"/>
      <c r="LUK27" s="388"/>
      <c r="LUL27" s="388"/>
      <c r="LUM27" s="388"/>
      <c r="LUN27" s="388"/>
      <c r="LUO27" s="388"/>
      <c r="LUP27" s="388"/>
      <c r="LUQ27" s="388"/>
      <c r="LUR27" s="388"/>
      <c r="LUS27" s="388"/>
      <c r="LUT27" s="388"/>
      <c r="LUU27" s="388"/>
      <c r="LUV27" s="388"/>
      <c r="LUW27" s="388"/>
      <c r="LUX27" s="388"/>
      <c r="LUY27" s="388"/>
      <c r="LUZ27" s="388"/>
      <c r="LVA27" s="388"/>
      <c r="LVB27" s="388"/>
      <c r="LVC27" s="388"/>
      <c r="LVD27" s="388"/>
      <c r="LVE27" s="388"/>
      <c r="LVF27" s="388"/>
      <c r="LVG27" s="388"/>
      <c r="LVH27" s="388"/>
      <c r="LVI27" s="388"/>
      <c r="LVJ27" s="388"/>
      <c r="LVK27" s="388"/>
      <c r="LVL27" s="388"/>
      <c r="LVM27" s="388"/>
      <c r="LVN27" s="388"/>
      <c r="LVO27" s="388"/>
      <c r="LVP27" s="388"/>
      <c r="LVQ27" s="388"/>
      <c r="LVR27" s="388"/>
      <c r="LVS27" s="388"/>
      <c r="LVT27" s="388"/>
      <c r="LVU27" s="388"/>
      <c r="LVV27" s="388"/>
      <c r="LVW27" s="388"/>
      <c r="LVX27" s="388"/>
      <c r="LVY27" s="388"/>
      <c r="LVZ27" s="388"/>
      <c r="LWA27" s="388"/>
      <c r="LWB27" s="388"/>
      <c r="LWC27" s="388"/>
      <c r="LWD27" s="388"/>
      <c r="LWE27" s="388"/>
      <c r="LWF27" s="388"/>
      <c r="LWG27" s="388"/>
      <c r="LWH27" s="388"/>
      <c r="LWI27" s="388"/>
      <c r="LWJ27" s="388"/>
      <c r="LWK27" s="388"/>
      <c r="LWL27" s="388"/>
      <c r="LWM27" s="388"/>
      <c r="LWN27" s="388"/>
      <c r="LWO27" s="388"/>
      <c r="LWP27" s="388"/>
      <c r="LWQ27" s="388"/>
      <c r="LWR27" s="388"/>
      <c r="LWS27" s="388"/>
      <c r="LWT27" s="388"/>
      <c r="LWU27" s="388"/>
      <c r="LWV27" s="388"/>
      <c r="LWW27" s="388"/>
      <c r="LWX27" s="388"/>
      <c r="LWY27" s="388"/>
      <c r="LWZ27" s="388"/>
      <c r="LXA27" s="388"/>
      <c r="LXB27" s="388"/>
      <c r="LXC27" s="388"/>
      <c r="LXD27" s="388"/>
      <c r="LXE27" s="388"/>
      <c r="LXF27" s="388"/>
      <c r="LXG27" s="388"/>
      <c r="LXH27" s="388"/>
      <c r="LXI27" s="388"/>
      <c r="LXJ27" s="388"/>
      <c r="LXK27" s="388"/>
      <c r="LXL27" s="388"/>
      <c r="LXM27" s="388"/>
      <c r="LXN27" s="388"/>
      <c r="LXO27" s="388"/>
      <c r="LXP27" s="388"/>
      <c r="LXQ27" s="388"/>
      <c r="LXR27" s="388"/>
      <c r="LXS27" s="388"/>
      <c r="LXT27" s="388"/>
      <c r="LXU27" s="388"/>
      <c r="LXV27" s="388"/>
      <c r="LXW27" s="388"/>
      <c r="LXX27" s="388"/>
      <c r="LXY27" s="388"/>
      <c r="LXZ27" s="388"/>
      <c r="LYA27" s="388"/>
      <c r="LYB27" s="388"/>
      <c r="LYC27" s="388"/>
      <c r="LYD27" s="388"/>
      <c r="LYE27" s="388"/>
      <c r="LYF27" s="388"/>
      <c r="LYG27" s="388"/>
      <c r="LYH27" s="388"/>
      <c r="LYI27" s="388"/>
      <c r="LYJ27" s="388"/>
      <c r="LYK27" s="388"/>
      <c r="LYL27" s="388"/>
      <c r="LYM27" s="388"/>
      <c r="LYN27" s="388"/>
      <c r="LYO27" s="388"/>
      <c r="LYP27" s="388"/>
      <c r="LYQ27" s="388"/>
      <c r="LYR27" s="388"/>
      <c r="LYS27" s="388"/>
      <c r="LYT27" s="388"/>
      <c r="LYU27" s="388"/>
      <c r="LYV27" s="388"/>
      <c r="LYW27" s="388"/>
      <c r="LYX27" s="388"/>
      <c r="LYY27" s="388"/>
      <c r="LYZ27" s="388"/>
      <c r="LZA27" s="388"/>
      <c r="LZB27" s="388"/>
      <c r="LZC27" s="388"/>
      <c r="LZD27" s="388"/>
      <c r="LZE27" s="388"/>
      <c r="LZF27" s="388"/>
      <c r="LZG27" s="388"/>
      <c r="LZH27" s="388"/>
      <c r="LZI27" s="388"/>
      <c r="LZJ27" s="388"/>
      <c r="LZK27" s="388"/>
      <c r="LZL27" s="388"/>
      <c r="LZM27" s="388"/>
      <c r="LZN27" s="388"/>
      <c r="LZO27" s="388"/>
      <c r="LZP27" s="388"/>
      <c r="LZQ27" s="388"/>
      <c r="LZR27" s="388"/>
      <c r="LZS27" s="388"/>
      <c r="LZT27" s="388"/>
      <c r="LZU27" s="388"/>
      <c r="LZV27" s="388"/>
      <c r="LZW27" s="388"/>
      <c r="LZX27" s="388"/>
      <c r="LZY27" s="388"/>
      <c r="LZZ27" s="388"/>
      <c r="MAA27" s="388"/>
      <c r="MAB27" s="388"/>
      <c r="MAC27" s="388"/>
      <c r="MAD27" s="388"/>
      <c r="MAE27" s="388"/>
      <c r="MAF27" s="388"/>
      <c r="MAG27" s="388"/>
      <c r="MAH27" s="388"/>
      <c r="MAI27" s="388"/>
      <c r="MAJ27" s="388"/>
      <c r="MAK27" s="388"/>
      <c r="MAL27" s="388"/>
      <c r="MAM27" s="388"/>
      <c r="MAN27" s="388"/>
      <c r="MAO27" s="388"/>
      <c r="MAP27" s="388"/>
      <c r="MAQ27" s="388"/>
      <c r="MAR27" s="388"/>
      <c r="MAS27" s="388"/>
      <c r="MAT27" s="388"/>
      <c r="MAU27" s="388"/>
      <c r="MAV27" s="388"/>
      <c r="MAW27" s="388"/>
      <c r="MAX27" s="388"/>
      <c r="MAY27" s="388"/>
      <c r="MAZ27" s="388"/>
      <c r="MBA27" s="388"/>
      <c r="MBB27" s="388"/>
      <c r="MBC27" s="388"/>
      <c r="MBD27" s="388"/>
      <c r="MBE27" s="388"/>
      <c r="MBF27" s="388"/>
      <c r="MBG27" s="388"/>
      <c r="MBH27" s="388"/>
      <c r="MBI27" s="388"/>
      <c r="MBJ27" s="388"/>
      <c r="MBK27" s="388"/>
      <c r="MBL27" s="388"/>
      <c r="MBM27" s="388"/>
      <c r="MBN27" s="388"/>
      <c r="MBO27" s="388"/>
      <c r="MBP27" s="388"/>
      <c r="MBQ27" s="388"/>
      <c r="MBR27" s="388"/>
      <c r="MBS27" s="388"/>
      <c r="MBT27" s="388"/>
      <c r="MBU27" s="388"/>
      <c r="MBV27" s="388"/>
      <c r="MBW27" s="388"/>
      <c r="MBX27" s="388"/>
      <c r="MBY27" s="388"/>
      <c r="MBZ27" s="388"/>
      <c r="MCA27" s="388"/>
      <c r="MCB27" s="388"/>
      <c r="MCC27" s="388"/>
      <c r="MCD27" s="388"/>
      <c r="MCE27" s="388"/>
      <c r="MCF27" s="388"/>
      <c r="MCG27" s="388"/>
      <c r="MCH27" s="388"/>
      <c r="MCI27" s="388"/>
      <c r="MCJ27" s="388"/>
      <c r="MCK27" s="388"/>
      <c r="MCL27" s="388"/>
      <c r="MCM27" s="388"/>
      <c r="MCN27" s="388"/>
      <c r="MCO27" s="388"/>
      <c r="MCP27" s="388"/>
      <c r="MCQ27" s="388"/>
      <c r="MCR27" s="388"/>
      <c r="MCS27" s="388"/>
      <c r="MCT27" s="388"/>
      <c r="MCU27" s="388"/>
      <c r="MCV27" s="388"/>
      <c r="MCW27" s="388"/>
      <c r="MCX27" s="388"/>
      <c r="MCY27" s="388"/>
      <c r="MCZ27" s="388"/>
      <c r="MDA27" s="388"/>
      <c r="MDB27" s="388"/>
      <c r="MDC27" s="388"/>
      <c r="MDD27" s="388"/>
      <c r="MDE27" s="388"/>
      <c r="MDF27" s="388"/>
      <c r="MDG27" s="388"/>
      <c r="MDH27" s="388"/>
      <c r="MDI27" s="388"/>
      <c r="MDJ27" s="388"/>
      <c r="MDK27" s="388"/>
      <c r="MDL27" s="388"/>
      <c r="MDM27" s="388"/>
      <c r="MDN27" s="388"/>
      <c r="MDO27" s="388"/>
      <c r="MDP27" s="388"/>
      <c r="MDQ27" s="388"/>
      <c r="MDR27" s="388"/>
      <c r="MDS27" s="388"/>
      <c r="MDT27" s="388"/>
      <c r="MDU27" s="388"/>
      <c r="MDV27" s="388"/>
      <c r="MDW27" s="388"/>
      <c r="MDX27" s="388"/>
      <c r="MDY27" s="388"/>
      <c r="MDZ27" s="388"/>
      <c r="MEA27" s="388"/>
      <c r="MEB27" s="388"/>
      <c r="MEC27" s="388"/>
      <c r="MED27" s="388"/>
      <c r="MEE27" s="388"/>
      <c r="MEF27" s="388"/>
      <c r="MEG27" s="388"/>
      <c r="MEH27" s="388"/>
      <c r="MEI27" s="388"/>
      <c r="MEJ27" s="388"/>
      <c r="MEK27" s="388"/>
      <c r="MEL27" s="388"/>
      <c r="MEM27" s="388"/>
      <c r="MEN27" s="388"/>
      <c r="MEO27" s="388"/>
      <c r="MEP27" s="388"/>
      <c r="MEQ27" s="388"/>
      <c r="MER27" s="388"/>
      <c r="MES27" s="388"/>
      <c r="MET27" s="388"/>
      <c r="MEU27" s="388"/>
      <c r="MEV27" s="388"/>
      <c r="MEW27" s="388"/>
      <c r="MEX27" s="388"/>
      <c r="MEY27" s="388"/>
      <c r="MEZ27" s="388"/>
      <c r="MFA27" s="388"/>
      <c r="MFB27" s="388"/>
      <c r="MFC27" s="388"/>
      <c r="MFD27" s="388"/>
      <c r="MFE27" s="388"/>
      <c r="MFF27" s="388"/>
      <c r="MFG27" s="388"/>
      <c r="MFH27" s="388"/>
      <c r="MFI27" s="388"/>
      <c r="MFJ27" s="388"/>
      <c r="MFK27" s="388"/>
      <c r="MFL27" s="388"/>
      <c r="MFM27" s="388"/>
      <c r="MFN27" s="388"/>
      <c r="MFO27" s="388"/>
      <c r="MFP27" s="388"/>
      <c r="MFQ27" s="388"/>
      <c r="MFR27" s="388"/>
      <c r="MFS27" s="388"/>
      <c r="MFT27" s="388"/>
      <c r="MFU27" s="388"/>
      <c r="MFV27" s="388"/>
      <c r="MFW27" s="388"/>
      <c r="MFX27" s="388"/>
      <c r="MFY27" s="388"/>
      <c r="MFZ27" s="388"/>
      <c r="MGA27" s="388"/>
      <c r="MGB27" s="388"/>
      <c r="MGC27" s="388"/>
      <c r="MGD27" s="388"/>
      <c r="MGE27" s="388"/>
      <c r="MGF27" s="388"/>
      <c r="MGG27" s="388"/>
      <c r="MGH27" s="388"/>
      <c r="MGI27" s="388"/>
      <c r="MGJ27" s="388"/>
      <c r="MGK27" s="388"/>
      <c r="MGL27" s="388"/>
      <c r="MGM27" s="388"/>
      <c r="MGN27" s="388"/>
      <c r="MGO27" s="388"/>
      <c r="MGP27" s="388"/>
      <c r="MGQ27" s="388"/>
      <c r="MGR27" s="388"/>
      <c r="MGS27" s="388"/>
      <c r="MGT27" s="388"/>
      <c r="MGU27" s="388"/>
      <c r="MGV27" s="388"/>
      <c r="MGW27" s="388"/>
      <c r="MGX27" s="388"/>
      <c r="MGY27" s="388"/>
      <c r="MGZ27" s="388"/>
      <c r="MHA27" s="388"/>
      <c r="MHB27" s="388"/>
      <c r="MHC27" s="388"/>
      <c r="MHD27" s="388"/>
      <c r="MHE27" s="388"/>
      <c r="MHF27" s="388"/>
      <c r="MHG27" s="388"/>
      <c r="MHH27" s="388"/>
      <c r="MHI27" s="388"/>
      <c r="MHJ27" s="388"/>
      <c r="MHK27" s="388"/>
      <c r="MHL27" s="388"/>
      <c r="MHM27" s="388"/>
      <c r="MHN27" s="388"/>
      <c r="MHO27" s="388"/>
      <c r="MHP27" s="388"/>
      <c r="MHQ27" s="388"/>
      <c r="MHR27" s="388"/>
      <c r="MHS27" s="388"/>
      <c r="MHT27" s="388"/>
      <c r="MHU27" s="388"/>
      <c r="MHV27" s="388"/>
      <c r="MHW27" s="388"/>
      <c r="MHX27" s="388"/>
      <c r="MHY27" s="388"/>
      <c r="MHZ27" s="388"/>
      <c r="MIA27" s="388"/>
      <c r="MIB27" s="388"/>
      <c r="MIC27" s="388"/>
      <c r="MID27" s="388"/>
      <c r="MIE27" s="388"/>
      <c r="MIF27" s="388"/>
      <c r="MIG27" s="388"/>
      <c r="MIH27" s="388"/>
      <c r="MII27" s="388"/>
      <c r="MIJ27" s="388"/>
      <c r="MIK27" s="388"/>
      <c r="MIL27" s="388"/>
      <c r="MIM27" s="388"/>
      <c r="MIN27" s="388"/>
      <c r="MIO27" s="388"/>
      <c r="MIP27" s="388"/>
      <c r="MIQ27" s="388"/>
      <c r="MIR27" s="388"/>
      <c r="MIS27" s="388"/>
      <c r="MIT27" s="388"/>
      <c r="MIU27" s="388"/>
      <c r="MIV27" s="388"/>
      <c r="MIW27" s="388"/>
      <c r="MIX27" s="388"/>
      <c r="MIY27" s="388"/>
      <c r="MIZ27" s="388"/>
      <c r="MJA27" s="388"/>
      <c r="MJB27" s="388"/>
      <c r="MJC27" s="388"/>
      <c r="MJD27" s="388"/>
      <c r="MJE27" s="388"/>
      <c r="MJF27" s="388"/>
      <c r="MJG27" s="388"/>
      <c r="MJH27" s="388"/>
      <c r="MJI27" s="388"/>
      <c r="MJJ27" s="388"/>
      <c r="MJK27" s="388"/>
      <c r="MJL27" s="388"/>
      <c r="MJM27" s="388"/>
      <c r="MJN27" s="388"/>
      <c r="MJO27" s="388"/>
      <c r="MJP27" s="388"/>
      <c r="MJQ27" s="388"/>
      <c r="MJR27" s="388"/>
      <c r="MJS27" s="388"/>
      <c r="MJT27" s="388"/>
      <c r="MJU27" s="388"/>
      <c r="MJV27" s="388"/>
      <c r="MJW27" s="388"/>
      <c r="MJX27" s="388"/>
      <c r="MJY27" s="388"/>
      <c r="MJZ27" s="388"/>
      <c r="MKA27" s="388"/>
      <c r="MKB27" s="388"/>
      <c r="MKC27" s="388"/>
      <c r="MKD27" s="388"/>
      <c r="MKE27" s="388"/>
      <c r="MKF27" s="388"/>
      <c r="MKG27" s="388"/>
      <c r="MKH27" s="388"/>
      <c r="MKI27" s="388"/>
      <c r="MKJ27" s="388"/>
      <c r="MKK27" s="388"/>
      <c r="MKL27" s="388"/>
      <c r="MKM27" s="388"/>
      <c r="MKN27" s="388"/>
      <c r="MKO27" s="388"/>
      <c r="MKP27" s="388"/>
      <c r="MKQ27" s="388"/>
      <c r="MKR27" s="388"/>
      <c r="MKS27" s="388"/>
      <c r="MKT27" s="388"/>
      <c r="MKU27" s="388"/>
      <c r="MKV27" s="388"/>
      <c r="MKW27" s="388"/>
      <c r="MKX27" s="388"/>
      <c r="MKY27" s="388"/>
      <c r="MKZ27" s="388"/>
      <c r="MLA27" s="388"/>
      <c r="MLB27" s="388"/>
      <c r="MLC27" s="388"/>
      <c r="MLD27" s="388"/>
      <c r="MLE27" s="388"/>
      <c r="MLF27" s="388"/>
      <c r="MLG27" s="388"/>
      <c r="MLH27" s="388"/>
      <c r="MLI27" s="388"/>
      <c r="MLJ27" s="388"/>
      <c r="MLK27" s="388"/>
      <c r="MLL27" s="388"/>
      <c r="MLM27" s="388"/>
      <c r="MLN27" s="388"/>
      <c r="MLO27" s="388"/>
      <c r="MLP27" s="388"/>
      <c r="MLQ27" s="388"/>
      <c r="MLR27" s="388"/>
      <c r="MLS27" s="388"/>
      <c r="MLT27" s="388"/>
      <c r="MLU27" s="388"/>
      <c r="MLV27" s="388"/>
      <c r="MLW27" s="388"/>
      <c r="MLX27" s="388"/>
      <c r="MLY27" s="388"/>
      <c r="MLZ27" s="388"/>
      <c r="MMA27" s="388"/>
      <c r="MMB27" s="388"/>
      <c r="MMC27" s="388"/>
      <c r="MMD27" s="388"/>
      <c r="MME27" s="388"/>
      <c r="MMF27" s="388"/>
      <c r="MMG27" s="388"/>
      <c r="MMH27" s="388"/>
      <c r="MMI27" s="388"/>
      <c r="MMJ27" s="388"/>
      <c r="MMK27" s="388"/>
      <c r="MML27" s="388"/>
      <c r="MMM27" s="388"/>
      <c r="MMN27" s="388"/>
      <c r="MMO27" s="388"/>
      <c r="MMP27" s="388"/>
      <c r="MMQ27" s="388"/>
      <c r="MMR27" s="388"/>
      <c r="MMS27" s="388"/>
      <c r="MMT27" s="388"/>
      <c r="MMU27" s="388"/>
      <c r="MMV27" s="388"/>
      <c r="MMW27" s="388"/>
      <c r="MMX27" s="388"/>
      <c r="MMY27" s="388"/>
      <c r="MMZ27" s="388"/>
      <c r="MNA27" s="388"/>
      <c r="MNB27" s="388"/>
      <c r="MNC27" s="388"/>
      <c r="MND27" s="388"/>
      <c r="MNE27" s="388"/>
      <c r="MNF27" s="388"/>
      <c r="MNG27" s="388"/>
      <c r="MNH27" s="388"/>
      <c r="MNI27" s="388"/>
      <c r="MNJ27" s="388"/>
      <c r="MNK27" s="388"/>
      <c r="MNL27" s="388"/>
      <c r="MNM27" s="388"/>
      <c r="MNN27" s="388"/>
      <c r="MNO27" s="388"/>
      <c r="MNP27" s="388"/>
      <c r="MNQ27" s="388"/>
      <c r="MNR27" s="388"/>
      <c r="MNS27" s="388"/>
      <c r="MNT27" s="388"/>
      <c r="MNU27" s="388"/>
      <c r="MNV27" s="388"/>
      <c r="MNW27" s="388"/>
      <c r="MNX27" s="388"/>
      <c r="MNY27" s="388"/>
      <c r="MNZ27" s="388"/>
      <c r="MOA27" s="388"/>
      <c r="MOB27" s="388"/>
      <c r="MOC27" s="388"/>
      <c r="MOD27" s="388"/>
      <c r="MOE27" s="388"/>
      <c r="MOF27" s="388"/>
      <c r="MOG27" s="388"/>
      <c r="MOH27" s="388"/>
      <c r="MOI27" s="388"/>
      <c r="MOJ27" s="388"/>
      <c r="MOK27" s="388"/>
      <c r="MOL27" s="388"/>
      <c r="MOM27" s="388"/>
      <c r="MON27" s="388"/>
      <c r="MOO27" s="388"/>
      <c r="MOP27" s="388"/>
      <c r="MOQ27" s="388"/>
      <c r="MOR27" s="388"/>
      <c r="MOS27" s="388"/>
      <c r="MOT27" s="388"/>
      <c r="MOU27" s="388"/>
      <c r="MOV27" s="388"/>
      <c r="MOW27" s="388"/>
      <c r="MOX27" s="388"/>
      <c r="MOY27" s="388"/>
      <c r="MOZ27" s="388"/>
      <c r="MPA27" s="388"/>
      <c r="MPB27" s="388"/>
      <c r="MPC27" s="388"/>
      <c r="MPD27" s="388"/>
      <c r="MPE27" s="388"/>
      <c r="MPF27" s="388"/>
      <c r="MPG27" s="388"/>
      <c r="MPH27" s="388"/>
      <c r="MPI27" s="388"/>
      <c r="MPJ27" s="388"/>
      <c r="MPK27" s="388"/>
      <c r="MPL27" s="388"/>
      <c r="MPM27" s="388"/>
      <c r="MPN27" s="388"/>
      <c r="MPO27" s="388"/>
      <c r="MPP27" s="388"/>
      <c r="MPQ27" s="388"/>
      <c r="MPR27" s="388"/>
      <c r="MPS27" s="388"/>
      <c r="MPT27" s="388"/>
      <c r="MPU27" s="388"/>
      <c r="MPV27" s="388"/>
      <c r="MPW27" s="388"/>
      <c r="MPX27" s="388"/>
      <c r="MPY27" s="388"/>
      <c r="MPZ27" s="388"/>
      <c r="MQA27" s="388"/>
      <c r="MQB27" s="388"/>
      <c r="MQC27" s="388"/>
      <c r="MQD27" s="388"/>
      <c r="MQE27" s="388"/>
      <c r="MQF27" s="388"/>
      <c r="MQG27" s="388"/>
      <c r="MQH27" s="388"/>
      <c r="MQI27" s="388"/>
      <c r="MQJ27" s="388"/>
      <c r="MQK27" s="388"/>
      <c r="MQL27" s="388"/>
      <c r="MQM27" s="388"/>
      <c r="MQN27" s="388"/>
      <c r="MQO27" s="388"/>
      <c r="MQP27" s="388"/>
      <c r="MQQ27" s="388"/>
      <c r="MQR27" s="388"/>
      <c r="MQS27" s="388"/>
      <c r="MQT27" s="388"/>
      <c r="MQU27" s="388"/>
      <c r="MQV27" s="388"/>
      <c r="MQW27" s="388"/>
      <c r="MQX27" s="388"/>
      <c r="MQY27" s="388"/>
      <c r="MQZ27" s="388"/>
      <c r="MRA27" s="388"/>
      <c r="MRB27" s="388"/>
      <c r="MRC27" s="388"/>
      <c r="MRD27" s="388"/>
      <c r="MRE27" s="388"/>
      <c r="MRF27" s="388"/>
      <c r="MRG27" s="388"/>
      <c r="MRH27" s="388"/>
      <c r="MRI27" s="388"/>
      <c r="MRJ27" s="388"/>
      <c r="MRK27" s="388"/>
      <c r="MRL27" s="388"/>
      <c r="MRM27" s="388"/>
      <c r="MRN27" s="388"/>
      <c r="MRO27" s="388"/>
      <c r="MRP27" s="388"/>
      <c r="MRQ27" s="388"/>
      <c r="MRR27" s="388"/>
      <c r="MRS27" s="388"/>
      <c r="MRT27" s="388"/>
      <c r="MRU27" s="388"/>
      <c r="MRV27" s="388"/>
      <c r="MRW27" s="388"/>
      <c r="MRX27" s="388"/>
      <c r="MRY27" s="388"/>
      <c r="MRZ27" s="388"/>
      <c r="MSA27" s="388"/>
      <c r="MSB27" s="388"/>
      <c r="MSC27" s="388"/>
      <c r="MSD27" s="388"/>
      <c r="MSE27" s="388"/>
      <c r="MSF27" s="388"/>
      <c r="MSG27" s="388"/>
      <c r="MSH27" s="388"/>
      <c r="MSI27" s="388"/>
      <c r="MSJ27" s="388"/>
      <c r="MSK27" s="388"/>
      <c r="MSL27" s="388"/>
      <c r="MSM27" s="388"/>
      <c r="MSN27" s="388"/>
      <c r="MSO27" s="388"/>
      <c r="MSP27" s="388"/>
      <c r="MSQ27" s="388"/>
      <c r="MSR27" s="388"/>
      <c r="MSS27" s="388"/>
      <c r="MST27" s="388"/>
      <c r="MSU27" s="388"/>
      <c r="MSV27" s="388"/>
      <c r="MSW27" s="388"/>
      <c r="MSX27" s="388"/>
      <c r="MSY27" s="388"/>
      <c r="MSZ27" s="388"/>
      <c r="MTA27" s="388"/>
      <c r="MTB27" s="388"/>
      <c r="MTC27" s="388"/>
      <c r="MTD27" s="388"/>
      <c r="MTE27" s="388"/>
      <c r="MTF27" s="388"/>
      <c r="MTG27" s="388"/>
      <c r="MTH27" s="388"/>
      <c r="MTI27" s="388"/>
      <c r="MTJ27" s="388"/>
      <c r="MTK27" s="388"/>
      <c r="MTL27" s="388"/>
      <c r="MTM27" s="388"/>
      <c r="MTN27" s="388"/>
      <c r="MTO27" s="388"/>
      <c r="MTP27" s="388"/>
      <c r="MTQ27" s="388"/>
      <c r="MTR27" s="388"/>
      <c r="MTS27" s="388"/>
      <c r="MTT27" s="388"/>
      <c r="MTU27" s="388"/>
      <c r="MTV27" s="388"/>
      <c r="MTW27" s="388"/>
      <c r="MTX27" s="388"/>
      <c r="MTY27" s="388"/>
      <c r="MTZ27" s="388"/>
      <c r="MUA27" s="388"/>
      <c r="MUB27" s="388"/>
      <c r="MUC27" s="388"/>
      <c r="MUD27" s="388"/>
      <c r="MUE27" s="388"/>
      <c r="MUF27" s="388"/>
      <c r="MUG27" s="388"/>
      <c r="MUH27" s="388"/>
      <c r="MUI27" s="388"/>
      <c r="MUJ27" s="388"/>
      <c r="MUK27" s="388"/>
      <c r="MUL27" s="388"/>
      <c r="MUM27" s="388"/>
      <c r="MUN27" s="388"/>
      <c r="MUO27" s="388"/>
      <c r="MUP27" s="388"/>
      <c r="MUQ27" s="388"/>
      <c r="MUR27" s="388"/>
      <c r="MUS27" s="388"/>
      <c r="MUT27" s="388"/>
      <c r="MUU27" s="388"/>
      <c r="MUV27" s="388"/>
      <c r="MUW27" s="388"/>
      <c r="MUX27" s="388"/>
      <c r="MUY27" s="388"/>
      <c r="MUZ27" s="388"/>
      <c r="MVA27" s="388"/>
      <c r="MVB27" s="388"/>
      <c r="MVC27" s="388"/>
      <c r="MVD27" s="388"/>
      <c r="MVE27" s="388"/>
      <c r="MVF27" s="388"/>
      <c r="MVG27" s="388"/>
      <c r="MVH27" s="388"/>
      <c r="MVI27" s="388"/>
      <c r="MVJ27" s="388"/>
      <c r="MVK27" s="388"/>
      <c r="MVL27" s="388"/>
      <c r="MVM27" s="388"/>
      <c r="MVN27" s="388"/>
      <c r="MVO27" s="388"/>
      <c r="MVP27" s="388"/>
      <c r="MVQ27" s="388"/>
      <c r="MVR27" s="388"/>
      <c r="MVS27" s="388"/>
      <c r="MVT27" s="388"/>
      <c r="MVU27" s="388"/>
      <c r="MVV27" s="388"/>
      <c r="MVW27" s="388"/>
      <c r="MVX27" s="388"/>
      <c r="MVY27" s="388"/>
      <c r="MVZ27" s="388"/>
      <c r="MWA27" s="388"/>
      <c r="MWB27" s="388"/>
      <c r="MWC27" s="388"/>
      <c r="MWD27" s="388"/>
      <c r="MWE27" s="388"/>
      <c r="MWF27" s="388"/>
      <c r="MWG27" s="388"/>
      <c r="MWH27" s="388"/>
      <c r="MWI27" s="388"/>
      <c r="MWJ27" s="388"/>
      <c r="MWK27" s="388"/>
      <c r="MWL27" s="388"/>
      <c r="MWM27" s="388"/>
      <c r="MWN27" s="388"/>
      <c r="MWO27" s="388"/>
      <c r="MWP27" s="388"/>
      <c r="MWQ27" s="388"/>
      <c r="MWR27" s="388"/>
      <c r="MWS27" s="388"/>
      <c r="MWT27" s="388"/>
      <c r="MWU27" s="388"/>
      <c r="MWV27" s="388"/>
      <c r="MWW27" s="388"/>
      <c r="MWX27" s="388"/>
      <c r="MWY27" s="388"/>
      <c r="MWZ27" s="388"/>
      <c r="MXA27" s="388"/>
      <c r="MXB27" s="388"/>
      <c r="MXC27" s="388"/>
      <c r="MXD27" s="388"/>
      <c r="MXE27" s="388"/>
      <c r="MXF27" s="388"/>
      <c r="MXG27" s="388"/>
      <c r="MXH27" s="388"/>
      <c r="MXI27" s="388"/>
      <c r="MXJ27" s="388"/>
      <c r="MXK27" s="388"/>
      <c r="MXL27" s="388"/>
      <c r="MXM27" s="388"/>
      <c r="MXN27" s="388"/>
      <c r="MXO27" s="388"/>
      <c r="MXP27" s="388"/>
      <c r="MXQ27" s="388"/>
      <c r="MXR27" s="388"/>
      <c r="MXS27" s="388"/>
      <c r="MXT27" s="388"/>
      <c r="MXU27" s="388"/>
      <c r="MXV27" s="388"/>
      <c r="MXW27" s="388"/>
      <c r="MXX27" s="388"/>
      <c r="MXY27" s="388"/>
      <c r="MXZ27" s="388"/>
      <c r="MYA27" s="388"/>
      <c r="MYB27" s="388"/>
      <c r="MYC27" s="388"/>
      <c r="MYD27" s="388"/>
      <c r="MYE27" s="388"/>
      <c r="MYF27" s="388"/>
      <c r="MYG27" s="388"/>
      <c r="MYH27" s="388"/>
      <c r="MYI27" s="388"/>
      <c r="MYJ27" s="388"/>
      <c r="MYK27" s="388"/>
      <c r="MYL27" s="388"/>
      <c r="MYM27" s="388"/>
      <c r="MYN27" s="388"/>
      <c r="MYO27" s="388"/>
      <c r="MYP27" s="388"/>
      <c r="MYQ27" s="388"/>
      <c r="MYR27" s="388"/>
      <c r="MYS27" s="388"/>
      <c r="MYT27" s="388"/>
      <c r="MYU27" s="388"/>
      <c r="MYV27" s="388"/>
      <c r="MYW27" s="388"/>
      <c r="MYX27" s="388"/>
      <c r="MYY27" s="388"/>
      <c r="MYZ27" s="388"/>
      <c r="MZA27" s="388"/>
      <c r="MZB27" s="388"/>
      <c r="MZC27" s="388"/>
      <c r="MZD27" s="388"/>
      <c r="MZE27" s="388"/>
      <c r="MZF27" s="388"/>
      <c r="MZG27" s="388"/>
      <c r="MZH27" s="388"/>
      <c r="MZI27" s="388"/>
      <c r="MZJ27" s="388"/>
      <c r="MZK27" s="388"/>
      <c r="MZL27" s="388"/>
      <c r="MZM27" s="388"/>
      <c r="MZN27" s="388"/>
      <c r="MZO27" s="388"/>
      <c r="MZP27" s="388"/>
      <c r="MZQ27" s="388"/>
      <c r="MZR27" s="388"/>
      <c r="MZS27" s="388"/>
      <c r="MZT27" s="388"/>
      <c r="MZU27" s="388"/>
      <c r="MZV27" s="388"/>
      <c r="MZW27" s="388"/>
      <c r="MZX27" s="388"/>
      <c r="MZY27" s="388"/>
      <c r="MZZ27" s="388"/>
      <c r="NAA27" s="388"/>
      <c r="NAB27" s="388"/>
      <c r="NAC27" s="388"/>
      <c r="NAD27" s="388"/>
      <c r="NAE27" s="388"/>
      <c r="NAF27" s="388"/>
      <c r="NAG27" s="388"/>
      <c r="NAH27" s="388"/>
      <c r="NAI27" s="388"/>
      <c r="NAJ27" s="388"/>
      <c r="NAK27" s="388"/>
      <c r="NAL27" s="388"/>
      <c r="NAM27" s="388"/>
      <c r="NAN27" s="388"/>
      <c r="NAO27" s="388"/>
      <c r="NAP27" s="388"/>
      <c r="NAQ27" s="388"/>
      <c r="NAR27" s="388"/>
      <c r="NAS27" s="388"/>
      <c r="NAT27" s="388"/>
      <c r="NAU27" s="388"/>
      <c r="NAV27" s="388"/>
      <c r="NAW27" s="388"/>
      <c r="NAX27" s="388"/>
      <c r="NAY27" s="388"/>
      <c r="NAZ27" s="388"/>
      <c r="NBA27" s="388"/>
      <c r="NBB27" s="388"/>
      <c r="NBC27" s="388"/>
      <c r="NBD27" s="388"/>
      <c r="NBE27" s="388"/>
      <c r="NBF27" s="388"/>
      <c r="NBG27" s="388"/>
      <c r="NBH27" s="388"/>
      <c r="NBI27" s="388"/>
      <c r="NBJ27" s="388"/>
      <c r="NBK27" s="388"/>
      <c r="NBL27" s="388"/>
      <c r="NBM27" s="388"/>
      <c r="NBN27" s="388"/>
      <c r="NBO27" s="388"/>
      <c r="NBP27" s="388"/>
      <c r="NBQ27" s="388"/>
      <c r="NBR27" s="388"/>
      <c r="NBS27" s="388"/>
      <c r="NBT27" s="388"/>
      <c r="NBU27" s="388"/>
      <c r="NBV27" s="388"/>
      <c r="NBW27" s="388"/>
      <c r="NBX27" s="388"/>
      <c r="NBY27" s="388"/>
      <c r="NBZ27" s="388"/>
      <c r="NCA27" s="388"/>
      <c r="NCB27" s="388"/>
      <c r="NCC27" s="388"/>
      <c r="NCD27" s="388"/>
      <c r="NCE27" s="388"/>
      <c r="NCF27" s="388"/>
      <c r="NCG27" s="388"/>
      <c r="NCH27" s="388"/>
      <c r="NCI27" s="388"/>
      <c r="NCJ27" s="388"/>
      <c r="NCK27" s="388"/>
      <c r="NCL27" s="388"/>
      <c r="NCM27" s="388"/>
      <c r="NCN27" s="388"/>
      <c r="NCO27" s="388"/>
      <c r="NCP27" s="388"/>
      <c r="NCQ27" s="388"/>
      <c r="NCR27" s="388"/>
      <c r="NCS27" s="388"/>
      <c r="NCT27" s="388"/>
      <c r="NCU27" s="388"/>
      <c r="NCV27" s="388"/>
      <c r="NCW27" s="388"/>
      <c r="NCX27" s="388"/>
      <c r="NCY27" s="388"/>
      <c r="NCZ27" s="388"/>
      <c r="NDA27" s="388"/>
      <c r="NDB27" s="388"/>
      <c r="NDC27" s="388"/>
      <c r="NDD27" s="388"/>
      <c r="NDE27" s="388"/>
      <c r="NDF27" s="388"/>
      <c r="NDG27" s="388"/>
      <c r="NDH27" s="388"/>
      <c r="NDI27" s="388"/>
      <c r="NDJ27" s="388"/>
      <c r="NDK27" s="388"/>
      <c r="NDL27" s="388"/>
      <c r="NDM27" s="388"/>
      <c r="NDN27" s="388"/>
      <c r="NDO27" s="388"/>
      <c r="NDP27" s="388"/>
      <c r="NDQ27" s="388"/>
      <c r="NDR27" s="388"/>
      <c r="NDS27" s="388"/>
      <c r="NDT27" s="388"/>
      <c r="NDU27" s="388"/>
      <c r="NDV27" s="388"/>
      <c r="NDW27" s="388"/>
      <c r="NDX27" s="388"/>
      <c r="NDY27" s="388"/>
      <c r="NDZ27" s="388"/>
      <c r="NEA27" s="388"/>
      <c r="NEB27" s="388"/>
      <c r="NEC27" s="388"/>
      <c r="NED27" s="388"/>
      <c r="NEE27" s="388"/>
      <c r="NEF27" s="388"/>
      <c r="NEG27" s="388"/>
      <c r="NEH27" s="388"/>
      <c r="NEI27" s="388"/>
      <c r="NEJ27" s="388"/>
      <c r="NEK27" s="388"/>
      <c r="NEL27" s="388"/>
      <c r="NEM27" s="388"/>
      <c r="NEN27" s="388"/>
      <c r="NEO27" s="388"/>
      <c r="NEP27" s="388"/>
      <c r="NEQ27" s="388"/>
      <c r="NER27" s="388"/>
      <c r="NES27" s="388"/>
      <c r="NET27" s="388"/>
      <c r="NEU27" s="388"/>
      <c r="NEV27" s="388"/>
      <c r="NEW27" s="388"/>
      <c r="NEX27" s="388"/>
      <c r="NEY27" s="388"/>
      <c r="NEZ27" s="388"/>
      <c r="NFA27" s="388"/>
      <c r="NFB27" s="388"/>
      <c r="NFC27" s="388"/>
      <c r="NFD27" s="388"/>
      <c r="NFE27" s="388"/>
      <c r="NFF27" s="388"/>
      <c r="NFG27" s="388"/>
      <c r="NFH27" s="388"/>
      <c r="NFI27" s="388"/>
      <c r="NFJ27" s="388"/>
      <c r="NFK27" s="388"/>
      <c r="NFL27" s="388"/>
      <c r="NFM27" s="388"/>
      <c r="NFN27" s="388"/>
      <c r="NFO27" s="388"/>
      <c r="NFP27" s="388"/>
      <c r="NFQ27" s="388"/>
      <c r="NFR27" s="388"/>
      <c r="NFS27" s="388"/>
      <c r="NFT27" s="388"/>
      <c r="NFU27" s="388"/>
      <c r="NFV27" s="388"/>
      <c r="NFW27" s="388"/>
      <c r="NFX27" s="388"/>
      <c r="NFY27" s="388"/>
      <c r="NFZ27" s="388"/>
      <c r="NGA27" s="388"/>
      <c r="NGB27" s="388"/>
      <c r="NGC27" s="388"/>
      <c r="NGD27" s="388"/>
      <c r="NGE27" s="388"/>
      <c r="NGF27" s="388"/>
      <c r="NGG27" s="388"/>
      <c r="NGH27" s="388"/>
      <c r="NGI27" s="388"/>
      <c r="NGJ27" s="388"/>
      <c r="NGK27" s="388"/>
      <c r="NGL27" s="388"/>
      <c r="NGM27" s="388"/>
      <c r="NGN27" s="388"/>
      <c r="NGO27" s="388"/>
      <c r="NGP27" s="388"/>
      <c r="NGQ27" s="388"/>
      <c r="NGR27" s="388"/>
      <c r="NGS27" s="388"/>
      <c r="NGT27" s="388"/>
      <c r="NGU27" s="388"/>
      <c r="NGV27" s="388"/>
      <c r="NGW27" s="388"/>
      <c r="NGX27" s="388"/>
      <c r="NGY27" s="388"/>
      <c r="NGZ27" s="388"/>
      <c r="NHA27" s="388"/>
      <c r="NHB27" s="388"/>
      <c r="NHC27" s="388"/>
      <c r="NHD27" s="388"/>
      <c r="NHE27" s="388"/>
      <c r="NHF27" s="388"/>
      <c r="NHG27" s="388"/>
      <c r="NHH27" s="388"/>
      <c r="NHI27" s="388"/>
      <c r="NHJ27" s="388"/>
      <c r="NHK27" s="388"/>
      <c r="NHL27" s="388"/>
      <c r="NHM27" s="388"/>
      <c r="NHN27" s="388"/>
      <c r="NHO27" s="388"/>
      <c r="NHP27" s="388"/>
      <c r="NHQ27" s="388"/>
      <c r="NHR27" s="388"/>
      <c r="NHS27" s="388"/>
      <c r="NHT27" s="388"/>
      <c r="NHU27" s="388"/>
      <c r="NHV27" s="388"/>
      <c r="NHW27" s="388"/>
      <c r="NHX27" s="388"/>
      <c r="NHY27" s="388"/>
      <c r="NHZ27" s="388"/>
      <c r="NIA27" s="388"/>
      <c r="NIB27" s="388"/>
      <c r="NIC27" s="388"/>
      <c r="NID27" s="388"/>
      <c r="NIE27" s="388"/>
      <c r="NIF27" s="388"/>
      <c r="NIG27" s="388"/>
      <c r="NIH27" s="388"/>
      <c r="NII27" s="388"/>
      <c r="NIJ27" s="388"/>
      <c r="NIK27" s="388"/>
      <c r="NIL27" s="388"/>
      <c r="NIM27" s="388"/>
      <c r="NIN27" s="388"/>
      <c r="NIO27" s="388"/>
      <c r="NIP27" s="388"/>
      <c r="NIQ27" s="388"/>
      <c r="NIR27" s="388"/>
      <c r="NIS27" s="388"/>
      <c r="NIT27" s="388"/>
      <c r="NIU27" s="388"/>
      <c r="NIV27" s="388"/>
      <c r="NIW27" s="388"/>
      <c r="NIX27" s="388"/>
      <c r="NIY27" s="388"/>
      <c r="NIZ27" s="388"/>
      <c r="NJA27" s="388"/>
      <c r="NJB27" s="388"/>
      <c r="NJC27" s="388"/>
      <c r="NJD27" s="388"/>
      <c r="NJE27" s="388"/>
      <c r="NJF27" s="388"/>
      <c r="NJG27" s="388"/>
      <c r="NJH27" s="388"/>
      <c r="NJI27" s="388"/>
      <c r="NJJ27" s="388"/>
      <c r="NJK27" s="388"/>
      <c r="NJL27" s="388"/>
      <c r="NJM27" s="388"/>
      <c r="NJN27" s="388"/>
      <c r="NJO27" s="388"/>
      <c r="NJP27" s="388"/>
      <c r="NJQ27" s="388"/>
      <c r="NJR27" s="388"/>
      <c r="NJS27" s="388"/>
      <c r="NJT27" s="388"/>
      <c r="NJU27" s="388"/>
      <c r="NJV27" s="388"/>
      <c r="NJW27" s="388"/>
      <c r="NJX27" s="388"/>
      <c r="NJY27" s="388"/>
      <c r="NJZ27" s="388"/>
      <c r="NKA27" s="388"/>
      <c r="NKB27" s="388"/>
      <c r="NKC27" s="388"/>
      <c r="NKD27" s="388"/>
      <c r="NKE27" s="388"/>
      <c r="NKF27" s="388"/>
      <c r="NKG27" s="388"/>
      <c r="NKH27" s="388"/>
      <c r="NKI27" s="388"/>
      <c r="NKJ27" s="388"/>
      <c r="NKK27" s="388"/>
      <c r="NKL27" s="388"/>
      <c r="NKM27" s="388"/>
      <c r="NKN27" s="388"/>
      <c r="NKO27" s="388"/>
      <c r="NKP27" s="388"/>
      <c r="NKQ27" s="388"/>
      <c r="NKR27" s="388"/>
      <c r="NKS27" s="388"/>
      <c r="NKT27" s="388"/>
      <c r="NKU27" s="388"/>
      <c r="NKV27" s="388"/>
      <c r="NKW27" s="388"/>
      <c r="NKX27" s="388"/>
      <c r="NKY27" s="388"/>
      <c r="NKZ27" s="388"/>
      <c r="NLA27" s="388"/>
      <c r="NLB27" s="388"/>
      <c r="NLC27" s="388"/>
      <c r="NLD27" s="388"/>
      <c r="NLE27" s="388"/>
      <c r="NLF27" s="388"/>
      <c r="NLG27" s="388"/>
      <c r="NLH27" s="388"/>
      <c r="NLI27" s="388"/>
      <c r="NLJ27" s="388"/>
      <c r="NLK27" s="388"/>
      <c r="NLL27" s="388"/>
      <c r="NLM27" s="388"/>
      <c r="NLN27" s="388"/>
      <c r="NLO27" s="388"/>
      <c r="NLP27" s="388"/>
      <c r="NLQ27" s="388"/>
      <c r="NLR27" s="388"/>
      <c r="NLS27" s="388"/>
      <c r="NLT27" s="388"/>
      <c r="NLU27" s="388"/>
      <c r="NLV27" s="388"/>
      <c r="NLW27" s="388"/>
      <c r="NLX27" s="388"/>
      <c r="NLY27" s="388"/>
      <c r="NLZ27" s="388"/>
      <c r="NMA27" s="388"/>
      <c r="NMB27" s="388"/>
      <c r="NMC27" s="388"/>
      <c r="NMD27" s="388"/>
      <c r="NME27" s="388"/>
      <c r="NMF27" s="388"/>
      <c r="NMG27" s="388"/>
      <c r="NMH27" s="388"/>
      <c r="NMI27" s="388"/>
      <c r="NMJ27" s="388"/>
      <c r="NMK27" s="388"/>
      <c r="NML27" s="388"/>
      <c r="NMM27" s="388"/>
      <c r="NMN27" s="388"/>
      <c r="NMO27" s="388"/>
      <c r="NMP27" s="388"/>
      <c r="NMQ27" s="388"/>
      <c r="NMR27" s="388"/>
      <c r="NMS27" s="388"/>
      <c r="NMT27" s="388"/>
      <c r="NMU27" s="388"/>
      <c r="NMV27" s="388"/>
      <c r="NMW27" s="388"/>
      <c r="NMX27" s="388"/>
      <c r="NMY27" s="388"/>
      <c r="NMZ27" s="388"/>
      <c r="NNA27" s="388"/>
      <c r="NNB27" s="388"/>
      <c r="NNC27" s="388"/>
      <c r="NND27" s="388"/>
      <c r="NNE27" s="388"/>
      <c r="NNF27" s="388"/>
      <c r="NNG27" s="388"/>
      <c r="NNH27" s="388"/>
      <c r="NNI27" s="388"/>
      <c r="NNJ27" s="388"/>
      <c r="NNK27" s="388"/>
      <c r="NNL27" s="388"/>
      <c r="NNM27" s="388"/>
      <c r="NNN27" s="388"/>
      <c r="NNO27" s="388"/>
      <c r="NNP27" s="388"/>
      <c r="NNQ27" s="388"/>
      <c r="NNR27" s="388"/>
      <c r="NNS27" s="388"/>
      <c r="NNT27" s="388"/>
      <c r="NNU27" s="388"/>
      <c r="NNV27" s="388"/>
      <c r="NNW27" s="388"/>
      <c r="NNX27" s="388"/>
      <c r="NNY27" s="388"/>
      <c r="NNZ27" s="388"/>
      <c r="NOA27" s="388"/>
      <c r="NOB27" s="388"/>
      <c r="NOC27" s="388"/>
      <c r="NOD27" s="388"/>
      <c r="NOE27" s="388"/>
      <c r="NOF27" s="388"/>
      <c r="NOG27" s="388"/>
      <c r="NOH27" s="388"/>
      <c r="NOI27" s="388"/>
      <c r="NOJ27" s="388"/>
      <c r="NOK27" s="388"/>
      <c r="NOL27" s="388"/>
      <c r="NOM27" s="388"/>
      <c r="NON27" s="388"/>
      <c r="NOO27" s="388"/>
      <c r="NOP27" s="388"/>
      <c r="NOQ27" s="388"/>
      <c r="NOR27" s="388"/>
      <c r="NOS27" s="388"/>
      <c r="NOT27" s="388"/>
      <c r="NOU27" s="388"/>
      <c r="NOV27" s="388"/>
      <c r="NOW27" s="388"/>
      <c r="NOX27" s="388"/>
      <c r="NOY27" s="388"/>
      <c r="NOZ27" s="388"/>
      <c r="NPA27" s="388"/>
      <c r="NPB27" s="388"/>
      <c r="NPC27" s="388"/>
      <c r="NPD27" s="388"/>
      <c r="NPE27" s="388"/>
      <c r="NPF27" s="388"/>
      <c r="NPG27" s="388"/>
      <c r="NPH27" s="388"/>
      <c r="NPI27" s="388"/>
      <c r="NPJ27" s="388"/>
      <c r="NPK27" s="388"/>
      <c r="NPL27" s="388"/>
      <c r="NPM27" s="388"/>
      <c r="NPN27" s="388"/>
      <c r="NPO27" s="388"/>
      <c r="NPP27" s="388"/>
      <c r="NPQ27" s="388"/>
      <c r="NPR27" s="388"/>
      <c r="NPS27" s="388"/>
      <c r="NPT27" s="388"/>
      <c r="NPU27" s="388"/>
      <c r="NPV27" s="388"/>
      <c r="NPW27" s="388"/>
      <c r="NPX27" s="388"/>
      <c r="NPY27" s="388"/>
      <c r="NPZ27" s="388"/>
      <c r="NQA27" s="388"/>
      <c r="NQB27" s="388"/>
      <c r="NQC27" s="388"/>
      <c r="NQD27" s="388"/>
      <c r="NQE27" s="388"/>
      <c r="NQF27" s="388"/>
      <c r="NQG27" s="388"/>
      <c r="NQH27" s="388"/>
      <c r="NQI27" s="388"/>
      <c r="NQJ27" s="388"/>
      <c r="NQK27" s="388"/>
      <c r="NQL27" s="388"/>
      <c r="NQM27" s="388"/>
      <c r="NQN27" s="388"/>
      <c r="NQO27" s="388"/>
      <c r="NQP27" s="388"/>
      <c r="NQQ27" s="388"/>
      <c r="NQR27" s="388"/>
      <c r="NQS27" s="388"/>
      <c r="NQT27" s="388"/>
      <c r="NQU27" s="388"/>
      <c r="NQV27" s="388"/>
      <c r="NQW27" s="388"/>
      <c r="NQX27" s="388"/>
      <c r="NQY27" s="388"/>
      <c r="NQZ27" s="388"/>
      <c r="NRA27" s="388"/>
      <c r="NRB27" s="388"/>
      <c r="NRC27" s="388"/>
      <c r="NRD27" s="388"/>
      <c r="NRE27" s="388"/>
      <c r="NRF27" s="388"/>
      <c r="NRG27" s="388"/>
      <c r="NRH27" s="388"/>
      <c r="NRI27" s="388"/>
      <c r="NRJ27" s="388"/>
      <c r="NRK27" s="388"/>
      <c r="NRL27" s="388"/>
      <c r="NRM27" s="388"/>
      <c r="NRN27" s="388"/>
      <c r="NRO27" s="388"/>
      <c r="NRP27" s="388"/>
      <c r="NRQ27" s="388"/>
      <c r="NRR27" s="388"/>
      <c r="NRS27" s="388"/>
      <c r="NRT27" s="388"/>
      <c r="NRU27" s="388"/>
      <c r="NRV27" s="388"/>
      <c r="NRW27" s="388"/>
      <c r="NRX27" s="388"/>
      <c r="NRY27" s="388"/>
      <c r="NRZ27" s="388"/>
      <c r="NSA27" s="388"/>
      <c r="NSB27" s="388"/>
      <c r="NSC27" s="388"/>
      <c r="NSD27" s="388"/>
      <c r="NSE27" s="388"/>
      <c r="NSF27" s="388"/>
      <c r="NSG27" s="388"/>
      <c r="NSH27" s="388"/>
      <c r="NSI27" s="388"/>
      <c r="NSJ27" s="388"/>
      <c r="NSK27" s="388"/>
      <c r="NSL27" s="388"/>
      <c r="NSM27" s="388"/>
      <c r="NSN27" s="388"/>
      <c r="NSO27" s="388"/>
      <c r="NSP27" s="388"/>
      <c r="NSQ27" s="388"/>
      <c r="NSR27" s="388"/>
      <c r="NSS27" s="388"/>
      <c r="NST27" s="388"/>
      <c r="NSU27" s="388"/>
      <c r="NSV27" s="388"/>
      <c r="NSW27" s="388"/>
      <c r="NSX27" s="388"/>
      <c r="NSY27" s="388"/>
      <c r="NSZ27" s="388"/>
      <c r="NTA27" s="388"/>
      <c r="NTB27" s="388"/>
      <c r="NTC27" s="388"/>
      <c r="NTD27" s="388"/>
      <c r="NTE27" s="388"/>
      <c r="NTF27" s="388"/>
      <c r="NTG27" s="388"/>
      <c r="NTH27" s="388"/>
      <c r="NTI27" s="388"/>
      <c r="NTJ27" s="388"/>
      <c r="NTK27" s="388"/>
      <c r="NTL27" s="388"/>
      <c r="NTM27" s="388"/>
      <c r="NTN27" s="388"/>
      <c r="NTO27" s="388"/>
      <c r="NTP27" s="388"/>
      <c r="NTQ27" s="388"/>
      <c r="NTR27" s="388"/>
      <c r="NTS27" s="388"/>
      <c r="NTT27" s="388"/>
      <c r="NTU27" s="388"/>
      <c r="NTV27" s="388"/>
      <c r="NTW27" s="388"/>
      <c r="NTX27" s="388"/>
      <c r="NTY27" s="388"/>
      <c r="NTZ27" s="388"/>
      <c r="NUA27" s="388"/>
      <c r="NUB27" s="388"/>
      <c r="NUC27" s="388"/>
      <c r="NUD27" s="388"/>
      <c r="NUE27" s="388"/>
      <c r="NUF27" s="388"/>
      <c r="NUG27" s="388"/>
      <c r="NUH27" s="388"/>
      <c r="NUI27" s="388"/>
      <c r="NUJ27" s="388"/>
      <c r="NUK27" s="388"/>
      <c r="NUL27" s="388"/>
      <c r="NUM27" s="388"/>
      <c r="NUN27" s="388"/>
      <c r="NUO27" s="388"/>
      <c r="NUP27" s="388"/>
      <c r="NUQ27" s="388"/>
      <c r="NUR27" s="388"/>
      <c r="NUS27" s="388"/>
      <c r="NUT27" s="388"/>
      <c r="NUU27" s="388"/>
      <c r="NUV27" s="388"/>
      <c r="NUW27" s="388"/>
      <c r="NUX27" s="388"/>
      <c r="NUY27" s="388"/>
      <c r="NUZ27" s="388"/>
      <c r="NVA27" s="388"/>
      <c r="NVB27" s="388"/>
      <c r="NVC27" s="388"/>
      <c r="NVD27" s="388"/>
      <c r="NVE27" s="388"/>
      <c r="NVF27" s="388"/>
      <c r="NVG27" s="388"/>
      <c r="NVH27" s="388"/>
      <c r="NVI27" s="388"/>
      <c r="NVJ27" s="388"/>
      <c r="NVK27" s="388"/>
      <c r="NVL27" s="388"/>
      <c r="NVM27" s="388"/>
      <c r="NVN27" s="388"/>
      <c r="NVO27" s="388"/>
      <c r="NVP27" s="388"/>
      <c r="NVQ27" s="388"/>
      <c r="NVR27" s="388"/>
      <c r="NVS27" s="388"/>
      <c r="NVT27" s="388"/>
      <c r="NVU27" s="388"/>
      <c r="NVV27" s="388"/>
      <c r="NVW27" s="388"/>
      <c r="NVX27" s="388"/>
      <c r="NVY27" s="388"/>
      <c r="NVZ27" s="388"/>
      <c r="NWA27" s="388"/>
      <c r="NWB27" s="388"/>
      <c r="NWC27" s="388"/>
      <c r="NWD27" s="388"/>
      <c r="NWE27" s="388"/>
      <c r="NWF27" s="388"/>
      <c r="NWG27" s="388"/>
      <c r="NWH27" s="388"/>
      <c r="NWI27" s="388"/>
      <c r="NWJ27" s="388"/>
      <c r="NWK27" s="388"/>
      <c r="NWL27" s="388"/>
      <c r="NWM27" s="388"/>
      <c r="NWN27" s="388"/>
      <c r="NWO27" s="388"/>
      <c r="NWP27" s="388"/>
      <c r="NWQ27" s="388"/>
      <c r="NWR27" s="388"/>
      <c r="NWS27" s="388"/>
      <c r="NWT27" s="388"/>
      <c r="NWU27" s="388"/>
      <c r="NWV27" s="388"/>
      <c r="NWW27" s="388"/>
      <c r="NWX27" s="388"/>
      <c r="NWY27" s="388"/>
      <c r="NWZ27" s="388"/>
      <c r="NXA27" s="388"/>
      <c r="NXB27" s="388"/>
      <c r="NXC27" s="388"/>
      <c r="NXD27" s="388"/>
      <c r="NXE27" s="388"/>
      <c r="NXF27" s="388"/>
      <c r="NXG27" s="388"/>
      <c r="NXH27" s="388"/>
      <c r="NXI27" s="388"/>
      <c r="NXJ27" s="388"/>
      <c r="NXK27" s="388"/>
      <c r="NXL27" s="388"/>
      <c r="NXM27" s="388"/>
      <c r="NXN27" s="388"/>
      <c r="NXO27" s="388"/>
      <c r="NXP27" s="388"/>
      <c r="NXQ27" s="388"/>
      <c r="NXR27" s="388"/>
      <c r="NXS27" s="388"/>
      <c r="NXT27" s="388"/>
      <c r="NXU27" s="388"/>
      <c r="NXV27" s="388"/>
      <c r="NXW27" s="388"/>
      <c r="NXX27" s="388"/>
      <c r="NXY27" s="388"/>
      <c r="NXZ27" s="388"/>
      <c r="NYA27" s="388"/>
      <c r="NYB27" s="388"/>
      <c r="NYC27" s="388"/>
      <c r="NYD27" s="388"/>
      <c r="NYE27" s="388"/>
      <c r="NYF27" s="388"/>
      <c r="NYG27" s="388"/>
      <c r="NYH27" s="388"/>
      <c r="NYI27" s="388"/>
      <c r="NYJ27" s="388"/>
      <c r="NYK27" s="388"/>
      <c r="NYL27" s="388"/>
      <c r="NYM27" s="388"/>
      <c r="NYN27" s="388"/>
      <c r="NYO27" s="388"/>
      <c r="NYP27" s="388"/>
      <c r="NYQ27" s="388"/>
      <c r="NYR27" s="388"/>
      <c r="NYS27" s="388"/>
      <c r="NYT27" s="388"/>
      <c r="NYU27" s="388"/>
      <c r="NYV27" s="388"/>
      <c r="NYW27" s="388"/>
      <c r="NYX27" s="388"/>
      <c r="NYY27" s="388"/>
      <c r="NYZ27" s="388"/>
      <c r="NZA27" s="388"/>
      <c r="NZB27" s="388"/>
      <c r="NZC27" s="388"/>
      <c r="NZD27" s="388"/>
      <c r="NZE27" s="388"/>
      <c r="NZF27" s="388"/>
      <c r="NZG27" s="388"/>
      <c r="NZH27" s="388"/>
      <c r="NZI27" s="388"/>
      <c r="NZJ27" s="388"/>
      <c r="NZK27" s="388"/>
      <c r="NZL27" s="388"/>
      <c r="NZM27" s="388"/>
      <c r="NZN27" s="388"/>
      <c r="NZO27" s="388"/>
      <c r="NZP27" s="388"/>
      <c r="NZQ27" s="388"/>
      <c r="NZR27" s="388"/>
      <c r="NZS27" s="388"/>
      <c r="NZT27" s="388"/>
      <c r="NZU27" s="388"/>
      <c r="NZV27" s="388"/>
      <c r="NZW27" s="388"/>
      <c r="NZX27" s="388"/>
      <c r="NZY27" s="388"/>
      <c r="NZZ27" s="388"/>
      <c r="OAA27" s="388"/>
      <c r="OAB27" s="388"/>
      <c r="OAC27" s="388"/>
      <c r="OAD27" s="388"/>
      <c r="OAE27" s="388"/>
      <c r="OAF27" s="388"/>
      <c r="OAG27" s="388"/>
      <c r="OAH27" s="388"/>
      <c r="OAI27" s="388"/>
      <c r="OAJ27" s="388"/>
      <c r="OAK27" s="388"/>
      <c r="OAL27" s="388"/>
      <c r="OAM27" s="388"/>
      <c r="OAN27" s="388"/>
      <c r="OAO27" s="388"/>
      <c r="OAP27" s="388"/>
      <c r="OAQ27" s="388"/>
      <c r="OAR27" s="388"/>
      <c r="OAS27" s="388"/>
      <c r="OAT27" s="388"/>
      <c r="OAU27" s="388"/>
      <c r="OAV27" s="388"/>
      <c r="OAW27" s="388"/>
      <c r="OAX27" s="388"/>
      <c r="OAY27" s="388"/>
      <c r="OAZ27" s="388"/>
      <c r="OBA27" s="388"/>
      <c r="OBB27" s="388"/>
      <c r="OBC27" s="388"/>
      <c r="OBD27" s="388"/>
      <c r="OBE27" s="388"/>
      <c r="OBF27" s="388"/>
      <c r="OBG27" s="388"/>
      <c r="OBH27" s="388"/>
      <c r="OBI27" s="388"/>
      <c r="OBJ27" s="388"/>
      <c r="OBK27" s="388"/>
      <c r="OBL27" s="388"/>
      <c r="OBM27" s="388"/>
      <c r="OBN27" s="388"/>
      <c r="OBO27" s="388"/>
      <c r="OBP27" s="388"/>
      <c r="OBQ27" s="388"/>
      <c r="OBR27" s="388"/>
      <c r="OBS27" s="388"/>
      <c r="OBT27" s="388"/>
      <c r="OBU27" s="388"/>
      <c r="OBV27" s="388"/>
      <c r="OBW27" s="388"/>
      <c r="OBX27" s="388"/>
      <c r="OBY27" s="388"/>
      <c r="OBZ27" s="388"/>
      <c r="OCA27" s="388"/>
      <c r="OCB27" s="388"/>
      <c r="OCC27" s="388"/>
      <c r="OCD27" s="388"/>
      <c r="OCE27" s="388"/>
      <c r="OCF27" s="388"/>
      <c r="OCG27" s="388"/>
      <c r="OCH27" s="388"/>
      <c r="OCI27" s="388"/>
      <c r="OCJ27" s="388"/>
      <c r="OCK27" s="388"/>
      <c r="OCL27" s="388"/>
      <c r="OCM27" s="388"/>
      <c r="OCN27" s="388"/>
      <c r="OCO27" s="388"/>
      <c r="OCP27" s="388"/>
      <c r="OCQ27" s="388"/>
      <c r="OCR27" s="388"/>
      <c r="OCS27" s="388"/>
      <c r="OCT27" s="388"/>
      <c r="OCU27" s="388"/>
      <c r="OCV27" s="388"/>
      <c r="OCW27" s="388"/>
      <c r="OCX27" s="388"/>
      <c r="OCY27" s="388"/>
      <c r="OCZ27" s="388"/>
      <c r="ODA27" s="388"/>
      <c r="ODB27" s="388"/>
      <c r="ODC27" s="388"/>
      <c r="ODD27" s="388"/>
      <c r="ODE27" s="388"/>
      <c r="ODF27" s="388"/>
      <c r="ODG27" s="388"/>
      <c r="ODH27" s="388"/>
      <c r="ODI27" s="388"/>
      <c r="ODJ27" s="388"/>
      <c r="ODK27" s="388"/>
      <c r="ODL27" s="388"/>
      <c r="ODM27" s="388"/>
      <c r="ODN27" s="388"/>
      <c r="ODO27" s="388"/>
      <c r="ODP27" s="388"/>
      <c r="ODQ27" s="388"/>
      <c r="ODR27" s="388"/>
      <c r="ODS27" s="388"/>
      <c r="ODT27" s="388"/>
      <c r="ODU27" s="388"/>
      <c r="ODV27" s="388"/>
      <c r="ODW27" s="388"/>
      <c r="ODX27" s="388"/>
      <c r="ODY27" s="388"/>
      <c r="ODZ27" s="388"/>
      <c r="OEA27" s="388"/>
      <c r="OEB27" s="388"/>
      <c r="OEC27" s="388"/>
      <c r="OED27" s="388"/>
      <c r="OEE27" s="388"/>
      <c r="OEF27" s="388"/>
      <c r="OEG27" s="388"/>
      <c r="OEH27" s="388"/>
      <c r="OEI27" s="388"/>
      <c r="OEJ27" s="388"/>
      <c r="OEK27" s="388"/>
      <c r="OEL27" s="388"/>
      <c r="OEM27" s="388"/>
      <c r="OEN27" s="388"/>
      <c r="OEO27" s="388"/>
      <c r="OEP27" s="388"/>
      <c r="OEQ27" s="388"/>
      <c r="OER27" s="388"/>
      <c r="OES27" s="388"/>
      <c r="OET27" s="388"/>
      <c r="OEU27" s="388"/>
      <c r="OEV27" s="388"/>
      <c r="OEW27" s="388"/>
      <c r="OEX27" s="388"/>
      <c r="OEY27" s="388"/>
      <c r="OEZ27" s="388"/>
      <c r="OFA27" s="388"/>
      <c r="OFB27" s="388"/>
      <c r="OFC27" s="388"/>
      <c r="OFD27" s="388"/>
      <c r="OFE27" s="388"/>
      <c r="OFF27" s="388"/>
      <c r="OFG27" s="388"/>
      <c r="OFH27" s="388"/>
      <c r="OFI27" s="388"/>
      <c r="OFJ27" s="388"/>
      <c r="OFK27" s="388"/>
      <c r="OFL27" s="388"/>
      <c r="OFM27" s="388"/>
      <c r="OFN27" s="388"/>
      <c r="OFO27" s="388"/>
      <c r="OFP27" s="388"/>
      <c r="OFQ27" s="388"/>
      <c r="OFR27" s="388"/>
      <c r="OFS27" s="388"/>
      <c r="OFT27" s="388"/>
      <c r="OFU27" s="388"/>
      <c r="OFV27" s="388"/>
      <c r="OFW27" s="388"/>
      <c r="OFX27" s="388"/>
      <c r="OFY27" s="388"/>
      <c r="OFZ27" s="388"/>
      <c r="OGA27" s="388"/>
      <c r="OGB27" s="388"/>
      <c r="OGC27" s="388"/>
      <c r="OGD27" s="388"/>
      <c r="OGE27" s="388"/>
      <c r="OGF27" s="388"/>
      <c r="OGG27" s="388"/>
      <c r="OGH27" s="388"/>
      <c r="OGI27" s="388"/>
      <c r="OGJ27" s="388"/>
      <c r="OGK27" s="388"/>
      <c r="OGL27" s="388"/>
      <c r="OGM27" s="388"/>
      <c r="OGN27" s="388"/>
      <c r="OGO27" s="388"/>
      <c r="OGP27" s="388"/>
      <c r="OGQ27" s="388"/>
      <c r="OGR27" s="388"/>
      <c r="OGS27" s="388"/>
      <c r="OGT27" s="388"/>
      <c r="OGU27" s="388"/>
      <c r="OGV27" s="388"/>
      <c r="OGW27" s="388"/>
      <c r="OGX27" s="388"/>
      <c r="OGY27" s="388"/>
      <c r="OGZ27" s="388"/>
      <c r="OHA27" s="388"/>
      <c r="OHB27" s="388"/>
      <c r="OHC27" s="388"/>
      <c r="OHD27" s="388"/>
      <c r="OHE27" s="388"/>
      <c r="OHF27" s="388"/>
      <c r="OHG27" s="388"/>
      <c r="OHH27" s="388"/>
      <c r="OHI27" s="388"/>
      <c r="OHJ27" s="388"/>
      <c r="OHK27" s="388"/>
      <c r="OHL27" s="388"/>
      <c r="OHM27" s="388"/>
      <c r="OHN27" s="388"/>
      <c r="OHO27" s="388"/>
      <c r="OHP27" s="388"/>
      <c r="OHQ27" s="388"/>
      <c r="OHR27" s="388"/>
      <c r="OHS27" s="388"/>
      <c r="OHT27" s="388"/>
      <c r="OHU27" s="388"/>
      <c r="OHV27" s="388"/>
      <c r="OHW27" s="388"/>
      <c r="OHX27" s="388"/>
      <c r="OHY27" s="388"/>
      <c r="OHZ27" s="388"/>
      <c r="OIA27" s="388"/>
      <c r="OIB27" s="388"/>
      <c r="OIC27" s="388"/>
      <c r="OID27" s="388"/>
      <c r="OIE27" s="388"/>
      <c r="OIF27" s="388"/>
      <c r="OIG27" s="388"/>
      <c r="OIH27" s="388"/>
      <c r="OII27" s="388"/>
      <c r="OIJ27" s="388"/>
      <c r="OIK27" s="388"/>
      <c r="OIL27" s="388"/>
      <c r="OIM27" s="388"/>
      <c r="OIN27" s="388"/>
      <c r="OIO27" s="388"/>
      <c r="OIP27" s="388"/>
      <c r="OIQ27" s="388"/>
      <c r="OIR27" s="388"/>
      <c r="OIS27" s="388"/>
      <c r="OIT27" s="388"/>
      <c r="OIU27" s="388"/>
      <c r="OIV27" s="388"/>
      <c r="OIW27" s="388"/>
      <c r="OIX27" s="388"/>
      <c r="OIY27" s="388"/>
      <c r="OIZ27" s="388"/>
      <c r="OJA27" s="388"/>
      <c r="OJB27" s="388"/>
      <c r="OJC27" s="388"/>
      <c r="OJD27" s="388"/>
      <c r="OJE27" s="388"/>
      <c r="OJF27" s="388"/>
      <c r="OJG27" s="388"/>
      <c r="OJH27" s="388"/>
      <c r="OJI27" s="388"/>
      <c r="OJJ27" s="388"/>
      <c r="OJK27" s="388"/>
      <c r="OJL27" s="388"/>
      <c r="OJM27" s="388"/>
      <c r="OJN27" s="388"/>
      <c r="OJO27" s="388"/>
      <c r="OJP27" s="388"/>
      <c r="OJQ27" s="388"/>
      <c r="OJR27" s="388"/>
      <c r="OJS27" s="388"/>
      <c r="OJT27" s="388"/>
      <c r="OJU27" s="388"/>
      <c r="OJV27" s="388"/>
      <c r="OJW27" s="388"/>
      <c r="OJX27" s="388"/>
      <c r="OJY27" s="388"/>
      <c r="OJZ27" s="388"/>
      <c r="OKA27" s="388"/>
      <c r="OKB27" s="388"/>
      <c r="OKC27" s="388"/>
      <c r="OKD27" s="388"/>
      <c r="OKE27" s="388"/>
      <c r="OKF27" s="388"/>
      <c r="OKG27" s="388"/>
      <c r="OKH27" s="388"/>
      <c r="OKI27" s="388"/>
      <c r="OKJ27" s="388"/>
      <c r="OKK27" s="388"/>
      <c r="OKL27" s="388"/>
      <c r="OKM27" s="388"/>
      <c r="OKN27" s="388"/>
      <c r="OKO27" s="388"/>
      <c r="OKP27" s="388"/>
      <c r="OKQ27" s="388"/>
      <c r="OKR27" s="388"/>
      <c r="OKS27" s="388"/>
      <c r="OKT27" s="388"/>
      <c r="OKU27" s="388"/>
      <c r="OKV27" s="388"/>
      <c r="OKW27" s="388"/>
      <c r="OKX27" s="388"/>
      <c r="OKY27" s="388"/>
      <c r="OKZ27" s="388"/>
      <c r="OLA27" s="388"/>
      <c r="OLB27" s="388"/>
      <c r="OLC27" s="388"/>
      <c r="OLD27" s="388"/>
      <c r="OLE27" s="388"/>
      <c r="OLF27" s="388"/>
      <c r="OLG27" s="388"/>
      <c r="OLH27" s="388"/>
      <c r="OLI27" s="388"/>
      <c r="OLJ27" s="388"/>
      <c r="OLK27" s="388"/>
      <c r="OLL27" s="388"/>
      <c r="OLM27" s="388"/>
      <c r="OLN27" s="388"/>
      <c r="OLO27" s="388"/>
      <c r="OLP27" s="388"/>
      <c r="OLQ27" s="388"/>
      <c r="OLR27" s="388"/>
      <c r="OLS27" s="388"/>
      <c r="OLT27" s="388"/>
      <c r="OLU27" s="388"/>
      <c r="OLV27" s="388"/>
      <c r="OLW27" s="388"/>
      <c r="OLX27" s="388"/>
      <c r="OLY27" s="388"/>
      <c r="OLZ27" s="388"/>
      <c r="OMA27" s="388"/>
      <c r="OMB27" s="388"/>
      <c r="OMC27" s="388"/>
      <c r="OMD27" s="388"/>
      <c r="OME27" s="388"/>
      <c r="OMF27" s="388"/>
      <c r="OMG27" s="388"/>
      <c r="OMH27" s="388"/>
      <c r="OMI27" s="388"/>
      <c r="OMJ27" s="388"/>
      <c r="OMK27" s="388"/>
      <c r="OML27" s="388"/>
      <c r="OMM27" s="388"/>
      <c r="OMN27" s="388"/>
      <c r="OMO27" s="388"/>
      <c r="OMP27" s="388"/>
      <c r="OMQ27" s="388"/>
      <c r="OMR27" s="388"/>
      <c r="OMS27" s="388"/>
      <c r="OMT27" s="388"/>
      <c r="OMU27" s="388"/>
      <c r="OMV27" s="388"/>
      <c r="OMW27" s="388"/>
      <c r="OMX27" s="388"/>
      <c r="OMY27" s="388"/>
      <c r="OMZ27" s="388"/>
      <c r="ONA27" s="388"/>
      <c r="ONB27" s="388"/>
      <c r="ONC27" s="388"/>
      <c r="OND27" s="388"/>
      <c r="ONE27" s="388"/>
      <c r="ONF27" s="388"/>
      <c r="ONG27" s="388"/>
      <c r="ONH27" s="388"/>
      <c r="ONI27" s="388"/>
      <c r="ONJ27" s="388"/>
      <c r="ONK27" s="388"/>
      <c r="ONL27" s="388"/>
      <c r="ONM27" s="388"/>
      <c r="ONN27" s="388"/>
      <c r="ONO27" s="388"/>
      <c r="ONP27" s="388"/>
      <c r="ONQ27" s="388"/>
      <c r="ONR27" s="388"/>
      <c r="ONS27" s="388"/>
      <c r="ONT27" s="388"/>
      <c r="ONU27" s="388"/>
      <c r="ONV27" s="388"/>
      <c r="ONW27" s="388"/>
      <c r="ONX27" s="388"/>
      <c r="ONY27" s="388"/>
      <c r="ONZ27" s="388"/>
      <c r="OOA27" s="388"/>
      <c r="OOB27" s="388"/>
      <c r="OOC27" s="388"/>
      <c r="OOD27" s="388"/>
      <c r="OOE27" s="388"/>
      <c r="OOF27" s="388"/>
      <c r="OOG27" s="388"/>
      <c r="OOH27" s="388"/>
      <c r="OOI27" s="388"/>
      <c r="OOJ27" s="388"/>
      <c r="OOK27" s="388"/>
      <c r="OOL27" s="388"/>
      <c r="OOM27" s="388"/>
      <c r="OON27" s="388"/>
      <c r="OOO27" s="388"/>
      <c r="OOP27" s="388"/>
      <c r="OOQ27" s="388"/>
      <c r="OOR27" s="388"/>
      <c r="OOS27" s="388"/>
      <c r="OOT27" s="388"/>
      <c r="OOU27" s="388"/>
      <c r="OOV27" s="388"/>
      <c r="OOW27" s="388"/>
      <c r="OOX27" s="388"/>
      <c r="OOY27" s="388"/>
      <c r="OOZ27" s="388"/>
      <c r="OPA27" s="388"/>
      <c r="OPB27" s="388"/>
      <c r="OPC27" s="388"/>
      <c r="OPD27" s="388"/>
      <c r="OPE27" s="388"/>
      <c r="OPF27" s="388"/>
      <c r="OPG27" s="388"/>
      <c r="OPH27" s="388"/>
      <c r="OPI27" s="388"/>
      <c r="OPJ27" s="388"/>
      <c r="OPK27" s="388"/>
      <c r="OPL27" s="388"/>
      <c r="OPM27" s="388"/>
      <c r="OPN27" s="388"/>
      <c r="OPO27" s="388"/>
      <c r="OPP27" s="388"/>
      <c r="OPQ27" s="388"/>
      <c r="OPR27" s="388"/>
      <c r="OPS27" s="388"/>
      <c r="OPT27" s="388"/>
      <c r="OPU27" s="388"/>
      <c r="OPV27" s="388"/>
      <c r="OPW27" s="388"/>
      <c r="OPX27" s="388"/>
      <c r="OPY27" s="388"/>
      <c r="OPZ27" s="388"/>
      <c r="OQA27" s="388"/>
      <c r="OQB27" s="388"/>
      <c r="OQC27" s="388"/>
      <c r="OQD27" s="388"/>
      <c r="OQE27" s="388"/>
      <c r="OQF27" s="388"/>
      <c r="OQG27" s="388"/>
      <c r="OQH27" s="388"/>
      <c r="OQI27" s="388"/>
      <c r="OQJ27" s="388"/>
      <c r="OQK27" s="388"/>
      <c r="OQL27" s="388"/>
      <c r="OQM27" s="388"/>
      <c r="OQN27" s="388"/>
      <c r="OQO27" s="388"/>
      <c r="OQP27" s="388"/>
      <c r="OQQ27" s="388"/>
      <c r="OQR27" s="388"/>
      <c r="OQS27" s="388"/>
      <c r="OQT27" s="388"/>
      <c r="OQU27" s="388"/>
      <c r="OQV27" s="388"/>
      <c r="OQW27" s="388"/>
      <c r="OQX27" s="388"/>
      <c r="OQY27" s="388"/>
      <c r="OQZ27" s="388"/>
      <c r="ORA27" s="388"/>
      <c r="ORB27" s="388"/>
      <c r="ORC27" s="388"/>
      <c r="ORD27" s="388"/>
      <c r="ORE27" s="388"/>
      <c r="ORF27" s="388"/>
      <c r="ORG27" s="388"/>
      <c r="ORH27" s="388"/>
      <c r="ORI27" s="388"/>
      <c r="ORJ27" s="388"/>
      <c r="ORK27" s="388"/>
      <c r="ORL27" s="388"/>
      <c r="ORM27" s="388"/>
      <c r="ORN27" s="388"/>
      <c r="ORO27" s="388"/>
      <c r="ORP27" s="388"/>
      <c r="ORQ27" s="388"/>
      <c r="ORR27" s="388"/>
      <c r="ORS27" s="388"/>
      <c r="ORT27" s="388"/>
      <c r="ORU27" s="388"/>
      <c r="ORV27" s="388"/>
      <c r="ORW27" s="388"/>
      <c r="ORX27" s="388"/>
      <c r="ORY27" s="388"/>
      <c r="ORZ27" s="388"/>
      <c r="OSA27" s="388"/>
      <c r="OSB27" s="388"/>
      <c r="OSC27" s="388"/>
      <c r="OSD27" s="388"/>
      <c r="OSE27" s="388"/>
      <c r="OSF27" s="388"/>
      <c r="OSG27" s="388"/>
      <c r="OSH27" s="388"/>
      <c r="OSI27" s="388"/>
      <c r="OSJ27" s="388"/>
      <c r="OSK27" s="388"/>
      <c r="OSL27" s="388"/>
      <c r="OSM27" s="388"/>
      <c r="OSN27" s="388"/>
      <c r="OSO27" s="388"/>
      <c r="OSP27" s="388"/>
      <c r="OSQ27" s="388"/>
      <c r="OSR27" s="388"/>
      <c r="OSS27" s="388"/>
      <c r="OST27" s="388"/>
      <c r="OSU27" s="388"/>
      <c r="OSV27" s="388"/>
      <c r="OSW27" s="388"/>
      <c r="OSX27" s="388"/>
      <c r="OSY27" s="388"/>
      <c r="OSZ27" s="388"/>
      <c r="OTA27" s="388"/>
      <c r="OTB27" s="388"/>
      <c r="OTC27" s="388"/>
      <c r="OTD27" s="388"/>
      <c r="OTE27" s="388"/>
      <c r="OTF27" s="388"/>
      <c r="OTG27" s="388"/>
      <c r="OTH27" s="388"/>
      <c r="OTI27" s="388"/>
      <c r="OTJ27" s="388"/>
      <c r="OTK27" s="388"/>
      <c r="OTL27" s="388"/>
      <c r="OTM27" s="388"/>
      <c r="OTN27" s="388"/>
      <c r="OTO27" s="388"/>
      <c r="OTP27" s="388"/>
      <c r="OTQ27" s="388"/>
      <c r="OTR27" s="388"/>
      <c r="OTS27" s="388"/>
      <c r="OTT27" s="388"/>
      <c r="OTU27" s="388"/>
      <c r="OTV27" s="388"/>
      <c r="OTW27" s="388"/>
      <c r="OTX27" s="388"/>
      <c r="OTY27" s="388"/>
      <c r="OTZ27" s="388"/>
      <c r="OUA27" s="388"/>
      <c r="OUB27" s="388"/>
      <c r="OUC27" s="388"/>
      <c r="OUD27" s="388"/>
      <c r="OUE27" s="388"/>
      <c r="OUF27" s="388"/>
      <c r="OUG27" s="388"/>
      <c r="OUH27" s="388"/>
      <c r="OUI27" s="388"/>
      <c r="OUJ27" s="388"/>
      <c r="OUK27" s="388"/>
      <c r="OUL27" s="388"/>
      <c r="OUM27" s="388"/>
      <c r="OUN27" s="388"/>
      <c r="OUO27" s="388"/>
      <c r="OUP27" s="388"/>
      <c r="OUQ27" s="388"/>
      <c r="OUR27" s="388"/>
      <c r="OUS27" s="388"/>
      <c r="OUT27" s="388"/>
      <c r="OUU27" s="388"/>
      <c r="OUV27" s="388"/>
      <c r="OUW27" s="388"/>
      <c r="OUX27" s="388"/>
      <c r="OUY27" s="388"/>
      <c r="OUZ27" s="388"/>
      <c r="OVA27" s="388"/>
      <c r="OVB27" s="388"/>
      <c r="OVC27" s="388"/>
      <c r="OVD27" s="388"/>
      <c r="OVE27" s="388"/>
      <c r="OVF27" s="388"/>
      <c r="OVG27" s="388"/>
      <c r="OVH27" s="388"/>
      <c r="OVI27" s="388"/>
      <c r="OVJ27" s="388"/>
      <c r="OVK27" s="388"/>
      <c r="OVL27" s="388"/>
      <c r="OVM27" s="388"/>
      <c r="OVN27" s="388"/>
      <c r="OVO27" s="388"/>
      <c r="OVP27" s="388"/>
      <c r="OVQ27" s="388"/>
      <c r="OVR27" s="388"/>
      <c r="OVS27" s="388"/>
      <c r="OVT27" s="388"/>
      <c r="OVU27" s="388"/>
      <c r="OVV27" s="388"/>
      <c r="OVW27" s="388"/>
      <c r="OVX27" s="388"/>
      <c r="OVY27" s="388"/>
      <c r="OVZ27" s="388"/>
      <c r="OWA27" s="388"/>
      <c r="OWB27" s="388"/>
      <c r="OWC27" s="388"/>
      <c r="OWD27" s="388"/>
      <c r="OWE27" s="388"/>
      <c r="OWF27" s="388"/>
      <c r="OWG27" s="388"/>
      <c r="OWH27" s="388"/>
      <c r="OWI27" s="388"/>
      <c r="OWJ27" s="388"/>
      <c r="OWK27" s="388"/>
      <c r="OWL27" s="388"/>
      <c r="OWM27" s="388"/>
      <c r="OWN27" s="388"/>
      <c r="OWO27" s="388"/>
      <c r="OWP27" s="388"/>
      <c r="OWQ27" s="388"/>
      <c r="OWR27" s="388"/>
      <c r="OWS27" s="388"/>
      <c r="OWT27" s="388"/>
      <c r="OWU27" s="388"/>
      <c r="OWV27" s="388"/>
      <c r="OWW27" s="388"/>
      <c r="OWX27" s="388"/>
      <c r="OWY27" s="388"/>
      <c r="OWZ27" s="388"/>
      <c r="OXA27" s="388"/>
      <c r="OXB27" s="388"/>
      <c r="OXC27" s="388"/>
      <c r="OXD27" s="388"/>
      <c r="OXE27" s="388"/>
      <c r="OXF27" s="388"/>
      <c r="OXG27" s="388"/>
      <c r="OXH27" s="388"/>
      <c r="OXI27" s="388"/>
      <c r="OXJ27" s="388"/>
      <c r="OXK27" s="388"/>
      <c r="OXL27" s="388"/>
      <c r="OXM27" s="388"/>
      <c r="OXN27" s="388"/>
      <c r="OXO27" s="388"/>
      <c r="OXP27" s="388"/>
      <c r="OXQ27" s="388"/>
      <c r="OXR27" s="388"/>
      <c r="OXS27" s="388"/>
      <c r="OXT27" s="388"/>
      <c r="OXU27" s="388"/>
      <c r="OXV27" s="388"/>
      <c r="OXW27" s="388"/>
      <c r="OXX27" s="388"/>
      <c r="OXY27" s="388"/>
      <c r="OXZ27" s="388"/>
      <c r="OYA27" s="388"/>
      <c r="OYB27" s="388"/>
      <c r="OYC27" s="388"/>
      <c r="OYD27" s="388"/>
      <c r="OYE27" s="388"/>
      <c r="OYF27" s="388"/>
      <c r="OYG27" s="388"/>
      <c r="OYH27" s="388"/>
      <c r="OYI27" s="388"/>
      <c r="OYJ27" s="388"/>
      <c r="OYK27" s="388"/>
      <c r="OYL27" s="388"/>
      <c r="OYM27" s="388"/>
      <c r="OYN27" s="388"/>
      <c r="OYO27" s="388"/>
      <c r="OYP27" s="388"/>
      <c r="OYQ27" s="388"/>
      <c r="OYR27" s="388"/>
      <c r="OYS27" s="388"/>
      <c r="OYT27" s="388"/>
      <c r="OYU27" s="388"/>
      <c r="OYV27" s="388"/>
      <c r="OYW27" s="388"/>
      <c r="OYX27" s="388"/>
      <c r="OYY27" s="388"/>
      <c r="OYZ27" s="388"/>
      <c r="OZA27" s="388"/>
      <c r="OZB27" s="388"/>
      <c r="OZC27" s="388"/>
      <c r="OZD27" s="388"/>
      <c r="OZE27" s="388"/>
      <c r="OZF27" s="388"/>
      <c r="OZG27" s="388"/>
      <c r="OZH27" s="388"/>
      <c r="OZI27" s="388"/>
      <c r="OZJ27" s="388"/>
      <c r="OZK27" s="388"/>
      <c r="OZL27" s="388"/>
      <c r="OZM27" s="388"/>
      <c r="OZN27" s="388"/>
      <c r="OZO27" s="388"/>
      <c r="OZP27" s="388"/>
      <c r="OZQ27" s="388"/>
      <c r="OZR27" s="388"/>
      <c r="OZS27" s="388"/>
      <c r="OZT27" s="388"/>
      <c r="OZU27" s="388"/>
      <c r="OZV27" s="388"/>
      <c r="OZW27" s="388"/>
      <c r="OZX27" s="388"/>
      <c r="OZY27" s="388"/>
      <c r="OZZ27" s="388"/>
      <c r="PAA27" s="388"/>
      <c r="PAB27" s="388"/>
      <c r="PAC27" s="388"/>
      <c r="PAD27" s="388"/>
      <c r="PAE27" s="388"/>
      <c r="PAF27" s="388"/>
      <c r="PAG27" s="388"/>
      <c r="PAH27" s="388"/>
      <c r="PAI27" s="388"/>
      <c r="PAJ27" s="388"/>
      <c r="PAK27" s="388"/>
      <c r="PAL27" s="388"/>
      <c r="PAM27" s="388"/>
      <c r="PAN27" s="388"/>
      <c r="PAO27" s="388"/>
      <c r="PAP27" s="388"/>
      <c r="PAQ27" s="388"/>
      <c r="PAR27" s="388"/>
      <c r="PAS27" s="388"/>
      <c r="PAT27" s="388"/>
      <c r="PAU27" s="388"/>
      <c r="PAV27" s="388"/>
      <c r="PAW27" s="388"/>
      <c r="PAX27" s="388"/>
      <c r="PAY27" s="388"/>
      <c r="PAZ27" s="388"/>
      <c r="PBA27" s="388"/>
      <c r="PBB27" s="388"/>
      <c r="PBC27" s="388"/>
      <c r="PBD27" s="388"/>
      <c r="PBE27" s="388"/>
      <c r="PBF27" s="388"/>
      <c r="PBG27" s="388"/>
      <c r="PBH27" s="388"/>
      <c r="PBI27" s="388"/>
      <c r="PBJ27" s="388"/>
      <c r="PBK27" s="388"/>
      <c r="PBL27" s="388"/>
      <c r="PBM27" s="388"/>
      <c r="PBN27" s="388"/>
      <c r="PBO27" s="388"/>
      <c r="PBP27" s="388"/>
      <c r="PBQ27" s="388"/>
      <c r="PBR27" s="388"/>
      <c r="PBS27" s="388"/>
      <c r="PBT27" s="388"/>
      <c r="PBU27" s="388"/>
      <c r="PBV27" s="388"/>
      <c r="PBW27" s="388"/>
      <c r="PBX27" s="388"/>
      <c r="PBY27" s="388"/>
      <c r="PBZ27" s="388"/>
      <c r="PCA27" s="388"/>
      <c r="PCB27" s="388"/>
      <c r="PCC27" s="388"/>
      <c r="PCD27" s="388"/>
      <c r="PCE27" s="388"/>
      <c r="PCF27" s="388"/>
      <c r="PCG27" s="388"/>
      <c r="PCH27" s="388"/>
      <c r="PCI27" s="388"/>
      <c r="PCJ27" s="388"/>
      <c r="PCK27" s="388"/>
      <c r="PCL27" s="388"/>
      <c r="PCM27" s="388"/>
      <c r="PCN27" s="388"/>
      <c r="PCO27" s="388"/>
      <c r="PCP27" s="388"/>
      <c r="PCQ27" s="388"/>
      <c r="PCR27" s="388"/>
      <c r="PCS27" s="388"/>
      <c r="PCT27" s="388"/>
      <c r="PCU27" s="388"/>
      <c r="PCV27" s="388"/>
      <c r="PCW27" s="388"/>
      <c r="PCX27" s="388"/>
      <c r="PCY27" s="388"/>
      <c r="PCZ27" s="388"/>
      <c r="PDA27" s="388"/>
      <c r="PDB27" s="388"/>
      <c r="PDC27" s="388"/>
      <c r="PDD27" s="388"/>
      <c r="PDE27" s="388"/>
      <c r="PDF27" s="388"/>
      <c r="PDG27" s="388"/>
      <c r="PDH27" s="388"/>
      <c r="PDI27" s="388"/>
      <c r="PDJ27" s="388"/>
      <c r="PDK27" s="388"/>
      <c r="PDL27" s="388"/>
      <c r="PDM27" s="388"/>
      <c r="PDN27" s="388"/>
      <c r="PDO27" s="388"/>
      <c r="PDP27" s="388"/>
      <c r="PDQ27" s="388"/>
      <c r="PDR27" s="388"/>
      <c r="PDS27" s="388"/>
      <c r="PDT27" s="388"/>
      <c r="PDU27" s="388"/>
      <c r="PDV27" s="388"/>
      <c r="PDW27" s="388"/>
      <c r="PDX27" s="388"/>
      <c r="PDY27" s="388"/>
      <c r="PDZ27" s="388"/>
      <c r="PEA27" s="388"/>
      <c r="PEB27" s="388"/>
      <c r="PEC27" s="388"/>
      <c r="PED27" s="388"/>
      <c r="PEE27" s="388"/>
      <c r="PEF27" s="388"/>
      <c r="PEG27" s="388"/>
      <c r="PEH27" s="388"/>
      <c r="PEI27" s="388"/>
      <c r="PEJ27" s="388"/>
      <c r="PEK27" s="388"/>
      <c r="PEL27" s="388"/>
      <c r="PEM27" s="388"/>
      <c r="PEN27" s="388"/>
      <c r="PEO27" s="388"/>
      <c r="PEP27" s="388"/>
      <c r="PEQ27" s="388"/>
      <c r="PER27" s="388"/>
      <c r="PES27" s="388"/>
      <c r="PET27" s="388"/>
      <c r="PEU27" s="388"/>
      <c r="PEV27" s="388"/>
      <c r="PEW27" s="388"/>
      <c r="PEX27" s="388"/>
      <c r="PEY27" s="388"/>
      <c r="PEZ27" s="388"/>
      <c r="PFA27" s="388"/>
      <c r="PFB27" s="388"/>
      <c r="PFC27" s="388"/>
      <c r="PFD27" s="388"/>
      <c r="PFE27" s="388"/>
      <c r="PFF27" s="388"/>
      <c r="PFG27" s="388"/>
      <c r="PFH27" s="388"/>
      <c r="PFI27" s="388"/>
      <c r="PFJ27" s="388"/>
      <c r="PFK27" s="388"/>
      <c r="PFL27" s="388"/>
      <c r="PFM27" s="388"/>
      <c r="PFN27" s="388"/>
      <c r="PFO27" s="388"/>
      <c r="PFP27" s="388"/>
      <c r="PFQ27" s="388"/>
      <c r="PFR27" s="388"/>
      <c r="PFS27" s="388"/>
      <c r="PFT27" s="388"/>
      <c r="PFU27" s="388"/>
      <c r="PFV27" s="388"/>
      <c r="PFW27" s="388"/>
      <c r="PFX27" s="388"/>
      <c r="PFY27" s="388"/>
      <c r="PFZ27" s="388"/>
      <c r="PGA27" s="388"/>
      <c r="PGB27" s="388"/>
      <c r="PGC27" s="388"/>
      <c r="PGD27" s="388"/>
      <c r="PGE27" s="388"/>
      <c r="PGF27" s="388"/>
      <c r="PGG27" s="388"/>
      <c r="PGH27" s="388"/>
      <c r="PGI27" s="388"/>
      <c r="PGJ27" s="388"/>
      <c r="PGK27" s="388"/>
      <c r="PGL27" s="388"/>
      <c r="PGM27" s="388"/>
      <c r="PGN27" s="388"/>
      <c r="PGO27" s="388"/>
      <c r="PGP27" s="388"/>
      <c r="PGQ27" s="388"/>
      <c r="PGR27" s="388"/>
      <c r="PGS27" s="388"/>
      <c r="PGT27" s="388"/>
      <c r="PGU27" s="388"/>
      <c r="PGV27" s="388"/>
      <c r="PGW27" s="388"/>
      <c r="PGX27" s="388"/>
      <c r="PGY27" s="388"/>
      <c r="PGZ27" s="388"/>
      <c r="PHA27" s="388"/>
      <c r="PHB27" s="388"/>
      <c r="PHC27" s="388"/>
      <c r="PHD27" s="388"/>
      <c r="PHE27" s="388"/>
      <c r="PHF27" s="388"/>
      <c r="PHG27" s="388"/>
      <c r="PHH27" s="388"/>
      <c r="PHI27" s="388"/>
      <c r="PHJ27" s="388"/>
      <c r="PHK27" s="388"/>
      <c r="PHL27" s="388"/>
      <c r="PHM27" s="388"/>
      <c r="PHN27" s="388"/>
      <c r="PHO27" s="388"/>
      <c r="PHP27" s="388"/>
      <c r="PHQ27" s="388"/>
      <c r="PHR27" s="388"/>
      <c r="PHS27" s="388"/>
      <c r="PHT27" s="388"/>
      <c r="PHU27" s="388"/>
      <c r="PHV27" s="388"/>
      <c r="PHW27" s="388"/>
      <c r="PHX27" s="388"/>
      <c r="PHY27" s="388"/>
      <c r="PHZ27" s="388"/>
      <c r="PIA27" s="388"/>
      <c r="PIB27" s="388"/>
      <c r="PIC27" s="388"/>
      <c r="PID27" s="388"/>
      <c r="PIE27" s="388"/>
      <c r="PIF27" s="388"/>
      <c r="PIG27" s="388"/>
      <c r="PIH27" s="388"/>
      <c r="PII27" s="388"/>
      <c r="PIJ27" s="388"/>
      <c r="PIK27" s="388"/>
      <c r="PIL27" s="388"/>
      <c r="PIM27" s="388"/>
      <c r="PIN27" s="388"/>
      <c r="PIO27" s="388"/>
      <c r="PIP27" s="388"/>
      <c r="PIQ27" s="388"/>
      <c r="PIR27" s="388"/>
      <c r="PIS27" s="388"/>
      <c r="PIT27" s="388"/>
      <c r="PIU27" s="388"/>
      <c r="PIV27" s="388"/>
      <c r="PIW27" s="388"/>
      <c r="PIX27" s="388"/>
      <c r="PIY27" s="388"/>
      <c r="PIZ27" s="388"/>
      <c r="PJA27" s="388"/>
      <c r="PJB27" s="388"/>
      <c r="PJC27" s="388"/>
      <c r="PJD27" s="388"/>
      <c r="PJE27" s="388"/>
      <c r="PJF27" s="388"/>
      <c r="PJG27" s="388"/>
      <c r="PJH27" s="388"/>
      <c r="PJI27" s="388"/>
      <c r="PJJ27" s="388"/>
      <c r="PJK27" s="388"/>
      <c r="PJL27" s="388"/>
      <c r="PJM27" s="388"/>
      <c r="PJN27" s="388"/>
      <c r="PJO27" s="388"/>
      <c r="PJP27" s="388"/>
      <c r="PJQ27" s="388"/>
      <c r="PJR27" s="388"/>
      <c r="PJS27" s="388"/>
      <c r="PJT27" s="388"/>
      <c r="PJU27" s="388"/>
      <c r="PJV27" s="388"/>
      <c r="PJW27" s="388"/>
      <c r="PJX27" s="388"/>
      <c r="PJY27" s="388"/>
      <c r="PJZ27" s="388"/>
      <c r="PKA27" s="388"/>
      <c r="PKB27" s="388"/>
      <c r="PKC27" s="388"/>
      <c r="PKD27" s="388"/>
      <c r="PKE27" s="388"/>
      <c r="PKF27" s="388"/>
      <c r="PKG27" s="388"/>
      <c r="PKH27" s="388"/>
      <c r="PKI27" s="388"/>
      <c r="PKJ27" s="388"/>
      <c r="PKK27" s="388"/>
      <c r="PKL27" s="388"/>
      <c r="PKM27" s="388"/>
      <c r="PKN27" s="388"/>
      <c r="PKO27" s="388"/>
      <c r="PKP27" s="388"/>
      <c r="PKQ27" s="388"/>
      <c r="PKR27" s="388"/>
      <c r="PKS27" s="388"/>
      <c r="PKT27" s="388"/>
      <c r="PKU27" s="388"/>
      <c r="PKV27" s="388"/>
      <c r="PKW27" s="388"/>
      <c r="PKX27" s="388"/>
      <c r="PKY27" s="388"/>
      <c r="PKZ27" s="388"/>
      <c r="PLA27" s="388"/>
      <c r="PLB27" s="388"/>
      <c r="PLC27" s="388"/>
      <c r="PLD27" s="388"/>
      <c r="PLE27" s="388"/>
      <c r="PLF27" s="388"/>
      <c r="PLG27" s="388"/>
      <c r="PLH27" s="388"/>
      <c r="PLI27" s="388"/>
      <c r="PLJ27" s="388"/>
      <c r="PLK27" s="388"/>
      <c r="PLL27" s="388"/>
      <c r="PLM27" s="388"/>
      <c r="PLN27" s="388"/>
      <c r="PLO27" s="388"/>
      <c r="PLP27" s="388"/>
      <c r="PLQ27" s="388"/>
      <c r="PLR27" s="388"/>
      <c r="PLS27" s="388"/>
      <c r="PLT27" s="388"/>
      <c r="PLU27" s="388"/>
      <c r="PLV27" s="388"/>
      <c r="PLW27" s="388"/>
      <c r="PLX27" s="388"/>
      <c r="PLY27" s="388"/>
      <c r="PLZ27" s="388"/>
      <c r="PMA27" s="388"/>
      <c r="PMB27" s="388"/>
      <c r="PMC27" s="388"/>
      <c r="PMD27" s="388"/>
      <c r="PME27" s="388"/>
      <c r="PMF27" s="388"/>
      <c r="PMG27" s="388"/>
      <c r="PMH27" s="388"/>
      <c r="PMI27" s="388"/>
      <c r="PMJ27" s="388"/>
      <c r="PMK27" s="388"/>
      <c r="PML27" s="388"/>
      <c r="PMM27" s="388"/>
      <c r="PMN27" s="388"/>
      <c r="PMO27" s="388"/>
      <c r="PMP27" s="388"/>
      <c r="PMQ27" s="388"/>
      <c r="PMR27" s="388"/>
      <c r="PMS27" s="388"/>
      <c r="PMT27" s="388"/>
      <c r="PMU27" s="388"/>
      <c r="PMV27" s="388"/>
      <c r="PMW27" s="388"/>
      <c r="PMX27" s="388"/>
      <c r="PMY27" s="388"/>
      <c r="PMZ27" s="388"/>
      <c r="PNA27" s="388"/>
      <c r="PNB27" s="388"/>
      <c r="PNC27" s="388"/>
      <c r="PND27" s="388"/>
      <c r="PNE27" s="388"/>
      <c r="PNF27" s="388"/>
      <c r="PNG27" s="388"/>
      <c r="PNH27" s="388"/>
      <c r="PNI27" s="388"/>
      <c r="PNJ27" s="388"/>
      <c r="PNK27" s="388"/>
      <c r="PNL27" s="388"/>
      <c r="PNM27" s="388"/>
      <c r="PNN27" s="388"/>
      <c r="PNO27" s="388"/>
      <c r="PNP27" s="388"/>
      <c r="PNQ27" s="388"/>
      <c r="PNR27" s="388"/>
      <c r="PNS27" s="388"/>
      <c r="PNT27" s="388"/>
      <c r="PNU27" s="388"/>
      <c r="PNV27" s="388"/>
      <c r="PNW27" s="388"/>
      <c r="PNX27" s="388"/>
      <c r="PNY27" s="388"/>
      <c r="PNZ27" s="388"/>
      <c r="POA27" s="388"/>
      <c r="POB27" s="388"/>
      <c r="POC27" s="388"/>
      <c r="POD27" s="388"/>
      <c r="POE27" s="388"/>
      <c r="POF27" s="388"/>
      <c r="POG27" s="388"/>
      <c r="POH27" s="388"/>
      <c r="POI27" s="388"/>
      <c r="POJ27" s="388"/>
      <c r="POK27" s="388"/>
      <c r="POL27" s="388"/>
      <c r="POM27" s="388"/>
      <c r="PON27" s="388"/>
      <c r="POO27" s="388"/>
      <c r="POP27" s="388"/>
      <c r="POQ27" s="388"/>
      <c r="POR27" s="388"/>
      <c r="POS27" s="388"/>
      <c r="POT27" s="388"/>
      <c r="POU27" s="388"/>
      <c r="POV27" s="388"/>
      <c r="POW27" s="388"/>
      <c r="POX27" s="388"/>
      <c r="POY27" s="388"/>
      <c r="POZ27" s="388"/>
      <c r="PPA27" s="388"/>
      <c r="PPB27" s="388"/>
      <c r="PPC27" s="388"/>
      <c r="PPD27" s="388"/>
      <c r="PPE27" s="388"/>
      <c r="PPF27" s="388"/>
      <c r="PPG27" s="388"/>
      <c r="PPH27" s="388"/>
      <c r="PPI27" s="388"/>
      <c r="PPJ27" s="388"/>
      <c r="PPK27" s="388"/>
      <c r="PPL27" s="388"/>
      <c r="PPM27" s="388"/>
      <c r="PPN27" s="388"/>
      <c r="PPO27" s="388"/>
      <c r="PPP27" s="388"/>
      <c r="PPQ27" s="388"/>
      <c r="PPR27" s="388"/>
      <c r="PPS27" s="388"/>
      <c r="PPT27" s="388"/>
      <c r="PPU27" s="388"/>
      <c r="PPV27" s="388"/>
      <c r="PPW27" s="388"/>
      <c r="PPX27" s="388"/>
      <c r="PPY27" s="388"/>
      <c r="PPZ27" s="388"/>
      <c r="PQA27" s="388"/>
      <c r="PQB27" s="388"/>
      <c r="PQC27" s="388"/>
      <c r="PQD27" s="388"/>
      <c r="PQE27" s="388"/>
      <c r="PQF27" s="388"/>
      <c r="PQG27" s="388"/>
      <c r="PQH27" s="388"/>
      <c r="PQI27" s="388"/>
      <c r="PQJ27" s="388"/>
      <c r="PQK27" s="388"/>
      <c r="PQL27" s="388"/>
      <c r="PQM27" s="388"/>
      <c r="PQN27" s="388"/>
      <c r="PQO27" s="388"/>
      <c r="PQP27" s="388"/>
      <c r="PQQ27" s="388"/>
      <c r="PQR27" s="388"/>
      <c r="PQS27" s="388"/>
      <c r="PQT27" s="388"/>
      <c r="PQU27" s="388"/>
      <c r="PQV27" s="388"/>
      <c r="PQW27" s="388"/>
      <c r="PQX27" s="388"/>
      <c r="PQY27" s="388"/>
      <c r="PQZ27" s="388"/>
      <c r="PRA27" s="388"/>
      <c r="PRB27" s="388"/>
      <c r="PRC27" s="388"/>
      <c r="PRD27" s="388"/>
      <c r="PRE27" s="388"/>
      <c r="PRF27" s="388"/>
      <c r="PRG27" s="388"/>
      <c r="PRH27" s="388"/>
      <c r="PRI27" s="388"/>
      <c r="PRJ27" s="388"/>
      <c r="PRK27" s="388"/>
      <c r="PRL27" s="388"/>
      <c r="PRM27" s="388"/>
      <c r="PRN27" s="388"/>
      <c r="PRO27" s="388"/>
      <c r="PRP27" s="388"/>
      <c r="PRQ27" s="388"/>
      <c r="PRR27" s="388"/>
      <c r="PRS27" s="388"/>
      <c r="PRT27" s="388"/>
      <c r="PRU27" s="388"/>
      <c r="PRV27" s="388"/>
      <c r="PRW27" s="388"/>
      <c r="PRX27" s="388"/>
      <c r="PRY27" s="388"/>
      <c r="PRZ27" s="388"/>
      <c r="PSA27" s="388"/>
      <c r="PSB27" s="388"/>
      <c r="PSC27" s="388"/>
      <c r="PSD27" s="388"/>
      <c r="PSE27" s="388"/>
      <c r="PSF27" s="388"/>
      <c r="PSG27" s="388"/>
      <c r="PSH27" s="388"/>
      <c r="PSI27" s="388"/>
      <c r="PSJ27" s="388"/>
      <c r="PSK27" s="388"/>
      <c r="PSL27" s="388"/>
      <c r="PSM27" s="388"/>
      <c r="PSN27" s="388"/>
      <c r="PSO27" s="388"/>
      <c r="PSP27" s="388"/>
      <c r="PSQ27" s="388"/>
      <c r="PSR27" s="388"/>
      <c r="PSS27" s="388"/>
      <c r="PST27" s="388"/>
      <c r="PSU27" s="388"/>
      <c r="PSV27" s="388"/>
      <c r="PSW27" s="388"/>
      <c r="PSX27" s="388"/>
      <c r="PSY27" s="388"/>
      <c r="PSZ27" s="388"/>
      <c r="PTA27" s="388"/>
      <c r="PTB27" s="388"/>
      <c r="PTC27" s="388"/>
      <c r="PTD27" s="388"/>
      <c r="PTE27" s="388"/>
      <c r="PTF27" s="388"/>
      <c r="PTG27" s="388"/>
      <c r="PTH27" s="388"/>
      <c r="PTI27" s="388"/>
      <c r="PTJ27" s="388"/>
      <c r="PTK27" s="388"/>
      <c r="PTL27" s="388"/>
      <c r="PTM27" s="388"/>
      <c r="PTN27" s="388"/>
      <c r="PTO27" s="388"/>
      <c r="PTP27" s="388"/>
      <c r="PTQ27" s="388"/>
      <c r="PTR27" s="388"/>
      <c r="PTS27" s="388"/>
      <c r="PTT27" s="388"/>
      <c r="PTU27" s="388"/>
      <c r="PTV27" s="388"/>
      <c r="PTW27" s="388"/>
      <c r="PTX27" s="388"/>
      <c r="PTY27" s="388"/>
      <c r="PTZ27" s="388"/>
      <c r="PUA27" s="388"/>
      <c r="PUB27" s="388"/>
      <c r="PUC27" s="388"/>
      <c r="PUD27" s="388"/>
      <c r="PUE27" s="388"/>
      <c r="PUF27" s="388"/>
      <c r="PUG27" s="388"/>
      <c r="PUH27" s="388"/>
      <c r="PUI27" s="388"/>
      <c r="PUJ27" s="388"/>
      <c r="PUK27" s="388"/>
      <c r="PUL27" s="388"/>
      <c r="PUM27" s="388"/>
      <c r="PUN27" s="388"/>
      <c r="PUO27" s="388"/>
      <c r="PUP27" s="388"/>
      <c r="PUQ27" s="388"/>
      <c r="PUR27" s="388"/>
      <c r="PUS27" s="388"/>
      <c r="PUT27" s="388"/>
      <c r="PUU27" s="388"/>
      <c r="PUV27" s="388"/>
      <c r="PUW27" s="388"/>
      <c r="PUX27" s="388"/>
      <c r="PUY27" s="388"/>
      <c r="PUZ27" s="388"/>
      <c r="PVA27" s="388"/>
      <c r="PVB27" s="388"/>
      <c r="PVC27" s="388"/>
      <c r="PVD27" s="388"/>
      <c r="PVE27" s="388"/>
      <c r="PVF27" s="388"/>
      <c r="PVG27" s="388"/>
      <c r="PVH27" s="388"/>
      <c r="PVI27" s="388"/>
      <c r="PVJ27" s="388"/>
      <c r="PVK27" s="388"/>
      <c r="PVL27" s="388"/>
      <c r="PVM27" s="388"/>
      <c r="PVN27" s="388"/>
      <c r="PVO27" s="388"/>
      <c r="PVP27" s="388"/>
      <c r="PVQ27" s="388"/>
      <c r="PVR27" s="388"/>
      <c r="PVS27" s="388"/>
      <c r="PVT27" s="388"/>
      <c r="PVU27" s="388"/>
      <c r="PVV27" s="388"/>
      <c r="PVW27" s="388"/>
      <c r="PVX27" s="388"/>
      <c r="PVY27" s="388"/>
      <c r="PVZ27" s="388"/>
      <c r="PWA27" s="388"/>
      <c r="PWB27" s="388"/>
      <c r="PWC27" s="388"/>
      <c r="PWD27" s="388"/>
      <c r="PWE27" s="388"/>
      <c r="PWF27" s="388"/>
      <c r="PWG27" s="388"/>
      <c r="PWH27" s="388"/>
      <c r="PWI27" s="388"/>
      <c r="PWJ27" s="388"/>
      <c r="PWK27" s="388"/>
      <c r="PWL27" s="388"/>
      <c r="PWM27" s="388"/>
      <c r="PWN27" s="388"/>
      <c r="PWO27" s="388"/>
      <c r="PWP27" s="388"/>
      <c r="PWQ27" s="388"/>
      <c r="PWR27" s="388"/>
      <c r="PWS27" s="388"/>
      <c r="PWT27" s="388"/>
      <c r="PWU27" s="388"/>
      <c r="PWV27" s="388"/>
      <c r="PWW27" s="388"/>
      <c r="PWX27" s="388"/>
      <c r="PWY27" s="388"/>
      <c r="PWZ27" s="388"/>
      <c r="PXA27" s="388"/>
      <c r="PXB27" s="388"/>
      <c r="PXC27" s="388"/>
      <c r="PXD27" s="388"/>
      <c r="PXE27" s="388"/>
      <c r="PXF27" s="388"/>
      <c r="PXG27" s="388"/>
      <c r="PXH27" s="388"/>
      <c r="PXI27" s="388"/>
      <c r="PXJ27" s="388"/>
      <c r="PXK27" s="388"/>
      <c r="PXL27" s="388"/>
      <c r="PXM27" s="388"/>
      <c r="PXN27" s="388"/>
      <c r="PXO27" s="388"/>
      <c r="PXP27" s="388"/>
      <c r="PXQ27" s="388"/>
      <c r="PXR27" s="388"/>
      <c r="PXS27" s="388"/>
      <c r="PXT27" s="388"/>
      <c r="PXU27" s="388"/>
      <c r="PXV27" s="388"/>
      <c r="PXW27" s="388"/>
      <c r="PXX27" s="388"/>
      <c r="PXY27" s="388"/>
      <c r="PXZ27" s="388"/>
      <c r="PYA27" s="388"/>
      <c r="PYB27" s="388"/>
      <c r="PYC27" s="388"/>
      <c r="PYD27" s="388"/>
      <c r="PYE27" s="388"/>
      <c r="PYF27" s="388"/>
      <c r="PYG27" s="388"/>
      <c r="PYH27" s="388"/>
      <c r="PYI27" s="388"/>
      <c r="PYJ27" s="388"/>
      <c r="PYK27" s="388"/>
      <c r="PYL27" s="388"/>
      <c r="PYM27" s="388"/>
      <c r="PYN27" s="388"/>
      <c r="PYO27" s="388"/>
      <c r="PYP27" s="388"/>
      <c r="PYQ27" s="388"/>
      <c r="PYR27" s="388"/>
      <c r="PYS27" s="388"/>
      <c r="PYT27" s="388"/>
      <c r="PYU27" s="388"/>
      <c r="PYV27" s="388"/>
      <c r="PYW27" s="388"/>
      <c r="PYX27" s="388"/>
      <c r="PYY27" s="388"/>
      <c r="PYZ27" s="388"/>
      <c r="PZA27" s="388"/>
      <c r="PZB27" s="388"/>
      <c r="PZC27" s="388"/>
      <c r="PZD27" s="388"/>
      <c r="PZE27" s="388"/>
      <c r="PZF27" s="388"/>
      <c r="PZG27" s="388"/>
      <c r="PZH27" s="388"/>
      <c r="PZI27" s="388"/>
      <c r="PZJ27" s="388"/>
      <c r="PZK27" s="388"/>
      <c r="PZL27" s="388"/>
      <c r="PZM27" s="388"/>
      <c r="PZN27" s="388"/>
      <c r="PZO27" s="388"/>
      <c r="PZP27" s="388"/>
      <c r="PZQ27" s="388"/>
      <c r="PZR27" s="388"/>
      <c r="PZS27" s="388"/>
      <c r="PZT27" s="388"/>
      <c r="PZU27" s="388"/>
      <c r="PZV27" s="388"/>
      <c r="PZW27" s="388"/>
      <c r="PZX27" s="388"/>
      <c r="PZY27" s="388"/>
      <c r="PZZ27" s="388"/>
      <c r="QAA27" s="388"/>
      <c r="QAB27" s="388"/>
      <c r="QAC27" s="388"/>
      <c r="QAD27" s="388"/>
      <c r="QAE27" s="388"/>
      <c r="QAF27" s="388"/>
      <c r="QAG27" s="388"/>
      <c r="QAH27" s="388"/>
      <c r="QAI27" s="388"/>
      <c r="QAJ27" s="388"/>
      <c r="QAK27" s="388"/>
      <c r="QAL27" s="388"/>
      <c r="QAM27" s="388"/>
      <c r="QAN27" s="388"/>
      <c r="QAO27" s="388"/>
      <c r="QAP27" s="388"/>
      <c r="QAQ27" s="388"/>
      <c r="QAR27" s="388"/>
      <c r="QAS27" s="388"/>
      <c r="QAT27" s="388"/>
      <c r="QAU27" s="388"/>
      <c r="QAV27" s="388"/>
      <c r="QAW27" s="388"/>
      <c r="QAX27" s="388"/>
      <c r="QAY27" s="388"/>
      <c r="QAZ27" s="388"/>
      <c r="QBA27" s="388"/>
      <c r="QBB27" s="388"/>
      <c r="QBC27" s="388"/>
      <c r="QBD27" s="388"/>
      <c r="QBE27" s="388"/>
      <c r="QBF27" s="388"/>
      <c r="QBG27" s="388"/>
      <c r="QBH27" s="388"/>
      <c r="QBI27" s="388"/>
      <c r="QBJ27" s="388"/>
      <c r="QBK27" s="388"/>
      <c r="QBL27" s="388"/>
      <c r="QBM27" s="388"/>
      <c r="QBN27" s="388"/>
      <c r="QBO27" s="388"/>
      <c r="QBP27" s="388"/>
      <c r="QBQ27" s="388"/>
      <c r="QBR27" s="388"/>
      <c r="QBS27" s="388"/>
      <c r="QBT27" s="388"/>
      <c r="QBU27" s="388"/>
      <c r="QBV27" s="388"/>
      <c r="QBW27" s="388"/>
      <c r="QBX27" s="388"/>
      <c r="QBY27" s="388"/>
      <c r="QBZ27" s="388"/>
      <c r="QCA27" s="388"/>
      <c r="QCB27" s="388"/>
      <c r="QCC27" s="388"/>
      <c r="QCD27" s="388"/>
      <c r="QCE27" s="388"/>
      <c r="QCF27" s="388"/>
      <c r="QCG27" s="388"/>
      <c r="QCH27" s="388"/>
      <c r="QCI27" s="388"/>
      <c r="QCJ27" s="388"/>
      <c r="QCK27" s="388"/>
      <c r="QCL27" s="388"/>
      <c r="QCM27" s="388"/>
      <c r="QCN27" s="388"/>
      <c r="QCO27" s="388"/>
      <c r="QCP27" s="388"/>
      <c r="QCQ27" s="388"/>
      <c r="QCR27" s="388"/>
      <c r="QCS27" s="388"/>
      <c r="QCT27" s="388"/>
      <c r="QCU27" s="388"/>
      <c r="QCV27" s="388"/>
      <c r="QCW27" s="388"/>
      <c r="QCX27" s="388"/>
      <c r="QCY27" s="388"/>
      <c r="QCZ27" s="388"/>
      <c r="QDA27" s="388"/>
      <c r="QDB27" s="388"/>
      <c r="QDC27" s="388"/>
      <c r="QDD27" s="388"/>
      <c r="QDE27" s="388"/>
      <c r="QDF27" s="388"/>
      <c r="QDG27" s="388"/>
      <c r="QDH27" s="388"/>
      <c r="QDI27" s="388"/>
      <c r="QDJ27" s="388"/>
      <c r="QDK27" s="388"/>
      <c r="QDL27" s="388"/>
      <c r="QDM27" s="388"/>
      <c r="QDN27" s="388"/>
      <c r="QDO27" s="388"/>
      <c r="QDP27" s="388"/>
      <c r="QDQ27" s="388"/>
      <c r="QDR27" s="388"/>
      <c r="QDS27" s="388"/>
      <c r="QDT27" s="388"/>
      <c r="QDU27" s="388"/>
      <c r="QDV27" s="388"/>
      <c r="QDW27" s="388"/>
      <c r="QDX27" s="388"/>
      <c r="QDY27" s="388"/>
      <c r="QDZ27" s="388"/>
      <c r="QEA27" s="388"/>
      <c r="QEB27" s="388"/>
      <c r="QEC27" s="388"/>
      <c r="QED27" s="388"/>
      <c r="QEE27" s="388"/>
      <c r="QEF27" s="388"/>
      <c r="QEG27" s="388"/>
      <c r="QEH27" s="388"/>
      <c r="QEI27" s="388"/>
      <c r="QEJ27" s="388"/>
      <c r="QEK27" s="388"/>
      <c r="QEL27" s="388"/>
      <c r="QEM27" s="388"/>
      <c r="QEN27" s="388"/>
      <c r="QEO27" s="388"/>
      <c r="QEP27" s="388"/>
      <c r="QEQ27" s="388"/>
      <c r="QER27" s="388"/>
      <c r="QES27" s="388"/>
      <c r="QET27" s="388"/>
      <c r="QEU27" s="388"/>
      <c r="QEV27" s="388"/>
      <c r="QEW27" s="388"/>
      <c r="QEX27" s="388"/>
      <c r="QEY27" s="388"/>
      <c r="QEZ27" s="388"/>
      <c r="QFA27" s="388"/>
      <c r="QFB27" s="388"/>
      <c r="QFC27" s="388"/>
      <c r="QFD27" s="388"/>
      <c r="QFE27" s="388"/>
      <c r="QFF27" s="388"/>
      <c r="QFG27" s="388"/>
      <c r="QFH27" s="388"/>
      <c r="QFI27" s="388"/>
      <c r="QFJ27" s="388"/>
      <c r="QFK27" s="388"/>
      <c r="QFL27" s="388"/>
      <c r="QFM27" s="388"/>
      <c r="QFN27" s="388"/>
      <c r="QFO27" s="388"/>
      <c r="QFP27" s="388"/>
      <c r="QFQ27" s="388"/>
      <c r="QFR27" s="388"/>
      <c r="QFS27" s="388"/>
      <c r="QFT27" s="388"/>
      <c r="QFU27" s="388"/>
      <c r="QFV27" s="388"/>
      <c r="QFW27" s="388"/>
      <c r="QFX27" s="388"/>
      <c r="QFY27" s="388"/>
      <c r="QFZ27" s="388"/>
      <c r="QGA27" s="388"/>
      <c r="QGB27" s="388"/>
      <c r="QGC27" s="388"/>
      <c r="QGD27" s="388"/>
      <c r="QGE27" s="388"/>
      <c r="QGF27" s="388"/>
      <c r="QGG27" s="388"/>
      <c r="QGH27" s="388"/>
      <c r="QGI27" s="388"/>
      <c r="QGJ27" s="388"/>
      <c r="QGK27" s="388"/>
      <c r="QGL27" s="388"/>
      <c r="QGM27" s="388"/>
      <c r="QGN27" s="388"/>
      <c r="QGO27" s="388"/>
      <c r="QGP27" s="388"/>
      <c r="QGQ27" s="388"/>
      <c r="QGR27" s="388"/>
      <c r="QGS27" s="388"/>
      <c r="QGT27" s="388"/>
      <c r="QGU27" s="388"/>
      <c r="QGV27" s="388"/>
      <c r="QGW27" s="388"/>
      <c r="QGX27" s="388"/>
      <c r="QGY27" s="388"/>
      <c r="QGZ27" s="388"/>
      <c r="QHA27" s="388"/>
      <c r="QHB27" s="388"/>
      <c r="QHC27" s="388"/>
      <c r="QHD27" s="388"/>
      <c r="QHE27" s="388"/>
      <c r="QHF27" s="388"/>
      <c r="QHG27" s="388"/>
      <c r="QHH27" s="388"/>
      <c r="QHI27" s="388"/>
      <c r="QHJ27" s="388"/>
      <c r="QHK27" s="388"/>
      <c r="QHL27" s="388"/>
      <c r="QHM27" s="388"/>
      <c r="QHN27" s="388"/>
      <c r="QHO27" s="388"/>
      <c r="QHP27" s="388"/>
      <c r="QHQ27" s="388"/>
      <c r="QHR27" s="388"/>
      <c r="QHS27" s="388"/>
      <c r="QHT27" s="388"/>
      <c r="QHU27" s="388"/>
      <c r="QHV27" s="388"/>
      <c r="QHW27" s="388"/>
      <c r="QHX27" s="388"/>
      <c r="QHY27" s="388"/>
      <c r="QHZ27" s="388"/>
      <c r="QIA27" s="388"/>
      <c r="QIB27" s="388"/>
      <c r="QIC27" s="388"/>
      <c r="QID27" s="388"/>
      <c r="QIE27" s="388"/>
      <c r="QIF27" s="388"/>
      <c r="QIG27" s="388"/>
      <c r="QIH27" s="388"/>
      <c r="QII27" s="388"/>
      <c r="QIJ27" s="388"/>
      <c r="QIK27" s="388"/>
      <c r="QIL27" s="388"/>
      <c r="QIM27" s="388"/>
      <c r="QIN27" s="388"/>
      <c r="QIO27" s="388"/>
      <c r="QIP27" s="388"/>
      <c r="QIQ27" s="388"/>
      <c r="QIR27" s="388"/>
      <c r="QIS27" s="388"/>
      <c r="QIT27" s="388"/>
      <c r="QIU27" s="388"/>
      <c r="QIV27" s="388"/>
      <c r="QIW27" s="388"/>
      <c r="QIX27" s="388"/>
      <c r="QIY27" s="388"/>
      <c r="QIZ27" s="388"/>
      <c r="QJA27" s="388"/>
      <c r="QJB27" s="388"/>
      <c r="QJC27" s="388"/>
      <c r="QJD27" s="388"/>
      <c r="QJE27" s="388"/>
      <c r="QJF27" s="388"/>
      <c r="QJG27" s="388"/>
      <c r="QJH27" s="388"/>
      <c r="QJI27" s="388"/>
      <c r="QJJ27" s="388"/>
      <c r="QJK27" s="388"/>
      <c r="QJL27" s="388"/>
      <c r="QJM27" s="388"/>
      <c r="QJN27" s="388"/>
      <c r="QJO27" s="388"/>
      <c r="QJP27" s="388"/>
      <c r="QJQ27" s="388"/>
      <c r="QJR27" s="388"/>
      <c r="QJS27" s="388"/>
      <c r="QJT27" s="388"/>
      <c r="QJU27" s="388"/>
      <c r="QJV27" s="388"/>
      <c r="QJW27" s="388"/>
      <c r="QJX27" s="388"/>
      <c r="QJY27" s="388"/>
      <c r="QJZ27" s="388"/>
      <c r="QKA27" s="388"/>
      <c r="QKB27" s="388"/>
      <c r="QKC27" s="388"/>
      <c r="QKD27" s="388"/>
      <c r="QKE27" s="388"/>
      <c r="QKF27" s="388"/>
      <c r="QKG27" s="388"/>
      <c r="QKH27" s="388"/>
      <c r="QKI27" s="388"/>
      <c r="QKJ27" s="388"/>
      <c r="QKK27" s="388"/>
      <c r="QKL27" s="388"/>
      <c r="QKM27" s="388"/>
      <c r="QKN27" s="388"/>
      <c r="QKO27" s="388"/>
      <c r="QKP27" s="388"/>
      <c r="QKQ27" s="388"/>
      <c r="QKR27" s="388"/>
      <c r="QKS27" s="388"/>
      <c r="QKT27" s="388"/>
      <c r="QKU27" s="388"/>
      <c r="QKV27" s="388"/>
      <c r="QKW27" s="388"/>
      <c r="QKX27" s="388"/>
      <c r="QKY27" s="388"/>
      <c r="QKZ27" s="388"/>
      <c r="QLA27" s="388"/>
      <c r="QLB27" s="388"/>
      <c r="QLC27" s="388"/>
      <c r="QLD27" s="388"/>
      <c r="QLE27" s="388"/>
      <c r="QLF27" s="388"/>
      <c r="QLG27" s="388"/>
      <c r="QLH27" s="388"/>
      <c r="QLI27" s="388"/>
      <c r="QLJ27" s="388"/>
      <c r="QLK27" s="388"/>
      <c r="QLL27" s="388"/>
      <c r="QLM27" s="388"/>
      <c r="QLN27" s="388"/>
      <c r="QLO27" s="388"/>
      <c r="QLP27" s="388"/>
      <c r="QLQ27" s="388"/>
      <c r="QLR27" s="388"/>
      <c r="QLS27" s="388"/>
      <c r="QLT27" s="388"/>
      <c r="QLU27" s="388"/>
      <c r="QLV27" s="388"/>
      <c r="QLW27" s="388"/>
      <c r="QLX27" s="388"/>
      <c r="QLY27" s="388"/>
      <c r="QLZ27" s="388"/>
      <c r="QMA27" s="388"/>
      <c r="QMB27" s="388"/>
      <c r="QMC27" s="388"/>
      <c r="QMD27" s="388"/>
      <c r="QME27" s="388"/>
      <c r="QMF27" s="388"/>
      <c r="QMG27" s="388"/>
      <c r="QMH27" s="388"/>
      <c r="QMI27" s="388"/>
      <c r="QMJ27" s="388"/>
      <c r="QMK27" s="388"/>
      <c r="QML27" s="388"/>
      <c r="QMM27" s="388"/>
      <c r="QMN27" s="388"/>
      <c r="QMO27" s="388"/>
      <c r="QMP27" s="388"/>
      <c r="QMQ27" s="388"/>
      <c r="QMR27" s="388"/>
      <c r="QMS27" s="388"/>
      <c r="QMT27" s="388"/>
      <c r="QMU27" s="388"/>
      <c r="QMV27" s="388"/>
      <c r="QMW27" s="388"/>
      <c r="QMX27" s="388"/>
      <c r="QMY27" s="388"/>
      <c r="QMZ27" s="388"/>
      <c r="QNA27" s="388"/>
      <c r="QNB27" s="388"/>
      <c r="QNC27" s="388"/>
      <c r="QND27" s="388"/>
      <c r="QNE27" s="388"/>
      <c r="QNF27" s="388"/>
      <c r="QNG27" s="388"/>
      <c r="QNH27" s="388"/>
      <c r="QNI27" s="388"/>
      <c r="QNJ27" s="388"/>
      <c r="QNK27" s="388"/>
      <c r="QNL27" s="388"/>
      <c r="QNM27" s="388"/>
      <c r="QNN27" s="388"/>
      <c r="QNO27" s="388"/>
      <c r="QNP27" s="388"/>
      <c r="QNQ27" s="388"/>
      <c r="QNR27" s="388"/>
      <c r="QNS27" s="388"/>
      <c r="QNT27" s="388"/>
      <c r="QNU27" s="388"/>
      <c r="QNV27" s="388"/>
      <c r="QNW27" s="388"/>
      <c r="QNX27" s="388"/>
      <c r="QNY27" s="388"/>
      <c r="QNZ27" s="388"/>
      <c r="QOA27" s="388"/>
      <c r="QOB27" s="388"/>
      <c r="QOC27" s="388"/>
      <c r="QOD27" s="388"/>
      <c r="QOE27" s="388"/>
      <c r="QOF27" s="388"/>
      <c r="QOG27" s="388"/>
      <c r="QOH27" s="388"/>
      <c r="QOI27" s="388"/>
      <c r="QOJ27" s="388"/>
      <c r="QOK27" s="388"/>
      <c r="QOL27" s="388"/>
      <c r="QOM27" s="388"/>
      <c r="QON27" s="388"/>
      <c r="QOO27" s="388"/>
      <c r="QOP27" s="388"/>
      <c r="QOQ27" s="388"/>
      <c r="QOR27" s="388"/>
      <c r="QOS27" s="388"/>
      <c r="QOT27" s="388"/>
      <c r="QOU27" s="388"/>
      <c r="QOV27" s="388"/>
      <c r="QOW27" s="388"/>
      <c r="QOX27" s="388"/>
      <c r="QOY27" s="388"/>
      <c r="QOZ27" s="388"/>
      <c r="QPA27" s="388"/>
      <c r="QPB27" s="388"/>
      <c r="QPC27" s="388"/>
      <c r="QPD27" s="388"/>
      <c r="QPE27" s="388"/>
      <c r="QPF27" s="388"/>
      <c r="QPG27" s="388"/>
      <c r="QPH27" s="388"/>
      <c r="QPI27" s="388"/>
      <c r="QPJ27" s="388"/>
      <c r="QPK27" s="388"/>
      <c r="QPL27" s="388"/>
      <c r="QPM27" s="388"/>
      <c r="QPN27" s="388"/>
      <c r="QPO27" s="388"/>
      <c r="QPP27" s="388"/>
      <c r="QPQ27" s="388"/>
      <c r="QPR27" s="388"/>
      <c r="QPS27" s="388"/>
      <c r="QPT27" s="388"/>
      <c r="QPU27" s="388"/>
      <c r="QPV27" s="388"/>
      <c r="QPW27" s="388"/>
      <c r="QPX27" s="388"/>
      <c r="QPY27" s="388"/>
      <c r="QPZ27" s="388"/>
      <c r="QQA27" s="388"/>
      <c r="QQB27" s="388"/>
      <c r="QQC27" s="388"/>
      <c r="QQD27" s="388"/>
      <c r="QQE27" s="388"/>
      <c r="QQF27" s="388"/>
      <c r="QQG27" s="388"/>
      <c r="QQH27" s="388"/>
      <c r="QQI27" s="388"/>
      <c r="QQJ27" s="388"/>
      <c r="QQK27" s="388"/>
      <c r="QQL27" s="388"/>
      <c r="QQM27" s="388"/>
      <c r="QQN27" s="388"/>
      <c r="QQO27" s="388"/>
      <c r="QQP27" s="388"/>
      <c r="QQQ27" s="388"/>
      <c r="QQR27" s="388"/>
      <c r="QQS27" s="388"/>
      <c r="QQT27" s="388"/>
      <c r="QQU27" s="388"/>
      <c r="QQV27" s="388"/>
      <c r="QQW27" s="388"/>
      <c r="QQX27" s="388"/>
      <c r="QQY27" s="388"/>
      <c r="QQZ27" s="388"/>
      <c r="QRA27" s="388"/>
      <c r="QRB27" s="388"/>
      <c r="QRC27" s="388"/>
      <c r="QRD27" s="388"/>
      <c r="QRE27" s="388"/>
      <c r="QRF27" s="388"/>
      <c r="QRG27" s="388"/>
      <c r="QRH27" s="388"/>
      <c r="QRI27" s="388"/>
      <c r="QRJ27" s="388"/>
      <c r="QRK27" s="388"/>
      <c r="QRL27" s="388"/>
      <c r="QRM27" s="388"/>
      <c r="QRN27" s="388"/>
      <c r="QRO27" s="388"/>
      <c r="QRP27" s="388"/>
      <c r="QRQ27" s="388"/>
      <c r="QRR27" s="388"/>
      <c r="QRS27" s="388"/>
      <c r="QRT27" s="388"/>
      <c r="QRU27" s="388"/>
      <c r="QRV27" s="388"/>
      <c r="QRW27" s="388"/>
      <c r="QRX27" s="388"/>
      <c r="QRY27" s="388"/>
      <c r="QRZ27" s="388"/>
      <c r="QSA27" s="388"/>
      <c r="QSB27" s="388"/>
      <c r="QSC27" s="388"/>
      <c r="QSD27" s="388"/>
      <c r="QSE27" s="388"/>
      <c r="QSF27" s="388"/>
      <c r="QSG27" s="388"/>
      <c r="QSH27" s="388"/>
      <c r="QSI27" s="388"/>
      <c r="QSJ27" s="388"/>
      <c r="QSK27" s="388"/>
      <c r="QSL27" s="388"/>
      <c r="QSM27" s="388"/>
      <c r="QSN27" s="388"/>
      <c r="QSO27" s="388"/>
      <c r="QSP27" s="388"/>
      <c r="QSQ27" s="388"/>
      <c r="QSR27" s="388"/>
      <c r="QSS27" s="388"/>
      <c r="QST27" s="388"/>
      <c r="QSU27" s="388"/>
      <c r="QSV27" s="388"/>
      <c r="QSW27" s="388"/>
      <c r="QSX27" s="388"/>
      <c r="QSY27" s="388"/>
      <c r="QSZ27" s="388"/>
      <c r="QTA27" s="388"/>
      <c r="QTB27" s="388"/>
      <c r="QTC27" s="388"/>
      <c r="QTD27" s="388"/>
      <c r="QTE27" s="388"/>
      <c r="QTF27" s="388"/>
      <c r="QTG27" s="388"/>
      <c r="QTH27" s="388"/>
      <c r="QTI27" s="388"/>
      <c r="QTJ27" s="388"/>
      <c r="QTK27" s="388"/>
      <c r="QTL27" s="388"/>
      <c r="QTM27" s="388"/>
      <c r="QTN27" s="388"/>
      <c r="QTO27" s="388"/>
      <c r="QTP27" s="388"/>
      <c r="QTQ27" s="388"/>
      <c r="QTR27" s="388"/>
      <c r="QTS27" s="388"/>
      <c r="QTT27" s="388"/>
      <c r="QTU27" s="388"/>
      <c r="QTV27" s="388"/>
      <c r="QTW27" s="388"/>
      <c r="QTX27" s="388"/>
      <c r="QTY27" s="388"/>
      <c r="QTZ27" s="388"/>
      <c r="QUA27" s="388"/>
      <c r="QUB27" s="388"/>
      <c r="QUC27" s="388"/>
      <c r="QUD27" s="388"/>
      <c r="QUE27" s="388"/>
      <c r="QUF27" s="388"/>
      <c r="QUG27" s="388"/>
      <c r="QUH27" s="388"/>
      <c r="QUI27" s="388"/>
      <c r="QUJ27" s="388"/>
      <c r="QUK27" s="388"/>
      <c r="QUL27" s="388"/>
      <c r="QUM27" s="388"/>
      <c r="QUN27" s="388"/>
      <c r="QUO27" s="388"/>
      <c r="QUP27" s="388"/>
      <c r="QUQ27" s="388"/>
      <c r="QUR27" s="388"/>
      <c r="QUS27" s="388"/>
      <c r="QUT27" s="388"/>
      <c r="QUU27" s="388"/>
      <c r="QUV27" s="388"/>
      <c r="QUW27" s="388"/>
      <c r="QUX27" s="388"/>
      <c r="QUY27" s="388"/>
      <c r="QUZ27" s="388"/>
      <c r="QVA27" s="388"/>
      <c r="QVB27" s="388"/>
      <c r="QVC27" s="388"/>
      <c r="QVD27" s="388"/>
      <c r="QVE27" s="388"/>
      <c r="QVF27" s="388"/>
      <c r="QVG27" s="388"/>
      <c r="QVH27" s="388"/>
      <c r="QVI27" s="388"/>
      <c r="QVJ27" s="388"/>
      <c r="QVK27" s="388"/>
      <c r="QVL27" s="388"/>
      <c r="QVM27" s="388"/>
      <c r="QVN27" s="388"/>
      <c r="QVO27" s="388"/>
      <c r="QVP27" s="388"/>
      <c r="QVQ27" s="388"/>
      <c r="QVR27" s="388"/>
      <c r="QVS27" s="388"/>
      <c r="QVT27" s="388"/>
      <c r="QVU27" s="388"/>
      <c r="QVV27" s="388"/>
      <c r="QVW27" s="388"/>
      <c r="QVX27" s="388"/>
      <c r="QVY27" s="388"/>
      <c r="QVZ27" s="388"/>
      <c r="QWA27" s="388"/>
      <c r="QWB27" s="388"/>
      <c r="QWC27" s="388"/>
      <c r="QWD27" s="388"/>
      <c r="QWE27" s="388"/>
      <c r="QWF27" s="388"/>
      <c r="QWG27" s="388"/>
      <c r="QWH27" s="388"/>
      <c r="QWI27" s="388"/>
      <c r="QWJ27" s="388"/>
      <c r="QWK27" s="388"/>
      <c r="QWL27" s="388"/>
      <c r="QWM27" s="388"/>
      <c r="QWN27" s="388"/>
      <c r="QWO27" s="388"/>
      <c r="QWP27" s="388"/>
      <c r="QWQ27" s="388"/>
      <c r="QWR27" s="388"/>
      <c r="QWS27" s="388"/>
      <c r="QWT27" s="388"/>
      <c r="QWU27" s="388"/>
      <c r="QWV27" s="388"/>
      <c r="QWW27" s="388"/>
      <c r="QWX27" s="388"/>
      <c r="QWY27" s="388"/>
      <c r="QWZ27" s="388"/>
      <c r="QXA27" s="388"/>
      <c r="QXB27" s="388"/>
      <c r="QXC27" s="388"/>
      <c r="QXD27" s="388"/>
      <c r="QXE27" s="388"/>
      <c r="QXF27" s="388"/>
      <c r="QXG27" s="388"/>
      <c r="QXH27" s="388"/>
      <c r="QXI27" s="388"/>
      <c r="QXJ27" s="388"/>
      <c r="QXK27" s="388"/>
      <c r="QXL27" s="388"/>
      <c r="QXM27" s="388"/>
      <c r="QXN27" s="388"/>
      <c r="QXO27" s="388"/>
      <c r="QXP27" s="388"/>
      <c r="QXQ27" s="388"/>
      <c r="QXR27" s="388"/>
      <c r="QXS27" s="388"/>
      <c r="QXT27" s="388"/>
      <c r="QXU27" s="388"/>
      <c r="QXV27" s="388"/>
      <c r="QXW27" s="388"/>
      <c r="QXX27" s="388"/>
      <c r="QXY27" s="388"/>
      <c r="QXZ27" s="388"/>
      <c r="QYA27" s="388"/>
      <c r="QYB27" s="388"/>
      <c r="QYC27" s="388"/>
      <c r="QYD27" s="388"/>
      <c r="QYE27" s="388"/>
      <c r="QYF27" s="388"/>
      <c r="QYG27" s="388"/>
      <c r="QYH27" s="388"/>
      <c r="QYI27" s="388"/>
      <c r="QYJ27" s="388"/>
      <c r="QYK27" s="388"/>
      <c r="QYL27" s="388"/>
      <c r="QYM27" s="388"/>
      <c r="QYN27" s="388"/>
      <c r="QYO27" s="388"/>
      <c r="QYP27" s="388"/>
      <c r="QYQ27" s="388"/>
      <c r="QYR27" s="388"/>
      <c r="QYS27" s="388"/>
      <c r="QYT27" s="388"/>
      <c r="QYU27" s="388"/>
      <c r="QYV27" s="388"/>
      <c r="QYW27" s="388"/>
      <c r="QYX27" s="388"/>
      <c r="QYY27" s="388"/>
      <c r="QYZ27" s="388"/>
      <c r="QZA27" s="388"/>
      <c r="QZB27" s="388"/>
      <c r="QZC27" s="388"/>
      <c r="QZD27" s="388"/>
      <c r="QZE27" s="388"/>
      <c r="QZF27" s="388"/>
      <c r="QZG27" s="388"/>
      <c r="QZH27" s="388"/>
      <c r="QZI27" s="388"/>
      <c r="QZJ27" s="388"/>
      <c r="QZK27" s="388"/>
      <c r="QZL27" s="388"/>
      <c r="QZM27" s="388"/>
      <c r="QZN27" s="388"/>
      <c r="QZO27" s="388"/>
      <c r="QZP27" s="388"/>
      <c r="QZQ27" s="388"/>
      <c r="QZR27" s="388"/>
      <c r="QZS27" s="388"/>
      <c r="QZT27" s="388"/>
      <c r="QZU27" s="388"/>
      <c r="QZV27" s="388"/>
      <c r="QZW27" s="388"/>
      <c r="QZX27" s="388"/>
      <c r="QZY27" s="388"/>
      <c r="QZZ27" s="388"/>
      <c r="RAA27" s="388"/>
      <c r="RAB27" s="388"/>
      <c r="RAC27" s="388"/>
      <c r="RAD27" s="388"/>
      <c r="RAE27" s="388"/>
      <c r="RAF27" s="388"/>
      <c r="RAG27" s="388"/>
      <c r="RAH27" s="388"/>
      <c r="RAI27" s="388"/>
      <c r="RAJ27" s="388"/>
      <c r="RAK27" s="388"/>
      <c r="RAL27" s="388"/>
      <c r="RAM27" s="388"/>
      <c r="RAN27" s="388"/>
      <c r="RAO27" s="388"/>
      <c r="RAP27" s="388"/>
      <c r="RAQ27" s="388"/>
      <c r="RAR27" s="388"/>
      <c r="RAS27" s="388"/>
      <c r="RAT27" s="388"/>
      <c r="RAU27" s="388"/>
      <c r="RAV27" s="388"/>
      <c r="RAW27" s="388"/>
      <c r="RAX27" s="388"/>
      <c r="RAY27" s="388"/>
      <c r="RAZ27" s="388"/>
      <c r="RBA27" s="388"/>
      <c r="RBB27" s="388"/>
      <c r="RBC27" s="388"/>
      <c r="RBD27" s="388"/>
      <c r="RBE27" s="388"/>
      <c r="RBF27" s="388"/>
      <c r="RBG27" s="388"/>
      <c r="RBH27" s="388"/>
      <c r="RBI27" s="388"/>
      <c r="RBJ27" s="388"/>
      <c r="RBK27" s="388"/>
      <c r="RBL27" s="388"/>
      <c r="RBM27" s="388"/>
      <c r="RBN27" s="388"/>
      <c r="RBO27" s="388"/>
      <c r="RBP27" s="388"/>
      <c r="RBQ27" s="388"/>
      <c r="RBR27" s="388"/>
      <c r="RBS27" s="388"/>
      <c r="RBT27" s="388"/>
      <c r="RBU27" s="388"/>
      <c r="RBV27" s="388"/>
      <c r="RBW27" s="388"/>
      <c r="RBX27" s="388"/>
      <c r="RBY27" s="388"/>
      <c r="RBZ27" s="388"/>
      <c r="RCA27" s="388"/>
      <c r="RCB27" s="388"/>
      <c r="RCC27" s="388"/>
      <c r="RCD27" s="388"/>
      <c r="RCE27" s="388"/>
      <c r="RCF27" s="388"/>
      <c r="RCG27" s="388"/>
      <c r="RCH27" s="388"/>
      <c r="RCI27" s="388"/>
      <c r="RCJ27" s="388"/>
      <c r="RCK27" s="388"/>
      <c r="RCL27" s="388"/>
      <c r="RCM27" s="388"/>
      <c r="RCN27" s="388"/>
      <c r="RCO27" s="388"/>
      <c r="RCP27" s="388"/>
      <c r="RCQ27" s="388"/>
      <c r="RCR27" s="388"/>
      <c r="RCS27" s="388"/>
      <c r="RCT27" s="388"/>
      <c r="RCU27" s="388"/>
      <c r="RCV27" s="388"/>
      <c r="RCW27" s="388"/>
      <c r="RCX27" s="388"/>
      <c r="RCY27" s="388"/>
      <c r="RCZ27" s="388"/>
      <c r="RDA27" s="388"/>
      <c r="RDB27" s="388"/>
      <c r="RDC27" s="388"/>
      <c r="RDD27" s="388"/>
      <c r="RDE27" s="388"/>
      <c r="RDF27" s="388"/>
      <c r="RDG27" s="388"/>
      <c r="RDH27" s="388"/>
      <c r="RDI27" s="388"/>
      <c r="RDJ27" s="388"/>
      <c r="RDK27" s="388"/>
      <c r="RDL27" s="388"/>
      <c r="RDM27" s="388"/>
      <c r="RDN27" s="388"/>
      <c r="RDO27" s="388"/>
      <c r="RDP27" s="388"/>
      <c r="RDQ27" s="388"/>
      <c r="RDR27" s="388"/>
      <c r="RDS27" s="388"/>
      <c r="RDT27" s="388"/>
      <c r="RDU27" s="388"/>
      <c r="RDV27" s="388"/>
      <c r="RDW27" s="388"/>
      <c r="RDX27" s="388"/>
      <c r="RDY27" s="388"/>
      <c r="RDZ27" s="388"/>
      <c r="REA27" s="388"/>
      <c r="REB27" s="388"/>
      <c r="REC27" s="388"/>
      <c r="RED27" s="388"/>
      <c r="REE27" s="388"/>
      <c r="REF27" s="388"/>
      <c r="REG27" s="388"/>
      <c r="REH27" s="388"/>
      <c r="REI27" s="388"/>
      <c r="REJ27" s="388"/>
      <c r="REK27" s="388"/>
      <c r="REL27" s="388"/>
      <c r="REM27" s="388"/>
      <c r="REN27" s="388"/>
      <c r="REO27" s="388"/>
      <c r="REP27" s="388"/>
      <c r="REQ27" s="388"/>
      <c r="RER27" s="388"/>
      <c r="RES27" s="388"/>
      <c r="RET27" s="388"/>
      <c r="REU27" s="388"/>
      <c r="REV27" s="388"/>
      <c r="REW27" s="388"/>
      <c r="REX27" s="388"/>
      <c r="REY27" s="388"/>
      <c r="REZ27" s="388"/>
      <c r="RFA27" s="388"/>
      <c r="RFB27" s="388"/>
      <c r="RFC27" s="388"/>
      <c r="RFD27" s="388"/>
      <c r="RFE27" s="388"/>
      <c r="RFF27" s="388"/>
      <c r="RFG27" s="388"/>
      <c r="RFH27" s="388"/>
      <c r="RFI27" s="388"/>
      <c r="RFJ27" s="388"/>
      <c r="RFK27" s="388"/>
      <c r="RFL27" s="388"/>
      <c r="RFM27" s="388"/>
      <c r="RFN27" s="388"/>
      <c r="RFO27" s="388"/>
      <c r="RFP27" s="388"/>
      <c r="RFQ27" s="388"/>
      <c r="RFR27" s="388"/>
      <c r="RFS27" s="388"/>
      <c r="RFT27" s="388"/>
      <c r="RFU27" s="388"/>
      <c r="RFV27" s="388"/>
      <c r="RFW27" s="388"/>
      <c r="RFX27" s="388"/>
      <c r="RFY27" s="388"/>
      <c r="RFZ27" s="388"/>
      <c r="RGA27" s="388"/>
      <c r="RGB27" s="388"/>
      <c r="RGC27" s="388"/>
      <c r="RGD27" s="388"/>
      <c r="RGE27" s="388"/>
      <c r="RGF27" s="388"/>
      <c r="RGG27" s="388"/>
      <c r="RGH27" s="388"/>
      <c r="RGI27" s="388"/>
      <c r="RGJ27" s="388"/>
      <c r="RGK27" s="388"/>
      <c r="RGL27" s="388"/>
      <c r="RGM27" s="388"/>
      <c r="RGN27" s="388"/>
      <c r="RGO27" s="388"/>
      <c r="RGP27" s="388"/>
      <c r="RGQ27" s="388"/>
      <c r="RGR27" s="388"/>
      <c r="RGS27" s="388"/>
      <c r="RGT27" s="388"/>
      <c r="RGU27" s="388"/>
      <c r="RGV27" s="388"/>
      <c r="RGW27" s="388"/>
      <c r="RGX27" s="388"/>
      <c r="RGY27" s="388"/>
      <c r="RGZ27" s="388"/>
      <c r="RHA27" s="388"/>
      <c r="RHB27" s="388"/>
      <c r="RHC27" s="388"/>
      <c r="RHD27" s="388"/>
      <c r="RHE27" s="388"/>
      <c r="RHF27" s="388"/>
      <c r="RHG27" s="388"/>
      <c r="RHH27" s="388"/>
      <c r="RHI27" s="388"/>
      <c r="RHJ27" s="388"/>
      <c r="RHK27" s="388"/>
      <c r="RHL27" s="388"/>
      <c r="RHM27" s="388"/>
      <c r="RHN27" s="388"/>
      <c r="RHO27" s="388"/>
      <c r="RHP27" s="388"/>
      <c r="RHQ27" s="388"/>
      <c r="RHR27" s="388"/>
      <c r="RHS27" s="388"/>
      <c r="RHT27" s="388"/>
      <c r="RHU27" s="388"/>
      <c r="RHV27" s="388"/>
      <c r="RHW27" s="388"/>
      <c r="RHX27" s="388"/>
      <c r="RHY27" s="388"/>
      <c r="RHZ27" s="388"/>
      <c r="RIA27" s="388"/>
      <c r="RIB27" s="388"/>
      <c r="RIC27" s="388"/>
      <c r="RID27" s="388"/>
      <c r="RIE27" s="388"/>
      <c r="RIF27" s="388"/>
      <c r="RIG27" s="388"/>
      <c r="RIH27" s="388"/>
      <c r="RII27" s="388"/>
      <c r="RIJ27" s="388"/>
      <c r="RIK27" s="388"/>
      <c r="RIL27" s="388"/>
      <c r="RIM27" s="388"/>
      <c r="RIN27" s="388"/>
      <c r="RIO27" s="388"/>
      <c r="RIP27" s="388"/>
      <c r="RIQ27" s="388"/>
      <c r="RIR27" s="388"/>
      <c r="RIS27" s="388"/>
      <c r="RIT27" s="388"/>
      <c r="RIU27" s="388"/>
      <c r="RIV27" s="388"/>
      <c r="RIW27" s="388"/>
      <c r="RIX27" s="388"/>
      <c r="RIY27" s="388"/>
      <c r="RIZ27" s="388"/>
      <c r="RJA27" s="388"/>
      <c r="RJB27" s="388"/>
      <c r="RJC27" s="388"/>
      <c r="RJD27" s="388"/>
      <c r="RJE27" s="388"/>
      <c r="RJF27" s="388"/>
      <c r="RJG27" s="388"/>
      <c r="RJH27" s="388"/>
      <c r="RJI27" s="388"/>
      <c r="RJJ27" s="388"/>
      <c r="RJK27" s="388"/>
      <c r="RJL27" s="388"/>
      <c r="RJM27" s="388"/>
      <c r="RJN27" s="388"/>
      <c r="RJO27" s="388"/>
      <c r="RJP27" s="388"/>
      <c r="RJQ27" s="388"/>
      <c r="RJR27" s="388"/>
      <c r="RJS27" s="388"/>
      <c r="RJT27" s="388"/>
      <c r="RJU27" s="388"/>
      <c r="RJV27" s="388"/>
      <c r="RJW27" s="388"/>
      <c r="RJX27" s="388"/>
      <c r="RJY27" s="388"/>
      <c r="RJZ27" s="388"/>
      <c r="RKA27" s="388"/>
      <c r="RKB27" s="388"/>
      <c r="RKC27" s="388"/>
      <c r="RKD27" s="388"/>
      <c r="RKE27" s="388"/>
      <c r="RKF27" s="388"/>
      <c r="RKG27" s="388"/>
      <c r="RKH27" s="388"/>
      <c r="RKI27" s="388"/>
      <c r="RKJ27" s="388"/>
      <c r="RKK27" s="388"/>
      <c r="RKL27" s="388"/>
      <c r="RKM27" s="388"/>
      <c r="RKN27" s="388"/>
      <c r="RKO27" s="388"/>
      <c r="RKP27" s="388"/>
      <c r="RKQ27" s="388"/>
      <c r="RKR27" s="388"/>
      <c r="RKS27" s="388"/>
      <c r="RKT27" s="388"/>
      <c r="RKU27" s="388"/>
      <c r="RKV27" s="388"/>
      <c r="RKW27" s="388"/>
      <c r="RKX27" s="388"/>
      <c r="RKY27" s="388"/>
      <c r="RKZ27" s="388"/>
      <c r="RLA27" s="388"/>
      <c r="RLB27" s="388"/>
      <c r="RLC27" s="388"/>
      <c r="RLD27" s="388"/>
      <c r="RLE27" s="388"/>
      <c r="RLF27" s="388"/>
      <c r="RLG27" s="388"/>
      <c r="RLH27" s="388"/>
      <c r="RLI27" s="388"/>
      <c r="RLJ27" s="388"/>
      <c r="RLK27" s="388"/>
      <c r="RLL27" s="388"/>
      <c r="RLM27" s="388"/>
      <c r="RLN27" s="388"/>
      <c r="RLO27" s="388"/>
      <c r="RLP27" s="388"/>
      <c r="RLQ27" s="388"/>
      <c r="RLR27" s="388"/>
      <c r="RLS27" s="388"/>
      <c r="RLT27" s="388"/>
      <c r="RLU27" s="388"/>
      <c r="RLV27" s="388"/>
      <c r="RLW27" s="388"/>
      <c r="RLX27" s="388"/>
      <c r="RLY27" s="388"/>
      <c r="RLZ27" s="388"/>
      <c r="RMA27" s="388"/>
      <c r="RMB27" s="388"/>
      <c r="RMC27" s="388"/>
      <c r="RMD27" s="388"/>
      <c r="RME27" s="388"/>
      <c r="RMF27" s="388"/>
      <c r="RMG27" s="388"/>
      <c r="RMH27" s="388"/>
      <c r="RMI27" s="388"/>
      <c r="RMJ27" s="388"/>
      <c r="RMK27" s="388"/>
      <c r="RML27" s="388"/>
      <c r="RMM27" s="388"/>
      <c r="RMN27" s="388"/>
      <c r="RMO27" s="388"/>
      <c r="RMP27" s="388"/>
      <c r="RMQ27" s="388"/>
      <c r="RMR27" s="388"/>
      <c r="RMS27" s="388"/>
      <c r="RMT27" s="388"/>
      <c r="RMU27" s="388"/>
      <c r="RMV27" s="388"/>
      <c r="RMW27" s="388"/>
      <c r="RMX27" s="388"/>
      <c r="RMY27" s="388"/>
      <c r="RMZ27" s="388"/>
      <c r="RNA27" s="388"/>
      <c r="RNB27" s="388"/>
      <c r="RNC27" s="388"/>
      <c r="RND27" s="388"/>
      <c r="RNE27" s="388"/>
      <c r="RNF27" s="388"/>
      <c r="RNG27" s="388"/>
      <c r="RNH27" s="388"/>
      <c r="RNI27" s="388"/>
      <c r="RNJ27" s="388"/>
      <c r="RNK27" s="388"/>
      <c r="RNL27" s="388"/>
      <c r="RNM27" s="388"/>
      <c r="RNN27" s="388"/>
      <c r="RNO27" s="388"/>
      <c r="RNP27" s="388"/>
      <c r="RNQ27" s="388"/>
      <c r="RNR27" s="388"/>
      <c r="RNS27" s="388"/>
      <c r="RNT27" s="388"/>
      <c r="RNU27" s="388"/>
      <c r="RNV27" s="388"/>
      <c r="RNW27" s="388"/>
      <c r="RNX27" s="388"/>
      <c r="RNY27" s="388"/>
      <c r="RNZ27" s="388"/>
      <c r="ROA27" s="388"/>
      <c r="ROB27" s="388"/>
      <c r="ROC27" s="388"/>
      <c r="ROD27" s="388"/>
      <c r="ROE27" s="388"/>
      <c r="ROF27" s="388"/>
      <c r="ROG27" s="388"/>
      <c r="ROH27" s="388"/>
      <c r="ROI27" s="388"/>
      <c r="ROJ27" s="388"/>
      <c r="ROK27" s="388"/>
      <c r="ROL27" s="388"/>
      <c r="ROM27" s="388"/>
      <c r="RON27" s="388"/>
      <c r="ROO27" s="388"/>
      <c r="ROP27" s="388"/>
      <c r="ROQ27" s="388"/>
      <c r="ROR27" s="388"/>
      <c r="ROS27" s="388"/>
      <c r="ROT27" s="388"/>
      <c r="ROU27" s="388"/>
      <c r="ROV27" s="388"/>
      <c r="ROW27" s="388"/>
      <c r="ROX27" s="388"/>
      <c r="ROY27" s="388"/>
      <c r="ROZ27" s="388"/>
      <c r="RPA27" s="388"/>
      <c r="RPB27" s="388"/>
      <c r="RPC27" s="388"/>
      <c r="RPD27" s="388"/>
      <c r="RPE27" s="388"/>
      <c r="RPF27" s="388"/>
      <c r="RPG27" s="388"/>
      <c r="RPH27" s="388"/>
      <c r="RPI27" s="388"/>
      <c r="RPJ27" s="388"/>
      <c r="RPK27" s="388"/>
      <c r="RPL27" s="388"/>
      <c r="RPM27" s="388"/>
      <c r="RPN27" s="388"/>
      <c r="RPO27" s="388"/>
      <c r="RPP27" s="388"/>
      <c r="RPQ27" s="388"/>
      <c r="RPR27" s="388"/>
      <c r="RPS27" s="388"/>
      <c r="RPT27" s="388"/>
      <c r="RPU27" s="388"/>
      <c r="RPV27" s="388"/>
      <c r="RPW27" s="388"/>
      <c r="RPX27" s="388"/>
      <c r="RPY27" s="388"/>
      <c r="RPZ27" s="388"/>
      <c r="RQA27" s="388"/>
      <c r="RQB27" s="388"/>
      <c r="RQC27" s="388"/>
      <c r="RQD27" s="388"/>
      <c r="RQE27" s="388"/>
      <c r="RQF27" s="388"/>
      <c r="RQG27" s="388"/>
      <c r="RQH27" s="388"/>
      <c r="RQI27" s="388"/>
      <c r="RQJ27" s="388"/>
      <c r="RQK27" s="388"/>
      <c r="RQL27" s="388"/>
      <c r="RQM27" s="388"/>
      <c r="RQN27" s="388"/>
      <c r="RQO27" s="388"/>
      <c r="RQP27" s="388"/>
      <c r="RQQ27" s="388"/>
      <c r="RQR27" s="388"/>
      <c r="RQS27" s="388"/>
      <c r="RQT27" s="388"/>
      <c r="RQU27" s="388"/>
      <c r="RQV27" s="388"/>
      <c r="RQW27" s="388"/>
      <c r="RQX27" s="388"/>
      <c r="RQY27" s="388"/>
      <c r="RQZ27" s="388"/>
      <c r="RRA27" s="388"/>
      <c r="RRB27" s="388"/>
      <c r="RRC27" s="388"/>
      <c r="RRD27" s="388"/>
      <c r="RRE27" s="388"/>
      <c r="RRF27" s="388"/>
      <c r="RRG27" s="388"/>
      <c r="RRH27" s="388"/>
      <c r="RRI27" s="388"/>
      <c r="RRJ27" s="388"/>
      <c r="RRK27" s="388"/>
      <c r="RRL27" s="388"/>
      <c r="RRM27" s="388"/>
      <c r="RRN27" s="388"/>
      <c r="RRO27" s="388"/>
      <c r="RRP27" s="388"/>
      <c r="RRQ27" s="388"/>
      <c r="RRR27" s="388"/>
      <c r="RRS27" s="388"/>
      <c r="RRT27" s="388"/>
      <c r="RRU27" s="388"/>
      <c r="RRV27" s="388"/>
      <c r="RRW27" s="388"/>
      <c r="RRX27" s="388"/>
      <c r="RRY27" s="388"/>
      <c r="RRZ27" s="388"/>
      <c r="RSA27" s="388"/>
      <c r="RSB27" s="388"/>
      <c r="RSC27" s="388"/>
      <c r="RSD27" s="388"/>
      <c r="RSE27" s="388"/>
      <c r="RSF27" s="388"/>
      <c r="RSG27" s="388"/>
      <c r="RSH27" s="388"/>
      <c r="RSI27" s="388"/>
      <c r="RSJ27" s="388"/>
      <c r="RSK27" s="388"/>
      <c r="RSL27" s="388"/>
      <c r="RSM27" s="388"/>
      <c r="RSN27" s="388"/>
      <c r="RSO27" s="388"/>
      <c r="RSP27" s="388"/>
      <c r="RSQ27" s="388"/>
      <c r="RSR27" s="388"/>
      <c r="RSS27" s="388"/>
      <c r="RST27" s="388"/>
      <c r="RSU27" s="388"/>
      <c r="RSV27" s="388"/>
      <c r="RSW27" s="388"/>
      <c r="RSX27" s="388"/>
      <c r="RSY27" s="388"/>
      <c r="RSZ27" s="388"/>
      <c r="RTA27" s="388"/>
      <c r="RTB27" s="388"/>
      <c r="RTC27" s="388"/>
      <c r="RTD27" s="388"/>
      <c r="RTE27" s="388"/>
      <c r="RTF27" s="388"/>
      <c r="RTG27" s="388"/>
      <c r="RTH27" s="388"/>
      <c r="RTI27" s="388"/>
      <c r="RTJ27" s="388"/>
      <c r="RTK27" s="388"/>
      <c r="RTL27" s="388"/>
      <c r="RTM27" s="388"/>
      <c r="RTN27" s="388"/>
      <c r="RTO27" s="388"/>
      <c r="RTP27" s="388"/>
      <c r="RTQ27" s="388"/>
      <c r="RTR27" s="388"/>
      <c r="RTS27" s="388"/>
      <c r="RTT27" s="388"/>
      <c r="RTU27" s="388"/>
      <c r="RTV27" s="388"/>
      <c r="RTW27" s="388"/>
      <c r="RTX27" s="388"/>
      <c r="RTY27" s="388"/>
      <c r="RTZ27" s="388"/>
      <c r="RUA27" s="388"/>
      <c r="RUB27" s="388"/>
      <c r="RUC27" s="388"/>
      <c r="RUD27" s="388"/>
      <c r="RUE27" s="388"/>
      <c r="RUF27" s="388"/>
      <c r="RUG27" s="388"/>
      <c r="RUH27" s="388"/>
      <c r="RUI27" s="388"/>
      <c r="RUJ27" s="388"/>
      <c r="RUK27" s="388"/>
      <c r="RUL27" s="388"/>
      <c r="RUM27" s="388"/>
      <c r="RUN27" s="388"/>
      <c r="RUO27" s="388"/>
      <c r="RUP27" s="388"/>
      <c r="RUQ27" s="388"/>
      <c r="RUR27" s="388"/>
      <c r="RUS27" s="388"/>
      <c r="RUT27" s="388"/>
      <c r="RUU27" s="388"/>
      <c r="RUV27" s="388"/>
      <c r="RUW27" s="388"/>
      <c r="RUX27" s="388"/>
      <c r="RUY27" s="388"/>
      <c r="RUZ27" s="388"/>
      <c r="RVA27" s="388"/>
      <c r="RVB27" s="388"/>
      <c r="RVC27" s="388"/>
      <c r="RVD27" s="388"/>
      <c r="RVE27" s="388"/>
      <c r="RVF27" s="388"/>
      <c r="RVG27" s="388"/>
      <c r="RVH27" s="388"/>
      <c r="RVI27" s="388"/>
      <c r="RVJ27" s="388"/>
      <c r="RVK27" s="388"/>
      <c r="RVL27" s="388"/>
      <c r="RVM27" s="388"/>
      <c r="RVN27" s="388"/>
      <c r="RVO27" s="388"/>
      <c r="RVP27" s="388"/>
      <c r="RVQ27" s="388"/>
      <c r="RVR27" s="388"/>
      <c r="RVS27" s="388"/>
      <c r="RVT27" s="388"/>
      <c r="RVU27" s="388"/>
      <c r="RVV27" s="388"/>
      <c r="RVW27" s="388"/>
      <c r="RVX27" s="388"/>
      <c r="RVY27" s="388"/>
      <c r="RVZ27" s="388"/>
      <c r="RWA27" s="388"/>
      <c r="RWB27" s="388"/>
      <c r="RWC27" s="388"/>
      <c r="RWD27" s="388"/>
      <c r="RWE27" s="388"/>
      <c r="RWF27" s="388"/>
      <c r="RWG27" s="388"/>
      <c r="RWH27" s="388"/>
      <c r="RWI27" s="388"/>
      <c r="RWJ27" s="388"/>
      <c r="RWK27" s="388"/>
      <c r="RWL27" s="388"/>
      <c r="RWM27" s="388"/>
      <c r="RWN27" s="388"/>
      <c r="RWO27" s="388"/>
      <c r="RWP27" s="388"/>
      <c r="RWQ27" s="388"/>
      <c r="RWR27" s="388"/>
      <c r="RWS27" s="388"/>
      <c r="RWT27" s="388"/>
      <c r="RWU27" s="388"/>
      <c r="RWV27" s="388"/>
      <c r="RWW27" s="388"/>
      <c r="RWX27" s="388"/>
      <c r="RWY27" s="388"/>
      <c r="RWZ27" s="388"/>
      <c r="RXA27" s="388"/>
      <c r="RXB27" s="388"/>
      <c r="RXC27" s="388"/>
      <c r="RXD27" s="388"/>
      <c r="RXE27" s="388"/>
      <c r="RXF27" s="388"/>
      <c r="RXG27" s="388"/>
      <c r="RXH27" s="388"/>
      <c r="RXI27" s="388"/>
      <c r="RXJ27" s="388"/>
      <c r="RXK27" s="388"/>
      <c r="RXL27" s="388"/>
      <c r="RXM27" s="388"/>
      <c r="RXN27" s="388"/>
      <c r="RXO27" s="388"/>
      <c r="RXP27" s="388"/>
      <c r="RXQ27" s="388"/>
      <c r="RXR27" s="388"/>
      <c r="RXS27" s="388"/>
      <c r="RXT27" s="388"/>
      <c r="RXU27" s="388"/>
      <c r="RXV27" s="388"/>
      <c r="RXW27" s="388"/>
      <c r="RXX27" s="388"/>
      <c r="RXY27" s="388"/>
      <c r="RXZ27" s="388"/>
      <c r="RYA27" s="388"/>
      <c r="RYB27" s="388"/>
      <c r="RYC27" s="388"/>
      <c r="RYD27" s="388"/>
      <c r="RYE27" s="388"/>
      <c r="RYF27" s="388"/>
      <c r="RYG27" s="388"/>
      <c r="RYH27" s="388"/>
      <c r="RYI27" s="388"/>
      <c r="RYJ27" s="388"/>
      <c r="RYK27" s="388"/>
      <c r="RYL27" s="388"/>
      <c r="RYM27" s="388"/>
      <c r="RYN27" s="388"/>
      <c r="RYO27" s="388"/>
      <c r="RYP27" s="388"/>
      <c r="RYQ27" s="388"/>
      <c r="RYR27" s="388"/>
      <c r="RYS27" s="388"/>
      <c r="RYT27" s="388"/>
      <c r="RYU27" s="388"/>
      <c r="RYV27" s="388"/>
      <c r="RYW27" s="388"/>
      <c r="RYX27" s="388"/>
      <c r="RYY27" s="388"/>
      <c r="RYZ27" s="388"/>
      <c r="RZA27" s="388"/>
      <c r="RZB27" s="388"/>
      <c r="RZC27" s="388"/>
      <c r="RZD27" s="388"/>
      <c r="RZE27" s="388"/>
      <c r="RZF27" s="388"/>
      <c r="RZG27" s="388"/>
      <c r="RZH27" s="388"/>
      <c r="RZI27" s="388"/>
      <c r="RZJ27" s="388"/>
      <c r="RZK27" s="388"/>
      <c r="RZL27" s="388"/>
      <c r="RZM27" s="388"/>
      <c r="RZN27" s="388"/>
      <c r="RZO27" s="388"/>
      <c r="RZP27" s="388"/>
      <c r="RZQ27" s="388"/>
      <c r="RZR27" s="388"/>
      <c r="RZS27" s="388"/>
      <c r="RZT27" s="388"/>
      <c r="RZU27" s="388"/>
      <c r="RZV27" s="388"/>
      <c r="RZW27" s="388"/>
      <c r="RZX27" s="388"/>
      <c r="RZY27" s="388"/>
      <c r="RZZ27" s="388"/>
      <c r="SAA27" s="388"/>
      <c r="SAB27" s="388"/>
      <c r="SAC27" s="388"/>
      <c r="SAD27" s="388"/>
      <c r="SAE27" s="388"/>
      <c r="SAF27" s="388"/>
      <c r="SAG27" s="388"/>
      <c r="SAH27" s="388"/>
      <c r="SAI27" s="388"/>
      <c r="SAJ27" s="388"/>
      <c r="SAK27" s="388"/>
      <c r="SAL27" s="388"/>
      <c r="SAM27" s="388"/>
      <c r="SAN27" s="388"/>
      <c r="SAO27" s="388"/>
      <c r="SAP27" s="388"/>
      <c r="SAQ27" s="388"/>
      <c r="SAR27" s="388"/>
      <c r="SAS27" s="388"/>
      <c r="SAT27" s="388"/>
      <c r="SAU27" s="388"/>
      <c r="SAV27" s="388"/>
      <c r="SAW27" s="388"/>
      <c r="SAX27" s="388"/>
      <c r="SAY27" s="388"/>
      <c r="SAZ27" s="388"/>
      <c r="SBA27" s="388"/>
      <c r="SBB27" s="388"/>
      <c r="SBC27" s="388"/>
      <c r="SBD27" s="388"/>
      <c r="SBE27" s="388"/>
      <c r="SBF27" s="388"/>
      <c r="SBG27" s="388"/>
      <c r="SBH27" s="388"/>
      <c r="SBI27" s="388"/>
      <c r="SBJ27" s="388"/>
      <c r="SBK27" s="388"/>
      <c r="SBL27" s="388"/>
      <c r="SBM27" s="388"/>
      <c r="SBN27" s="388"/>
      <c r="SBO27" s="388"/>
      <c r="SBP27" s="388"/>
      <c r="SBQ27" s="388"/>
      <c r="SBR27" s="388"/>
      <c r="SBS27" s="388"/>
      <c r="SBT27" s="388"/>
      <c r="SBU27" s="388"/>
      <c r="SBV27" s="388"/>
      <c r="SBW27" s="388"/>
      <c r="SBX27" s="388"/>
      <c r="SBY27" s="388"/>
      <c r="SBZ27" s="388"/>
      <c r="SCA27" s="388"/>
      <c r="SCB27" s="388"/>
      <c r="SCC27" s="388"/>
      <c r="SCD27" s="388"/>
      <c r="SCE27" s="388"/>
      <c r="SCF27" s="388"/>
      <c r="SCG27" s="388"/>
      <c r="SCH27" s="388"/>
      <c r="SCI27" s="388"/>
      <c r="SCJ27" s="388"/>
      <c r="SCK27" s="388"/>
      <c r="SCL27" s="388"/>
      <c r="SCM27" s="388"/>
      <c r="SCN27" s="388"/>
      <c r="SCO27" s="388"/>
      <c r="SCP27" s="388"/>
      <c r="SCQ27" s="388"/>
      <c r="SCR27" s="388"/>
      <c r="SCS27" s="388"/>
      <c r="SCT27" s="388"/>
      <c r="SCU27" s="388"/>
      <c r="SCV27" s="388"/>
      <c r="SCW27" s="388"/>
      <c r="SCX27" s="388"/>
      <c r="SCY27" s="388"/>
      <c r="SCZ27" s="388"/>
      <c r="SDA27" s="388"/>
      <c r="SDB27" s="388"/>
      <c r="SDC27" s="388"/>
      <c r="SDD27" s="388"/>
      <c r="SDE27" s="388"/>
      <c r="SDF27" s="388"/>
      <c r="SDG27" s="388"/>
      <c r="SDH27" s="388"/>
      <c r="SDI27" s="388"/>
      <c r="SDJ27" s="388"/>
      <c r="SDK27" s="388"/>
      <c r="SDL27" s="388"/>
      <c r="SDM27" s="388"/>
      <c r="SDN27" s="388"/>
      <c r="SDO27" s="388"/>
      <c r="SDP27" s="388"/>
      <c r="SDQ27" s="388"/>
      <c r="SDR27" s="388"/>
      <c r="SDS27" s="388"/>
      <c r="SDT27" s="388"/>
      <c r="SDU27" s="388"/>
      <c r="SDV27" s="388"/>
      <c r="SDW27" s="388"/>
      <c r="SDX27" s="388"/>
      <c r="SDY27" s="388"/>
      <c r="SDZ27" s="388"/>
      <c r="SEA27" s="388"/>
      <c r="SEB27" s="388"/>
      <c r="SEC27" s="388"/>
      <c r="SED27" s="388"/>
      <c r="SEE27" s="388"/>
      <c r="SEF27" s="388"/>
      <c r="SEG27" s="388"/>
      <c r="SEH27" s="388"/>
      <c r="SEI27" s="388"/>
      <c r="SEJ27" s="388"/>
      <c r="SEK27" s="388"/>
      <c r="SEL27" s="388"/>
      <c r="SEM27" s="388"/>
      <c r="SEN27" s="388"/>
      <c r="SEO27" s="388"/>
      <c r="SEP27" s="388"/>
      <c r="SEQ27" s="388"/>
      <c r="SER27" s="388"/>
      <c r="SES27" s="388"/>
      <c r="SET27" s="388"/>
      <c r="SEU27" s="388"/>
      <c r="SEV27" s="388"/>
      <c r="SEW27" s="388"/>
      <c r="SEX27" s="388"/>
      <c r="SEY27" s="388"/>
      <c r="SEZ27" s="388"/>
      <c r="SFA27" s="388"/>
      <c r="SFB27" s="388"/>
      <c r="SFC27" s="388"/>
      <c r="SFD27" s="388"/>
      <c r="SFE27" s="388"/>
      <c r="SFF27" s="388"/>
      <c r="SFG27" s="388"/>
      <c r="SFH27" s="388"/>
      <c r="SFI27" s="388"/>
      <c r="SFJ27" s="388"/>
      <c r="SFK27" s="388"/>
      <c r="SFL27" s="388"/>
      <c r="SFM27" s="388"/>
      <c r="SFN27" s="388"/>
      <c r="SFO27" s="388"/>
      <c r="SFP27" s="388"/>
      <c r="SFQ27" s="388"/>
      <c r="SFR27" s="388"/>
      <c r="SFS27" s="388"/>
      <c r="SFT27" s="388"/>
      <c r="SFU27" s="388"/>
      <c r="SFV27" s="388"/>
      <c r="SFW27" s="388"/>
      <c r="SFX27" s="388"/>
      <c r="SFY27" s="388"/>
      <c r="SFZ27" s="388"/>
      <c r="SGA27" s="388"/>
      <c r="SGB27" s="388"/>
      <c r="SGC27" s="388"/>
      <c r="SGD27" s="388"/>
      <c r="SGE27" s="388"/>
      <c r="SGF27" s="388"/>
      <c r="SGG27" s="388"/>
      <c r="SGH27" s="388"/>
      <c r="SGI27" s="388"/>
      <c r="SGJ27" s="388"/>
      <c r="SGK27" s="388"/>
      <c r="SGL27" s="388"/>
      <c r="SGM27" s="388"/>
      <c r="SGN27" s="388"/>
      <c r="SGO27" s="388"/>
      <c r="SGP27" s="388"/>
      <c r="SGQ27" s="388"/>
      <c r="SGR27" s="388"/>
      <c r="SGS27" s="388"/>
      <c r="SGT27" s="388"/>
      <c r="SGU27" s="388"/>
      <c r="SGV27" s="388"/>
      <c r="SGW27" s="388"/>
      <c r="SGX27" s="388"/>
      <c r="SGY27" s="388"/>
      <c r="SGZ27" s="388"/>
      <c r="SHA27" s="388"/>
      <c r="SHB27" s="388"/>
      <c r="SHC27" s="388"/>
      <c r="SHD27" s="388"/>
      <c r="SHE27" s="388"/>
      <c r="SHF27" s="388"/>
      <c r="SHG27" s="388"/>
      <c r="SHH27" s="388"/>
      <c r="SHI27" s="388"/>
      <c r="SHJ27" s="388"/>
      <c r="SHK27" s="388"/>
      <c r="SHL27" s="388"/>
      <c r="SHM27" s="388"/>
      <c r="SHN27" s="388"/>
      <c r="SHO27" s="388"/>
      <c r="SHP27" s="388"/>
      <c r="SHQ27" s="388"/>
      <c r="SHR27" s="388"/>
      <c r="SHS27" s="388"/>
      <c r="SHT27" s="388"/>
      <c r="SHU27" s="388"/>
      <c r="SHV27" s="388"/>
      <c r="SHW27" s="388"/>
      <c r="SHX27" s="388"/>
      <c r="SHY27" s="388"/>
      <c r="SHZ27" s="388"/>
      <c r="SIA27" s="388"/>
      <c r="SIB27" s="388"/>
      <c r="SIC27" s="388"/>
      <c r="SID27" s="388"/>
      <c r="SIE27" s="388"/>
      <c r="SIF27" s="388"/>
      <c r="SIG27" s="388"/>
      <c r="SIH27" s="388"/>
      <c r="SII27" s="388"/>
      <c r="SIJ27" s="388"/>
      <c r="SIK27" s="388"/>
      <c r="SIL27" s="388"/>
      <c r="SIM27" s="388"/>
      <c r="SIN27" s="388"/>
      <c r="SIO27" s="388"/>
      <c r="SIP27" s="388"/>
      <c r="SIQ27" s="388"/>
      <c r="SIR27" s="388"/>
      <c r="SIS27" s="388"/>
      <c r="SIT27" s="388"/>
      <c r="SIU27" s="388"/>
      <c r="SIV27" s="388"/>
      <c r="SIW27" s="388"/>
      <c r="SIX27" s="388"/>
      <c r="SIY27" s="388"/>
      <c r="SIZ27" s="388"/>
      <c r="SJA27" s="388"/>
      <c r="SJB27" s="388"/>
      <c r="SJC27" s="388"/>
      <c r="SJD27" s="388"/>
      <c r="SJE27" s="388"/>
      <c r="SJF27" s="388"/>
      <c r="SJG27" s="388"/>
      <c r="SJH27" s="388"/>
      <c r="SJI27" s="388"/>
      <c r="SJJ27" s="388"/>
      <c r="SJK27" s="388"/>
      <c r="SJL27" s="388"/>
      <c r="SJM27" s="388"/>
      <c r="SJN27" s="388"/>
      <c r="SJO27" s="388"/>
      <c r="SJP27" s="388"/>
      <c r="SJQ27" s="388"/>
      <c r="SJR27" s="388"/>
      <c r="SJS27" s="388"/>
      <c r="SJT27" s="388"/>
      <c r="SJU27" s="388"/>
      <c r="SJV27" s="388"/>
      <c r="SJW27" s="388"/>
      <c r="SJX27" s="388"/>
      <c r="SJY27" s="388"/>
      <c r="SJZ27" s="388"/>
      <c r="SKA27" s="388"/>
      <c r="SKB27" s="388"/>
      <c r="SKC27" s="388"/>
      <c r="SKD27" s="388"/>
      <c r="SKE27" s="388"/>
      <c r="SKF27" s="388"/>
      <c r="SKG27" s="388"/>
      <c r="SKH27" s="388"/>
      <c r="SKI27" s="388"/>
      <c r="SKJ27" s="388"/>
      <c r="SKK27" s="388"/>
      <c r="SKL27" s="388"/>
      <c r="SKM27" s="388"/>
      <c r="SKN27" s="388"/>
      <c r="SKO27" s="388"/>
      <c r="SKP27" s="388"/>
      <c r="SKQ27" s="388"/>
      <c r="SKR27" s="388"/>
      <c r="SKS27" s="388"/>
      <c r="SKT27" s="388"/>
      <c r="SKU27" s="388"/>
      <c r="SKV27" s="388"/>
      <c r="SKW27" s="388"/>
      <c r="SKX27" s="388"/>
      <c r="SKY27" s="388"/>
      <c r="SKZ27" s="388"/>
      <c r="SLA27" s="388"/>
      <c r="SLB27" s="388"/>
      <c r="SLC27" s="388"/>
      <c r="SLD27" s="388"/>
      <c r="SLE27" s="388"/>
      <c r="SLF27" s="388"/>
      <c r="SLG27" s="388"/>
      <c r="SLH27" s="388"/>
      <c r="SLI27" s="388"/>
      <c r="SLJ27" s="388"/>
      <c r="SLK27" s="388"/>
      <c r="SLL27" s="388"/>
      <c r="SLM27" s="388"/>
      <c r="SLN27" s="388"/>
      <c r="SLO27" s="388"/>
      <c r="SLP27" s="388"/>
      <c r="SLQ27" s="388"/>
      <c r="SLR27" s="388"/>
      <c r="SLS27" s="388"/>
      <c r="SLT27" s="388"/>
      <c r="SLU27" s="388"/>
      <c r="SLV27" s="388"/>
      <c r="SLW27" s="388"/>
      <c r="SLX27" s="388"/>
      <c r="SLY27" s="388"/>
      <c r="SLZ27" s="388"/>
      <c r="SMA27" s="388"/>
      <c r="SMB27" s="388"/>
      <c r="SMC27" s="388"/>
      <c r="SMD27" s="388"/>
      <c r="SME27" s="388"/>
      <c r="SMF27" s="388"/>
      <c r="SMG27" s="388"/>
      <c r="SMH27" s="388"/>
      <c r="SMI27" s="388"/>
      <c r="SMJ27" s="388"/>
      <c r="SMK27" s="388"/>
      <c r="SML27" s="388"/>
      <c r="SMM27" s="388"/>
      <c r="SMN27" s="388"/>
      <c r="SMO27" s="388"/>
      <c r="SMP27" s="388"/>
      <c r="SMQ27" s="388"/>
      <c r="SMR27" s="388"/>
      <c r="SMS27" s="388"/>
      <c r="SMT27" s="388"/>
      <c r="SMU27" s="388"/>
      <c r="SMV27" s="388"/>
      <c r="SMW27" s="388"/>
      <c r="SMX27" s="388"/>
      <c r="SMY27" s="388"/>
      <c r="SMZ27" s="388"/>
      <c r="SNA27" s="388"/>
      <c r="SNB27" s="388"/>
      <c r="SNC27" s="388"/>
      <c r="SND27" s="388"/>
      <c r="SNE27" s="388"/>
      <c r="SNF27" s="388"/>
      <c r="SNG27" s="388"/>
      <c r="SNH27" s="388"/>
      <c r="SNI27" s="388"/>
      <c r="SNJ27" s="388"/>
      <c r="SNK27" s="388"/>
      <c r="SNL27" s="388"/>
      <c r="SNM27" s="388"/>
      <c r="SNN27" s="388"/>
      <c r="SNO27" s="388"/>
      <c r="SNP27" s="388"/>
      <c r="SNQ27" s="388"/>
      <c r="SNR27" s="388"/>
      <c r="SNS27" s="388"/>
      <c r="SNT27" s="388"/>
      <c r="SNU27" s="388"/>
      <c r="SNV27" s="388"/>
      <c r="SNW27" s="388"/>
      <c r="SNX27" s="388"/>
      <c r="SNY27" s="388"/>
      <c r="SNZ27" s="388"/>
      <c r="SOA27" s="388"/>
      <c r="SOB27" s="388"/>
      <c r="SOC27" s="388"/>
      <c r="SOD27" s="388"/>
      <c r="SOE27" s="388"/>
      <c r="SOF27" s="388"/>
      <c r="SOG27" s="388"/>
      <c r="SOH27" s="388"/>
      <c r="SOI27" s="388"/>
      <c r="SOJ27" s="388"/>
      <c r="SOK27" s="388"/>
      <c r="SOL27" s="388"/>
      <c r="SOM27" s="388"/>
      <c r="SON27" s="388"/>
      <c r="SOO27" s="388"/>
      <c r="SOP27" s="388"/>
      <c r="SOQ27" s="388"/>
      <c r="SOR27" s="388"/>
      <c r="SOS27" s="388"/>
      <c r="SOT27" s="388"/>
      <c r="SOU27" s="388"/>
      <c r="SOV27" s="388"/>
      <c r="SOW27" s="388"/>
      <c r="SOX27" s="388"/>
      <c r="SOY27" s="388"/>
      <c r="SOZ27" s="388"/>
      <c r="SPA27" s="388"/>
      <c r="SPB27" s="388"/>
      <c r="SPC27" s="388"/>
      <c r="SPD27" s="388"/>
      <c r="SPE27" s="388"/>
      <c r="SPF27" s="388"/>
      <c r="SPG27" s="388"/>
      <c r="SPH27" s="388"/>
      <c r="SPI27" s="388"/>
      <c r="SPJ27" s="388"/>
      <c r="SPK27" s="388"/>
      <c r="SPL27" s="388"/>
      <c r="SPM27" s="388"/>
      <c r="SPN27" s="388"/>
      <c r="SPO27" s="388"/>
      <c r="SPP27" s="388"/>
      <c r="SPQ27" s="388"/>
      <c r="SPR27" s="388"/>
      <c r="SPS27" s="388"/>
      <c r="SPT27" s="388"/>
      <c r="SPU27" s="388"/>
      <c r="SPV27" s="388"/>
      <c r="SPW27" s="388"/>
      <c r="SPX27" s="388"/>
      <c r="SPY27" s="388"/>
      <c r="SPZ27" s="388"/>
      <c r="SQA27" s="388"/>
      <c r="SQB27" s="388"/>
      <c r="SQC27" s="388"/>
      <c r="SQD27" s="388"/>
      <c r="SQE27" s="388"/>
      <c r="SQF27" s="388"/>
      <c r="SQG27" s="388"/>
      <c r="SQH27" s="388"/>
      <c r="SQI27" s="388"/>
      <c r="SQJ27" s="388"/>
      <c r="SQK27" s="388"/>
      <c r="SQL27" s="388"/>
      <c r="SQM27" s="388"/>
      <c r="SQN27" s="388"/>
      <c r="SQO27" s="388"/>
      <c r="SQP27" s="388"/>
      <c r="SQQ27" s="388"/>
      <c r="SQR27" s="388"/>
      <c r="SQS27" s="388"/>
      <c r="SQT27" s="388"/>
      <c r="SQU27" s="388"/>
      <c r="SQV27" s="388"/>
      <c r="SQW27" s="388"/>
      <c r="SQX27" s="388"/>
      <c r="SQY27" s="388"/>
      <c r="SQZ27" s="388"/>
      <c r="SRA27" s="388"/>
      <c r="SRB27" s="388"/>
      <c r="SRC27" s="388"/>
      <c r="SRD27" s="388"/>
      <c r="SRE27" s="388"/>
      <c r="SRF27" s="388"/>
      <c r="SRG27" s="388"/>
      <c r="SRH27" s="388"/>
      <c r="SRI27" s="388"/>
      <c r="SRJ27" s="388"/>
      <c r="SRK27" s="388"/>
      <c r="SRL27" s="388"/>
      <c r="SRM27" s="388"/>
      <c r="SRN27" s="388"/>
      <c r="SRO27" s="388"/>
      <c r="SRP27" s="388"/>
      <c r="SRQ27" s="388"/>
      <c r="SRR27" s="388"/>
      <c r="SRS27" s="388"/>
      <c r="SRT27" s="388"/>
      <c r="SRU27" s="388"/>
      <c r="SRV27" s="388"/>
      <c r="SRW27" s="388"/>
      <c r="SRX27" s="388"/>
      <c r="SRY27" s="388"/>
      <c r="SRZ27" s="388"/>
      <c r="SSA27" s="388"/>
      <c r="SSB27" s="388"/>
      <c r="SSC27" s="388"/>
      <c r="SSD27" s="388"/>
      <c r="SSE27" s="388"/>
      <c r="SSF27" s="388"/>
      <c r="SSG27" s="388"/>
      <c r="SSH27" s="388"/>
      <c r="SSI27" s="388"/>
      <c r="SSJ27" s="388"/>
      <c r="SSK27" s="388"/>
      <c r="SSL27" s="388"/>
      <c r="SSM27" s="388"/>
      <c r="SSN27" s="388"/>
      <c r="SSO27" s="388"/>
      <c r="SSP27" s="388"/>
      <c r="SSQ27" s="388"/>
      <c r="SSR27" s="388"/>
      <c r="SSS27" s="388"/>
      <c r="SST27" s="388"/>
      <c r="SSU27" s="388"/>
      <c r="SSV27" s="388"/>
      <c r="SSW27" s="388"/>
      <c r="SSX27" s="388"/>
      <c r="SSY27" s="388"/>
      <c r="SSZ27" s="388"/>
      <c r="STA27" s="388"/>
      <c r="STB27" s="388"/>
      <c r="STC27" s="388"/>
      <c r="STD27" s="388"/>
      <c r="STE27" s="388"/>
      <c r="STF27" s="388"/>
      <c r="STG27" s="388"/>
      <c r="STH27" s="388"/>
      <c r="STI27" s="388"/>
      <c r="STJ27" s="388"/>
      <c r="STK27" s="388"/>
      <c r="STL27" s="388"/>
      <c r="STM27" s="388"/>
      <c r="STN27" s="388"/>
      <c r="STO27" s="388"/>
      <c r="STP27" s="388"/>
      <c r="STQ27" s="388"/>
      <c r="STR27" s="388"/>
      <c r="STS27" s="388"/>
      <c r="STT27" s="388"/>
      <c r="STU27" s="388"/>
      <c r="STV27" s="388"/>
      <c r="STW27" s="388"/>
      <c r="STX27" s="388"/>
      <c r="STY27" s="388"/>
      <c r="STZ27" s="388"/>
      <c r="SUA27" s="388"/>
      <c r="SUB27" s="388"/>
      <c r="SUC27" s="388"/>
      <c r="SUD27" s="388"/>
      <c r="SUE27" s="388"/>
      <c r="SUF27" s="388"/>
      <c r="SUG27" s="388"/>
      <c r="SUH27" s="388"/>
      <c r="SUI27" s="388"/>
      <c r="SUJ27" s="388"/>
      <c r="SUK27" s="388"/>
      <c r="SUL27" s="388"/>
      <c r="SUM27" s="388"/>
      <c r="SUN27" s="388"/>
      <c r="SUO27" s="388"/>
      <c r="SUP27" s="388"/>
      <c r="SUQ27" s="388"/>
      <c r="SUR27" s="388"/>
      <c r="SUS27" s="388"/>
      <c r="SUT27" s="388"/>
      <c r="SUU27" s="388"/>
      <c r="SUV27" s="388"/>
      <c r="SUW27" s="388"/>
      <c r="SUX27" s="388"/>
      <c r="SUY27" s="388"/>
      <c r="SUZ27" s="388"/>
      <c r="SVA27" s="388"/>
      <c r="SVB27" s="388"/>
      <c r="SVC27" s="388"/>
      <c r="SVD27" s="388"/>
      <c r="SVE27" s="388"/>
      <c r="SVF27" s="388"/>
      <c r="SVG27" s="388"/>
      <c r="SVH27" s="388"/>
      <c r="SVI27" s="388"/>
      <c r="SVJ27" s="388"/>
      <c r="SVK27" s="388"/>
      <c r="SVL27" s="388"/>
      <c r="SVM27" s="388"/>
      <c r="SVN27" s="388"/>
      <c r="SVO27" s="388"/>
      <c r="SVP27" s="388"/>
      <c r="SVQ27" s="388"/>
      <c r="SVR27" s="388"/>
      <c r="SVS27" s="388"/>
      <c r="SVT27" s="388"/>
      <c r="SVU27" s="388"/>
      <c r="SVV27" s="388"/>
      <c r="SVW27" s="388"/>
      <c r="SVX27" s="388"/>
      <c r="SVY27" s="388"/>
      <c r="SVZ27" s="388"/>
      <c r="SWA27" s="388"/>
      <c r="SWB27" s="388"/>
      <c r="SWC27" s="388"/>
      <c r="SWD27" s="388"/>
      <c r="SWE27" s="388"/>
      <c r="SWF27" s="388"/>
      <c r="SWG27" s="388"/>
      <c r="SWH27" s="388"/>
      <c r="SWI27" s="388"/>
      <c r="SWJ27" s="388"/>
      <c r="SWK27" s="388"/>
      <c r="SWL27" s="388"/>
      <c r="SWM27" s="388"/>
      <c r="SWN27" s="388"/>
      <c r="SWO27" s="388"/>
      <c r="SWP27" s="388"/>
      <c r="SWQ27" s="388"/>
      <c r="SWR27" s="388"/>
      <c r="SWS27" s="388"/>
      <c r="SWT27" s="388"/>
      <c r="SWU27" s="388"/>
      <c r="SWV27" s="388"/>
      <c r="SWW27" s="388"/>
      <c r="SWX27" s="388"/>
      <c r="SWY27" s="388"/>
      <c r="SWZ27" s="388"/>
      <c r="SXA27" s="388"/>
      <c r="SXB27" s="388"/>
      <c r="SXC27" s="388"/>
      <c r="SXD27" s="388"/>
      <c r="SXE27" s="388"/>
      <c r="SXF27" s="388"/>
      <c r="SXG27" s="388"/>
      <c r="SXH27" s="388"/>
      <c r="SXI27" s="388"/>
      <c r="SXJ27" s="388"/>
      <c r="SXK27" s="388"/>
      <c r="SXL27" s="388"/>
      <c r="SXM27" s="388"/>
      <c r="SXN27" s="388"/>
      <c r="SXO27" s="388"/>
      <c r="SXP27" s="388"/>
      <c r="SXQ27" s="388"/>
      <c r="SXR27" s="388"/>
      <c r="SXS27" s="388"/>
      <c r="SXT27" s="388"/>
      <c r="SXU27" s="388"/>
      <c r="SXV27" s="388"/>
      <c r="SXW27" s="388"/>
      <c r="SXX27" s="388"/>
      <c r="SXY27" s="388"/>
      <c r="SXZ27" s="388"/>
      <c r="SYA27" s="388"/>
      <c r="SYB27" s="388"/>
      <c r="SYC27" s="388"/>
      <c r="SYD27" s="388"/>
      <c r="SYE27" s="388"/>
      <c r="SYF27" s="388"/>
      <c r="SYG27" s="388"/>
      <c r="SYH27" s="388"/>
      <c r="SYI27" s="388"/>
      <c r="SYJ27" s="388"/>
      <c r="SYK27" s="388"/>
      <c r="SYL27" s="388"/>
      <c r="SYM27" s="388"/>
      <c r="SYN27" s="388"/>
      <c r="SYO27" s="388"/>
      <c r="SYP27" s="388"/>
      <c r="SYQ27" s="388"/>
      <c r="SYR27" s="388"/>
      <c r="SYS27" s="388"/>
      <c r="SYT27" s="388"/>
      <c r="SYU27" s="388"/>
      <c r="SYV27" s="388"/>
      <c r="SYW27" s="388"/>
      <c r="SYX27" s="388"/>
      <c r="SYY27" s="388"/>
      <c r="SYZ27" s="388"/>
      <c r="SZA27" s="388"/>
      <c r="SZB27" s="388"/>
      <c r="SZC27" s="388"/>
      <c r="SZD27" s="388"/>
      <c r="SZE27" s="388"/>
      <c r="SZF27" s="388"/>
      <c r="SZG27" s="388"/>
      <c r="SZH27" s="388"/>
      <c r="SZI27" s="388"/>
      <c r="SZJ27" s="388"/>
      <c r="SZK27" s="388"/>
      <c r="SZL27" s="388"/>
      <c r="SZM27" s="388"/>
      <c r="SZN27" s="388"/>
      <c r="SZO27" s="388"/>
      <c r="SZP27" s="388"/>
      <c r="SZQ27" s="388"/>
      <c r="SZR27" s="388"/>
      <c r="SZS27" s="388"/>
      <c r="SZT27" s="388"/>
      <c r="SZU27" s="388"/>
      <c r="SZV27" s="388"/>
      <c r="SZW27" s="388"/>
      <c r="SZX27" s="388"/>
      <c r="SZY27" s="388"/>
      <c r="SZZ27" s="388"/>
      <c r="TAA27" s="388"/>
      <c r="TAB27" s="388"/>
      <c r="TAC27" s="388"/>
      <c r="TAD27" s="388"/>
      <c r="TAE27" s="388"/>
      <c r="TAF27" s="388"/>
      <c r="TAG27" s="388"/>
      <c r="TAH27" s="388"/>
      <c r="TAI27" s="388"/>
      <c r="TAJ27" s="388"/>
      <c r="TAK27" s="388"/>
      <c r="TAL27" s="388"/>
      <c r="TAM27" s="388"/>
      <c r="TAN27" s="388"/>
      <c r="TAO27" s="388"/>
      <c r="TAP27" s="388"/>
      <c r="TAQ27" s="388"/>
      <c r="TAR27" s="388"/>
      <c r="TAS27" s="388"/>
      <c r="TAT27" s="388"/>
      <c r="TAU27" s="388"/>
      <c r="TAV27" s="388"/>
      <c r="TAW27" s="388"/>
      <c r="TAX27" s="388"/>
      <c r="TAY27" s="388"/>
      <c r="TAZ27" s="388"/>
      <c r="TBA27" s="388"/>
      <c r="TBB27" s="388"/>
      <c r="TBC27" s="388"/>
      <c r="TBD27" s="388"/>
      <c r="TBE27" s="388"/>
      <c r="TBF27" s="388"/>
      <c r="TBG27" s="388"/>
      <c r="TBH27" s="388"/>
      <c r="TBI27" s="388"/>
      <c r="TBJ27" s="388"/>
      <c r="TBK27" s="388"/>
      <c r="TBL27" s="388"/>
      <c r="TBM27" s="388"/>
      <c r="TBN27" s="388"/>
      <c r="TBO27" s="388"/>
      <c r="TBP27" s="388"/>
      <c r="TBQ27" s="388"/>
      <c r="TBR27" s="388"/>
      <c r="TBS27" s="388"/>
      <c r="TBT27" s="388"/>
      <c r="TBU27" s="388"/>
      <c r="TBV27" s="388"/>
      <c r="TBW27" s="388"/>
      <c r="TBX27" s="388"/>
      <c r="TBY27" s="388"/>
      <c r="TBZ27" s="388"/>
      <c r="TCA27" s="388"/>
      <c r="TCB27" s="388"/>
      <c r="TCC27" s="388"/>
      <c r="TCD27" s="388"/>
      <c r="TCE27" s="388"/>
      <c r="TCF27" s="388"/>
      <c r="TCG27" s="388"/>
      <c r="TCH27" s="388"/>
      <c r="TCI27" s="388"/>
      <c r="TCJ27" s="388"/>
      <c r="TCK27" s="388"/>
      <c r="TCL27" s="388"/>
      <c r="TCM27" s="388"/>
      <c r="TCN27" s="388"/>
      <c r="TCO27" s="388"/>
      <c r="TCP27" s="388"/>
      <c r="TCQ27" s="388"/>
      <c r="TCR27" s="388"/>
      <c r="TCS27" s="388"/>
      <c r="TCT27" s="388"/>
      <c r="TCU27" s="388"/>
      <c r="TCV27" s="388"/>
      <c r="TCW27" s="388"/>
      <c r="TCX27" s="388"/>
      <c r="TCY27" s="388"/>
      <c r="TCZ27" s="388"/>
      <c r="TDA27" s="388"/>
      <c r="TDB27" s="388"/>
      <c r="TDC27" s="388"/>
      <c r="TDD27" s="388"/>
      <c r="TDE27" s="388"/>
      <c r="TDF27" s="388"/>
      <c r="TDG27" s="388"/>
      <c r="TDH27" s="388"/>
      <c r="TDI27" s="388"/>
      <c r="TDJ27" s="388"/>
      <c r="TDK27" s="388"/>
      <c r="TDL27" s="388"/>
      <c r="TDM27" s="388"/>
      <c r="TDN27" s="388"/>
      <c r="TDO27" s="388"/>
      <c r="TDP27" s="388"/>
      <c r="TDQ27" s="388"/>
      <c r="TDR27" s="388"/>
      <c r="TDS27" s="388"/>
      <c r="TDT27" s="388"/>
      <c r="TDU27" s="388"/>
      <c r="TDV27" s="388"/>
      <c r="TDW27" s="388"/>
      <c r="TDX27" s="388"/>
      <c r="TDY27" s="388"/>
      <c r="TDZ27" s="388"/>
      <c r="TEA27" s="388"/>
      <c r="TEB27" s="388"/>
      <c r="TEC27" s="388"/>
      <c r="TED27" s="388"/>
      <c r="TEE27" s="388"/>
      <c r="TEF27" s="388"/>
      <c r="TEG27" s="388"/>
      <c r="TEH27" s="388"/>
      <c r="TEI27" s="388"/>
      <c r="TEJ27" s="388"/>
      <c r="TEK27" s="388"/>
      <c r="TEL27" s="388"/>
      <c r="TEM27" s="388"/>
      <c r="TEN27" s="388"/>
      <c r="TEO27" s="388"/>
      <c r="TEP27" s="388"/>
      <c r="TEQ27" s="388"/>
      <c r="TER27" s="388"/>
      <c r="TES27" s="388"/>
      <c r="TET27" s="388"/>
      <c r="TEU27" s="388"/>
      <c r="TEV27" s="388"/>
      <c r="TEW27" s="388"/>
      <c r="TEX27" s="388"/>
      <c r="TEY27" s="388"/>
      <c r="TEZ27" s="388"/>
      <c r="TFA27" s="388"/>
      <c r="TFB27" s="388"/>
      <c r="TFC27" s="388"/>
      <c r="TFD27" s="388"/>
      <c r="TFE27" s="388"/>
      <c r="TFF27" s="388"/>
      <c r="TFG27" s="388"/>
      <c r="TFH27" s="388"/>
      <c r="TFI27" s="388"/>
      <c r="TFJ27" s="388"/>
      <c r="TFK27" s="388"/>
      <c r="TFL27" s="388"/>
      <c r="TFM27" s="388"/>
      <c r="TFN27" s="388"/>
      <c r="TFO27" s="388"/>
      <c r="TFP27" s="388"/>
      <c r="TFQ27" s="388"/>
      <c r="TFR27" s="388"/>
      <c r="TFS27" s="388"/>
      <c r="TFT27" s="388"/>
      <c r="TFU27" s="388"/>
      <c r="TFV27" s="388"/>
      <c r="TFW27" s="388"/>
      <c r="TFX27" s="388"/>
      <c r="TFY27" s="388"/>
      <c r="TFZ27" s="388"/>
      <c r="TGA27" s="388"/>
      <c r="TGB27" s="388"/>
      <c r="TGC27" s="388"/>
      <c r="TGD27" s="388"/>
      <c r="TGE27" s="388"/>
      <c r="TGF27" s="388"/>
      <c r="TGG27" s="388"/>
      <c r="TGH27" s="388"/>
      <c r="TGI27" s="388"/>
      <c r="TGJ27" s="388"/>
      <c r="TGK27" s="388"/>
      <c r="TGL27" s="388"/>
      <c r="TGM27" s="388"/>
      <c r="TGN27" s="388"/>
      <c r="TGO27" s="388"/>
      <c r="TGP27" s="388"/>
      <c r="TGQ27" s="388"/>
      <c r="TGR27" s="388"/>
      <c r="TGS27" s="388"/>
      <c r="TGT27" s="388"/>
      <c r="TGU27" s="388"/>
      <c r="TGV27" s="388"/>
      <c r="TGW27" s="388"/>
      <c r="TGX27" s="388"/>
      <c r="TGY27" s="388"/>
      <c r="TGZ27" s="388"/>
      <c r="THA27" s="388"/>
      <c r="THB27" s="388"/>
      <c r="THC27" s="388"/>
      <c r="THD27" s="388"/>
      <c r="THE27" s="388"/>
      <c r="THF27" s="388"/>
      <c r="THG27" s="388"/>
      <c r="THH27" s="388"/>
      <c r="THI27" s="388"/>
      <c r="THJ27" s="388"/>
      <c r="THK27" s="388"/>
      <c r="THL27" s="388"/>
      <c r="THM27" s="388"/>
      <c r="THN27" s="388"/>
      <c r="THO27" s="388"/>
      <c r="THP27" s="388"/>
      <c r="THQ27" s="388"/>
      <c r="THR27" s="388"/>
      <c r="THS27" s="388"/>
      <c r="THT27" s="388"/>
      <c r="THU27" s="388"/>
      <c r="THV27" s="388"/>
      <c r="THW27" s="388"/>
      <c r="THX27" s="388"/>
      <c r="THY27" s="388"/>
      <c r="THZ27" s="388"/>
      <c r="TIA27" s="388"/>
      <c r="TIB27" s="388"/>
      <c r="TIC27" s="388"/>
      <c r="TID27" s="388"/>
      <c r="TIE27" s="388"/>
      <c r="TIF27" s="388"/>
      <c r="TIG27" s="388"/>
      <c r="TIH27" s="388"/>
      <c r="TII27" s="388"/>
      <c r="TIJ27" s="388"/>
      <c r="TIK27" s="388"/>
      <c r="TIL27" s="388"/>
      <c r="TIM27" s="388"/>
      <c r="TIN27" s="388"/>
      <c r="TIO27" s="388"/>
      <c r="TIP27" s="388"/>
      <c r="TIQ27" s="388"/>
      <c r="TIR27" s="388"/>
      <c r="TIS27" s="388"/>
      <c r="TIT27" s="388"/>
      <c r="TIU27" s="388"/>
      <c r="TIV27" s="388"/>
      <c r="TIW27" s="388"/>
      <c r="TIX27" s="388"/>
      <c r="TIY27" s="388"/>
      <c r="TIZ27" s="388"/>
      <c r="TJA27" s="388"/>
      <c r="TJB27" s="388"/>
      <c r="TJC27" s="388"/>
      <c r="TJD27" s="388"/>
      <c r="TJE27" s="388"/>
      <c r="TJF27" s="388"/>
      <c r="TJG27" s="388"/>
      <c r="TJH27" s="388"/>
      <c r="TJI27" s="388"/>
      <c r="TJJ27" s="388"/>
      <c r="TJK27" s="388"/>
      <c r="TJL27" s="388"/>
      <c r="TJM27" s="388"/>
      <c r="TJN27" s="388"/>
      <c r="TJO27" s="388"/>
      <c r="TJP27" s="388"/>
      <c r="TJQ27" s="388"/>
      <c r="TJR27" s="388"/>
      <c r="TJS27" s="388"/>
      <c r="TJT27" s="388"/>
      <c r="TJU27" s="388"/>
      <c r="TJV27" s="388"/>
      <c r="TJW27" s="388"/>
      <c r="TJX27" s="388"/>
      <c r="TJY27" s="388"/>
      <c r="TJZ27" s="388"/>
      <c r="TKA27" s="388"/>
      <c r="TKB27" s="388"/>
      <c r="TKC27" s="388"/>
      <c r="TKD27" s="388"/>
      <c r="TKE27" s="388"/>
      <c r="TKF27" s="388"/>
      <c r="TKG27" s="388"/>
      <c r="TKH27" s="388"/>
      <c r="TKI27" s="388"/>
      <c r="TKJ27" s="388"/>
      <c r="TKK27" s="388"/>
      <c r="TKL27" s="388"/>
      <c r="TKM27" s="388"/>
      <c r="TKN27" s="388"/>
      <c r="TKO27" s="388"/>
      <c r="TKP27" s="388"/>
      <c r="TKQ27" s="388"/>
      <c r="TKR27" s="388"/>
      <c r="TKS27" s="388"/>
      <c r="TKT27" s="388"/>
      <c r="TKU27" s="388"/>
      <c r="TKV27" s="388"/>
      <c r="TKW27" s="388"/>
      <c r="TKX27" s="388"/>
      <c r="TKY27" s="388"/>
      <c r="TKZ27" s="388"/>
      <c r="TLA27" s="388"/>
      <c r="TLB27" s="388"/>
      <c r="TLC27" s="388"/>
      <c r="TLD27" s="388"/>
      <c r="TLE27" s="388"/>
      <c r="TLF27" s="388"/>
      <c r="TLG27" s="388"/>
      <c r="TLH27" s="388"/>
      <c r="TLI27" s="388"/>
      <c r="TLJ27" s="388"/>
      <c r="TLK27" s="388"/>
      <c r="TLL27" s="388"/>
      <c r="TLM27" s="388"/>
      <c r="TLN27" s="388"/>
      <c r="TLO27" s="388"/>
      <c r="TLP27" s="388"/>
      <c r="TLQ27" s="388"/>
      <c r="TLR27" s="388"/>
      <c r="TLS27" s="388"/>
      <c r="TLT27" s="388"/>
      <c r="TLU27" s="388"/>
      <c r="TLV27" s="388"/>
      <c r="TLW27" s="388"/>
      <c r="TLX27" s="388"/>
      <c r="TLY27" s="388"/>
      <c r="TLZ27" s="388"/>
      <c r="TMA27" s="388"/>
      <c r="TMB27" s="388"/>
      <c r="TMC27" s="388"/>
      <c r="TMD27" s="388"/>
      <c r="TME27" s="388"/>
      <c r="TMF27" s="388"/>
      <c r="TMG27" s="388"/>
      <c r="TMH27" s="388"/>
      <c r="TMI27" s="388"/>
      <c r="TMJ27" s="388"/>
      <c r="TMK27" s="388"/>
      <c r="TML27" s="388"/>
      <c r="TMM27" s="388"/>
      <c r="TMN27" s="388"/>
      <c r="TMO27" s="388"/>
      <c r="TMP27" s="388"/>
      <c r="TMQ27" s="388"/>
      <c r="TMR27" s="388"/>
      <c r="TMS27" s="388"/>
      <c r="TMT27" s="388"/>
      <c r="TMU27" s="388"/>
      <c r="TMV27" s="388"/>
      <c r="TMW27" s="388"/>
      <c r="TMX27" s="388"/>
      <c r="TMY27" s="388"/>
      <c r="TMZ27" s="388"/>
      <c r="TNA27" s="388"/>
      <c r="TNB27" s="388"/>
      <c r="TNC27" s="388"/>
      <c r="TND27" s="388"/>
      <c r="TNE27" s="388"/>
      <c r="TNF27" s="388"/>
      <c r="TNG27" s="388"/>
      <c r="TNH27" s="388"/>
      <c r="TNI27" s="388"/>
      <c r="TNJ27" s="388"/>
      <c r="TNK27" s="388"/>
      <c r="TNL27" s="388"/>
      <c r="TNM27" s="388"/>
      <c r="TNN27" s="388"/>
      <c r="TNO27" s="388"/>
      <c r="TNP27" s="388"/>
      <c r="TNQ27" s="388"/>
      <c r="TNR27" s="388"/>
      <c r="TNS27" s="388"/>
      <c r="TNT27" s="388"/>
      <c r="TNU27" s="388"/>
      <c r="TNV27" s="388"/>
      <c r="TNW27" s="388"/>
      <c r="TNX27" s="388"/>
      <c r="TNY27" s="388"/>
      <c r="TNZ27" s="388"/>
      <c r="TOA27" s="388"/>
      <c r="TOB27" s="388"/>
      <c r="TOC27" s="388"/>
      <c r="TOD27" s="388"/>
      <c r="TOE27" s="388"/>
      <c r="TOF27" s="388"/>
      <c r="TOG27" s="388"/>
      <c r="TOH27" s="388"/>
      <c r="TOI27" s="388"/>
      <c r="TOJ27" s="388"/>
      <c r="TOK27" s="388"/>
      <c r="TOL27" s="388"/>
      <c r="TOM27" s="388"/>
      <c r="TON27" s="388"/>
      <c r="TOO27" s="388"/>
      <c r="TOP27" s="388"/>
      <c r="TOQ27" s="388"/>
      <c r="TOR27" s="388"/>
      <c r="TOS27" s="388"/>
      <c r="TOT27" s="388"/>
      <c r="TOU27" s="388"/>
      <c r="TOV27" s="388"/>
      <c r="TOW27" s="388"/>
      <c r="TOX27" s="388"/>
      <c r="TOY27" s="388"/>
      <c r="TOZ27" s="388"/>
      <c r="TPA27" s="388"/>
      <c r="TPB27" s="388"/>
      <c r="TPC27" s="388"/>
      <c r="TPD27" s="388"/>
      <c r="TPE27" s="388"/>
      <c r="TPF27" s="388"/>
      <c r="TPG27" s="388"/>
      <c r="TPH27" s="388"/>
      <c r="TPI27" s="388"/>
      <c r="TPJ27" s="388"/>
      <c r="TPK27" s="388"/>
      <c r="TPL27" s="388"/>
      <c r="TPM27" s="388"/>
      <c r="TPN27" s="388"/>
      <c r="TPO27" s="388"/>
      <c r="TPP27" s="388"/>
      <c r="TPQ27" s="388"/>
      <c r="TPR27" s="388"/>
      <c r="TPS27" s="388"/>
      <c r="TPT27" s="388"/>
      <c r="TPU27" s="388"/>
      <c r="TPV27" s="388"/>
      <c r="TPW27" s="388"/>
      <c r="TPX27" s="388"/>
      <c r="TPY27" s="388"/>
      <c r="TPZ27" s="388"/>
      <c r="TQA27" s="388"/>
      <c r="TQB27" s="388"/>
      <c r="TQC27" s="388"/>
      <c r="TQD27" s="388"/>
      <c r="TQE27" s="388"/>
      <c r="TQF27" s="388"/>
      <c r="TQG27" s="388"/>
      <c r="TQH27" s="388"/>
      <c r="TQI27" s="388"/>
      <c r="TQJ27" s="388"/>
      <c r="TQK27" s="388"/>
      <c r="TQL27" s="388"/>
      <c r="TQM27" s="388"/>
      <c r="TQN27" s="388"/>
      <c r="TQO27" s="388"/>
      <c r="TQP27" s="388"/>
      <c r="TQQ27" s="388"/>
      <c r="TQR27" s="388"/>
      <c r="TQS27" s="388"/>
      <c r="TQT27" s="388"/>
      <c r="TQU27" s="388"/>
      <c r="TQV27" s="388"/>
      <c r="TQW27" s="388"/>
      <c r="TQX27" s="388"/>
      <c r="TQY27" s="388"/>
      <c r="TQZ27" s="388"/>
      <c r="TRA27" s="388"/>
      <c r="TRB27" s="388"/>
      <c r="TRC27" s="388"/>
      <c r="TRD27" s="388"/>
      <c r="TRE27" s="388"/>
      <c r="TRF27" s="388"/>
      <c r="TRG27" s="388"/>
      <c r="TRH27" s="388"/>
      <c r="TRI27" s="388"/>
      <c r="TRJ27" s="388"/>
      <c r="TRK27" s="388"/>
      <c r="TRL27" s="388"/>
      <c r="TRM27" s="388"/>
      <c r="TRN27" s="388"/>
      <c r="TRO27" s="388"/>
      <c r="TRP27" s="388"/>
      <c r="TRQ27" s="388"/>
      <c r="TRR27" s="388"/>
      <c r="TRS27" s="388"/>
      <c r="TRT27" s="388"/>
      <c r="TRU27" s="388"/>
      <c r="TRV27" s="388"/>
      <c r="TRW27" s="388"/>
      <c r="TRX27" s="388"/>
      <c r="TRY27" s="388"/>
      <c r="TRZ27" s="388"/>
      <c r="TSA27" s="388"/>
      <c r="TSB27" s="388"/>
      <c r="TSC27" s="388"/>
      <c r="TSD27" s="388"/>
      <c r="TSE27" s="388"/>
      <c r="TSF27" s="388"/>
      <c r="TSG27" s="388"/>
      <c r="TSH27" s="388"/>
      <c r="TSI27" s="388"/>
      <c r="TSJ27" s="388"/>
      <c r="TSK27" s="388"/>
      <c r="TSL27" s="388"/>
      <c r="TSM27" s="388"/>
      <c r="TSN27" s="388"/>
      <c r="TSO27" s="388"/>
      <c r="TSP27" s="388"/>
      <c r="TSQ27" s="388"/>
      <c r="TSR27" s="388"/>
      <c r="TSS27" s="388"/>
      <c r="TST27" s="388"/>
      <c r="TSU27" s="388"/>
      <c r="TSV27" s="388"/>
      <c r="TSW27" s="388"/>
      <c r="TSX27" s="388"/>
      <c r="TSY27" s="388"/>
      <c r="TSZ27" s="388"/>
      <c r="TTA27" s="388"/>
      <c r="TTB27" s="388"/>
      <c r="TTC27" s="388"/>
      <c r="TTD27" s="388"/>
      <c r="TTE27" s="388"/>
      <c r="TTF27" s="388"/>
      <c r="TTG27" s="388"/>
      <c r="TTH27" s="388"/>
      <c r="TTI27" s="388"/>
      <c r="TTJ27" s="388"/>
      <c r="TTK27" s="388"/>
      <c r="TTL27" s="388"/>
      <c r="TTM27" s="388"/>
      <c r="TTN27" s="388"/>
      <c r="TTO27" s="388"/>
      <c r="TTP27" s="388"/>
      <c r="TTQ27" s="388"/>
      <c r="TTR27" s="388"/>
      <c r="TTS27" s="388"/>
      <c r="TTT27" s="388"/>
      <c r="TTU27" s="388"/>
      <c r="TTV27" s="388"/>
      <c r="TTW27" s="388"/>
      <c r="TTX27" s="388"/>
      <c r="TTY27" s="388"/>
      <c r="TTZ27" s="388"/>
      <c r="TUA27" s="388"/>
      <c r="TUB27" s="388"/>
      <c r="TUC27" s="388"/>
      <c r="TUD27" s="388"/>
      <c r="TUE27" s="388"/>
      <c r="TUF27" s="388"/>
      <c r="TUG27" s="388"/>
      <c r="TUH27" s="388"/>
      <c r="TUI27" s="388"/>
      <c r="TUJ27" s="388"/>
      <c r="TUK27" s="388"/>
      <c r="TUL27" s="388"/>
      <c r="TUM27" s="388"/>
      <c r="TUN27" s="388"/>
      <c r="TUO27" s="388"/>
      <c r="TUP27" s="388"/>
      <c r="TUQ27" s="388"/>
      <c r="TUR27" s="388"/>
      <c r="TUS27" s="388"/>
      <c r="TUT27" s="388"/>
      <c r="TUU27" s="388"/>
      <c r="TUV27" s="388"/>
      <c r="TUW27" s="388"/>
      <c r="TUX27" s="388"/>
      <c r="TUY27" s="388"/>
      <c r="TUZ27" s="388"/>
      <c r="TVA27" s="388"/>
      <c r="TVB27" s="388"/>
      <c r="TVC27" s="388"/>
      <c r="TVD27" s="388"/>
      <c r="TVE27" s="388"/>
      <c r="TVF27" s="388"/>
      <c r="TVG27" s="388"/>
      <c r="TVH27" s="388"/>
      <c r="TVI27" s="388"/>
      <c r="TVJ27" s="388"/>
      <c r="TVK27" s="388"/>
      <c r="TVL27" s="388"/>
      <c r="TVM27" s="388"/>
      <c r="TVN27" s="388"/>
      <c r="TVO27" s="388"/>
      <c r="TVP27" s="388"/>
      <c r="TVQ27" s="388"/>
      <c r="TVR27" s="388"/>
      <c r="TVS27" s="388"/>
      <c r="TVT27" s="388"/>
      <c r="TVU27" s="388"/>
      <c r="TVV27" s="388"/>
      <c r="TVW27" s="388"/>
      <c r="TVX27" s="388"/>
      <c r="TVY27" s="388"/>
      <c r="TVZ27" s="388"/>
      <c r="TWA27" s="388"/>
      <c r="TWB27" s="388"/>
      <c r="TWC27" s="388"/>
      <c r="TWD27" s="388"/>
      <c r="TWE27" s="388"/>
      <c r="TWF27" s="388"/>
      <c r="TWG27" s="388"/>
      <c r="TWH27" s="388"/>
      <c r="TWI27" s="388"/>
      <c r="TWJ27" s="388"/>
      <c r="TWK27" s="388"/>
      <c r="TWL27" s="388"/>
      <c r="TWM27" s="388"/>
      <c r="TWN27" s="388"/>
      <c r="TWO27" s="388"/>
      <c r="TWP27" s="388"/>
      <c r="TWQ27" s="388"/>
      <c r="TWR27" s="388"/>
      <c r="TWS27" s="388"/>
      <c r="TWT27" s="388"/>
      <c r="TWU27" s="388"/>
      <c r="TWV27" s="388"/>
      <c r="TWW27" s="388"/>
      <c r="TWX27" s="388"/>
      <c r="TWY27" s="388"/>
      <c r="TWZ27" s="388"/>
      <c r="TXA27" s="388"/>
      <c r="TXB27" s="388"/>
      <c r="TXC27" s="388"/>
      <c r="TXD27" s="388"/>
      <c r="TXE27" s="388"/>
      <c r="TXF27" s="388"/>
      <c r="TXG27" s="388"/>
      <c r="TXH27" s="388"/>
      <c r="TXI27" s="388"/>
      <c r="TXJ27" s="388"/>
      <c r="TXK27" s="388"/>
      <c r="TXL27" s="388"/>
      <c r="TXM27" s="388"/>
      <c r="TXN27" s="388"/>
      <c r="TXO27" s="388"/>
      <c r="TXP27" s="388"/>
      <c r="TXQ27" s="388"/>
      <c r="TXR27" s="388"/>
      <c r="TXS27" s="388"/>
      <c r="TXT27" s="388"/>
      <c r="TXU27" s="388"/>
      <c r="TXV27" s="388"/>
      <c r="TXW27" s="388"/>
      <c r="TXX27" s="388"/>
      <c r="TXY27" s="388"/>
      <c r="TXZ27" s="388"/>
      <c r="TYA27" s="388"/>
      <c r="TYB27" s="388"/>
      <c r="TYC27" s="388"/>
      <c r="TYD27" s="388"/>
      <c r="TYE27" s="388"/>
      <c r="TYF27" s="388"/>
      <c r="TYG27" s="388"/>
      <c r="TYH27" s="388"/>
      <c r="TYI27" s="388"/>
      <c r="TYJ27" s="388"/>
      <c r="TYK27" s="388"/>
      <c r="TYL27" s="388"/>
      <c r="TYM27" s="388"/>
      <c r="TYN27" s="388"/>
      <c r="TYO27" s="388"/>
      <c r="TYP27" s="388"/>
      <c r="TYQ27" s="388"/>
      <c r="TYR27" s="388"/>
      <c r="TYS27" s="388"/>
      <c r="TYT27" s="388"/>
      <c r="TYU27" s="388"/>
      <c r="TYV27" s="388"/>
      <c r="TYW27" s="388"/>
      <c r="TYX27" s="388"/>
      <c r="TYY27" s="388"/>
      <c r="TYZ27" s="388"/>
      <c r="TZA27" s="388"/>
      <c r="TZB27" s="388"/>
      <c r="TZC27" s="388"/>
      <c r="TZD27" s="388"/>
      <c r="TZE27" s="388"/>
      <c r="TZF27" s="388"/>
      <c r="TZG27" s="388"/>
      <c r="TZH27" s="388"/>
      <c r="TZI27" s="388"/>
      <c r="TZJ27" s="388"/>
      <c r="TZK27" s="388"/>
      <c r="TZL27" s="388"/>
      <c r="TZM27" s="388"/>
      <c r="TZN27" s="388"/>
      <c r="TZO27" s="388"/>
      <c r="TZP27" s="388"/>
      <c r="TZQ27" s="388"/>
      <c r="TZR27" s="388"/>
      <c r="TZS27" s="388"/>
      <c r="TZT27" s="388"/>
      <c r="TZU27" s="388"/>
      <c r="TZV27" s="388"/>
      <c r="TZW27" s="388"/>
      <c r="TZX27" s="388"/>
      <c r="TZY27" s="388"/>
      <c r="TZZ27" s="388"/>
      <c r="UAA27" s="388"/>
      <c r="UAB27" s="388"/>
      <c r="UAC27" s="388"/>
      <c r="UAD27" s="388"/>
      <c r="UAE27" s="388"/>
      <c r="UAF27" s="388"/>
      <c r="UAG27" s="388"/>
      <c r="UAH27" s="388"/>
      <c r="UAI27" s="388"/>
      <c r="UAJ27" s="388"/>
      <c r="UAK27" s="388"/>
      <c r="UAL27" s="388"/>
      <c r="UAM27" s="388"/>
      <c r="UAN27" s="388"/>
      <c r="UAO27" s="388"/>
      <c r="UAP27" s="388"/>
      <c r="UAQ27" s="388"/>
      <c r="UAR27" s="388"/>
      <c r="UAS27" s="388"/>
      <c r="UAT27" s="388"/>
      <c r="UAU27" s="388"/>
      <c r="UAV27" s="388"/>
      <c r="UAW27" s="388"/>
      <c r="UAX27" s="388"/>
      <c r="UAY27" s="388"/>
      <c r="UAZ27" s="388"/>
      <c r="UBA27" s="388"/>
      <c r="UBB27" s="388"/>
      <c r="UBC27" s="388"/>
      <c r="UBD27" s="388"/>
      <c r="UBE27" s="388"/>
      <c r="UBF27" s="388"/>
      <c r="UBG27" s="388"/>
      <c r="UBH27" s="388"/>
      <c r="UBI27" s="388"/>
      <c r="UBJ27" s="388"/>
      <c r="UBK27" s="388"/>
      <c r="UBL27" s="388"/>
      <c r="UBM27" s="388"/>
      <c r="UBN27" s="388"/>
      <c r="UBO27" s="388"/>
      <c r="UBP27" s="388"/>
      <c r="UBQ27" s="388"/>
      <c r="UBR27" s="388"/>
      <c r="UBS27" s="388"/>
      <c r="UBT27" s="388"/>
      <c r="UBU27" s="388"/>
      <c r="UBV27" s="388"/>
      <c r="UBW27" s="388"/>
      <c r="UBX27" s="388"/>
      <c r="UBY27" s="388"/>
      <c r="UBZ27" s="388"/>
      <c r="UCA27" s="388"/>
      <c r="UCB27" s="388"/>
      <c r="UCC27" s="388"/>
      <c r="UCD27" s="388"/>
      <c r="UCE27" s="388"/>
      <c r="UCF27" s="388"/>
      <c r="UCG27" s="388"/>
      <c r="UCH27" s="388"/>
      <c r="UCI27" s="388"/>
      <c r="UCJ27" s="388"/>
      <c r="UCK27" s="388"/>
      <c r="UCL27" s="388"/>
      <c r="UCM27" s="388"/>
      <c r="UCN27" s="388"/>
      <c r="UCO27" s="388"/>
      <c r="UCP27" s="388"/>
      <c r="UCQ27" s="388"/>
      <c r="UCR27" s="388"/>
      <c r="UCS27" s="388"/>
      <c r="UCT27" s="388"/>
      <c r="UCU27" s="388"/>
      <c r="UCV27" s="388"/>
      <c r="UCW27" s="388"/>
      <c r="UCX27" s="388"/>
      <c r="UCY27" s="388"/>
      <c r="UCZ27" s="388"/>
      <c r="UDA27" s="388"/>
      <c r="UDB27" s="388"/>
      <c r="UDC27" s="388"/>
      <c r="UDD27" s="388"/>
      <c r="UDE27" s="388"/>
      <c r="UDF27" s="388"/>
      <c r="UDG27" s="388"/>
      <c r="UDH27" s="388"/>
      <c r="UDI27" s="388"/>
      <c r="UDJ27" s="388"/>
      <c r="UDK27" s="388"/>
      <c r="UDL27" s="388"/>
      <c r="UDM27" s="388"/>
      <c r="UDN27" s="388"/>
      <c r="UDO27" s="388"/>
      <c r="UDP27" s="388"/>
      <c r="UDQ27" s="388"/>
      <c r="UDR27" s="388"/>
      <c r="UDS27" s="388"/>
      <c r="UDT27" s="388"/>
      <c r="UDU27" s="388"/>
      <c r="UDV27" s="388"/>
      <c r="UDW27" s="388"/>
      <c r="UDX27" s="388"/>
      <c r="UDY27" s="388"/>
      <c r="UDZ27" s="388"/>
      <c r="UEA27" s="388"/>
      <c r="UEB27" s="388"/>
      <c r="UEC27" s="388"/>
      <c r="UED27" s="388"/>
      <c r="UEE27" s="388"/>
      <c r="UEF27" s="388"/>
      <c r="UEG27" s="388"/>
      <c r="UEH27" s="388"/>
      <c r="UEI27" s="388"/>
      <c r="UEJ27" s="388"/>
      <c r="UEK27" s="388"/>
      <c r="UEL27" s="388"/>
      <c r="UEM27" s="388"/>
      <c r="UEN27" s="388"/>
      <c r="UEO27" s="388"/>
      <c r="UEP27" s="388"/>
      <c r="UEQ27" s="388"/>
      <c r="UER27" s="388"/>
      <c r="UES27" s="388"/>
      <c r="UET27" s="388"/>
      <c r="UEU27" s="388"/>
      <c r="UEV27" s="388"/>
      <c r="UEW27" s="388"/>
      <c r="UEX27" s="388"/>
      <c r="UEY27" s="388"/>
      <c r="UEZ27" s="388"/>
      <c r="UFA27" s="388"/>
      <c r="UFB27" s="388"/>
      <c r="UFC27" s="388"/>
      <c r="UFD27" s="388"/>
      <c r="UFE27" s="388"/>
      <c r="UFF27" s="388"/>
      <c r="UFG27" s="388"/>
      <c r="UFH27" s="388"/>
      <c r="UFI27" s="388"/>
      <c r="UFJ27" s="388"/>
      <c r="UFK27" s="388"/>
      <c r="UFL27" s="388"/>
      <c r="UFM27" s="388"/>
      <c r="UFN27" s="388"/>
      <c r="UFO27" s="388"/>
      <c r="UFP27" s="388"/>
      <c r="UFQ27" s="388"/>
      <c r="UFR27" s="388"/>
      <c r="UFS27" s="388"/>
      <c r="UFT27" s="388"/>
      <c r="UFU27" s="388"/>
      <c r="UFV27" s="388"/>
      <c r="UFW27" s="388"/>
      <c r="UFX27" s="388"/>
      <c r="UFY27" s="388"/>
      <c r="UFZ27" s="388"/>
      <c r="UGA27" s="388"/>
      <c r="UGB27" s="388"/>
      <c r="UGC27" s="388"/>
      <c r="UGD27" s="388"/>
      <c r="UGE27" s="388"/>
      <c r="UGF27" s="388"/>
      <c r="UGG27" s="388"/>
      <c r="UGH27" s="388"/>
      <c r="UGI27" s="388"/>
      <c r="UGJ27" s="388"/>
      <c r="UGK27" s="388"/>
      <c r="UGL27" s="388"/>
      <c r="UGM27" s="388"/>
      <c r="UGN27" s="388"/>
      <c r="UGO27" s="388"/>
      <c r="UGP27" s="388"/>
      <c r="UGQ27" s="388"/>
      <c r="UGR27" s="388"/>
      <c r="UGS27" s="388"/>
      <c r="UGT27" s="388"/>
      <c r="UGU27" s="388"/>
      <c r="UGV27" s="388"/>
      <c r="UGW27" s="388"/>
      <c r="UGX27" s="388"/>
      <c r="UGY27" s="388"/>
      <c r="UGZ27" s="388"/>
      <c r="UHA27" s="388"/>
      <c r="UHB27" s="388"/>
      <c r="UHC27" s="388"/>
      <c r="UHD27" s="388"/>
      <c r="UHE27" s="388"/>
      <c r="UHF27" s="388"/>
      <c r="UHG27" s="388"/>
      <c r="UHH27" s="388"/>
      <c r="UHI27" s="388"/>
      <c r="UHJ27" s="388"/>
      <c r="UHK27" s="388"/>
      <c r="UHL27" s="388"/>
      <c r="UHM27" s="388"/>
      <c r="UHN27" s="388"/>
      <c r="UHO27" s="388"/>
      <c r="UHP27" s="388"/>
      <c r="UHQ27" s="388"/>
      <c r="UHR27" s="388"/>
      <c r="UHS27" s="388"/>
      <c r="UHT27" s="388"/>
      <c r="UHU27" s="388"/>
      <c r="UHV27" s="388"/>
      <c r="UHW27" s="388"/>
      <c r="UHX27" s="388"/>
      <c r="UHY27" s="388"/>
      <c r="UHZ27" s="388"/>
      <c r="UIA27" s="388"/>
      <c r="UIB27" s="388"/>
      <c r="UIC27" s="388"/>
      <c r="UID27" s="388"/>
      <c r="UIE27" s="388"/>
      <c r="UIF27" s="388"/>
      <c r="UIG27" s="388"/>
      <c r="UIH27" s="388"/>
      <c r="UII27" s="388"/>
      <c r="UIJ27" s="388"/>
      <c r="UIK27" s="388"/>
      <c r="UIL27" s="388"/>
      <c r="UIM27" s="388"/>
      <c r="UIN27" s="388"/>
      <c r="UIO27" s="388"/>
      <c r="UIP27" s="388"/>
      <c r="UIQ27" s="388"/>
      <c r="UIR27" s="388"/>
      <c r="UIS27" s="388"/>
      <c r="UIT27" s="388"/>
      <c r="UIU27" s="388"/>
      <c r="UIV27" s="388"/>
      <c r="UIW27" s="388"/>
      <c r="UIX27" s="388"/>
      <c r="UIY27" s="388"/>
      <c r="UIZ27" s="388"/>
      <c r="UJA27" s="388"/>
      <c r="UJB27" s="388"/>
      <c r="UJC27" s="388"/>
      <c r="UJD27" s="388"/>
      <c r="UJE27" s="388"/>
      <c r="UJF27" s="388"/>
      <c r="UJG27" s="388"/>
      <c r="UJH27" s="388"/>
      <c r="UJI27" s="388"/>
      <c r="UJJ27" s="388"/>
      <c r="UJK27" s="388"/>
      <c r="UJL27" s="388"/>
      <c r="UJM27" s="388"/>
      <c r="UJN27" s="388"/>
      <c r="UJO27" s="388"/>
      <c r="UJP27" s="388"/>
      <c r="UJQ27" s="388"/>
      <c r="UJR27" s="388"/>
      <c r="UJS27" s="388"/>
      <c r="UJT27" s="388"/>
      <c r="UJU27" s="388"/>
      <c r="UJV27" s="388"/>
      <c r="UJW27" s="388"/>
      <c r="UJX27" s="388"/>
      <c r="UJY27" s="388"/>
      <c r="UJZ27" s="388"/>
      <c r="UKA27" s="388"/>
      <c r="UKB27" s="388"/>
      <c r="UKC27" s="388"/>
      <c r="UKD27" s="388"/>
      <c r="UKE27" s="388"/>
      <c r="UKF27" s="388"/>
      <c r="UKG27" s="388"/>
      <c r="UKH27" s="388"/>
      <c r="UKI27" s="388"/>
      <c r="UKJ27" s="388"/>
      <c r="UKK27" s="388"/>
      <c r="UKL27" s="388"/>
      <c r="UKM27" s="388"/>
      <c r="UKN27" s="388"/>
      <c r="UKO27" s="388"/>
      <c r="UKP27" s="388"/>
      <c r="UKQ27" s="388"/>
      <c r="UKR27" s="388"/>
      <c r="UKS27" s="388"/>
      <c r="UKT27" s="388"/>
      <c r="UKU27" s="388"/>
      <c r="UKV27" s="388"/>
      <c r="UKW27" s="388"/>
      <c r="UKX27" s="388"/>
      <c r="UKY27" s="388"/>
      <c r="UKZ27" s="388"/>
      <c r="ULA27" s="388"/>
      <c r="ULB27" s="388"/>
      <c r="ULC27" s="388"/>
      <c r="ULD27" s="388"/>
      <c r="ULE27" s="388"/>
      <c r="ULF27" s="388"/>
      <c r="ULG27" s="388"/>
      <c r="ULH27" s="388"/>
      <c r="ULI27" s="388"/>
      <c r="ULJ27" s="388"/>
      <c r="ULK27" s="388"/>
      <c r="ULL27" s="388"/>
      <c r="ULM27" s="388"/>
      <c r="ULN27" s="388"/>
      <c r="ULO27" s="388"/>
      <c r="ULP27" s="388"/>
      <c r="ULQ27" s="388"/>
      <c r="ULR27" s="388"/>
      <c r="ULS27" s="388"/>
      <c r="ULT27" s="388"/>
      <c r="ULU27" s="388"/>
      <c r="ULV27" s="388"/>
      <c r="ULW27" s="388"/>
      <c r="ULX27" s="388"/>
      <c r="ULY27" s="388"/>
      <c r="ULZ27" s="388"/>
      <c r="UMA27" s="388"/>
      <c r="UMB27" s="388"/>
      <c r="UMC27" s="388"/>
      <c r="UMD27" s="388"/>
      <c r="UME27" s="388"/>
      <c r="UMF27" s="388"/>
      <c r="UMG27" s="388"/>
      <c r="UMH27" s="388"/>
      <c r="UMI27" s="388"/>
      <c r="UMJ27" s="388"/>
      <c r="UMK27" s="388"/>
      <c r="UML27" s="388"/>
      <c r="UMM27" s="388"/>
      <c r="UMN27" s="388"/>
      <c r="UMO27" s="388"/>
      <c r="UMP27" s="388"/>
      <c r="UMQ27" s="388"/>
      <c r="UMR27" s="388"/>
      <c r="UMS27" s="388"/>
      <c r="UMT27" s="388"/>
      <c r="UMU27" s="388"/>
      <c r="UMV27" s="388"/>
      <c r="UMW27" s="388"/>
      <c r="UMX27" s="388"/>
      <c r="UMY27" s="388"/>
      <c r="UMZ27" s="388"/>
      <c r="UNA27" s="388"/>
      <c r="UNB27" s="388"/>
      <c r="UNC27" s="388"/>
      <c r="UND27" s="388"/>
      <c r="UNE27" s="388"/>
      <c r="UNF27" s="388"/>
      <c r="UNG27" s="388"/>
      <c r="UNH27" s="388"/>
      <c r="UNI27" s="388"/>
      <c r="UNJ27" s="388"/>
      <c r="UNK27" s="388"/>
      <c r="UNL27" s="388"/>
      <c r="UNM27" s="388"/>
      <c r="UNN27" s="388"/>
      <c r="UNO27" s="388"/>
      <c r="UNP27" s="388"/>
      <c r="UNQ27" s="388"/>
      <c r="UNR27" s="388"/>
      <c r="UNS27" s="388"/>
      <c r="UNT27" s="388"/>
      <c r="UNU27" s="388"/>
      <c r="UNV27" s="388"/>
      <c r="UNW27" s="388"/>
      <c r="UNX27" s="388"/>
      <c r="UNY27" s="388"/>
      <c r="UNZ27" s="388"/>
      <c r="UOA27" s="388"/>
      <c r="UOB27" s="388"/>
      <c r="UOC27" s="388"/>
      <c r="UOD27" s="388"/>
      <c r="UOE27" s="388"/>
      <c r="UOF27" s="388"/>
      <c r="UOG27" s="388"/>
      <c r="UOH27" s="388"/>
      <c r="UOI27" s="388"/>
      <c r="UOJ27" s="388"/>
      <c r="UOK27" s="388"/>
      <c r="UOL27" s="388"/>
      <c r="UOM27" s="388"/>
      <c r="UON27" s="388"/>
      <c r="UOO27" s="388"/>
      <c r="UOP27" s="388"/>
      <c r="UOQ27" s="388"/>
      <c r="UOR27" s="388"/>
      <c r="UOS27" s="388"/>
      <c r="UOT27" s="388"/>
      <c r="UOU27" s="388"/>
      <c r="UOV27" s="388"/>
      <c r="UOW27" s="388"/>
      <c r="UOX27" s="388"/>
      <c r="UOY27" s="388"/>
      <c r="UOZ27" s="388"/>
      <c r="UPA27" s="388"/>
      <c r="UPB27" s="388"/>
      <c r="UPC27" s="388"/>
      <c r="UPD27" s="388"/>
      <c r="UPE27" s="388"/>
      <c r="UPF27" s="388"/>
      <c r="UPG27" s="388"/>
      <c r="UPH27" s="388"/>
      <c r="UPI27" s="388"/>
      <c r="UPJ27" s="388"/>
      <c r="UPK27" s="388"/>
      <c r="UPL27" s="388"/>
      <c r="UPM27" s="388"/>
      <c r="UPN27" s="388"/>
      <c r="UPO27" s="388"/>
      <c r="UPP27" s="388"/>
      <c r="UPQ27" s="388"/>
      <c r="UPR27" s="388"/>
      <c r="UPS27" s="388"/>
      <c r="UPT27" s="388"/>
      <c r="UPU27" s="388"/>
      <c r="UPV27" s="388"/>
      <c r="UPW27" s="388"/>
      <c r="UPX27" s="388"/>
      <c r="UPY27" s="388"/>
      <c r="UPZ27" s="388"/>
      <c r="UQA27" s="388"/>
      <c r="UQB27" s="388"/>
      <c r="UQC27" s="388"/>
      <c r="UQD27" s="388"/>
      <c r="UQE27" s="388"/>
      <c r="UQF27" s="388"/>
      <c r="UQG27" s="388"/>
      <c r="UQH27" s="388"/>
      <c r="UQI27" s="388"/>
      <c r="UQJ27" s="388"/>
      <c r="UQK27" s="388"/>
      <c r="UQL27" s="388"/>
      <c r="UQM27" s="388"/>
      <c r="UQN27" s="388"/>
      <c r="UQO27" s="388"/>
      <c r="UQP27" s="388"/>
      <c r="UQQ27" s="388"/>
      <c r="UQR27" s="388"/>
      <c r="UQS27" s="388"/>
      <c r="UQT27" s="388"/>
      <c r="UQU27" s="388"/>
      <c r="UQV27" s="388"/>
      <c r="UQW27" s="388"/>
      <c r="UQX27" s="388"/>
      <c r="UQY27" s="388"/>
      <c r="UQZ27" s="388"/>
      <c r="URA27" s="388"/>
      <c r="URB27" s="388"/>
      <c r="URC27" s="388"/>
      <c r="URD27" s="388"/>
      <c r="URE27" s="388"/>
      <c r="URF27" s="388"/>
      <c r="URG27" s="388"/>
      <c r="URH27" s="388"/>
      <c r="URI27" s="388"/>
      <c r="URJ27" s="388"/>
      <c r="URK27" s="388"/>
      <c r="URL27" s="388"/>
      <c r="URM27" s="388"/>
      <c r="URN27" s="388"/>
      <c r="URO27" s="388"/>
      <c r="URP27" s="388"/>
      <c r="URQ27" s="388"/>
      <c r="URR27" s="388"/>
      <c r="URS27" s="388"/>
      <c r="URT27" s="388"/>
      <c r="URU27" s="388"/>
      <c r="URV27" s="388"/>
      <c r="URW27" s="388"/>
      <c r="URX27" s="388"/>
      <c r="URY27" s="388"/>
      <c r="URZ27" s="388"/>
      <c r="USA27" s="388"/>
      <c r="USB27" s="388"/>
      <c r="USC27" s="388"/>
      <c r="USD27" s="388"/>
      <c r="USE27" s="388"/>
      <c r="USF27" s="388"/>
      <c r="USG27" s="388"/>
      <c r="USH27" s="388"/>
      <c r="USI27" s="388"/>
      <c r="USJ27" s="388"/>
      <c r="USK27" s="388"/>
      <c r="USL27" s="388"/>
      <c r="USM27" s="388"/>
      <c r="USN27" s="388"/>
      <c r="USO27" s="388"/>
      <c r="USP27" s="388"/>
      <c r="USQ27" s="388"/>
      <c r="USR27" s="388"/>
      <c r="USS27" s="388"/>
      <c r="UST27" s="388"/>
      <c r="USU27" s="388"/>
      <c r="USV27" s="388"/>
      <c r="USW27" s="388"/>
      <c r="USX27" s="388"/>
      <c r="USY27" s="388"/>
      <c r="USZ27" s="388"/>
      <c r="UTA27" s="388"/>
      <c r="UTB27" s="388"/>
      <c r="UTC27" s="388"/>
      <c r="UTD27" s="388"/>
      <c r="UTE27" s="388"/>
      <c r="UTF27" s="388"/>
      <c r="UTG27" s="388"/>
      <c r="UTH27" s="388"/>
      <c r="UTI27" s="388"/>
      <c r="UTJ27" s="388"/>
      <c r="UTK27" s="388"/>
      <c r="UTL27" s="388"/>
      <c r="UTM27" s="388"/>
      <c r="UTN27" s="388"/>
      <c r="UTO27" s="388"/>
      <c r="UTP27" s="388"/>
      <c r="UTQ27" s="388"/>
      <c r="UTR27" s="388"/>
      <c r="UTS27" s="388"/>
      <c r="UTT27" s="388"/>
      <c r="UTU27" s="388"/>
      <c r="UTV27" s="388"/>
      <c r="UTW27" s="388"/>
      <c r="UTX27" s="388"/>
      <c r="UTY27" s="388"/>
      <c r="UTZ27" s="388"/>
      <c r="UUA27" s="388"/>
      <c r="UUB27" s="388"/>
      <c r="UUC27" s="388"/>
      <c r="UUD27" s="388"/>
      <c r="UUE27" s="388"/>
      <c r="UUF27" s="388"/>
      <c r="UUG27" s="388"/>
      <c r="UUH27" s="388"/>
      <c r="UUI27" s="388"/>
      <c r="UUJ27" s="388"/>
      <c r="UUK27" s="388"/>
      <c r="UUL27" s="388"/>
      <c r="UUM27" s="388"/>
      <c r="UUN27" s="388"/>
      <c r="UUO27" s="388"/>
      <c r="UUP27" s="388"/>
      <c r="UUQ27" s="388"/>
      <c r="UUR27" s="388"/>
      <c r="UUS27" s="388"/>
      <c r="UUT27" s="388"/>
      <c r="UUU27" s="388"/>
      <c r="UUV27" s="388"/>
      <c r="UUW27" s="388"/>
      <c r="UUX27" s="388"/>
      <c r="UUY27" s="388"/>
      <c r="UUZ27" s="388"/>
      <c r="UVA27" s="388"/>
      <c r="UVB27" s="388"/>
      <c r="UVC27" s="388"/>
      <c r="UVD27" s="388"/>
      <c r="UVE27" s="388"/>
      <c r="UVF27" s="388"/>
      <c r="UVG27" s="388"/>
      <c r="UVH27" s="388"/>
      <c r="UVI27" s="388"/>
      <c r="UVJ27" s="388"/>
      <c r="UVK27" s="388"/>
      <c r="UVL27" s="388"/>
      <c r="UVM27" s="388"/>
      <c r="UVN27" s="388"/>
      <c r="UVO27" s="388"/>
      <c r="UVP27" s="388"/>
      <c r="UVQ27" s="388"/>
      <c r="UVR27" s="388"/>
      <c r="UVS27" s="388"/>
      <c r="UVT27" s="388"/>
      <c r="UVU27" s="388"/>
      <c r="UVV27" s="388"/>
      <c r="UVW27" s="388"/>
      <c r="UVX27" s="388"/>
      <c r="UVY27" s="388"/>
      <c r="UVZ27" s="388"/>
      <c r="UWA27" s="388"/>
      <c r="UWB27" s="388"/>
      <c r="UWC27" s="388"/>
      <c r="UWD27" s="388"/>
      <c r="UWE27" s="388"/>
      <c r="UWF27" s="388"/>
      <c r="UWG27" s="388"/>
      <c r="UWH27" s="388"/>
      <c r="UWI27" s="388"/>
      <c r="UWJ27" s="388"/>
      <c r="UWK27" s="388"/>
      <c r="UWL27" s="388"/>
      <c r="UWM27" s="388"/>
      <c r="UWN27" s="388"/>
      <c r="UWO27" s="388"/>
      <c r="UWP27" s="388"/>
      <c r="UWQ27" s="388"/>
      <c r="UWR27" s="388"/>
      <c r="UWS27" s="388"/>
      <c r="UWT27" s="388"/>
      <c r="UWU27" s="388"/>
      <c r="UWV27" s="388"/>
      <c r="UWW27" s="388"/>
      <c r="UWX27" s="388"/>
      <c r="UWY27" s="388"/>
      <c r="UWZ27" s="388"/>
      <c r="UXA27" s="388"/>
      <c r="UXB27" s="388"/>
      <c r="UXC27" s="388"/>
      <c r="UXD27" s="388"/>
      <c r="UXE27" s="388"/>
      <c r="UXF27" s="388"/>
      <c r="UXG27" s="388"/>
      <c r="UXH27" s="388"/>
      <c r="UXI27" s="388"/>
      <c r="UXJ27" s="388"/>
      <c r="UXK27" s="388"/>
      <c r="UXL27" s="388"/>
      <c r="UXM27" s="388"/>
      <c r="UXN27" s="388"/>
      <c r="UXO27" s="388"/>
      <c r="UXP27" s="388"/>
      <c r="UXQ27" s="388"/>
      <c r="UXR27" s="388"/>
      <c r="UXS27" s="388"/>
      <c r="UXT27" s="388"/>
      <c r="UXU27" s="388"/>
      <c r="UXV27" s="388"/>
      <c r="UXW27" s="388"/>
      <c r="UXX27" s="388"/>
      <c r="UXY27" s="388"/>
      <c r="UXZ27" s="388"/>
      <c r="UYA27" s="388"/>
      <c r="UYB27" s="388"/>
      <c r="UYC27" s="388"/>
      <c r="UYD27" s="388"/>
      <c r="UYE27" s="388"/>
      <c r="UYF27" s="388"/>
      <c r="UYG27" s="388"/>
      <c r="UYH27" s="388"/>
      <c r="UYI27" s="388"/>
      <c r="UYJ27" s="388"/>
      <c r="UYK27" s="388"/>
      <c r="UYL27" s="388"/>
      <c r="UYM27" s="388"/>
      <c r="UYN27" s="388"/>
      <c r="UYO27" s="388"/>
      <c r="UYP27" s="388"/>
      <c r="UYQ27" s="388"/>
      <c r="UYR27" s="388"/>
      <c r="UYS27" s="388"/>
      <c r="UYT27" s="388"/>
      <c r="UYU27" s="388"/>
      <c r="UYV27" s="388"/>
      <c r="UYW27" s="388"/>
      <c r="UYX27" s="388"/>
      <c r="UYY27" s="388"/>
      <c r="UYZ27" s="388"/>
      <c r="UZA27" s="388"/>
      <c r="UZB27" s="388"/>
      <c r="UZC27" s="388"/>
      <c r="UZD27" s="388"/>
      <c r="UZE27" s="388"/>
      <c r="UZF27" s="388"/>
      <c r="UZG27" s="388"/>
      <c r="UZH27" s="388"/>
      <c r="UZI27" s="388"/>
      <c r="UZJ27" s="388"/>
      <c r="UZK27" s="388"/>
      <c r="UZL27" s="388"/>
      <c r="UZM27" s="388"/>
      <c r="UZN27" s="388"/>
      <c r="UZO27" s="388"/>
      <c r="UZP27" s="388"/>
      <c r="UZQ27" s="388"/>
      <c r="UZR27" s="388"/>
      <c r="UZS27" s="388"/>
      <c r="UZT27" s="388"/>
      <c r="UZU27" s="388"/>
      <c r="UZV27" s="388"/>
      <c r="UZW27" s="388"/>
      <c r="UZX27" s="388"/>
      <c r="UZY27" s="388"/>
      <c r="UZZ27" s="388"/>
      <c r="VAA27" s="388"/>
      <c r="VAB27" s="388"/>
      <c r="VAC27" s="388"/>
      <c r="VAD27" s="388"/>
      <c r="VAE27" s="388"/>
      <c r="VAF27" s="388"/>
      <c r="VAG27" s="388"/>
      <c r="VAH27" s="388"/>
      <c r="VAI27" s="388"/>
      <c r="VAJ27" s="388"/>
      <c r="VAK27" s="388"/>
      <c r="VAL27" s="388"/>
      <c r="VAM27" s="388"/>
      <c r="VAN27" s="388"/>
      <c r="VAO27" s="388"/>
      <c r="VAP27" s="388"/>
      <c r="VAQ27" s="388"/>
      <c r="VAR27" s="388"/>
      <c r="VAS27" s="388"/>
      <c r="VAT27" s="388"/>
      <c r="VAU27" s="388"/>
      <c r="VAV27" s="388"/>
      <c r="VAW27" s="388"/>
      <c r="VAX27" s="388"/>
      <c r="VAY27" s="388"/>
      <c r="VAZ27" s="388"/>
      <c r="VBA27" s="388"/>
      <c r="VBB27" s="388"/>
      <c r="VBC27" s="388"/>
      <c r="VBD27" s="388"/>
      <c r="VBE27" s="388"/>
      <c r="VBF27" s="388"/>
      <c r="VBG27" s="388"/>
      <c r="VBH27" s="388"/>
      <c r="VBI27" s="388"/>
      <c r="VBJ27" s="388"/>
      <c r="VBK27" s="388"/>
      <c r="VBL27" s="388"/>
      <c r="VBM27" s="388"/>
      <c r="VBN27" s="388"/>
      <c r="VBO27" s="388"/>
      <c r="VBP27" s="388"/>
      <c r="VBQ27" s="388"/>
      <c r="VBR27" s="388"/>
      <c r="VBS27" s="388"/>
      <c r="VBT27" s="388"/>
      <c r="VBU27" s="388"/>
      <c r="VBV27" s="388"/>
      <c r="VBW27" s="388"/>
      <c r="VBX27" s="388"/>
      <c r="VBY27" s="388"/>
      <c r="VBZ27" s="388"/>
      <c r="VCA27" s="388"/>
      <c r="VCB27" s="388"/>
      <c r="VCC27" s="388"/>
      <c r="VCD27" s="388"/>
      <c r="VCE27" s="388"/>
      <c r="VCF27" s="388"/>
      <c r="VCG27" s="388"/>
      <c r="VCH27" s="388"/>
      <c r="VCI27" s="388"/>
      <c r="VCJ27" s="388"/>
      <c r="VCK27" s="388"/>
      <c r="VCL27" s="388"/>
      <c r="VCM27" s="388"/>
      <c r="VCN27" s="388"/>
      <c r="VCO27" s="388"/>
      <c r="VCP27" s="388"/>
      <c r="VCQ27" s="388"/>
      <c r="VCR27" s="388"/>
      <c r="VCS27" s="388"/>
      <c r="VCT27" s="388"/>
      <c r="VCU27" s="388"/>
      <c r="VCV27" s="388"/>
      <c r="VCW27" s="388"/>
      <c r="VCX27" s="388"/>
      <c r="VCY27" s="388"/>
      <c r="VCZ27" s="388"/>
      <c r="VDA27" s="388"/>
      <c r="VDB27" s="388"/>
      <c r="VDC27" s="388"/>
      <c r="VDD27" s="388"/>
      <c r="VDE27" s="388"/>
      <c r="VDF27" s="388"/>
      <c r="VDG27" s="388"/>
      <c r="VDH27" s="388"/>
      <c r="VDI27" s="388"/>
      <c r="VDJ27" s="388"/>
      <c r="VDK27" s="388"/>
      <c r="VDL27" s="388"/>
      <c r="VDM27" s="388"/>
      <c r="VDN27" s="388"/>
      <c r="VDO27" s="388"/>
      <c r="VDP27" s="388"/>
      <c r="VDQ27" s="388"/>
      <c r="VDR27" s="388"/>
      <c r="VDS27" s="388"/>
      <c r="VDT27" s="388"/>
      <c r="VDU27" s="388"/>
      <c r="VDV27" s="388"/>
      <c r="VDW27" s="388"/>
      <c r="VDX27" s="388"/>
      <c r="VDY27" s="388"/>
      <c r="VDZ27" s="388"/>
      <c r="VEA27" s="388"/>
      <c r="VEB27" s="388"/>
      <c r="VEC27" s="388"/>
      <c r="VED27" s="388"/>
      <c r="VEE27" s="388"/>
      <c r="VEF27" s="388"/>
      <c r="VEG27" s="388"/>
      <c r="VEH27" s="388"/>
      <c r="VEI27" s="388"/>
      <c r="VEJ27" s="388"/>
      <c r="VEK27" s="388"/>
      <c r="VEL27" s="388"/>
      <c r="VEM27" s="388"/>
      <c r="VEN27" s="388"/>
      <c r="VEO27" s="388"/>
      <c r="VEP27" s="388"/>
      <c r="VEQ27" s="388"/>
      <c r="VER27" s="388"/>
      <c r="VES27" s="388"/>
      <c r="VET27" s="388"/>
      <c r="VEU27" s="388"/>
      <c r="VEV27" s="388"/>
      <c r="VEW27" s="388"/>
      <c r="VEX27" s="388"/>
      <c r="VEY27" s="388"/>
      <c r="VEZ27" s="388"/>
      <c r="VFA27" s="388"/>
      <c r="VFB27" s="388"/>
      <c r="VFC27" s="388"/>
      <c r="VFD27" s="388"/>
      <c r="VFE27" s="388"/>
      <c r="VFF27" s="388"/>
      <c r="VFG27" s="388"/>
      <c r="VFH27" s="388"/>
      <c r="VFI27" s="388"/>
      <c r="VFJ27" s="388"/>
      <c r="VFK27" s="388"/>
      <c r="VFL27" s="388"/>
      <c r="VFM27" s="388"/>
      <c r="VFN27" s="388"/>
      <c r="VFO27" s="388"/>
      <c r="VFP27" s="388"/>
      <c r="VFQ27" s="388"/>
      <c r="VFR27" s="388"/>
      <c r="VFS27" s="388"/>
      <c r="VFT27" s="388"/>
      <c r="VFU27" s="388"/>
      <c r="VFV27" s="388"/>
      <c r="VFW27" s="388"/>
      <c r="VFX27" s="388"/>
      <c r="VFY27" s="388"/>
      <c r="VFZ27" s="388"/>
      <c r="VGA27" s="388"/>
      <c r="VGB27" s="388"/>
      <c r="VGC27" s="388"/>
      <c r="VGD27" s="388"/>
      <c r="VGE27" s="388"/>
      <c r="VGF27" s="388"/>
      <c r="VGG27" s="388"/>
      <c r="VGH27" s="388"/>
      <c r="VGI27" s="388"/>
      <c r="VGJ27" s="388"/>
      <c r="VGK27" s="388"/>
      <c r="VGL27" s="388"/>
      <c r="VGM27" s="388"/>
      <c r="VGN27" s="388"/>
      <c r="VGO27" s="388"/>
      <c r="VGP27" s="388"/>
      <c r="VGQ27" s="388"/>
      <c r="VGR27" s="388"/>
      <c r="VGS27" s="388"/>
      <c r="VGT27" s="388"/>
      <c r="VGU27" s="388"/>
      <c r="VGV27" s="388"/>
      <c r="VGW27" s="388"/>
      <c r="VGX27" s="388"/>
      <c r="VGY27" s="388"/>
      <c r="VGZ27" s="388"/>
      <c r="VHA27" s="388"/>
      <c r="VHB27" s="388"/>
      <c r="VHC27" s="388"/>
      <c r="VHD27" s="388"/>
      <c r="VHE27" s="388"/>
      <c r="VHF27" s="388"/>
      <c r="VHG27" s="388"/>
      <c r="VHH27" s="388"/>
      <c r="VHI27" s="388"/>
      <c r="VHJ27" s="388"/>
      <c r="VHK27" s="388"/>
      <c r="VHL27" s="388"/>
      <c r="VHM27" s="388"/>
      <c r="VHN27" s="388"/>
      <c r="VHO27" s="388"/>
      <c r="VHP27" s="388"/>
      <c r="VHQ27" s="388"/>
      <c r="VHR27" s="388"/>
      <c r="VHS27" s="388"/>
      <c r="VHT27" s="388"/>
      <c r="VHU27" s="388"/>
      <c r="VHV27" s="388"/>
      <c r="VHW27" s="388"/>
      <c r="VHX27" s="388"/>
      <c r="VHY27" s="388"/>
      <c r="VHZ27" s="388"/>
      <c r="VIA27" s="388"/>
      <c r="VIB27" s="388"/>
      <c r="VIC27" s="388"/>
      <c r="VID27" s="388"/>
      <c r="VIE27" s="388"/>
      <c r="VIF27" s="388"/>
      <c r="VIG27" s="388"/>
      <c r="VIH27" s="388"/>
      <c r="VII27" s="388"/>
      <c r="VIJ27" s="388"/>
      <c r="VIK27" s="388"/>
      <c r="VIL27" s="388"/>
      <c r="VIM27" s="388"/>
      <c r="VIN27" s="388"/>
      <c r="VIO27" s="388"/>
      <c r="VIP27" s="388"/>
      <c r="VIQ27" s="388"/>
      <c r="VIR27" s="388"/>
      <c r="VIS27" s="388"/>
      <c r="VIT27" s="388"/>
      <c r="VIU27" s="388"/>
      <c r="VIV27" s="388"/>
      <c r="VIW27" s="388"/>
      <c r="VIX27" s="388"/>
      <c r="VIY27" s="388"/>
      <c r="VIZ27" s="388"/>
      <c r="VJA27" s="388"/>
      <c r="VJB27" s="388"/>
      <c r="VJC27" s="388"/>
      <c r="VJD27" s="388"/>
      <c r="VJE27" s="388"/>
      <c r="VJF27" s="388"/>
      <c r="VJG27" s="388"/>
      <c r="VJH27" s="388"/>
      <c r="VJI27" s="388"/>
      <c r="VJJ27" s="388"/>
      <c r="VJK27" s="388"/>
      <c r="VJL27" s="388"/>
      <c r="VJM27" s="388"/>
      <c r="VJN27" s="388"/>
      <c r="VJO27" s="388"/>
      <c r="VJP27" s="388"/>
      <c r="VJQ27" s="388"/>
      <c r="VJR27" s="388"/>
      <c r="VJS27" s="388"/>
      <c r="VJT27" s="388"/>
      <c r="VJU27" s="388"/>
      <c r="VJV27" s="388"/>
      <c r="VJW27" s="388"/>
      <c r="VJX27" s="388"/>
      <c r="VJY27" s="388"/>
      <c r="VJZ27" s="388"/>
      <c r="VKA27" s="388"/>
      <c r="VKB27" s="388"/>
      <c r="VKC27" s="388"/>
      <c r="VKD27" s="388"/>
      <c r="VKE27" s="388"/>
      <c r="VKF27" s="388"/>
      <c r="VKG27" s="388"/>
      <c r="VKH27" s="388"/>
      <c r="VKI27" s="388"/>
      <c r="VKJ27" s="388"/>
      <c r="VKK27" s="388"/>
      <c r="VKL27" s="388"/>
      <c r="VKM27" s="388"/>
      <c r="VKN27" s="388"/>
      <c r="VKO27" s="388"/>
      <c r="VKP27" s="388"/>
      <c r="VKQ27" s="388"/>
      <c r="VKR27" s="388"/>
      <c r="VKS27" s="388"/>
      <c r="VKT27" s="388"/>
      <c r="VKU27" s="388"/>
      <c r="VKV27" s="388"/>
      <c r="VKW27" s="388"/>
      <c r="VKX27" s="388"/>
      <c r="VKY27" s="388"/>
      <c r="VKZ27" s="388"/>
      <c r="VLA27" s="388"/>
      <c r="VLB27" s="388"/>
      <c r="VLC27" s="388"/>
      <c r="VLD27" s="388"/>
      <c r="VLE27" s="388"/>
      <c r="VLF27" s="388"/>
      <c r="VLG27" s="388"/>
      <c r="VLH27" s="388"/>
      <c r="VLI27" s="388"/>
      <c r="VLJ27" s="388"/>
      <c r="VLK27" s="388"/>
      <c r="VLL27" s="388"/>
      <c r="VLM27" s="388"/>
      <c r="VLN27" s="388"/>
      <c r="VLO27" s="388"/>
      <c r="VLP27" s="388"/>
      <c r="VLQ27" s="388"/>
      <c r="VLR27" s="388"/>
      <c r="VLS27" s="388"/>
      <c r="VLT27" s="388"/>
      <c r="VLU27" s="388"/>
      <c r="VLV27" s="388"/>
      <c r="VLW27" s="388"/>
      <c r="VLX27" s="388"/>
      <c r="VLY27" s="388"/>
      <c r="VLZ27" s="388"/>
      <c r="VMA27" s="388"/>
      <c r="VMB27" s="388"/>
      <c r="VMC27" s="388"/>
      <c r="VMD27" s="388"/>
      <c r="VME27" s="388"/>
      <c r="VMF27" s="388"/>
      <c r="VMG27" s="388"/>
      <c r="VMH27" s="388"/>
      <c r="VMI27" s="388"/>
      <c r="VMJ27" s="388"/>
      <c r="VMK27" s="388"/>
      <c r="VML27" s="388"/>
      <c r="VMM27" s="388"/>
      <c r="VMN27" s="388"/>
      <c r="VMO27" s="388"/>
      <c r="VMP27" s="388"/>
      <c r="VMQ27" s="388"/>
      <c r="VMR27" s="388"/>
      <c r="VMS27" s="388"/>
      <c r="VMT27" s="388"/>
      <c r="VMU27" s="388"/>
      <c r="VMV27" s="388"/>
      <c r="VMW27" s="388"/>
      <c r="VMX27" s="388"/>
      <c r="VMY27" s="388"/>
      <c r="VMZ27" s="388"/>
      <c r="VNA27" s="388"/>
      <c r="VNB27" s="388"/>
      <c r="VNC27" s="388"/>
      <c r="VND27" s="388"/>
      <c r="VNE27" s="388"/>
      <c r="VNF27" s="388"/>
      <c r="VNG27" s="388"/>
      <c r="VNH27" s="388"/>
      <c r="VNI27" s="388"/>
      <c r="VNJ27" s="388"/>
      <c r="VNK27" s="388"/>
      <c r="VNL27" s="388"/>
      <c r="VNM27" s="388"/>
      <c r="VNN27" s="388"/>
      <c r="VNO27" s="388"/>
      <c r="VNP27" s="388"/>
      <c r="VNQ27" s="388"/>
      <c r="VNR27" s="388"/>
      <c r="VNS27" s="388"/>
      <c r="VNT27" s="388"/>
      <c r="VNU27" s="388"/>
      <c r="VNV27" s="388"/>
      <c r="VNW27" s="388"/>
      <c r="VNX27" s="388"/>
      <c r="VNY27" s="388"/>
      <c r="VNZ27" s="388"/>
      <c r="VOA27" s="388"/>
      <c r="VOB27" s="388"/>
      <c r="VOC27" s="388"/>
      <c r="VOD27" s="388"/>
      <c r="VOE27" s="388"/>
      <c r="VOF27" s="388"/>
      <c r="VOG27" s="388"/>
      <c r="VOH27" s="388"/>
      <c r="VOI27" s="388"/>
      <c r="VOJ27" s="388"/>
      <c r="VOK27" s="388"/>
      <c r="VOL27" s="388"/>
      <c r="VOM27" s="388"/>
      <c r="VON27" s="388"/>
      <c r="VOO27" s="388"/>
      <c r="VOP27" s="388"/>
      <c r="VOQ27" s="388"/>
      <c r="VOR27" s="388"/>
      <c r="VOS27" s="388"/>
      <c r="VOT27" s="388"/>
      <c r="VOU27" s="388"/>
      <c r="VOV27" s="388"/>
      <c r="VOW27" s="388"/>
      <c r="VOX27" s="388"/>
      <c r="VOY27" s="388"/>
      <c r="VOZ27" s="388"/>
      <c r="VPA27" s="388"/>
      <c r="VPB27" s="388"/>
      <c r="VPC27" s="388"/>
      <c r="VPD27" s="388"/>
      <c r="VPE27" s="388"/>
      <c r="VPF27" s="388"/>
      <c r="VPG27" s="388"/>
      <c r="VPH27" s="388"/>
      <c r="VPI27" s="388"/>
      <c r="VPJ27" s="388"/>
      <c r="VPK27" s="388"/>
      <c r="VPL27" s="388"/>
      <c r="VPM27" s="388"/>
      <c r="VPN27" s="388"/>
      <c r="VPO27" s="388"/>
      <c r="VPP27" s="388"/>
      <c r="VPQ27" s="388"/>
      <c r="VPR27" s="388"/>
      <c r="VPS27" s="388"/>
      <c r="VPT27" s="388"/>
      <c r="VPU27" s="388"/>
      <c r="VPV27" s="388"/>
      <c r="VPW27" s="388"/>
      <c r="VPX27" s="388"/>
      <c r="VPY27" s="388"/>
      <c r="VPZ27" s="388"/>
      <c r="VQA27" s="388"/>
      <c r="VQB27" s="388"/>
      <c r="VQC27" s="388"/>
      <c r="VQD27" s="388"/>
      <c r="VQE27" s="388"/>
      <c r="VQF27" s="388"/>
      <c r="VQG27" s="388"/>
      <c r="VQH27" s="388"/>
      <c r="VQI27" s="388"/>
      <c r="VQJ27" s="388"/>
      <c r="VQK27" s="388"/>
      <c r="VQL27" s="388"/>
      <c r="VQM27" s="388"/>
      <c r="VQN27" s="388"/>
      <c r="VQO27" s="388"/>
      <c r="VQP27" s="388"/>
      <c r="VQQ27" s="388"/>
      <c r="VQR27" s="388"/>
      <c r="VQS27" s="388"/>
      <c r="VQT27" s="388"/>
      <c r="VQU27" s="388"/>
      <c r="VQV27" s="388"/>
      <c r="VQW27" s="388"/>
      <c r="VQX27" s="388"/>
      <c r="VQY27" s="388"/>
      <c r="VQZ27" s="388"/>
      <c r="VRA27" s="388"/>
      <c r="VRB27" s="388"/>
      <c r="VRC27" s="388"/>
      <c r="VRD27" s="388"/>
      <c r="VRE27" s="388"/>
      <c r="VRF27" s="388"/>
      <c r="VRG27" s="388"/>
      <c r="VRH27" s="388"/>
      <c r="VRI27" s="388"/>
      <c r="VRJ27" s="388"/>
      <c r="VRK27" s="388"/>
      <c r="VRL27" s="388"/>
      <c r="VRM27" s="388"/>
      <c r="VRN27" s="388"/>
      <c r="VRO27" s="388"/>
      <c r="VRP27" s="388"/>
      <c r="VRQ27" s="388"/>
      <c r="VRR27" s="388"/>
      <c r="VRS27" s="388"/>
      <c r="VRT27" s="388"/>
      <c r="VRU27" s="388"/>
      <c r="VRV27" s="388"/>
      <c r="VRW27" s="388"/>
      <c r="VRX27" s="388"/>
      <c r="VRY27" s="388"/>
      <c r="VRZ27" s="388"/>
      <c r="VSA27" s="388"/>
      <c r="VSB27" s="388"/>
      <c r="VSC27" s="388"/>
      <c r="VSD27" s="388"/>
      <c r="VSE27" s="388"/>
      <c r="VSF27" s="388"/>
      <c r="VSG27" s="388"/>
      <c r="VSH27" s="388"/>
      <c r="VSI27" s="388"/>
      <c r="VSJ27" s="388"/>
      <c r="VSK27" s="388"/>
      <c r="VSL27" s="388"/>
      <c r="VSM27" s="388"/>
      <c r="VSN27" s="388"/>
      <c r="VSO27" s="388"/>
      <c r="VSP27" s="388"/>
      <c r="VSQ27" s="388"/>
      <c r="VSR27" s="388"/>
      <c r="VSS27" s="388"/>
      <c r="VST27" s="388"/>
      <c r="VSU27" s="388"/>
      <c r="VSV27" s="388"/>
      <c r="VSW27" s="388"/>
      <c r="VSX27" s="388"/>
      <c r="VSY27" s="388"/>
      <c r="VSZ27" s="388"/>
      <c r="VTA27" s="388"/>
      <c r="VTB27" s="388"/>
      <c r="VTC27" s="388"/>
      <c r="VTD27" s="388"/>
      <c r="VTE27" s="388"/>
      <c r="VTF27" s="388"/>
      <c r="VTG27" s="388"/>
      <c r="VTH27" s="388"/>
      <c r="VTI27" s="388"/>
      <c r="VTJ27" s="388"/>
      <c r="VTK27" s="388"/>
      <c r="VTL27" s="388"/>
      <c r="VTM27" s="388"/>
      <c r="VTN27" s="388"/>
      <c r="VTO27" s="388"/>
      <c r="VTP27" s="388"/>
      <c r="VTQ27" s="388"/>
      <c r="VTR27" s="388"/>
      <c r="VTS27" s="388"/>
      <c r="VTT27" s="388"/>
      <c r="VTU27" s="388"/>
      <c r="VTV27" s="388"/>
      <c r="VTW27" s="388"/>
      <c r="VTX27" s="388"/>
      <c r="VTY27" s="388"/>
      <c r="VTZ27" s="388"/>
      <c r="VUA27" s="388"/>
      <c r="VUB27" s="388"/>
      <c r="VUC27" s="388"/>
      <c r="VUD27" s="388"/>
      <c r="VUE27" s="388"/>
      <c r="VUF27" s="388"/>
      <c r="VUG27" s="388"/>
      <c r="VUH27" s="388"/>
      <c r="VUI27" s="388"/>
      <c r="VUJ27" s="388"/>
      <c r="VUK27" s="388"/>
      <c r="VUL27" s="388"/>
      <c r="VUM27" s="388"/>
      <c r="VUN27" s="388"/>
      <c r="VUO27" s="388"/>
      <c r="VUP27" s="388"/>
      <c r="VUQ27" s="388"/>
      <c r="VUR27" s="388"/>
      <c r="VUS27" s="388"/>
      <c r="VUT27" s="388"/>
      <c r="VUU27" s="388"/>
      <c r="VUV27" s="388"/>
      <c r="VUW27" s="388"/>
      <c r="VUX27" s="388"/>
      <c r="VUY27" s="388"/>
      <c r="VUZ27" s="388"/>
      <c r="VVA27" s="388"/>
      <c r="VVB27" s="388"/>
      <c r="VVC27" s="388"/>
      <c r="VVD27" s="388"/>
      <c r="VVE27" s="388"/>
      <c r="VVF27" s="388"/>
      <c r="VVG27" s="388"/>
      <c r="VVH27" s="388"/>
      <c r="VVI27" s="388"/>
      <c r="VVJ27" s="388"/>
      <c r="VVK27" s="388"/>
      <c r="VVL27" s="388"/>
      <c r="VVM27" s="388"/>
      <c r="VVN27" s="388"/>
      <c r="VVO27" s="388"/>
      <c r="VVP27" s="388"/>
      <c r="VVQ27" s="388"/>
      <c r="VVR27" s="388"/>
      <c r="VVS27" s="388"/>
      <c r="VVT27" s="388"/>
      <c r="VVU27" s="388"/>
      <c r="VVV27" s="388"/>
      <c r="VVW27" s="388"/>
      <c r="VVX27" s="388"/>
      <c r="VVY27" s="388"/>
      <c r="VVZ27" s="388"/>
      <c r="VWA27" s="388"/>
      <c r="VWB27" s="388"/>
      <c r="VWC27" s="388"/>
      <c r="VWD27" s="388"/>
      <c r="VWE27" s="388"/>
      <c r="VWF27" s="388"/>
      <c r="VWG27" s="388"/>
      <c r="VWH27" s="388"/>
      <c r="VWI27" s="388"/>
      <c r="VWJ27" s="388"/>
      <c r="VWK27" s="388"/>
      <c r="VWL27" s="388"/>
      <c r="VWM27" s="388"/>
      <c r="VWN27" s="388"/>
      <c r="VWO27" s="388"/>
      <c r="VWP27" s="388"/>
      <c r="VWQ27" s="388"/>
      <c r="VWR27" s="388"/>
      <c r="VWS27" s="388"/>
      <c r="VWT27" s="388"/>
      <c r="VWU27" s="388"/>
      <c r="VWV27" s="388"/>
      <c r="VWW27" s="388"/>
      <c r="VWX27" s="388"/>
      <c r="VWY27" s="388"/>
      <c r="VWZ27" s="388"/>
      <c r="VXA27" s="388"/>
      <c r="VXB27" s="388"/>
      <c r="VXC27" s="388"/>
      <c r="VXD27" s="388"/>
      <c r="VXE27" s="388"/>
      <c r="VXF27" s="388"/>
      <c r="VXG27" s="388"/>
      <c r="VXH27" s="388"/>
      <c r="VXI27" s="388"/>
      <c r="VXJ27" s="388"/>
      <c r="VXK27" s="388"/>
      <c r="VXL27" s="388"/>
      <c r="VXM27" s="388"/>
      <c r="VXN27" s="388"/>
      <c r="VXO27" s="388"/>
      <c r="VXP27" s="388"/>
      <c r="VXQ27" s="388"/>
      <c r="VXR27" s="388"/>
      <c r="VXS27" s="388"/>
      <c r="VXT27" s="388"/>
      <c r="VXU27" s="388"/>
      <c r="VXV27" s="388"/>
      <c r="VXW27" s="388"/>
      <c r="VXX27" s="388"/>
      <c r="VXY27" s="388"/>
      <c r="VXZ27" s="388"/>
      <c r="VYA27" s="388"/>
      <c r="VYB27" s="388"/>
      <c r="VYC27" s="388"/>
      <c r="VYD27" s="388"/>
      <c r="VYE27" s="388"/>
      <c r="VYF27" s="388"/>
      <c r="VYG27" s="388"/>
      <c r="VYH27" s="388"/>
      <c r="VYI27" s="388"/>
      <c r="VYJ27" s="388"/>
      <c r="VYK27" s="388"/>
      <c r="VYL27" s="388"/>
      <c r="VYM27" s="388"/>
      <c r="VYN27" s="388"/>
      <c r="VYO27" s="388"/>
      <c r="VYP27" s="388"/>
      <c r="VYQ27" s="388"/>
      <c r="VYR27" s="388"/>
      <c r="VYS27" s="388"/>
      <c r="VYT27" s="388"/>
      <c r="VYU27" s="388"/>
      <c r="VYV27" s="388"/>
      <c r="VYW27" s="388"/>
      <c r="VYX27" s="388"/>
      <c r="VYY27" s="388"/>
      <c r="VYZ27" s="388"/>
      <c r="VZA27" s="388"/>
      <c r="VZB27" s="388"/>
      <c r="VZC27" s="388"/>
      <c r="VZD27" s="388"/>
      <c r="VZE27" s="388"/>
      <c r="VZF27" s="388"/>
      <c r="VZG27" s="388"/>
      <c r="VZH27" s="388"/>
      <c r="VZI27" s="388"/>
      <c r="VZJ27" s="388"/>
      <c r="VZK27" s="388"/>
      <c r="VZL27" s="388"/>
      <c r="VZM27" s="388"/>
      <c r="VZN27" s="388"/>
      <c r="VZO27" s="388"/>
      <c r="VZP27" s="388"/>
      <c r="VZQ27" s="388"/>
      <c r="VZR27" s="388"/>
      <c r="VZS27" s="388"/>
      <c r="VZT27" s="388"/>
      <c r="VZU27" s="388"/>
      <c r="VZV27" s="388"/>
      <c r="VZW27" s="388"/>
      <c r="VZX27" s="388"/>
      <c r="VZY27" s="388"/>
      <c r="VZZ27" s="388"/>
      <c r="WAA27" s="388"/>
      <c r="WAB27" s="388"/>
      <c r="WAC27" s="388"/>
      <c r="WAD27" s="388"/>
      <c r="WAE27" s="388"/>
      <c r="WAF27" s="388"/>
      <c r="WAG27" s="388"/>
      <c r="WAH27" s="388"/>
      <c r="WAI27" s="388"/>
      <c r="WAJ27" s="388"/>
      <c r="WAK27" s="388"/>
      <c r="WAL27" s="388"/>
      <c r="WAM27" s="388"/>
      <c r="WAN27" s="388"/>
      <c r="WAO27" s="388"/>
      <c r="WAP27" s="388"/>
      <c r="WAQ27" s="388"/>
      <c r="WAR27" s="388"/>
      <c r="WAS27" s="388"/>
      <c r="WAT27" s="388"/>
      <c r="WAU27" s="388"/>
      <c r="WAV27" s="388"/>
      <c r="WAW27" s="388"/>
      <c r="WAX27" s="388"/>
      <c r="WAY27" s="388"/>
      <c r="WAZ27" s="388"/>
      <c r="WBA27" s="388"/>
      <c r="WBB27" s="388"/>
      <c r="WBC27" s="388"/>
      <c r="WBD27" s="388"/>
      <c r="WBE27" s="388"/>
      <c r="WBF27" s="388"/>
      <c r="WBG27" s="388"/>
      <c r="WBH27" s="388"/>
      <c r="WBI27" s="388"/>
      <c r="WBJ27" s="388"/>
      <c r="WBK27" s="388"/>
      <c r="WBL27" s="388"/>
      <c r="WBM27" s="388"/>
      <c r="WBN27" s="388"/>
      <c r="WBO27" s="388"/>
      <c r="WBP27" s="388"/>
      <c r="WBQ27" s="388"/>
      <c r="WBR27" s="388"/>
      <c r="WBS27" s="388"/>
      <c r="WBT27" s="388"/>
      <c r="WBU27" s="388"/>
      <c r="WBV27" s="388"/>
      <c r="WBW27" s="388"/>
      <c r="WBX27" s="388"/>
      <c r="WBY27" s="388"/>
      <c r="WBZ27" s="388"/>
      <c r="WCA27" s="388"/>
      <c r="WCB27" s="388"/>
      <c r="WCC27" s="388"/>
      <c r="WCD27" s="388"/>
      <c r="WCE27" s="388"/>
      <c r="WCF27" s="388"/>
      <c r="WCG27" s="388"/>
      <c r="WCH27" s="388"/>
      <c r="WCI27" s="388"/>
      <c r="WCJ27" s="388"/>
      <c r="WCK27" s="388"/>
      <c r="WCL27" s="388"/>
      <c r="WCM27" s="388"/>
      <c r="WCN27" s="388"/>
      <c r="WCO27" s="388"/>
      <c r="WCP27" s="388"/>
      <c r="WCQ27" s="388"/>
      <c r="WCR27" s="388"/>
      <c r="WCS27" s="388"/>
      <c r="WCT27" s="388"/>
      <c r="WCU27" s="388"/>
      <c r="WCV27" s="388"/>
      <c r="WCW27" s="388"/>
      <c r="WCX27" s="388"/>
      <c r="WCY27" s="388"/>
      <c r="WCZ27" s="388"/>
      <c r="WDA27" s="388"/>
      <c r="WDB27" s="388"/>
      <c r="WDC27" s="388"/>
      <c r="WDD27" s="388"/>
      <c r="WDE27" s="388"/>
      <c r="WDF27" s="388"/>
      <c r="WDG27" s="388"/>
      <c r="WDH27" s="388"/>
      <c r="WDI27" s="388"/>
      <c r="WDJ27" s="388"/>
      <c r="WDK27" s="388"/>
      <c r="WDL27" s="388"/>
      <c r="WDM27" s="388"/>
      <c r="WDN27" s="388"/>
      <c r="WDO27" s="388"/>
      <c r="WDP27" s="388"/>
      <c r="WDQ27" s="388"/>
      <c r="WDR27" s="388"/>
      <c r="WDS27" s="388"/>
      <c r="WDT27" s="388"/>
      <c r="WDU27" s="388"/>
      <c r="WDV27" s="388"/>
      <c r="WDW27" s="388"/>
      <c r="WDX27" s="388"/>
      <c r="WDY27" s="388"/>
      <c r="WDZ27" s="388"/>
      <c r="WEA27" s="388"/>
      <c r="WEB27" s="388"/>
      <c r="WEC27" s="388"/>
      <c r="WED27" s="388"/>
      <c r="WEE27" s="388"/>
      <c r="WEF27" s="388"/>
      <c r="WEG27" s="388"/>
      <c r="WEH27" s="388"/>
      <c r="WEI27" s="388"/>
      <c r="WEJ27" s="388"/>
      <c r="WEK27" s="388"/>
      <c r="WEL27" s="388"/>
      <c r="WEM27" s="388"/>
      <c r="WEN27" s="388"/>
      <c r="WEO27" s="388"/>
      <c r="WEP27" s="388"/>
      <c r="WEQ27" s="388"/>
      <c r="WER27" s="388"/>
      <c r="WES27" s="388"/>
      <c r="WET27" s="388"/>
      <c r="WEU27" s="388"/>
      <c r="WEV27" s="388"/>
      <c r="WEW27" s="388"/>
      <c r="WEX27" s="388"/>
      <c r="WEY27" s="388"/>
      <c r="WEZ27" s="388"/>
      <c r="WFA27" s="388"/>
      <c r="WFB27" s="388"/>
      <c r="WFC27" s="388"/>
      <c r="WFD27" s="388"/>
      <c r="WFE27" s="388"/>
      <c r="WFF27" s="388"/>
      <c r="WFG27" s="388"/>
      <c r="WFH27" s="388"/>
      <c r="WFI27" s="388"/>
      <c r="WFJ27" s="388"/>
      <c r="WFK27" s="388"/>
      <c r="WFL27" s="388"/>
      <c r="WFM27" s="388"/>
      <c r="WFN27" s="388"/>
      <c r="WFO27" s="388"/>
      <c r="WFP27" s="388"/>
      <c r="WFQ27" s="388"/>
      <c r="WFR27" s="388"/>
      <c r="WFS27" s="388"/>
      <c r="WFT27" s="388"/>
      <c r="WFU27" s="388"/>
      <c r="WFV27" s="388"/>
      <c r="WFW27" s="388"/>
      <c r="WFX27" s="388"/>
      <c r="WFY27" s="388"/>
      <c r="WFZ27" s="388"/>
      <c r="WGA27" s="388"/>
      <c r="WGB27" s="388"/>
      <c r="WGC27" s="388"/>
      <c r="WGD27" s="388"/>
      <c r="WGE27" s="388"/>
      <c r="WGF27" s="388"/>
      <c r="WGG27" s="388"/>
      <c r="WGH27" s="388"/>
      <c r="WGI27" s="388"/>
      <c r="WGJ27" s="388"/>
      <c r="WGK27" s="388"/>
      <c r="WGL27" s="388"/>
      <c r="WGM27" s="388"/>
      <c r="WGN27" s="388"/>
      <c r="WGO27" s="388"/>
      <c r="WGP27" s="388"/>
      <c r="WGQ27" s="388"/>
      <c r="WGR27" s="388"/>
      <c r="WGS27" s="388"/>
      <c r="WGT27" s="388"/>
      <c r="WGU27" s="388"/>
      <c r="WGV27" s="388"/>
      <c r="WGW27" s="388"/>
      <c r="WGX27" s="388"/>
      <c r="WGY27" s="388"/>
      <c r="WGZ27" s="388"/>
      <c r="WHA27" s="388"/>
      <c r="WHB27" s="388"/>
      <c r="WHC27" s="388"/>
      <c r="WHD27" s="388"/>
      <c r="WHE27" s="388"/>
      <c r="WHF27" s="388"/>
      <c r="WHG27" s="388"/>
      <c r="WHH27" s="388"/>
      <c r="WHI27" s="388"/>
      <c r="WHJ27" s="388"/>
      <c r="WHK27" s="388"/>
      <c r="WHL27" s="388"/>
      <c r="WHM27" s="388"/>
      <c r="WHN27" s="388"/>
      <c r="WHO27" s="388"/>
      <c r="WHP27" s="388"/>
      <c r="WHQ27" s="388"/>
      <c r="WHR27" s="388"/>
      <c r="WHS27" s="388"/>
      <c r="WHT27" s="388"/>
      <c r="WHU27" s="388"/>
      <c r="WHV27" s="388"/>
      <c r="WHW27" s="388"/>
      <c r="WHX27" s="388"/>
      <c r="WHY27" s="388"/>
      <c r="WHZ27" s="388"/>
      <c r="WIA27" s="388"/>
      <c r="WIB27" s="388"/>
      <c r="WIC27" s="388"/>
      <c r="WID27" s="388"/>
      <c r="WIE27" s="388"/>
      <c r="WIF27" s="388"/>
      <c r="WIG27" s="388"/>
      <c r="WIH27" s="388"/>
      <c r="WII27" s="388"/>
      <c r="WIJ27" s="388"/>
      <c r="WIK27" s="388"/>
      <c r="WIL27" s="388"/>
      <c r="WIM27" s="388"/>
      <c r="WIN27" s="388"/>
      <c r="WIO27" s="388"/>
      <c r="WIP27" s="388"/>
      <c r="WIQ27" s="388"/>
      <c r="WIR27" s="388"/>
      <c r="WIS27" s="388"/>
      <c r="WIT27" s="388"/>
      <c r="WIU27" s="388"/>
      <c r="WIV27" s="388"/>
      <c r="WIW27" s="388"/>
      <c r="WIX27" s="388"/>
      <c r="WIY27" s="388"/>
      <c r="WIZ27" s="388"/>
      <c r="WJA27" s="388"/>
      <c r="WJB27" s="388"/>
      <c r="WJC27" s="388"/>
      <c r="WJD27" s="388"/>
      <c r="WJE27" s="388"/>
      <c r="WJF27" s="388"/>
      <c r="WJG27" s="388"/>
      <c r="WJH27" s="388"/>
      <c r="WJI27" s="388"/>
      <c r="WJJ27" s="388"/>
      <c r="WJK27" s="388"/>
      <c r="WJL27" s="388"/>
      <c r="WJM27" s="388"/>
      <c r="WJN27" s="388"/>
      <c r="WJO27" s="388"/>
      <c r="WJP27" s="388"/>
      <c r="WJQ27" s="388"/>
      <c r="WJR27" s="388"/>
      <c r="WJS27" s="388"/>
      <c r="WJT27" s="388"/>
      <c r="WJU27" s="388"/>
      <c r="WJV27" s="388"/>
      <c r="WJW27" s="388"/>
      <c r="WJX27" s="388"/>
      <c r="WJY27" s="388"/>
      <c r="WJZ27" s="388"/>
      <c r="WKA27" s="388"/>
      <c r="WKB27" s="388"/>
      <c r="WKC27" s="388"/>
      <c r="WKD27" s="388"/>
      <c r="WKE27" s="388"/>
      <c r="WKF27" s="388"/>
      <c r="WKG27" s="388"/>
      <c r="WKH27" s="388"/>
      <c r="WKI27" s="388"/>
      <c r="WKJ27" s="388"/>
      <c r="WKK27" s="388"/>
      <c r="WKL27" s="388"/>
      <c r="WKM27" s="388"/>
      <c r="WKN27" s="388"/>
      <c r="WKO27" s="388"/>
      <c r="WKP27" s="388"/>
      <c r="WKQ27" s="388"/>
      <c r="WKR27" s="388"/>
      <c r="WKS27" s="388"/>
      <c r="WKT27" s="388"/>
      <c r="WKU27" s="388"/>
      <c r="WKV27" s="388"/>
      <c r="WKW27" s="388"/>
      <c r="WKX27" s="388"/>
      <c r="WKY27" s="388"/>
      <c r="WKZ27" s="388"/>
      <c r="WLA27" s="388"/>
      <c r="WLB27" s="388"/>
      <c r="WLC27" s="388"/>
      <c r="WLD27" s="388"/>
      <c r="WLE27" s="388"/>
      <c r="WLF27" s="388"/>
      <c r="WLG27" s="388"/>
      <c r="WLH27" s="388"/>
      <c r="WLI27" s="388"/>
      <c r="WLJ27" s="388"/>
      <c r="WLK27" s="388"/>
      <c r="WLL27" s="388"/>
      <c r="WLM27" s="388"/>
      <c r="WLN27" s="388"/>
      <c r="WLO27" s="388"/>
      <c r="WLP27" s="388"/>
      <c r="WLQ27" s="388"/>
      <c r="WLR27" s="388"/>
      <c r="WLS27" s="388"/>
      <c r="WLT27" s="388"/>
      <c r="WLU27" s="388"/>
      <c r="WLV27" s="388"/>
      <c r="WLW27" s="388"/>
      <c r="WLX27" s="388"/>
      <c r="WLY27" s="388"/>
      <c r="WLZ27" s="388"/>
      <c r="WMA27" s="388"/>
      <c r="WMB27" s="388"/>
      <c r="WMC27" s="388"/>
      <c r="WMD27" s="388"/>
      <c r="WME27" s="388"/>
      <c r="WMF27" s="388"/>
      <c r="WMG27" s="388"/>
      <c r="WMH27" s="388"/>
      <c r="WMI27" s="388"/>
      <c r="WMJ27" s="388"/>
      <c r="WMK27" s="388"/>
      <c r="WML27" s="388"/>
      <c r="WMM27" s="388"/>
      <c r="WMN27" s="388"/>
      <c r="WMO27" s="388"/>
      <c r="WMP27" s="388"/>
      <c r="WMQ27" s="388"/>
      <c r="WMR27" s="388"/>
      <c r="WMS27" s="388"/>
      <c r="WMT27" s="388"/>
      <c r="WMU27" s="388"/>
      <c r="WMV27" s="388"/>
      <c r="WMW27" s="388"/>
      <c r="WMX27" s="388"/>
      <c r="WMY27" s="388"/>
      <c r="WMZ27" s="388"/>
      <c r="WNA27" s="388"/>
      <c r="WNB27" s="388"/>
      <c r="WNC27" s="388"/>
      <c r="WND27" s="388"/>
      <c r="WNE27" s="388"/>
      <c r="WNF27" s="388"/>
      <c r="WNG27" s="388"/>
      <c r="WNH27" s="388"/>
      <c r="WNI27" s="388"/>
      <c r="WNJ27" s="388"/>
      <c r="WNK27" s="388"/>
      <c r="WNL27" s="388"/>
      <c r="WNM27" s="388"/>
      <c r="WNN27" s="388"/>
      <c r="WNO27" s="388"/>
      <c r="WNP27" s="388"/>
      <c r="WNQ27" s="388"/>
      <c r="WNR27" s="388"/>
      <c r="WNS27" s="388"/>
      <c r="WNT27" s="388"/>
      <c r="WNU27" s="388"/>
      <c r="WNV27" s="388"/>
      <c r="WNW27" s="388"/>
      <c r="WNX27" s="388"/>
      <c r="WNY27" s="388"/>
      <c r="WNZ27" s="388"/>
      <c r="WOA27" s="388"/>
      <c r="WOB27" s="388"/>
      <c r="WOC27" s="388"/>
      <c r="WOD27" s="388"/>
      <c r="WOE27" s="388"/>
      <c r="WOF27" s="388"/>
      <c r="WOG27" s="388"/>
      <c r="WOH27" s="388"/>
      <c r="WOI27" s="388"/>
      <c r="WOJ27" s="388"/>
      <c r="WOK27" s="388"/>
      <c r="WOL27" s="388"/>
      <c r="WOM27" s="388"/>
      <c r="WON27" s="388"/>
      <c r="WOO27" s="388"/>
      <c r="WOP27" s="388"/>
      <c r="WOQ27" s="388"/>
      <c r="WOR27" s="388"/>
      <c r="WOS27" s="388"/>
      <c r="WOT27" s="388"/>
      <c r="WOU27" s="388"/>
      <c r="WOV27" s="388"/>
      <c r="WOW27" s="388"/>
      <c r="WOX27" s="388"/>
      <c r="WOY27" s="388"/>
      <c r="WOZ27" s="388"/>
      <c r="WPA27" s="388"/>
      <c r="WPB27" s="388"/>
      <c r="WPC27" s="388"/>
      <c r="WPD27" s="388"/>
      <c r="WPE27" s="388"/>
      <c r="WPF27" s="388"/>
      <c r="WPG27" s="388"/>
      <c r="WPH27" s="388"/>
      <c r="WPI27" s="388"/>
      <c r="WPJ27" s="388"/>
      <c r="WPK27" s="388"/>
      <c r="WPL27" s="388"/>
      <c r="WPM27" s="388"/>
      <c r="WPN27" s="388"/>
      <c r="WPO27" s="388"/>
      <c r="WPP27" s="388"/>
      <c r="WPQ27" s="388"/>
      <c r="WPR27" s="388"/>
      <c r="WPS27" s="388"/>
      <c r="WPT27" s="388"/>
      <c r="WPU27" s="388"/>
      <c r="WPV27" s="388"/>
      <c r="WPW27" s="388"/>
      <c r="WPX27" s="388"/>
      <c r="WPY27" s="388"/>
      <c r="WPZ27" s="388"/>
      <c r="WQA27" s="388"/>
      <c r="WQB27" s="388"/>
      <c r="WQC27" s="388"/>
      <c r="WQD27" s="388"/>
      <c r="WQE27" s="388"/>
      <c r="WQF27" s="388"/>
      <c r="WQG27" s="388"/>
      <c r="WQH27" s="388"/>
      <c r="WQI27" s="388"/>
      <c r="WQJ27" s="388"/>
      <c r="WQK27" s="388"/>
      <c r="WQL27" s="388"/>
      <c r="WQM27" s="388"/>
      <c r="WQN27" s="388"/>
      <c r="WQO27" s="388"/>
      <c r="WQP27" s="388"/>
      <c r="WQQ27" s="388"/>
      <c r="WQR27" s="388"/>
      <c r="WQS27" s="388"/>
      <c r="WQT27" s="388"/>
      <c r="WQU27" s="388"/>
      <c r="WQV27" s="388"/>
      <c r="WQW27" s="388"/>
      <c r="WQX27" s="388"/>
      <c r="WQY27" s="388"/>
      <c r="WQZ27" s="388"/>
      <c r="WRA27" s="388"/>
      <c r="WRB27" s="388"/>
      <c r="WRC27" s="388"/>
      <c r="WRD27" s="388"/>
      <c r="WRE27" s="388"/>
      <c r="WRF27" s="388"/>
      <c r="WRG27" s="388"/>
      <c r="WRH27" s="388"/>
      <c r="WRI27" s="388"/>
      <c r="WRJ27" s="388"/>
      <c r="WRK27" s="388"/>
      <c r="WRL27" s="388"/>
      <c r="WRM27" s="388"/>
      <c r="WRN27" s="388"/>
      <c r="WRO27" s="388"/>
      <c r="WRP27" s="388"/>
      <c r="WRQ27" s="388"/>
      <c r="WRR27" s="388"/>
      <c r="WRS27" s="388"/>
      <c r="WRT27" s="388"/>
      <c r="WRU27" s="388"/>
      <c r="WRV27" s="388"/>
      <c r="WRW27" s="388"/>
      <c r="WRX27" s="388"/>
      <c r="WRY27" s="388"/>
      <c r="WRZ27" s="388"/>
      <c r="WSA27" s="388"/>
      <c r="WSB27" s="388"/>
      <c r="WSC27" s="388"/>
      <c r="WSD27" s="388"/>
      <c r="WSE27" s="388"/>
      <c r="WSF27" s="388"/>
      <c r="WSG27" s="388"/>
      <c r="WSH27" s="388"/>
      <c r="WSI27" s="388"/>
      <c r="WSJ27" s="388"/>
      <c r="WSK27" s="388"/>
      <c r="WSL27" s="388"/>
      <c r="WSM27" s="388"/>
      <c r="WSN27" s="388"/>
      <c r="WSO27" s="388"/>
      <c r="WSP27" s="388"/>
      <c r="WSQ27" s="388"/>
      <c r="WSR27" s="388"/>
      <c r="WSS27" s="388"/>
      <c r="WST27" s="388"/>
      <c r="WSU27" s="388"/>
      <c r="WSV27" s="388"/>
      <c r="WSW27" s="388"/>
      <c r="WSX27" s="388"/>
      <c r="WSY27" s="388"/>
      <c r="WSZ27" s="388"/>
      <c r="WTA27" s="388"/>
      <c r="WTB27" s="388"/>
      <c r="WTC27" s="388"/>
      <c r="WTD27" s="388"/>
      <c r="WTE27" s="388"/>
      <c r="WTF27" s="388"/>
      <c r="WTG27" s="388"/>
      <c r="WTH27" s="388"/>
      <c r="WTI27" s="388"/>
      <c r="WTJ27" s="388"/>
      <c r="WTK27" s="388"/>
      <c r="WTL27" s="388"/>
      <c r="WTM27" s="388"/>
      <c r="WTN27" s="388"/>
      <c r="WTO27" s="388"/>
      <c r="WTP27" s="388"/>
      <c r="WTQ27" s="388"/>
      <c r="WTR27" s="388"/>
      <c r="WTS27" s="388"/>
      <c r="WTT27" s="388"/>
      <c r="WTU27" s="388"/>
      <c r="WTV27" s="388"/>
      <c r="WTW27" s="388"/>
      <c r="WTX27" s="388"/>
      <c r="WTY27" s="388"/>
      <c r="WTZ27" s="388"/>
      <c r="WUA27" s="388"/>
      <c r="WUB27" s="388"/>
      <c r="WUC27" s="388"/>
      <c r="WUD27" s="388"/>
      <c r="WUE27" s="388"/>
      <c r="WUF27" s="388"/>
      <c r="WUG27" s="388"/>
      <c r="WUH27" s="388"/>
      <c r="WUI27" s="388"/>
      <c r="WUJ27" s="388"/>
      <c r="WUK27" s="388"/>
      <c r="WUL27" s="388"/>
      <c r="WUM27" s="388"/>
      <c r="WUN27" s="388"/>
      <c r="WUO27" s="388"/>
      <c r="WUP27" s="388"/>
      <c r="WUQ27" s="388"/>
      <c r="WUR27" s="388"/>
      <c r="WUS27" s="388"/>
      <c r="WUT27" s="388"/>
      <c r="WUU27" s="388"/>
      <c r="WUV27" s="388"/>
      <c r="WUW27" s="388"/>
      <c r="WUX27" s="388"/>
      <c r="WUY27" s="388"/>
      <c r="WUZ27" s="388"/>
      <c r="WVA27" s="388"/>
      <c r="WVB27" s="388"/>
      <c r="WVC27" s="388"/>
      <c r="WVD27" s="388"/>
      <c r="WVE27" s="388"/>
      <c r="WVF27" s="388"/>
      <c r="WVG27" s="388"/>
      <c r="WVH27" s="388"/>
      <c r="WVI27" s="388"/>
      <c r="WVJ27" s="388"/>
      <c r="WVK27" s="388"/>
      <c r="WVL27" s="388"/>
      <c r="WVM27" s="388"/>
      <c r="WVN27" s="388"/>
      <c r="WVO27" s="388"/>
      <c r="WVP27" s="388"/>
      <c r="WVQ27" s="388"/>
      <c r="WVR27" s="388"/>
      <c r="WVS27" s="388"/>
      <c r="WVT27" s="388"/>
      <c r="WVU27" s="388"/>
      <c r="WVV27" s="388"/>
      <c r="WVW27" s="388"/>
      <c r="WVX27" s="388"/>
      <c r="WVY27" s="388"/>
      <c r="WVZ27" s="388"/>
      <c r="WWA27" s="388"/>
      <c r="WWB27" s="388"/>
      <c r="WWC27" s="388"/>
      <c r="WWD27" s="388"/>
      <c r="WWE27" s="388"/>
      <c r="WWF27" s="388"/>
      <c r="WWG27" s="388"/>
      <c r="WWH27" s="388"/>
      <c r="WWI27" s="388"/>
      <c r="WWJ27" s="388"/>
      <c r="WWK27" s="388"/>
      <c r="WWL27" s="388"/>
      <c r="WWM27" s="388"/>
      <c r="WWN27" s="388"/>
      <c r="WWO27" s="388"/>
      <c r="WWP27" s="388"/>
      <c r="WWQ27" s="388"/>
      <c r="WWR27" s="388"/>
      <c r="WWS27" s="388"/>
      <c r="WWT27" s="388"/>
      <c r="WWU27" s="388"/>
      <c r="WWV27" s="388"/>
      <c r="WWW27" s="388"/>
      <c r="WWX27" s="388"/>
      <c r="WWY27" s="388"/>
      <c r="WWZ27" s="388"/>
      <c r="WXA27" s="388"/>
      <c r="WXB27" s="388"/>
      <c r="WXC27" s="388"/>
      <c r="WXD27" s="388"/>
      <c r="WXE27" s="388"/>
      <c r="WXF27" s="388"/>
      <c r="WXG27" s="388"/>
      <c r="WXH27" s="388"/>
      <c r="WXI27" s="388"/>
      <c r="WXJ27" s="388"/>
      <c r="WXK27" s="388"/>
      <c r="WXL27" s="388"/>
      <c r="WXM27" s="388"/>
      <c r="WXN27" s="388"/>
      <c r="WXO27" s="388"/>
      <c r="WXP27" s="388"/>
      <c r="WXQ27" s="388"/>
      <c r="WXR27" s="388"/>
      <c r="WXS27" s="388"/>
      <c r="WXT27" s="388"/>
      <c r="WXU27" s="388"/>
      <c r="WXV27" s="388"/>
      <c r="WXW27" s="388"/>
      <c r="WXX27" s="388"/>
      <c r="WXY27" s="388"/>
      <c r="WXZ27" s="388"/>
      <c r="WYA27" s="388"/>
      <c r="WYB27" s="388"/>
      <c r="WYC27" s="388"/>
      <c r="WYD27" s="388"/>
      <c r="WYE27" s="388"/>
      <c r="WYF27" s="388"/>
      <c r="WYG27" s="388"/>
      <c r="WYH27" s="388"/>
      <c r="WYI27" s="388"/>
      <c r="WYJ27" s="388"/>
      <c r="WYK27" s="388"/>
      <c r="WYL27" s="388"/>
      <c r="WYM27" s="388"/>
      <c r="WYN27" s="388"/>
      <c r="WYO27" s="388"/>
      <c r="WYP27" s="388"/>
      <c r="WYQ27" s="388"/>
      <c r="WYR27" s="388"/>
      <c r="WYS27" s="388"/>
      <c r="WYT27" s="388"/>
      <c r="WYU27" s="388"/>
      <c r="WYV27" s="388"/>
      <c r="WYW27" s="388"/>
      <c r="WYX27" s="388"/>
      <c r="WYY27" s="388"/>
      <c r="WYZ27" s="388"/>
      <c r="WZA27" s="388"/>
      <c r="WZB27" s="388"/>
      <c r="WZC27" s="388"/>
      <c r="WZD27" s="388"/>
      <c r="WZE27" s="388"/>
      <c r="WZF27" s="388"/>
      <c r="WZG27" s="388"/>
      <c r="WZH27" s="388"/>
      <c r="WZI27" s="388"/>
      <c r="WZJ27" s="388"/>
      <c r="WZK27" s="388"/>
      <c r="WZL27" s="388"/>
      <c r="WZM27" s="388"/>
      <c r="WZN27" s="388"/>
      <c r="WZO27" s="388"/>
      <c r="WZP27" s="388"/>
      <c r="WZQ27" s="388"/>
      <c r="WZR27" s="388"/>
      <c r="WZS27" s="388"/>
      <c r="WZT27" s="388"/>
      <c r="WZU27" s="388"/>
      <c r="WZV27" s="388"/>
      <c r="WZW27" s="388"/>
      <c r="WZX27" s="388"/>
      <c r="WZY27" s="388"/>
      <c r="WZZ27" s="388"/>
      <c r="XAA27" s="388"/>
      <c r="XAB27" s="388"/>
      <c r="XAC27" s="388"/>
      <c r="XAD27" s="388"/>
      <c r="XAE27" s="388"/>
      <c r="XAF27" s="388"/>
      <c r="XAG27" s="388"/>
      <c r="XAH27" s="388"/>
      <c r="XAI27" s="388"/>
      <c r="XAJ27" s="388"/>
      <c r="XAK27" s="388"/>
      <c r="XAL27" s="388"/>
      <c r="XAM27" s="388"/>
      <c r="XAN27" s="388"/>
      <c r="XAO27" s="388"/>
      <c r="XAP27" s="388"/>
      <c r="XAQ27" s="388"/>
      <c r="XAR27" s="388"/>
      <c r="XAS27" s="388"/>
      <c r="XAT27" s="388"/>
      <c r="XAU27" s="388"/>
      <c r="XAV27" s="388"/>
      <c r="XAW27" s="388"/>
      <c r="XAX27" s="388"/>
      <c r="XAY27" s="388"/>
      <c r="XAZ27" s="388"/>
      <c r="XBA27" s="388"/>
      <c r="XBB27" s="388"/>
      <c r="XBC27" s="388"/>
      <c r="XBD27" s="388"/>
      <c r="XBE27" s="388"/>
      <c r="XBF27" s="388"/>
      <c r="XBG27" s="388"/>
      <c r="XBH27" s="388"/>
      <c r="XBI27" s="388"/>
      <c r="XBJ27" s="388"/>
      <c r="XBK27" s="388"/>
      <c r="XBL27" s="388"/>
      <c r="XBM27" s="388"/>
      <c r="XBN27" s="388"/>
      <c r="XBO27" s="388"/>
      <c r="XBP27" s="388"/>
      <c r="XBQ27" s="388"/>
      <c r="XBR27" s="388"/>
      <c r="XBS27" s="388"/>
      <c r="XBT27" s="388"/>
      <c r="XBU27" s="388"/>
      <c r="XBV27" s="388"/>
      <c r="XBW27" s="388"/>
      <c r="XBX27" s="388"/>
      <c r="XBY27" s="388"/>
      <c r="XBZ27" s="388"/>
      <c r="XCA27" s="388"/>
      <c r="XCB27" s="388"/>
      <c r="XCC27" s="388"/>
      <c r="XCD27" s="388"/>
      <c r="XCE27" s="388"/>
      <c r="XCF27" s="388"/>
      <c r="XCG27" s="388"/>
      <c r="XCH27" s="388"/>
      <c r="XCI27" s="388"/>
      <c r="XCJ27" s="388"/>
      <c r="XCK27" s="388"/>
      <c r="XCL27" s="388"/>
      <c r="XCM27" s="388"/>
      <c r="XCN27" s="388"/>
      <c r="XCO27" s="388"/>
      <c r="XCP27" s="388"/>
      <c r="XCQ27" s="388"/>
      <c r="XCR27" s="388"/>
      <c r="XCS27" s="388"/>
      <c r="XCT27" s="388"/>
      <c r="XCU27" s="388"/>
      <c r="XCV27" s="388"/>
      <c r="XCW27" s="388"/>
      <c r="XCX27" s="388"/>
      <c r="XCY27" s="388"/>
      <c r="XCZ27" s="388"/>
      <c r="XDA27" s="388"/>
      <c r="XDB27" s="388"/>
      <c r="XDC27" s="388"/>
      <c r="XDD27" s="388"/>
      <c r="XDE27" s="388"/>
      <c r="XDF27" s="388"/>
      <c r="XDG27" s="388"/>
      <c r="XDH27" s="388"/>
      <c r="XDI27" s="388"/>
      <c r="XDJ27" s="388"/>
      <c r="XDK27" s="388"/>
      <c r="XDL27" s="388"/>
      <c r="XDM27" s="388"/>
      <c r="XDN27" s="388"/>
      <c r="XDO27" s="388"/>
      <c r="XDP27" s="388"/>
      <c r="XDQ27" s="388"/>
      <c r="XDR27" s="388"/>
      <c r="XDS27" s="388"/>
      <c r="XDT27" s="388"/>
      <c r="XDU27" s="388"/>
      <c r="XDV27" s="388"/>
      <c r="XDW27" s="388"/>
      <c r="XDX27" s="388"/>
      <c r="XDY27" s="388"/>
      <c r="XDZ27" s="388"/>
      <c r="XEA27" s="388"/>
      <c r="XEB27" s="388"/>
      <c r="XEC27" s="388"/>
      <c r="XED27" s="388"/>
      <c r="XEE27" s="388"/>
      <c r="XEF27" s="388"/>
      <c r="XEG27" s="388"/>
      <c r="XEH27" s="388"/>
      <c r="XEI27" s="388"/>
      <c r="XEJ27" s="388"/>
      <c r="XEK27" s="388"/>
      <c r="XEL27" s="388"/>
      <c r="XEM27" s="388"/>
      <c r="XEN27" s="388"/>
      <c r="XEO27" s="388"/>
      <c r="XEP27" s="388"/>
      <c r="XEQ27" s="388"/>
      <c r="XER27" s="388"/>
      <c r="XES27" s="388"/>
      <c r="XET27" s="388"/>
      <c r="XEU27" s="388"/>
      <c r="XEV27" s="388"/>
      <c r="XEW27" s="388"/>
      <c r="XEX27" s="388"/>
      <c r="XEY27" s="388"/>
      <c r="XEZ27" s="388"/>
      <c r="XFA27" s="388"/>
      <c r="XFB27" s="170"/>
    </row>
    <row r="28" spans="1:16382" s="111" customFormat="1" ht="12.75" hidden="1" customHeight="1" x14ac:dyDescent="0.2">
      <c r="A28" s="170">
        <v>17</v>
      </c>
      <c r="C28" s="170"/>
      <c r="E28" s="170" t="str">
        <f>IF(B28=0,"",IF(C28&gt;9999,"",ROUND('General Variables'!$B$4*VLOOKUP(B28,Operations!$A$2:$U$79,10,FALSE)/VLOOKUP(B28,Operations!$A$2:$U$79,9,FALSE)*C28,2)))</f>
        <v/>
      </c>
      <c r="F28" s="111">
        <f>IF(B28=0,0,IF(C28&gt;9999,"",ROUND(IF(VLOOKUP(B28,Operations!$A$2:$U$79,12,FALSE)=0,VLOOKUP(B28,Operations!$A$2:$U$79,13,FALSE)*'General Variables'!$B$8,VLOOKUP(B28,Operations!$A$2:$U$79,12,FALSE)*'General Variables'!$B$7)/VLOOKUP(B28,Operations!$A$2:$U$79,9,FALSE)*C28,2)))</f>
        <v>0</v>
      </c>
      <c r="G28" s="170">
        <f>IF(B28=0,0,IF(C28&gt;9999,"",ROUND(VLOOKUP(VLOOKUP(B28,Operations!$A$2:$U$79,11,FALSE),PowerUnits[],10,FALSE)/VLOOKUP(B28,Operations!$A$2:$U$79,9,FALSE)*C28,2)))</f>
        <v>0</v>
      </c>
      <c r="H28" s="111" t="str">
        <f>IF(B28=0,"",IF(C28&gt;9999,"",ROUND(VLOOKUP($B28,Operations!$A$2:$U$79,15,FALSE)*C28,2)))</f>
        <v/>
      </c>
      <c r="I28" s="170">
        <f>IF(B28=0,0,IF(C28&gt;9999,"",ROUND(VLOOKUP(VLOOKUP(B28,Operations!$A$2:$U$79,11,FALSE),PowerUnits[],16,FALSE)/VLOOKUP(B28,Operations!$A$2:$U$79,9,FALSE)*C28,2)))</f>
        <v>0</v>
      </c>
      <c r="J28" s="111" t="str">
        <f>IF(B28=0,"",IF(C28&gt;9999,"",ROUND(VLOOKUP($B28,Operations!$A$2:$U$79,21,FALSE)*$C28,2)))</f>
        <v/>
      </c>
      <c r="K28" s="170">
        <f t="shared" si="0"/>
        <v>0</v>
      </c>
      <c r="M28" s="170"/>
      <c r="O28" s="170"/>
      <c r="Q28" s="170"/>
      <c r="S28" s="170"/>
      <c r="U28" s="170"/>
      <c r="W28" s="170"/>
      <c r="Y28" s="170"/>
      <c r="AA28" s="170"/>
      <c r="AC28" s="170"/>
      <c r="AE28" s="170"/>
      <c r="AG28" s="170"/>
      <c r="AI28" s="170"/>
      <c r="AK28" s="170"/>
      <c r="AM28" s="170"/>
      <c r="AO28" s="170"/>
      <c r="AQ28" s="170"/>
      <c r="AS28" s="170"/>
      <c r="AU28" s="170"/>
      <c r="AW28" s="170"/>
      <c r="AY28" s="170"/>
      <c r="BA28" s="170"/>
      <c r="BC28" s="170"/>
      <c r="BE28" s="170"/>
      <c r="BG28" s="170"/>
      <c r="BI28" s="170"/>
      <c r="BK28" s="170"/>
      <c r="BM28" s="170"/>
      <c r="BO28" s="170"/>
      <c r="BQ28" s="170"/>
      <c r="BS28" s="170"/>
      <c r="BU28" s="170"/>
      <c r="BW28" s="170"/>
      <c r="BY28" s="170"/>
      <c r="CA28" s="170"/>
      <c r="CC28" s="170"/>
      <c r="CE28" s="170"/>
      <c r="CG28" s="170"/>
      <c r="CI28" s="170"/>
      <c r="CK28" s="170"/>
      <c r="CM28" s="170"/>
      <c r="CO28" s="170"/>
      <c r="CQ28" s="170"/>
      <c r="CS28" s="170"/>
      <c r="CU28" s="170"/>
      <c r="CW28" s="170"/>
      <c r="CY28" s="170"/>
      <c r="DA28" s="170"/>
      <c r="DC28" s="170"/>
      <c r="DE28" s="170"/>
      <c r="DG28" s="170"/>
      <c r="DI28" s="170"/>
      <c r="DK28" s="170"/>
      <c r="DM28" s="170"/>
      <c r="DO28" s="170"/>
      <c r="DQ28" s="170"/>
      <c r="DS28" s="170"/>
      <c r="DU28" s="170"/>
      <c r="DW28" s="170"/>
      <c r="DY28" s="170"/>
      <c r="EA28" s="170"/>
      <c r="EC28" s="170"/>
      <c r="EE28" s="170"/>
      <c r="EG28" s="170"/>
      <c r="EI28" s="170"/>
      <c r="EK28" s="170"/>
      <c r="EM28" s="170"/>
      <c r="EO28" s="170"/>
      <c r="EQ28" s="170"/>
      <c r="ES28" s="170"/>
      <c r="EU28" s="170"/>
      <c r="EW28" s="170"/>
      <c r="EY28" s="170"/>
      <c r="FA28" s="170"/>
      <c r="FC28" s="170"/>
      <c r="FE28" s="170"/>
      <c r="FG28" s="170"/>
      <c r="FI28" s="170"/>
      <c r="FK28" s="170"/>
      <c r="FM28" s="170"/>
      <c r="FO28" s="170"/>
      <c r="FQ28" s="170"/>
      <c r="FS28" s="170"/>
      <c r="FU28" s="170"/>
      <c r="FW28" s="170"/>
      <c r="FY28" s="170"/>
      <c r="GA28" s="170"/>
      <c r="GC28" s="170"/>
      <c r="GE28" s="170"/>
      <c r="GG28" s="170"/>
      <c r="GI28" s="170"/>
      <c r="GK28" s="170"/>
      <c r="GM28" s="170"/>
      <c r="GO28" s="170"/>
      <c r="GQ28" s="170"/>
      <c r="GS28" s="170"/>
      <c r="GU28" s="170"/>
      <c r="GW28" s="170"/>
      <c r="GY28" s="170"/>
      <c r="HA28" s="170"/>
      <c r="HC28" s="170"/>
      <c r="HE28" s="170"/>
      <c r="HG28" s="170"/>
      <c r="HI28" s="170"/>
      <c r="HK28" s="170"/>
      <c r="HM28" s="170"/>
      <c r="HO28" s="170"/>
      <c r="HQ28" s="170"/>
      <c r="HS28" s="170"/>
      <c r="HU28" s="170"/>
      <c r="HW28" s="170"/>
      <c r="HY28" s="170"/>
      <c r="IA28" s="170"/>
      <c r="IC28" s="170"/>
      <c r="IE28" s="170"/>
      <c r="IG28" s="170"/>
      <c r="II28" s="170"/>
      <c r="IK28" s="170"/>
      <c r="IM28" s="170"/>
      <c r="IO28" s="170"/>
      <c r="IQ28" s="170"/>
      <c r="IS28" s="170"/>
      <c r="IU28" s="170"/>
      <c r="IW28" s="170"/>
      <c r="IY28" s="170"/>
      <c r="JA28" s="170"/>
      <c r="JC28" s="170"/>
      <c r="JE28" s="170"/>
      <c r="JG28" s="170"/>
      <c r="JI28" s="170"/>
      <c r="JK28" s="170"/>
      <c r="JM28" s="170"/>
      <c r="JO28" s="170"/>
      <c r="JQ28" s="170"/>
      <c r="JS28" s="170"/>
      <c r="JU28" s="170"/>
      <c r="JW28" s="170"/>
      <c r="JY28" s="170"/>
      <c r="KA28" s="170"/>
      <c r="KC28" s="170"/>
      <c r="KE28" s="170"/>
      <c r="KG28" s="170"/>
      <c r="KI28" s="170"/>
      <c r="KK28" s="170"/>
      <c r="KM28" s="170"/>
      <c r="KO28" s="170"/>
      <c r="KQ28" s="170"/>
      <c r="KS28" s="170"/>
      <c r="KU28" s="170"/>
      <c r="KW28" s="170"/>
      <c r="KY28" s="170"/>
      <c r="LA28" s="170"/>
      <c r="LC28" s="170"/>
      <c r="LE28" s="170"/>
      <c r="LG28" s="170"/>
      <c r="LI28" s="170"/>
      <c r="LK28" s="170"/>
      <c r="LM28" s="170"/>
      <c r="LO28" s="170"/>
      <c r="LQ28" s="170"/>
      <c r="LS28" s="170"/>
      <c r="LU28" s="170"/>
      <c r="LW28" s="170"/>
      <c r="LY28" s="170"/>
      <c r="MA28" s="170"/>
      <c r="MC28" s="170"/>
      <c r="ME28" s="170"/>
      <c r="MG28" s="170"/>
      <c r="MI28" s="170"/>
      <c r="MK28" s="170"/>
      <c r="MM28" s="170"/>
      <c r="MO28" s="170"/>
      <c r="MQ28" s="170"/>
      <c r="MS28" s="170"/>
      <c r="MU28" s="170"/>
      <c r="MW28" s="170"/>
      <c r="MY28" s="170"/>
      <c r="NA28" s="170"/>
      <c r="NC28" s="170"/>
      <c r="NE28" s="170"/>
      <c r="NG28" s="170"/>
      <c r="NI28" s="170"/>
      <c r="NK28" s="170"/>
      <c r="NM28" s="170"/>
      <c r="NO28" s="170"/>
      <c r="NQ28" s="170"/>
      <c r="NS28" s="170"/>
      <c r="NU28" s="170"/>
      <c r="NW28" s="170"/>
      <c r="NY28" s="170"/>
      <c r="OA28" s="170"/>
      <c r="OC28" s="170"/>
      <c r="OE28" s="170"/>
      <c r="OG28" s="170"/>
      <c r="OI28" s="170"/>
      <c r="OK28" s="170"/>
      <c r="OM28" s="170"/>
      <c r="OO28" s="170"/>
      <c r="OQ28" s="170"/>
      <c r="OS28" s="170"/>
      <c r="OU28" s="170"/>
      <c r="OW28" s="170"/>
      <c r="OY28" s="170"/>
      <c r="PA28" s="170"/>
      <c r="PC28" s="170"/>
      <c r="PE28" s="170"/>
      <c r="PG28" s="170"/>
      <c r="PI28" s="170"/>
      <c r="PK28" s="170"/>
      <c r="PM28" s="170"/>
      <c r="PO28" s="170"/>
      <c r="PQ28" s="170"/>
      <c r="PS28" s="170"/>
      <c r="PU28" s="170"/>
      <c r="PW28" s="170"/>
      <c r="PY28" s="170"/>
      <c r="QA28" s="170"/>
      <c r="QC28" s="170"/>
      <c r="QE28" s="170"/>
      <c r="QG28" s="170"/>
      <c r="QI28" s="170"/>
      <c r="QK28" s="170"/>
      <c r="QM28" s="170"/>
      <c r="QO28" s="170"/>
      <c r="QQ28" s="170"/>
      <c r="QS28" s="170"/>
      <c r="QU28" s="170"/>
      <c r="QW28" s="170"/>
      <c r="QY28" s="170"/>
      <c r="RA28" s="170"/>
      <c r="RC28" s="170"/>
      <c r="RE28" s="170"/>
      <c r="RG28" s="170"/>
      <c r="RI28" s="170"/>
      <c r="RK28" s="170"/>
      <c r="RM28" s="170"/>
      <c r="RO28" s="170"/>
      <c r="RQ28" s="170"/>
      <c r="RS28" s="170"/>
      <c r="RU28" s="170"/>
      <c r="RW28" s="170"/>
      <c r="RY28" s="170"/>
      <c r="SA28" s="170"/>
      <c r="SC28" s="170"/>
      <c r="SE28" s="170"/>
      <c r="SG28" s="170"/>
      <c r="SI28" s="170"/>
      <c r="SK28" s="170"/>
      <c r="SM28" s="170"/>
      <c r="SO28" s="170"/>
      <c r="SQ28" s="170"/>
      <c r="SS28" s="170"/>
      <c r="SU28" s="170"/>
      <c r="SW28" s="170"/>
      <c r="SY28" s="170"/>
      <c r="TA28" s="170"/>
      <c r="TC28" s="170"/>
      <c r="TE28" s="170"/>
      <c r="TG28" s="170"/>
      <c r="TI28" s="170"/>
      <c r="TK28" s="170"/>
      <c r="TM28" s="170"/>
      <c r="TO28" s="170"/>
      <c r="TQ28" s="170"/>
      <c r="TS28" s="170"/>
      <c r="TU28" s="170"/>
      <c r="TW28" s="170"/>
      <c r="TY28" s="170"/>
      <c r="UA28" s="170"/>
      <c r="UC28" s="170"/>
      <c r="UE28" s="170"/>
      <c r="UG28" s="170"/>
      <c r="UI28" s="170"/>
      <c r="UK28" s="170"/>
      <c r="UM28" s="170"/>
      <c r="UO28" s="170"/>
      <c r="UQ28" s="170"/>
      <c r="US28" s="170"/>
      <c r="UU28" s="170"/>
      <c r="UW28" s="170"/>
      <c r="UY28" s="170"/>
      <c r="VA28" s="170"/>
      <c r="VC28" s="170"/>
      <c r="VE28" s="170"/>
      <c r="VG28" s="170"/>
      <c r="VI28" s="170"/>
      <c r="VK28" s="170"/>
      <c r="VM28" s="170"/>
      <c r="VO28" s="170"/>
      <c r="VQ28" s="170"/>
      <c r="VS28" s="170"/>
      <c r="VU28" s="170"/>
      <c r="VW28" s="170"/>
      <c r="VY28" s="170"/>
      <c r="WA28" s="170"/>
      <c r="WC28" s="170"/>
      <c r="WE28" s="170"/>
      <c r="WG28" s="170"/>
      <c r="WI28" s="170"/>
      <c r="WK28" s="170"/>
      <c r="WM28" s="170"/>
      <c r="WO28" s="170"/>
      <c r="WQ28" s="170"/>
      <c r="WS28" s="170"/>
      <c r="WU28" s="170"/>
      <c r="WW28" s="170"/>
      <c r="WY28" s="170"/>
      <c r="XA28" s="170"/>
      <c r="XC28" s="170"/>
      <c r="XE28" s="170"/>
      <c r="XG28" s="170"/>
      <c r="XI28" s="170"/>
      <c r="XK28" s="170"/>
      <c r="XM28" s="170"/>
      <c r="XO28" s="170"/>
      <c r="XQ28" s="170"/>
      <c r="XS28" s="170"/>
      <c r="XU28" s="170"/>
      <c r="XW28" s="170"/>
      <c r="XY28" s="170"/>
      <c r="YA28" s="170"/>
      <c r="YC28" s="170"/>
      <c r="YE28" s="170"/>
      <c r="YG28" s="170"/>
      <c r="YI28" s="170"/>
      <c r="YK28" s="170"/>
      <c r="YM28" s="170"/>
      <c r="YO28" s="170"/>
      <c r="YQ28" s="170"/>
      <c r="YS28" s="170"/>
      <c r="YU28" s="170"/>
      <c r="YW28" s="170"/>
      <c r="YY28" s="170"/>
      <c r="ZA28" s="170"/>
      <c r="ZC28" s="170"/>
      <c r="ZE28" s="170"/>
      <c r="ZG28" s="170"/>
      <c r="ZI28" s="170"/>
      <c r="ZK28" s="170"/>
      <c r="ZM28" s="170"/>
      <c r="ZO28" s="170"/>
      <c r="ZQ28" s="170"/>
      <c r="ZS28" s="170"/>
      <c r="ZU28" s="170"/>
      <c r="ZW28" s="170"/>
      <c r="ZY28" s="170"/>
      <c r="AAA28" s="170"/>
      <c r="AAC28" s="170"/>
      <c r="AAE28" s="170"/>
      <c r="AAG28" s="170"/>
      <c r="AAI28" s="170"/>
      <c r="AAK28" s="170"/>
      <c r="AAM28" s="170"/>
      <c r="AAO28" s="170"/>
      <c r="AAQ28" s="170"/>
      <c r="AAS28" s="170"/>
      <c r="AAU28" s="170"/>
      <c r="AAW28" s="170"/>
      <c r="AAY28" s="170"/>
      <c r="ABA28" s="170"/>
      <c r="ABC28" s="170"/>
      <c r="ABE28" s="170"/>
      <c r="ABG28" s="170"/>
      <c r="ABI28" s="170"/>
      <c r="ABK28" s="170"/>
      <c r="ABM28" s="170"/>
      <c r="ABO28" s="170"/>
      <c r="ABQ28" s="170"/>
      <c r="ABS28" s="170"/>
      <c r="ABU28" s="170"/>
      <c r="ABW28" s="170"/>
      <c r="ABY28" s="170"/>
      <c r="ACA28" s="170"/>
      <c r="ACC28" s="170"/>
      <c r="ACE28" s="170"/>
      <c r="ACG28" s="170"/>
      <c r="ACI28" s="170"/>
      <c r="ACK28" s="170"/>
      <c r="ACM28" s="170"/>
      <c r="ACO28" s="170"/>
      <c r="ACQ28" s="170"/>
      <c r="ACS28" s="170"/>
      <c r="ACU28" s="170"/>
      <c r="ACW28" s="170"/>
      <c r="ACY28" s="170"/>
      <c r="ADA28" s="170"/>
      <c r="ADC28" s="170"/>
      <c r="ADE28" s="170"/>
      <c r="ADG28" s="170"/>
      <c r="ADI28" s="170"/>
      <c r="ADK28" s="170"/>
      <c r="ADM28" s="170"/>
      <c r="ADO28" s="170"/>
      <c r="ADQ28" s="170"/>
      <c r="ADS28" s="170"/>
      <c r="ADU28" s="170"/>
      <c r="ADW28" s="170"/>
      <c r="ADY28" s="170"/>
      <c r="AEA28" s="170"/>
      <c r="AEC28" s="170"/>
      <c r="AEE28" s="170"/>
      <c r="AEG28" s="170"/>
      <c r="AEI28" s="170"/>
      <c r="AEK28" s="170"/>
      <c r="AEM28" s="170"/>
      <c r="AEO28" s="170"/>
      <c r="AEQ28" s="170"/>
      <c r="AES28" s="170"/>
      <c r="AEU28" s="170"/>
      <c r="AEW28" s="170"/>
      <c r="AEY28" s="170"/>
      <c r="AFA28" s="170"/>
      <c r="AFC28" s="170"/>
      <c r="AFE28" s="170"/>
      <c r="AFG28" s="170"/>
      <c r="AFI28" s="170"/>
      <c r="AFK28" s="170"/>
      <c r="AFM28" s="170"/>
      <c r="AFO28" s="170"/>
      <c r="AFQ28" s="170"/>
      <c r="AFS28" s="170"/>
      <c r="AFU28" s="170"/>
      <c r="AFW28" s="170"/>
      <c r="AFY28" s="170"/>
      <c r="AGA28" s="170"/>
      <c r="AGC28" s="170"/>
      <c r="AGE28" s="170"/>
      <c r="AGG28" s="170"/>
      <c r="AGI28" s="170"/>
      <c r="AGK28" s="170"/>
      <c r="AGM28" s="170"/>
      <c r="AGO28" s="170"/>
      <c r="AGQ28" s="170"/>
      <c r="AGS28" s="170"/>
      <c r="AGU28" s="170"/>
      <c r="AGW28" s="170"/>
      <c r="AGY28" s="170"/>
      <c r="AHA28" s="170"/>
      <c r="AHC28" s="170"/>
      <c r="AHE28" s="170"/>
      <c r="AHG28" s="170"/>
      <c r="AHI28" s="170"/>
      <c r="AHK28" s="170"/>
      <c r="AHM28" s="170"/>
      <c r="AHO28" s="170"/>
      <c r="AHQ28" s="170"/>
      <c r="AHS28" s="170"/>
      <c r="AHU28" s="170"/>
      <c r="AHW28" s="170"/>
      <c r="AHY28" s="170"/>
      <c r="AIA28" s="170"/>
      <c r="AIC28" s="170"/>
      <c r="AIE28" s="170"/>
      <c r="AIG28" s="170"/>
      <c r="AII28" s="170"/>
      <c r="AIK28" s="170"/>
      <c r="AIM28" s="170"/>
      <c r="AIO28" s="170"/>
      <c r="AIQ28" s="170"/>
      <c r="AIS28" s="170"/>
      <c r="AIU28" s="170"/>
      <c r="AIW28" s="170"/>
      <c r="AIY28" s="170"/>
      <c r="AJA28" s="170"/>
      <c r="AJC28" s="170"/>
      <c r="AJE28" s="170"/>
      <c r="AJG28" s="170"/>
      <c r="AJI28" s="170"/>
      <c r="AJK28" s="170"/>
      <c r="AJM28" s="170"/>
      <c r="AJO28" s="170"/>
      <c r="AJQ28" s="170"/>
      <c r="AJS28" s="170"/>
      <c r="AJU28" s="170"/>
      <c r="AJW28" s="170"/>
      <c r="AJY28" s="170"/>
      <c r="AKA28" s="170"/>
      <c r="AKC28" s="170"/>
      <c r="AKE28" s="170"/>
      <c r="AKG28" s="170"/>
      <c r="AKI28" s="170"/>
      <c r="AKK28" s="170"/>
      <c r="AKM28" s="170"/>
      <c r="AKO28" s="170"/>
      <c r="AKQ28" s="170"/>
      <c r="AKS28" s="170"/>
      <c r="AKU28" s="170"/>
      <c r="AKW28" s="170"/>
      <c r="AKY28" s="170"/>
      <c r="ALA28" s="170"/>
      <c r="ALC28" s="170"/>
      <c r="ALE28" s="170"/>
      <c r="ALG28" s="170"/>
      <c r="ALI28" s="170"/>
      <c r="ALK28" s="170"/>
      <c r="ALM28" s="170"/>
      <c r="ALO28" s="170"/>
      <c r="ALQ28" s="170"/>
      <c r="ALS28" s="170"/>
      <c r="ALU28" s="170"/>
      <c r="ALW28" s="170"/>
      <c r="ALY28" s="170"/>
      <c r="AMA28" s="170"/>
      <c r="AMC28" s="170"/>
      <c r="AME28" s="170"/>
      <c r="AMG28" s="170"/>
      <c r="AMI28" s="170"/>
      <c r="AMK28" s="170"/>
      <c r="AMM28" s="170"/>
      <c r="AMO28" s="170"/>
      <c r="AMQ28" s="170"/>
      <c r="AMS28" s="170"/>
      <c r="AMU28" s="170"/>
      <c r="AMW28" s="170"/>
      <c r="AMY28" s="170"/>
      <c r="ANA28" s="170"/>
      <c r="ANC28" s="170"/>
      <c r="ANE28" s="170"/>
      <c r="ANG28" s="170"/>
      <c r="ANI28" s="170"/>
      <c r="ANK28" s="170"/>
      <c r="ANM28" s="170"/>
      <c r="ANO28" s="170"/>
      <c r="ANQ28" s="170"/>
      <c r="ANS28" s="170"/>
      <c r="ANU28" s="170"/>
      <c r="ANW28" s="170"/>
      <c r="ANY28" s="170"/>
      <c r="AOA28" s="170"/>
      <c r="AOC28" s="170"/>
      <c r="AOE28" s="170"/>
      <c r="AOG28" s="170"/>
      <c r="AOI28" s="170"/>
      <c r="AOK28" s="170"/>
      <c r="AOM28" s="170"/>
      <c r="AOO28" s="170"/>
      <c r="AOQ28" s="170"/>
      <c r="AOS28" s="170"/>
      <c r="AOU28" s="170"/>
      <c r="AOW28" s="170"/>
      <c r="AOY28" s="170"/>
      <c r="APA28" s="170"/>
      <c r="APC28" s="170"/>
      <c r="APE28" s="170"/>
      <c r="APG28" s="170"/>
      <c r="API28" s="170"/>
      <c r="APK28" s="170"/>
      <c r="APM28" s="170"/>
      <c r="APO28" s="170"/>
      <c r="APQ28" s="170"/>
      <c r="APS28" s="170"/>
      <c r="APU28" s="170"/>
      <c r="APW28" s="170"/>
      <c r="APY28" s="170"/>
      <c r="AQA28" s="170"/>
      <c r="AQC28" s="170"/>
      <c r="AQE28" s="170"/>
      <c r="AQG28" s="170"/>
      <c r="AQI28" s="170"/>
      <c r="AQK28" s="170"/>
      <c r="AQM28" s="170"/>
      <c r="AQO28" s="170"/>
      <c r="AQQ28" s="170"/>
      <c r="AQS28" s="170"/>
      <c r="AQU28" s="170"/>
      <c r="AQW28" s="170"/>
      <c r="AQY28" s="170"/>
      <c r="ARA28" s="170"/>
      <c r="ARC28" s="170"/>
      <c r="ARE28" s="170"/>
      <c r="ARG28" s="170"/>
      <c r="ARI28" s="170"/>
      <c r="ARK28" s="170"/>
      <c r="ARM28" s="170"/>
      <c r="ARO28" s="170"/>
      <c r="ARQ28" s="170"/>
      <c r="ARS28" s="170"/>
      <c r="ARU28" s="170"/>
      <c r="ARW28" s="170"/>
      <c r="ARY28" s="170"/>
      <c r="ASA28" s="170"/>
      <c r="ASC28" s="170"/>
      <c r="ASE28" s="170"/>
      <c r="ASG28" s="170"/>
      <c r="ASI28" s="170"/>
      <c r="ASK28" s="170"/>
      <c r="ASM28" s="170"/>
      <c r="ASO28" s="170"/>
      <c r="ASQ28" s="170"/>
      <c r="ASS28" s="170"/>
      <c r="ASU28" s="170"/>
      <c r="ASW28" s="170"/>
      <c r="ASY28" s="170"/>
      <c r="ATA28" s="170"/>
      <c r="ATC28" s="170"/>
      <c r="ATE28" s="170"/>
      <c r="ATG28" s="170"/>
      <c r="ATI28" s="170"/>
      <c r="ATK28" s="170"/>
      <c r="ATM28" s="170"/>
      <c r="ATO28" s="170"/>
      <c r="ATQ28" s="170"/>
      <c r="ATS28" s="170"/>
      <c r="ATU28" s="170"/>
      <c r="ATW28" s="170"/>
      <c r="ATY28" s="170"/>
      <c r="AUA28" s="170"/>
      <c r="AUC28" s="170"/>
      <c r="AUE28" s="170"/>
      <c r="AUG28" s="170"/>
      <c r="AUI28" s="170"/>
      <c r="AUK28" s="170"/>
      <c r="AUM28" s="170"/>
      <c r="AUO28" s="170"/>
      <c r="AUQ28" s="170"/>
      <c r="AUS28" s="170"/>
      <c r="AUU28" s="170"/>
      <c r="AUW28" s="170"/>
      <c r="AUY28" s="170"/>
      <c r="AVA28" s="170"/>
      <c r="AVC28" s="170"/>
      <c r="AVE28" s="170"/>
      <c r="AVG28" s="170"/>
      <c r="AVI28" s="170"/>
      <c r="AVK28" s="170"/>
      <c r="AVM28" s="170"/>
      <c r="AVO28" s="170"/>
      <c r="AVQ28" s="170"/>
      <c r="AVS28" s="170"/>
      <c r="AVU28" s="170"/>
      <c r="AVW28" s="170"/>
      <c r="AVY28" s="170"/>
      <c r="AWA28" s="170"/>
      <c r="AWC28" s="170"/>
      <c r="AWE28" s="170"/>
      <c r="AWG28" s="170"/>
      <c r="AWI28" s="170"/>
      <c r="AWK28" s="170"/>
      <c r="AWM28" s="170"/>
      <c r="AWO28" s="170"/>
      <c r="AWQ28" s="170"/>
      <c r="AWS28" s="170"/>
      <c r="AWU28" s="170"/>
      <c r="AWW28" s="170"/>
      <c r="AWY28" s="170"/>
      <c r="AXA28" s="170"/>
      <c r="AXC28" s="170"/>
      <c r="AXE28" s="170"/>
      <c r="AXG28" s="170"/>
      <c r="AXI28" s="170"/>
      <c r="AXK28" s="170"/>
      <c r="AXM28" s="170"/>
      <c r="AXO28" s="170"/>
      <c r="AXQ28" s="170"/>
      <c r="AXS28" s="170"/>
      <c r="AXU28" s="170"/>
      <c r="AXW28" s="170"/>
      <c r="AXY28" s="170"/>
      <c r="AYA28" s="170"/>
      <c r="AYC28" s="170"/>
      <c r="AYE28" s="170"/>
      <c r="AYG28" s="170"/>
      <c r="AYI28" s="170"/>
      <c r="AYK28" s="170"/>
      <c r="AYM28" s="170"/>
      <c r="AYO28" s="170"/>
      <c r="AYQ28" s="170"/>
      <c r="AYS28" s="170"/>
      <c r="AYU28" s="170"/>
      <c r="AYW28" s="170"/>
      <c r="AYY28" s="170"/>
      <c r="AZA28" s="170"/>
      <c r="AZC28" s="170"/>
      <c r="AZE28" s="170"/>
      <c r="AZG28" s="170"/>
      <c r="AZI28" s="170"/>
      <c r="AZK28" s="170"/>
      <c r="AZM28" s="170"/>
      <c r="AZO28" s="170"/>
      <c r="AZQ28" s="170"/>
      <c r="AZS28" s="170"/>
      <c r="AZU28" s="170"/>
      <c r="AZW28" s="170"/>
      <c r="AZY28" s="170"/>
      <c r="BAA28" s="170"/>
      <c r="BAC28" s="170"/>
      <c r="BAE28" s="170"/>
      <c r="BAG28" s="170"/>
      <c r="BAI28" s="170"/>
      <c r="BAK28" s="170"/>
      <c r="BAM28" s="170"/>
      <c r="BAO28" s="170"/>
      <c r="BAQ28" s="170"/>
      <c r="BAS28" s="170"/>
      <c r="BAU28" s="170"/>
      <c r="BAW28" s="170"/>
      <c r="BAY28" s="170"/>
      <c r="BBA28" s="170"/>
      <c r="BBC28" s="170"/>
      <c r="BBE28" s="170"/>
      <c r="BBG28" s="170"/>
      <c r="BBI28" s="170"/>
      <c r="BBK28" s="170"/>
      <c r="BBM28" s="170"/>
      <c r="BBO28" s="170"/>
      <c r="BBQ28" s="170"/>
      <c r="BBS28" s="170"/>
      <c r="BBU28" s="170"/>
      <c r="BBW28" s="170"/>
      <c r="BBY28" s="170"/>
      <c r="BCA28" s="170"/>
      <c r="BCC28" s="170"/>
      <c r="BCE28" s="170"/>
      <c r="BCG28" s="170"/>
      <c r="BCI28" s="170"/>
      <c r="BCK28" s="170"/>
      <c r="BCM28" s="170"/>
      <c r="BCO28" s="170"/>
      <c r="BCQ28" s="170"/>
      <c r="BCS28" s="170"/>
      <c r="BCU28" s="170"/>
      <c r="BCW28" s="170"/>
      <c r="BCY28" s="170"/>
      <c r="BDA28" s="170"/>
      <c r="BDC28" s="170"/>
      <c r="BDE28" s="170"/>
      <c r="BDG28" s="170"/>
      <c r="BDI28" s="170"/>
      <c r="BDK28" s="170"/>
      <c r="BDM28" s="170"/>
      <c r="BDO28" s="170"/>
      <c r="BDQ28" s="170"/>
      <c r="BDS28" s="170"/>
      <c r="BDU28" s="170"/>
      <c r="BDW28" s="170"/>
      <c r="BDY28" s="170"/>
      <c r="BEA28" s="170"/>
      <c r="BEC28" s="170"/>
      <c r="BEE28" s="170"/>
      <c r="BEG28" s="170"/>
      <c r="BEI28" s="170"/>
      <c r="BEK28" s="170"/>
      <c r="BEM28" s="170"/>
      <c r="BEO28" s="170"/>
      <c r="BEQ28" s="170"/>
      <c r="BES28" s="170"/>
      <c r="BEU28" s="170"/>
      <c r="BEW28" s="170"/>
      <c r="BEY28" s="170"/>
      <c r="BFA28" s="170"/>
      <c r="BFC28" s="170"/>
      <c r="BFE28" s="170"/>
      <c r="BFG28" s="170"/>
      <c r="BFI28" s="170"/>
      <c r="BFK28" s="170"/>
      <c r="BFM28" s="170"/>
      <c r="BFO28" s="170"/>
      <c r="BFQ28" s="170"/>
      <c r="BFS28" s="170"/>
      <c r="BFU28" s="170"/>
      <c r="BFW28" s="170"/>
      <c r="BFY28" s="170"/>
      <c r="BGA28" s="170"/>
      <c r="BGC28" s="170"/>
      <c r="BGE28" s="170"/>
      <c r="BGG28" s="170"/>
      <c r="BGI28" s="170"/>
      <c r="BGK28" s="170"/>
      <c r="BGM28" s="170"/>
      <c r="BGO28" s="170"/>
      <c r="BGQ28" s="170"/>
      <c r="BGS28" s="170"/>
      <c r="BGU28" s="170"/>
      <c r="BGW28" s="170"/>
      <c r="BGY28" s="170"/>
      <c r="BHA28" s="170"/>
      <c r="BHC28" s="170"/>
      <c r="BHE28" s="170"/>
      <c r="BHG28" s="170"/>
      <c r="BHI28" s="170"/>
      <c r="BHK28" s="170"/>
      <c r="BHM28" s="170"/>
      <c r="BHO28" s="170"/>
      <c r="BHQ28" s="170"/>
      <c r="BHS28" s="170"/>
      <c r="BHU28" s="170"/>
      <c r="BHW28" s="170"/>
      <c r="BHY28" s="170"/>
      <c r="BIA28" s="170"/>
      <c r="BIC28" s="170"/>
      <c r="BIE28" s="170"/>
      <c r="BIG28" s="170"/>
      <c r="BII28" s="170"/>
      <c r="BIK28" s="170"/>
      <c r="BIM28" s="170"/>
      <c r="BIO28" s="170"/>
      <c r="BIQ28" s="170"/>
      <c r="BIS28" s="170"/>
      <c r="BIU28" s="170"/>
      <c r="BIW28" s="170"/>
      <c r="BIY28" s="170"/>
      <c r="BJA28" s="170"/>
      <c r="BJC28" s="170"/>
      <c r="BJE28" s="170"/>
      <c r="BJG28" s="170"/>
      <c r="BJI28" s="170"/>
      <c r="BJK28" s="170"/>
      <c r="BJM28" s="170"/>
      <c r="BJO28" s="170"/>
      <c r="BJQ28" s="170"/>
      <c r="BJS28" s="170"/>
      <c r="BJU28" s="170"/>
      <c r="BJW28" s="170"/>
      <c r="BJY28" s="170"/>
      <c r="BKA28" s="170"/>
      <c r="BKC28" s="170"/>
      <c r="BKE28" s="170"/>
      <c r="BKG28" s="170"/>
      <c r="BKI28" s="170"/>
      <c r="BKK28" s="170"/>
      <c r="BKM28" s="170"/>
      <c r="BKO28" s="170"/>
      <c r="BKQ28" s="170"/>
      <c r="BKS28" s="170"/>
      <c r="BKU28" s="170"/>
      <c r="BKW28" s="170"/>
      <c r="BKY28" s="170"/>
      <c r="BLA28" s="170"/>
      <c r="BLC28" s="170"/>
      <c r="BLE28" s="170"/>
      <c r="BLG28" s="170"/>
      <c r="BLI28" s="170"/>
      <c r="BLK28" s="170"/>
      <c r="BLM28" s="170"/>
      <c r="BLO28" s="170"/>
      <c r="BLQ28" s="170"/>
      <c r="BLS28" s="170"/>
      <c r="BLU28" s="170"/>
      <c r="BLW28" s="170"/>
      <c r="BLY28" s="170"/>
      <c r="BMA28" s="170"/>
      <c r="BMC28" s="170"/>
      <c r="BME28" s="170"/>
      <c r="BMG28" s="170"/>
      <c r="BMI28" s="170"/>
      <c r="BMK28" s="170"/>
      <c r="BMM28" s="170"/>
      <c r="BMO28" s="170"/>
      <c r="BMQ28" s="170"/>
      <c r="BMS28" s="170"/>
      <c r="BMU28" s="170"/>
      <c r="BMW28" s="170"/>
      <c r="BMY28" s="170"/>
      <c r="BNA28" s="170"/>
      <c r="BNC28" s="170"/>
      <c r="BNE28" s="170"/>
      <c r="BNG28" s="170"/>
      <c r="BNI28" s="170"/>
      <c r="BNK28" s="170"/>
      <c r="BNM28" s="170"/>
      <c r="BNO28" s="170"/>
      <c r="BNQ28" s="170"/>
      <c r="BNS28" s="170"/>
      <c r="BNU28" s="170"/>
      <c r="BNW28" s="170"/>
      <c r="BNY28" s="170"/>
      <c r="BOA28" s="170"/>
      <c r="BOC28" s="170"/>
      <c r="BOE28" s="170"/>
      <c r="BOG28" s="170"/>
      <c r="BOI28" s="170"/>
      <c r="BOK28" s="170"/>
      <c r="BOM28" s="170"/>
      <c r="BOO28" s="170"/>
      <c r="BOQ28" s="170"/>
      <c r="BOS28" s="170"/>
      <c r="BOU28" s="170"/>
      <c r="BOW28" s="170"/>
      <c r="BOY28" s="170"/>
      <c r="BPA28" s="170"/>
      <c r="BPC28" s="170"/>
      <c r="BPE28" s="170"/>
      <c r="BPG28" s="170"/>
      <c r="BPI28" s="170"/>
      <c r="BPK28" s="170"/>
      <c r="BPM28" s="170"/>
      <c r="BPO28" s="170"/>
      <c r="BPQ28" s="170"/>
      <c r="BPS28" s="170"/>
      <c r="BPU28" s="170"/>
      <c r="BPW28" s="170"/>
      <c r="BPY28" s="170"/>
      <c r="BQA28" s="170"/>
      <c r="BQC28" s="170"/>
      <c r="BQE28" s="170"/>
      <c r="BQG28" s="170"/>
      <c r="BQI28" s="170"/>
      <c r="BQK28" s="170"/>
      <c r="BQM28" s="170"/>
      <c r="BQO28" s="170"/>
      <c r="BQQ28" s="170"/>
      <c r="BQS28" s="170"/>
      <c r="BQU28" s="170"/>
      <c r="BQW28" s="170"/>
      <c r="BQY28" s="170"/>
      <c r="BRA28" s="170"/>
      <c r="BRC28" s="170"/>
      <c r="BRE28" s="170"/>
      <c r="BRG28" s="170"/>
      <c r="BRI28" s="170"/>
      <c r="BRK28" s="170"/>
      <c r="BRM28" s="170"/>
      <c r="BRO28" s="170"/>
      <c r="BRQ28" s="170"/>
      <c r="BRS28" s="170"/>
      <c r="BRU28" s="170"/>
      <c r="BRW28" s="170"/>
      <c r="BRY28" s="170"/>
      <c r="BSA28" s="170"/>
      <c r="BSC28" s="170"/>
      <c r="BSE28" s="170"/>
      <c r="BSG28" s="170"/>
      <c r="BSI28" s="170"/>
      <c r="BSK28" s="170"/>
      <c r="BSM28" s="170"/>
      <c r="BSO28" s="170"/>
      <c r="BSQ28" s="170"/>
      <c r="BSS28" s="170"/>
      <c r="BSU28" s="170"/>
      <c r="BSW28" s="170"/>
      <c r="BSY28" s="170"/>
      <c r="BTA28" s="170"/>
      <c r="BTC28" s="170"/>
      <c r="BTE28" s="170"/>
      <c r="BTG28" s="170"/>
      <c r="BTI28" s="170"/>
      <c r="BTK28" s="170"/>
      <c r="BTM28" s="170"/>
      <c r="BTO28" s="170"/>
      <c r="BTQ28" s="170"/>
      <c r="BTS28" s="170"/>
      <c r="BTU28" s="170"/>
      <c r="BTW28" s="170"/>
      <c r="BTY28" s="170"/>
      <c r="BUA28" s="170"/>
      <c r="BUC28" s="170"/>
      <c r="BUE28" s="170"/>
      <c r="BUG28" s="170"/>
      <c r="BUI28" s="170"/>
      <c r="BUK28" s="170"/>
      <c r="BUM28" s="170"/>
      <c r="BUO28" s="170"/>
      <c r="BUQ28" s="170"/>
      <c r="BUS28" s="170"/>
      <c r="BUU28" s="170"/>
      <c r="BUW28" s="170"/>
      <c r="BUY28" s="170"/>
      <c r="BVA28" s="170"/>
      <c r="BVC28" s="170"/>
      <c r="BVE28" s="170"/>
      <c r="BVG28" s="170"/>
      <c r="BVI28" s="170"/>
      <c r="BVK28" s="170"/>
      <c r="BVM28" s="170"/>
      <c r="BVO28" s="170"/>
      <c r="BVQ28" s="170"/>
      <c r="BVS28" s="170"/>
      <c r="BVU28" s="170"/>
      <c r="BVW28" s="170"/>
      <c r="BVY28" s="170"/>
      <c r="BWA28" s="170"/>
      <c r="BWC28" s="170"/>
      <c r="BWE28" s="170"/>
      <c r="BWG28" s="170"/>
      <c r="BWI28" s="170"/>
      <c r="BWK28" s="170"/>
      <c r="BWM28" s="170"/>
      <c r="BWO28" s="170"/>
      <c r="BWQ28" s="170"/>
      <c r="BWS28" s="170"/>
      <c r="BWU28" s="170"/>
      <c r="BWW28" s="170"/>
      <c r="BWY28" s="170"/>
      <c r="BXA28" s="170"/>
      <c r="BXC28" s="170"/>
      <c r="BXE28" s="170"/>
      <c r="BXG28" s="170"/>
      <c r="BXI28" s="170"/>
      <c r="BXK28" s="170"/>
      <c r="BXM28" s="170"/>
      <c r="BXO28" s="170"/>
      <c r="BXQ28" s="170"/>
      <c r="BXS28" s="170"/>
      <c r="BXU28" s="170"/>
      <c r="BXW28" s="170"/>
      <c r="BXY28" s="170"/>
      <c r="BYA28" s="170"/>
      <c r="BYC28" s="170"/>
      <c r="BYE28" s="170"/>
      <c r="BYG28" s="170"/>
      <c r="BYI28" s="170"/>
      <c r="BYK28" s="170"/>
      <c r="BYM28" s="170"/>
      <c r="BYO28" s="170"/>
      <c r="BYQ28" s="170"/>
      <c r="BYS28" s="170"/>
      <c r="BYU28" s="170"/>
      <c r="BYW28" s="170"/>
      <c r="BYY28" s="170"/>
      <c r="BZA28" s="170"/>
      <c r="BZC28" s="170"/>
      <c r="BZE28" s="170"/>
      <c r="BZG28" s="170"/>
      <c r="BZI28" s="170"/>
      <c r="BZK28" s="170"/>
      <c r="BZM28" s="170"/>
      <c r="BZO28" s="170"/>
      <c r="BZQ28" s="170"/>
      <c r="BZS28" s="170"/>
      <c r="BZU28" s="170"/>
      <c r="BZW28" s="170"/>
      <c r="BZY28" s="170"/>
      <c r="CAA28" s="170"/>
      <c r="CAC28" s="170"/>
      <c r="CAE28" s="170"/>
      <c r="CAG28" s="170"/>
      <c r="CAI28" s="170"/>
      <c r="CAK28" s="170"/>
      <c r="CAM28" s="170"/>
      <c r="CAO28" s="170"/>
      <c r="CAQ28" s="170"/>
      <c r="CAS28" s="170"/>
      <c r="CAU28" s="170"/>
      <c r="CAW28" s="170"/>
      <c r="CAY28" s="170"/>
      <c r="CBA28" s="170"/>
      <c r="CBC28" s="170"/>
      <c r="CBE28" s="170"/>
      <c r="CBG28" s="170"/>
      <c r="CBI28" s="170"/>
      <c r="CBK28" s="170"/>
      <c r="CBM28" s="170"/>
      <c r="CBO28" s="170"/>
      <c r="CBQ28" s="170"/>
      <c r="CBS28" s="170"/>
      <c r="CBU28" s="170"/>
      <c r="CBW28" s="170"/>
      <c r="CBY28" s="170"/>
      <c r="CCA28" s="170"/>
      <c r="CCC28" s="170"/>
      <c r="CCE28" s="170"/>
      <c r="CCG28" s="170"/>
      <c r="CCI28" s="170"/>
      <c r="CCK28" s="170"/>
      <c r="CCM28" s="170"/>
      <c r="CCO28" s="170"/>
      <c r="CCQ28" s="170"/>
      <c r="CCS28" s="170"/>
      <c r="CCU28" s="170"/>
      <c r="CCW28" s="170"/>
      <c r="CCY28" s="170"/>
      <c r="CDA28" s="170"/>
      <c r="CDC28" s="170"/>
      <c r="CDE28" s="170"/>
      <c r="CDG28" s="170"/>
      <c r="CDI28" s="170"/>
      <c r="CDK28" s="170"/>
      <c r="CDM28" s="170"/>
      <c r="CDO28" s="170"/>
      <c r="CDQ28" s="170"/>
      <c r="CDS28" s="170"/>
      <c r="CDU28" s="170"/>
      <c r="CDW28" s="170"/>
      <c r="CDY28" s="170"/>
      <c r="CEA28" s="170"/>
      <c r="CEC28" s="170"/>
      <c r="CEE28" s="170"/>
      <c r="CEG28" s="170"/>
      <c r="CEI28" s="170"/>
      <c r="CEK28" s="170"/>
      <c r="CEM28" s="170"/>
      <c r="CEO28" s="170"/>
      <c r="CEQ28" s="170"/>
      <c r="CES28" s="170"/>
      <c r="CEU28" s="170"/>
      <c r="CEW28" s="170"/>
      <c r="CEY28" s="170"/>
      <c r="CFA28" s="170"/>
      <c r="CFC28" s="170"/>
      <c r="CFE28" s="170"/>
      <c r="CFG28" s="170"/>
      <c r="CFI28" s="170"/>
      <c r="CFK28" s="170"/>
      <c r="CFM28" s="170"/>
      <c r="CFO28" s="170"/>
      <c r="CFQ28" s="170"/>
      <c r="CFS28" s="170"/>
      <c r="CFU28" s="170"/>
      <c r="CFW28" s="170"/>
      <c r="CFY28" s="170"/>
      <c r="CGA28" s="170"/>
      <c r="CGC28" s="170"/>
      <c r="CGE28" s="170"/>
      <c r="CGG28" s="170"/>
      <c r="CGI28" s="170"/>
      <c r="CGK28" s="170"/>
      <c r="CGM28" s="170"/>
      <c r="CGO28" s="170"/>
      <c r="CGQ28" s="170"/>
      <c r="CGS28" s="170"/>
      <c r="CGU28" s="170"/>
      <c r="CGW28" s="170"/>
      <c r="CGY28" s="170"/>
      <c r="CHA28" s="170"/>
      <c r="CHC28" s="170"/>
      <c r="CHE28" s="170"/>
      <c r="CHG28" s="170"/>
      <c r="CHI28" s="170"/>
      <c r="CHK28" s="170"/>
      <c r="CHM28" s="170"/>
      <c r="CHO28" s="170"/>
      <c r="CHQ28" s="170"/>
      <c r="CHS28" s="170"/>
      <c r="CHU28" s="170"/>
      <c r="CHW28" s="170"/>
      <c r="CHY28" s="170"/>
      <c r="CIA28" s="170"/>
      <c r="CIC28" s="170"/>
      <c r="CIE28" s="170"/>
      <c r="CIG28" s="170"/>
      <c r="CII28" s="170"/>
      <c r="CIK28" s="170"/>
      <c r="CIM28" s="170"/>
      <c r="CIO28" s="170"/>
      <c r="CIQ28" s="170"/>
      <c r="CIS28" s="170"/>
      <c r="CIU28" s="170"/>
      <c r="CIW28" s="170"/>
      <c r="CIY28" s="170"/>
      <c r="CJA28" s="170"/>
      <c r="CJC28" s="170"/>
      <c r="CJE28" s="170"/>
      <c r="CJG28" s="170"/>
      <c r="CJI28" s="170"/>
      <c r="CJK28" s="170"/>
      <c r="CJM28" s="170"/>
      <c r="CJO28" s="170"/>
      <c r="CJQ28" s="170"/>
      <c r="CJS28" s="170"/>
      <c r="CJU28" s="170"/>
      <c r="CJW28" s="170"/>
      <c r="CJY28" s="170"/>
      <c r="CKA28" s="170"/>
      <c r="CKC28" s="170"/>
      <c r="CKE28" s="170"/>
      <c r="CKG28" s="170"/>
      <c r="CKI28" s="170"/>
      <c r="CKK28" s="170"/>
      <c r="CKM28" s="170"/>
      <c r="CKO28" s="170"/>
      <c r="CKQ28" s="170"/>
      <c r="CKS28" s="170"/>
      <c r="CKU28" s="170"/>
      <c r="CKW28" s="170"/>
      <c r="CKY28" s="170"/>
      <c r="CLA28" s="170"/>
      <c r="CLC28" s="170"/>
      <c r="CLE28" s="170"/>
      <c r="CLG28" s="170"/>
      <c r="CLI28" s="170"/>
      <c r="CLK28" s="170"/>
      <c r="CLM28" s="170"/>
      <c r="CLO28" s="170"/>
      <c r="CLQ28" s="170"/>
      <c r="CLS28" s="170"/>
      <c r="CLU28" s="170"/>
      <c r="CLW28" s="170"/>
      <c r="CLY28" s="170"/>
      <c r="CMA28" s="170"/>
      <c r="CMC28" s="170"/>
      <c r="CME28" s="170"/>
      <c r="CMG28" s="170"/>
      <c r="CMI28" s="170"/>
      <c r="CMK28" s="170"/>
      <c r="CMM28" s="170"/>
      <c r="CMO28" s="170"/>
      <c r="CMQ28" s="170"/>
      <c r="CMS28" s="170"/>
      <c r="CMU28" s="170"/>
      <c r="CMW28" s="170"/>
      <c r="CMY28" s="170"/>
      <c r="CNA28" s="170"/>
      <c r="CNC28" s="170"/>
      <c r="CNE28" s="170"/>
      <c r="CNG28" s="170"/>
      <c r="CNI28" s="170"/>
      <c r="CNK28" s="170"/>
      <c r="CNM28" s="170"/>
      <c r="CNO28" s="170"/>
      <c r="CNQ28" s="170"/>
      <c r="CNS28" s="170"/>
      <c r="CNU28" s="170"/>
      <c r="CNW28" s="170"/>
      <c r="CNY28" s="170"/>
      <c r="COA28" s="170"/>
      <c r="COC28" s="170"/>
      <c r="COE28" s="170"/>
      <c r="COG28" s="170"/>
      <c r="COI28" s="170"/>
      <c r="COK28" s="170"/>
      <c r="COM28" s="170"/>
      <c r="COO28" s="170"/>
      <c r="COQ28" s="170"/>
      <c r="COS28" s="170"/>
      <c r="COU28" s="170"/>
      <c r="COW28" s="170"/>
      <c r="COY28" s="170"/>
      <c r="CPA28" s="170"/>
      <c r="CPC28" s="170"/>
      <c r="CPE28" s="170"/>
      <c r="CPG28" s="170"/>
      <c r="CPI28" s="170"/>
      <c r="CPK28" s="170"/>
      <c r="CPM28" s="170"/>
      <c r="CPO28" s="170"/>
      <c r="CPQ28" s="170"/>
      <c r="CPS28" s="170"/>
      <c r="CPU28" s="170"/>
      <c r="CPW28" s="170"/>
      <c r="CPY28" s="170"/>
      <c r="CQA28" s="170"/>
      <c r="CQC28" s="170"/>
      <c r="CQE28" s="170"/>
      <c r="CQG28" s="170"/>
      <c r="CQI28" s="170"/>
      <c r="CQK28" s="170"/>
      <c r="CQM28" s="170"/>
      <c r="CQO28" s="170"/>
      <c r="CQQ28" s="170"/>
      <c r="CQS28" s="170"/>
      <c r="CQU28" s="170"/>
      <c r="CQW28" s="170"/>
      <c r="CQY28" s="170"/>
      <c r="CRA28" s="170"/>
      <c r="CRC28" s="170"/>
      <c r="CRE28" s="170"/>
      <c r="CRG28" s="170"/>
      <c r="CRI28" s="170"/>
      <c r="CRK28" s="170"/>
      <c r="CRM28" s="170"/>
      <c r="CRO28" s="170"/>
      <c r="CRQ28" s="170"/>
      <c r="CRS28" s="170"/>
      <c r="CRU28" s="170"/>
      <c r="CRW28" s="170"/>
      <c r="CRY28" s="170"/>
      <c r="CSA28" s="170"/>
      <c r="CSC28" s="170"/>
      <c r="CSE28" s="170"/>
      <c r="CSG28" s="170"/>
      <c r="CSI28" s="170"/>
      <c r="CSK28" s="170"/>
      <c r="CSM28" s="170"/>
      <c r="CSO28" s="170"/>
      <c r="CSQ28" s="170"/>
      <c r="CSS28" s="170"/>
      <c r="CSU28" s="170"/>
      <c r="CSW28" s="170"/>
      <c r="CSY28" s="170"/>
      <c r="CTA28" s="170"/>
      <c r="CTC28" s="170"/>
      <c r="CTE28" s="170"/>
      <c r="CTG28" s="170"/>
      <c r="CTI28" s="170"/>
      <c r="CTK28" s="170"/>
      <c r="CTM28" s="170"/>
      <c r="CTO28" s="170"/>
      <c r="CTQ28" s="170"/>
      <c r="CTS28" s="170"/>
      <c r="CTU28" s="170"/>
      <c r="CTW28" s="170"/>
      <c r="CTY28" s="170"/>
      <c r="CUA28" s="170"/>
      <c r="CUC28" s="170"/>
      <c r="CUE28" s="170"/>
      <c r="CUG28" s="170"/>
      <c r="CUI28" s="170"/>
      <c r="CUK28" s="170"/>
      <c r="CUM28" s="170"/>
      <c r="CUO28" s="170"/>
      <c r="CUQ28" s="170"/>
      <c r="CUS28" s="170"/>
      <c r="CUU28" s="170"/>
      <c r="CUW28" s="170"/>
      <c r="CUY28" s="170"/>
      <c r="CVA28" s="170"/>
      <c r="CVC28" s="170"/>
      <c r="CVE28" s="170"/>
      <c r="CVG28" s="170"/>
      <c r="CVI28" s="170"/>
      <c r="CVK28" s="170"/>
      <c r="CVM28" s="170"/>
      <c r="CVO28" s="170"/>
      <c r="CVQ28" s="170"/>
      <c r="CVS28" s="170"/>
      <c r="CVU28" s="170"/>
      <c r="CVW28" s="170"/>
      <c r="CVY28" s="170"/>
      <c r="CWA28" s="170"/>
      <c r="CWC28" s="170"/>
      <c r="CWE28" s="170"/>
      <c r="CWG28" s="170"/>
      <c r="CWI28" s="170"/>
      <c r="CWK28" s="170"/>
      <c r="CWM28" s="170"/>
      <c r="CWO28" s="170"/>
      <c r="CWQ28" s="170"/>
      <c r="CWS28" s="170"/>
      <c r="CWU28" s="170"/>
      <c r="CWW28" s="170"/>
      <c r="CWY28" s="170"/>
      <c r="CXA28" s="170"/>
      <c r="CXC28" s="170"/>
      <c r="CXE28" s="170"/>
      <c r="CXG28" s="170"/>
      <c r="CXI28" s="170"/>
      <c r="CXK28" s="170"/>
      <c r="CXM28" s="170"/>
      <c r="CXO28" s="170"/>
      <c r="CXQ28" s="170"/>
      <c r="CXS28" s="170"/>
      <c r="CXU28" s="170"/>
      <c r="CXW28" s="170"/>
      <c r="CXY28" s="170"/>
      <c r="CYA28" s="170"/>
      <c r="CYC28" s="170"/>
      <c r="CYE28" s="170"/>
      <c r="CYG28" s="170"/>
      <c r="CYI28" s="170"/>
      <c r="CYK28" s="170"/>
      <c r="CYM28" s="170"/>
      <c r="CYO28" s="170"/>
      <c r="CYQ28" s="170"/>
      <c r="CYS28" s="170"/>
      <c r="CYU28" s="170"/>
      <c r="CYW28" s="170"/>
      <c r="CYY28" s="170"/>
      <c r="CZA28" s="170"/>
      <c r="CZC28" s="170"/>
      <c r="CZE28" s="170"/>
      <c r="CZG28" s="170"/>
      <c r="CZI28" s="170"/>
      <c r="CZK28" s="170"/>
      <c r="CZM28" s="170"/>
      <c r="CZO28" s="170"/>
      <c r="CZQ28" s="170"/>
      <c r="CZS28" s="170"/>
      <c r="CZU28" s="170"/>
      <c r="CZW28" s="170"/>
      <c r="CZY28" s="170"/>
      <c r="DAA28" s="170"/>
      <c r="DAC28" s="170"/>
      <c r="DAE28" s="170"/>
      <c r="DAG28" s="170"/>
      <c r="DAI28" s="170"/>
      <c r="DAK28" s="170"/>
      <c r="DAM28" s="170"/>
      <c r="DAO28" s="170"/>
      <c r="DAQ28" s="170"/>
      <c r="DAS28" s="170"/>
      <c r="DAU28" s="170"/>
      <c r="DAW28" s="170"/>
      <c r="DAY28" s="170"/>
      <c r="DBA28" s="170"/>
      <c r="DBC28" s="170"/>
      <c r="DBE28" s="170"/>
      <c r="DBG28" s="170"/>
      <c r="DBI28" s="170"/>
      <c r="DBK28" s="170"/>
      <c r="DBM28" s="170"/>
      <c r="DBO28" s="170"/>
      <c r="DBQ28" s="170"/>
      <c r="DBS28" s="170"/>
      <c r="DBU28" s="170"/>
      <c r="DBW28" s="170"/>
      <c r="DBY28" s="170"/>
      <c r="DCA28" s="170"/>
      <c r="DCC28" s="170"/>
      <c r="DCE28" s="170"/>
      <c r="DCG28" s="170"/>
      <c r="DCI28" s="170"/>
      <c r="DCK28" s="170"/>
      <c r="DCM28" s="170"/>
      <c r="DCO28" s="170"/>
      <c r="DCQ28" s="170"/>
      <c r="DCS28" s="170"/>
      <c r="DCU28" s="170"/>
      <c r="DCW28" s="170"/>
      <c r="DCY28" s="170"/>
      <c r="DDA28" s="170"/>
      <c r="DDC28" s="170"/>
      <c r="DDE28" s="170"/>
      <c r="DDG28" s="170"/>
      <c r="DDI28" s="170"/>
      <c r="DDK28" s="170"/>
      <c r="DDM28" s="170"/>
      <c r="DDO28" s="170"/>
      <c r="DDQ28" s="170"/>
      <c r="DDS28" s="170"/>
      <c r="DDU28" s="170"/>
      <c r="DDW28" s="170"/>
      <c r="DDY28" s="170"/>
      <c r="DEA28" s="170"/>
      <c r="DEC28" s="170"/>
      <c r="DEE28" s="170"/>
      <c r="DEG28" s="170"/>
      <c r="DEI28" s="170"/>
      <c r="DEK28" s="170"/>
      <c r="DEM28" s="170"/>
      <c r="DEO28" s="170"/>
      <c r="DEQ28" s="170"/>
      <c r="DES28" s="170"/>
      <c r="DEU28" s="170"/>
      <c r="DEW28" s="170"/>
      <c r="DEY28" s="170"/>
      <c r="DFA28" s="170"/>
      <c r="DFC28" s="170"/>
      <c r="DFE28" s="170"/>
      <c r="DFG28" s="170"/>
      <c r="DFI28" s="170"/>
      <c r="DFK28" s="170"/>
      <c r="DFM28" s="170"/>
      <c r="DFO28" s="170"/>
      <c r="DFQ28" s="170"/>
      <c r="DFS28" s="170"/>
      <c r="DFU28" s="170"/>
      <c r="DFW28" s="170"/>
      <c r="DFY28" s="170"/>
      <c r="DGA28" s="170"/>
      <c r="DGC28" s="170"/>
      <c r="DGE28" s="170"/>
      <c r="DGG28" s="170"/>
      <c r="DGI28" s="170"/>
      <c r="DGK28" s="170"/>
      <c r="DGM28" s="170"/>
      <c r="DGO28" s="170"/>
      <c r="DGQ28" s="170"/>
      <c r="DGS28" s="170"/>
      <c r="DGU28" s="170"/>
      <c r="DGW28" s="170"/>
      <c r="DGY28" s="170"/>
      <c r="DHA28" s="170"/>
      <c r="DHC28" s="170"/>
      <c r="DHE28" s="170"/>
      <c r="DHG28" s="170"/>
      <c r="DHI28" s="170"/>
      <c r="DHK28" s="170"/>
      <c r="DHM28" s="170"/>
      <c r="DHO28" s="170"/>
      <c r="DHQ28" s="170"/>
      <c r="DHS28" s="170"/>
      <c r="DHU28" s="170"/>
      <c r="DHW28" s="170"/>
      <c r="DHY28" s="170"/>
      <c r="DIA28" s="170"/>
      <c r="DIC28" s="170"/>
      <c r="DIE28" s="170"/>
      <c r="DIG28" s="170"/>
      <c r="DII28" s="170"/>
      <c r="DIK28" s="170"/>
      <c r="DIM28" s="170"/>
      <c r="DIO28" s="170"/>
      <c r="DIQ28" s="170"/>
      <c r="DIS28" s="170"/>
      <c r="DIU28" s="170"/>
      <c r="DIW28" s="170"/>
      <c r="DIY28" s="170"/>
      <c r="DJA28" s="170"/>
      <c r="DJC28" s="170"/>
      <c r="DJE28" s="170"/>
      <c r="DJG28" s="170"/>
      <c r="DJI28" s="170"/>
      <c r="DJK28" s="170"/>
      <c r="DJM28" s="170"/>
      <c r="DJO28" s="170"/>
      <c r="DJQ28" s="170"/>
      <c r="DJS28" s="170"/>
      <c r="DJU28" s="170"/>
      <c r="DJW28" s="170"/>
      <c r="DJY28" s="170"/>
      <c r="DKA28" s="170"/>
      <c r="DKC28" s="170"/>
      <c r="DKE28" s="170"/>
      <c r="DKG28" s="170"/>
      <c r="DKI28" s="170"/>
      <c r="DKK28" s="170"/>
      <c r="DKM28" s="170"/>
      <c r="DKO28" s="170"/>
      <c r="DKQ28" s="170"/>
      <c r="DKS28" s="170"/>
      <c r="DKU28" s="170"/>
      <c r="DKW28" s="170"/>
      <c r="DKY28" s="170"/>
      <c r="DLA28" s="170"/>
      <c r="DLC28" s="170"/>
      <c r="DLE28" s="170"/>
      <c r="DLG28" s="170"/>
      <c r="DLI28" s="170"/>
      <c r="DLK28" s="170"/>
      <c r="DLM28" s="170"/>
      <c r="DLO28" s="170"/>
      <c r="DLQ28" s="170"/>
      <c r="DLS28" s="170"/>
      <c r="DLU28" s="170"/>
      <c r="DLW28" s="170"/>
      <c r="DLY28" s="170"/>
      <c r="DMA28" s="170"/>
      <c r="DMC28" s="170"/>
      <c r="DME28" s="170"/>
      <c r="DMG28" s="170"/>
      <c r="DMI28" s="170"/>
      <c r="DMK28" s="170"/>
      <c r="DMM28" s="170"/>
      <c r="DMO28" s="170"/>
      <c r="DMQ28" s="170"/>
      <c r="DMS28" s="170"/>
      <c r="DMU28" s="170"/>
      <c r="DMW28" s="170"/>
      <c r="DMY28" s="170"/>
      <c r="DNA28" s="170"/>
      <c r="DNC28" s="170"/>
      <c r="DNE28" s="170"/>
      <c r="DNG28" s="170"/>
      <c r="DNI28" s="170"/>
      <c r="DNK28" s="170"/>
      <c r="DNM28" s="170"/>
      <c r="DNO28" s="170"/>
      <c r="DNQ28" s="170"/>
      <c r="DNS28" s="170"/>
      <c r="DNU28" s="170"/>
      <c r="DNW28" s="170"/>
      <c r="DNY28" s="170"/>
      <c r="DOA28" s="170"/>
      <c r="DOC28" s="170"/>
      <c r="DOE28" s="170"/>
      <c r="DOG28" s="170"/>
      <c r="DOI28" s="170"/>
      <c r="DOK28" s="170"/>
      <c r="DOM28" s="170"/>
      <c r="DOO28" s="170"/>
      <c r="DOQ28" s="170"/>
      <c r="DOS28" s="170"/>
      <c r="DOU28" s="170"/>
      <c r="DOW28" s="170"/>
      <c r="DOY28" s="170"/>
      <c r="DPA28" s="170"/>
      <c r="DPC28" s="170"/>
      <c r="DPE28" s="170"/>
      <c r="DPG28" s="170"/>
      <c r="DPI28" s="170"/>
      <c r="DPK28" s="170"/>
      <c r="DPM28" s="170"/>
      <c r="DPO28" s="170"/>
      <c r="DPQ28" s="170"/>
      <c r="DPS28" s="170"/>
      <c r="DPU28" s="170"/>
      <c r="DPW28" s="170"/>
      <c r="DPY28" s="170"/>
      <c r="DQA28" s="170"/>
      <c r="DQC28" s="170"/>
      <c r="DQE28" s="170"/>
      <c r="DQG28" s="170"/>
      <c r="DQI28" s="170"/>
      <c r="DQK28" s="170"/>
      <c r="DQM28" s="170"/>
      <c r="DQO28" s="170"/>
      <c r="DQQ28" s="170"/>
      <c r="DQS28" s="170"/>
      <c r="DQU28" s="170"/>
      <c r="DQW28" s="170"/>
      <c r="DQY28" s="170"/>
      <c r="DRA28" s="170"/>
      <c r="DRC28" s="170"/>
      <c r="DRE28" s="170"/>
      <c r="DRG28" s="170"/>
      <c r="DRI28" s="170"/>
      <c r="DRK28" s="170"/>
      <c r="DRM28" s="170"/>
      <c r="DRO28" s="170"/>
      <c r="DRQ28" s="170"/>
      <c r="DRS28" s="170"/>
      <c r="DRU28" s="170"/>
      <c r="DRW28" s="170"/>
      <c r="DRY28" s="170"/>
      <c r="DSA28" s="170"/>
      <c r="DSC28" s="170"/>
      <c r="DSE28" s="170"/>
      <c r="DSG28" s="170"/>
      <c r="DSI28" s="170"/>
      <c r="DSK28" s="170"/>
      <c r="DSM28" s="170"/>
      <c r="DSO28" s="170"/>
      <c r="DSQ28" s="170"/>
      <c r="DSS28" s="170"/>
      <c r="DSU28" s="170"/>
      <c r="DSW28" s="170"/>
      <c r="DSY28" s="170"/>
      <c r="DTA28" s="170"/>
      <c r="DTC28" s="170"/>
      <c r="DTE28" s="170"/>
      <c r="DTG28" s="170"/>
      <c r="DTI28" s="170"/>
      <c r="DTK28" s="170"/>
      <c r="DTM28" s="170"/>
      <c r="DTO28" s="170"/>
      <c r="DTQ28" s="170"/>
      <c r="DTS28" s="170"/>
      <c r="DTU28" s="170"/>
      <c r="DTW28" s="170"/>
      <c r="DTY28" s="170"/>
      <c r="DUA28" s="170"/>
      <c r="DUC28" s="170"/>
      <c r="DUE28" s="170"/>
      <c r="DUG28" s="170"/>
      <c r="DUI28" s="170"/>
      <c r="DUK28" s="170"/>
      <c r="DUM28" s="170"/>
      <c r="DUO28" s="170"/>
      <c r="DUQ28" s="170"/>
      <c r="DUS28" s="170"/>
      <c r="DUU28" s="170"/>
      <c r="DUW28" s="170"/>
      <c r="DUY28" s="170"/>
      <c r="DVA28" s="170"/>
      <c r="DVC28" s="170"/>
      <c r="DVE28" s="170"/>
      <c r="DVG28" s="170"/>
      <c r="DVI28" s="170"/>
      <c r="DVK28" s="170"/>
      <c r="DVM28" s="170"/>
      <c r="DVO28" s="170"/>
      <c r="DVQ28" s="170"/>
      <c r="DVS28" s="170"/>
      <c r="DVU28" s="170"/>
      <c r="DVW28" s="170"/>
      <c r="DVY28" s="170"/>
      <c r="DWA28" s="170"/>
      <c r="DWC28" s="170"/>
      <c r="DWE28" s="170"/>
      <c r="DWG28" s="170"/>
      <c r="DWI28" s="170"/>
      <c r="DWK28" s="170"/>
      <c r="DWM28" s="170"/>
      <c r="DWO28" s="170"/>
      <c r="DWQ28" s="170"/>
      <c r="DWS28" s="170"/>
      <c r="DWU28" s="170"/>
      <c r="DWW28" s="170"/>
      <c r="DWY28" s="170"/>
      <c r="DXA28" s="170"/>
      <c r="DXC28" s="170"/>
      <c r="DXE28" s="170"/>
      <c r="DXG28" s="170"/>
      <c r="DXI28" s="170"/>
      <c r="DXK28" s="170"/>
      <c r="DXM28" s="170"/>
      <c r="DXO28" s="170"/>
      <c r="DXQ28" s="170"/>
      <c r="DXS28" s="170"/>
      <c r="DXU28" s="170"/>
      <c r="DXW28" s="170"/>
      <c r="DXY28" s="170"/>
      <c r="DYA28" s="170"/>
      <c r="DYC28" s="170"/>
      <c r="DYE28" s="170"/>
      <c r="DYG28" s="170"/>
      <c r="DYI28" s="170"/>
      <c r="DYK28" s="170"/>
      <c r="DYM28" s="170"/>
      <c r="DYO28" s="170"/>
      <c r="DYQ28" s="170"/>
      <c r="DYS28" s="170"/>
      <c r="DYU28" s="170"/>
      <c r="DYW28" s="170"/>
      <c r="DYY28" s="170"/>
      <c r="DZA28" s="170"/>
      <c r="DZC28" s="170"/>
      <c r="DZE28" s="170"/>
      <c r="DZG28" s="170"/>
      <c r="DZI28" s="170"/>
      <c r="DZK28" s="170"/>
      <c r="DZM28" s="170"/>
      <c r="DZO28" s="170"/>
      <c r="DZQ28" s="170"/>
      <c r="DZS28" s="170"/>
      <c r="DZU28" s="170"/>
      <c r="DZW28" s="170"/>
      <c r="DZY28" s="170"/>
      <c r="EAA28" s="170"/>
      <c r="EAC28" s="170"/>
      <c r="EAE28" s="170"/>
      <c r="EAG28" s="170"/>
      <c r="EAI28" s="170"/>
      <c r="EAK28" s="170"/>
      <c r="EAM28" s="170"/>
      <c r="EAO28" s="170"/>
      <c r="EAQ28" s="170"/>
      <c r="EAS28" s="170"/>
      <c r="EAU28" s="170"/>
      <c r="EAW28" s="170"/>
      <c r="EAY28" s="170"/>
      <c r="EBA28" s="170"/>
      <c r="EBC28" s="170"/>
      <c r="EBE28" s="170"/>
      <c r="EBG28" s="170"/>
      <c r="EBI28" s="170"/>
      <c r="EBK28" s="170"/>
      <c r="EBM28" s="170"/>
      <c r="EBO28" s="170"/>
      <c r="EBQ28" s="170"/>
      <c r="EBS28" s="170"/>
      <c r="EBU28" s="170"/>
      <c r="EBW28" s="170"/>
      <c r="EBY28" s="170"/>
      <c r="ECA28" s="170"/>
      <c r="ECC28" s="170"/>
      <c r="ECE28" s="170"/>
      <c r="ECG28" s="170"/>
      <c r="ECI28" s="170"/>
      <c r="ECK28" s="170"/>
      <c r="ECM28" s="170"/>
      <c r="ECO28" s="170"/>
      <c r="ECQ28" s="170"/>
      <c r="ECS28" s="170"/>
      <c r="ECU28" s="170"/>
      <c r="ECW28" s="170"/>
      <c r="ECY28" s="170"/>
      <c r="EDA28" s="170"/>
      <c r="EDC28" s="170"/>
      <c r="EDE28" s="170"/>
      <c r="EDG28" s="170"/>
      <c r="EDI28" s="170"/>
      <c r="EDK28" s="170"/>
      <c r="EDM28" s="170"/>
      <c r="EDO28" s="170"/>
      <c r="EDQ28" s="170"/>
      <c r="EDS28" s="170"/>
      <c r="EDU28" s="170"/>
      <c r="EDW28" s="170"/>
      <c r="EDY28" s="170"/>
      <c r="EEA28" s="170"/>
      <c r="EEC28" s="170"/>
      <c r="EEE28" s="170"/>
      <c r="EEG28" s="170"/>
      <c r="EEI28" s="170"/>
      <c r="EEK28" s="170"/>
      <c r="EEM28" s="170"/>
      <c r="EEO28" s="170"/>
      <c r="EEQ28" s="170"/>
      <c r="EES28" s="170"/>
      <c r="EEU28" s="170"/>
      <c r="EEW28" s="170"/>
      <c r="EEY28" s="170"/>
      <c r="EFA28" s="170"/>
      <c r="EFC28" s="170"/>
      <c r="EFE28" s="170"/>
      <c r="EFG28" s="170"/>
      <c r="EFI28" s="170"/>
      <c r="EFK28" s="170"/>
      <c r="EFM28" s="170"/>
      <c r="EFO28" s="170"/>
      <c r="EFQ28" s="170"/>
      <c r="EFS28" s="170"/>
      <c r="EFU28" s="170"/>
      <c r="EFW28" s="170"/>
      <c r="EFY28" s="170"/>
      <c r="EGA28" s="170"/>
      <c r="EGC28" s="170"/>
      <c r="EGE28" s="170"/>
      <c r="EGG28" s="170"/>
      <c r="EGI28" s="170"/>
      <c r="EGK28" s="170"/>
      <c r="EGM28" s="170"/>
      <c r="EGO28" s="170"/>
      <c r="EGQ28" s="170"/>
      <c r="EGS28" s="170"/>
      <c r="EGU28" s="170"/>
      <c r="EGW28" s="170"/>
      <c r="EGY28" s="170"/>
      <c r="EHA28" s="170"/>
      <c r="EHC28" s="170"/>
      <c r="EHE28" s="170"/>
      <c r="EHG28" s="170"/>
      <c r="EHI28" s="170"/>
      <c r="EHK28" s="170"/>
      <c r="EHM28" s="170"/>
      <c r="EHO28" s="170"/>
      <c r="EHQ28" s="170"/>
      <c r="EHS28" s="170"/>
      <c r="EHU28" s="170"/>
      <c r="EHW28" s="170"/>
      <c r="EHY28" s="170"/>
      <c r="EIA28" s="170"/>
      <c r="EIC28" s="170"/>
      <c r="EIE28" s="170"/>
      <c r="EIG28" s="170"/>
      <c r="EII28" s="170"/>
      <c r="EIK28" s="170"/>
      <c r="EIM28" s="170"/>
      <c r="EIO28" s="170"/>
      <c r="EIQ28" s="170"/>
      <c r="EIS28" s="170"/>
      <c r="EIU28" s="170"/>
      <c r="EIW28" s="170"/>
      <c r="EIY28" s="170"/>
      <c r="EJA28" s="170"/>
      <c r="EJC28" s="170"/>
      <c r="EJE28" s="170"/>
      <c r="EJG28" s="170"/>
      <c r="EJI28" s="170"/>
      <c r="EJK28" s="170"/>
      <c r="EJM28" s="170"/>
      <c r="EJO28" s="170"/>
      <c r="EJQ28" s="170"/>
      <c r="EJS28" s="170"/>
      <c r="EJU28" s="170"/>
      <c r="EJW28" s="170"/>
      <c r="EJY28" s="170"/>
      <c r="EKA28" s="170"/>
      <c r="EKC28" s="170"/>
      <c r="EKE28" s="170"/>
      <c r="EKG28" s="170"/>
      <c r="EKI28" s="170"/>
      <c r="EKK28" s="170"/>
      <c r="EKM28" s="170"/>
      <c r="EKO28" s="170"/>
      <c r="EKQ28" s="170"/>
      <c r="EKS28" s="170"/>
      <c r="EKU28" s="170"/>
      <c r="EKW28" s="170"/>
      <c r="EKY28" s="170"/>
      <c r="ELA28" s="170"/>
      <c r="ELC28" s="170"/>
      <c r="ELE28" s="170"/>
      <c r="ELG28" s="170"/>
      <c r="ELI28" s="170"/>
      <c r="ELK28" s="170"/>
      <c r="ELM28" s="170"/>
      <c r="ELO28" s="170"/>
      <c r="ELQ28" s="170"/>
      <c r="ELS28" s="170"/>
      <c r="ELU28" s="170"/>
      <c r="ELW28" s="170"/>
      <c r="ELY28" s="170"/>
      <c r="EMA28" s="170"/>
      <c r="EMC28" s="170"/>
      <c r="EME28" s="170"/>
      <c r="EMG28" s="170"/>
      <c r="EMI28" s="170"/>
      <c r="EMK28" s="170"/>
      <c r="EMM28" s="170"/>
      <c r="EMO28" s="170"/>
      <c r="EMQ28" s="170"/>
      <c r="EMS28" s="170"/>
      <c r="EMU28" s="170"/>
      <c r="EMW28" s="170"/>
      <c r="EMY28" s="170"/>
      <c r="ENA28" s="170"/>
      <c r="ENC28" s="170"/>
      <c r="ENE28" s="170"/>
      <c r="ENG28" s="170"/>
      <c r="ENI28" s="170"/>
      <c r="ENK28" s="170"/>
      <c r="ENM28" s="170"/>
      <c r="ENO28" s="170"/>
      <c r="ENQ28" s="170"/>
      <c r="ENS28" s="170"/>
      <c r="ENU28" s="170"/>
      <c r="ENW28" s="170"/>
      <c r="ENY28" s="170"/>
      <c r="EOA28" s="170"/>
      <c r="EOC28" s="170"/>
      <c r="EOE28" s="170"/>
      <c r="EOG28" s="170"/>
      <c r="EOI28" s="170"/>
      <c r="EOK28" s="170"/>
      <c r="EOM28" s="170"/>
      <c r="EOO28" s="170"/>
      <c r="EOQ28" s="170"/>
      <c r="EOS28" s="170"/>
      <c r="EOU28" s="170"/>
      <c r="EOW28" s="170"/>
      <c r="EOY28" s="170"/>
      <c r="EPA28" s="170"/>
      <c r="EPC28" s="170"/>
      <c r="EPE28" s="170"/>
      <c r="EPG28" s="170"/>
      <c r="EPI28" s="170"/>
      <c r="EPK28" s="170"/>
      <c r="EPM28" s="170"/>
      <c r="EPO28" s="170"/>
      <c r="EPQ28" s="170"/>
      <c r="EPS28" s="170"/>
      <c r="EPU28" s="170"/>
      <c r="EPW28" s="170"/>
      <c r="EPY28" s="170"/>
      <c r="EQA28" s="170"/>
      <c r="EQC28" s="170"/>
      <c r="EQE28" s="170"/>
      <c r="EQG28" s="170"/>
      <c r="EQI28" s="170"/>
      <c r="EQK28" s="170"/>
      <c r="EQM28" s="170"/>
      <c r="EQO28" s="170"/>
      <c r="EQQ28" s="170"/>
      <c r="EQS28" s="170"/>
      <c r="EQU28" s="170"/>
      <c r="EQW28" s="170"/>
      <c r="EQY28" s="170"/>
      <c r="ERA28" s="170"/>
      <c r="ERC28" s="170"/>
      <c r="ERE28" s="170"/>
      <c r="ERG28" s="170"/>
      <c r="ERI28" s="170"/>
      <c r="ERK28" s="170"/>
      <c r="ERM28" s="170"/>
      <c r="ERO28" s="170"/>
      <c r="ERQ28" s="170"/>
      <c r="ERS28" s="170"/>
      <c r="ERU28" s="170"/>
      <c r="ERW28" s="170"/>
      <c r="ERY28" s="170"/>
      <c r="ESA28" s="170"/>
      <c r="ESC28" s="170"/>
      <c r="ESE28" s="170"/>
      <c r="ESG28" s="170"/>
      <c r="ESI28" s="170"/>
      <c r="ESK28" s="170"/>
      <c r="ESM28" s="170"/>
      <c r="ESO28" s="170"/>
      <c r="ESQ28" s="170"/>
      <c r="ESS28" s="170"/>
      <c r="ESU28" s="170"/>
      <c r="ESW28" s="170"/>
      <c r="ESY28" s="170"/>
      <c r="ETA28" s="170"/>
      <c r="ETC28" s="170"/>
      <c r="ETE28" s="170"/>
      <c r="ETG28" s="170"/>
      <c r="ETI28" s="170"/>
      <c r="ETK28" s="170"/>
      <c r="ETM28" s="170"/>
      <c r="ETO28" s="170"/>
      <c r="ETQ28" s="170"/>
      <c r="ETS28" s="170"/>
      <c r="ETU28" s="170"/>
      <c r="ETW28" s="170"/>
      <c r="ETY28" s="170"/>
      <c r="EUA28" s="170"/>
      <c r="EUC28" s="170"/>
      <c r="EUE28" s="170"/>
      <c r="EUG28" s="170"/>
      <c r="EUI28" s="170"/>
      <c r="EUK28" s="170"/>
      <c r="EUM28" s="170"/>
      <c r="EUO28" s="170"/>
      <c r="EUQ28" s="170"/>
      <c r="EUS28" s="170"/>
      <c r="EUU28" s="170"/>
      <c r="EUW28" s="170"/>
      <c r="EUY28" s="170"/>
      <c r="EVA28" s="170"/>
      <c r="EVC28" s="170"/>
      <c r="EVE28" s="170"/>
      <c r="EVG28" s="170"/>
      <c r="EVI28" s="170"/>
      <c r="EVK28" s="170"/>
      <c r="EVM28" s="170"/>
      <c r="EVO28" s="170"/>
      <c r="EVQ28" s="170"/>
      <c r="EVS28" s="170"/>
      <c r="EVU28" s="170"/>
      <c r="EVW28" s="170"/>
      <c r="EVY28" s="170"/>
      <c r="EWA28" s="170"/>
      <c r="EWC28" s="170"/>
      <c r="EWE28" s="170"/>
      <c r="EWG28" s="170"/>
      <c r="EWI28" s="170"/>
      <c r="EWK28" s="170"/>
      <c r="EWM28" s="170"/>
      <c r="EWO28" s="170"/>
      <c r="EWQ28" s="170"/>
      <c r="EWS28" s="170"/>
      <c r="EWU28" s="170"/>
      <c r="EWW28" s="170"/>
      <c r="EWY28" s="170"/>
      <c r="EXA28" s="170"/>
      <c r="EXC28" s="170"/>
      <c r="EXE28" s="170"/>
      <c r="EXG28" s="170"/>
      <c r="EXI28" s="170"/>
      <c r="EXK28" s="170"/>
      <c r="EXM28" s="170"/>
      <c r="EXO28" s="170"/>
      <c r="EXQ28" s="170"/>
      <c r="EXS28" s="170"/>
      <c r="EXU28" s="170"/>
      <c r="EXW28" s="170"/>
      <c r="EXY28" s="170"/>
      <c r="EYA28" s="170"/>
      <c r="EYC28" s="170"/>
      <c r="EYE28" s="170"/>
      <c r="EYG28" s="170"/>
      <c r="EYI28" s="170"/>
      <c r="EYK28" s="170"/>
      <c r="EYM28" s="170"/>
      <c r="EYO28" s="170"/>
      <c r="EYQ28" s="170"/>
      <c r="EYS28" s="170"/>
      <c r="EYU28" s="170"/>
      <c r="EYW28" s="170"/>
      <c r="EYY28" s="170"/>
      <c r="EZA28" s="170"/>
      <c r="EZC28" s="170"/>
      <c r="EZE28" s="170"/>
      <c r="EZG28" s="170"/>
      <c r="EZI28" s="170"/>
      <c r="EZK28" s="170"/>
      <c r="EZM28" s="170"/>
      <c r="EZO28" s="170"/>
      <c r="EZQ28" s="170"/>
      <c r="EZS28" s="170"/>
      <c r="EZU28" s="170"/>
      <c r="EZW28" s="170"/>
      <c r="EZY28" s="170"/>
      <c r="FAA28" s="170"/>
      <c r="FAC28" s="170"/>
      <c r="FAE28" s="170"/>
      <c r="FAG28" s="170"/>
      <c r="FAI28" s="170"/>
      <c r="FAK28" s="170"/>
      <c r="FAM28" s="170"/>
      <c r="FAO28" s="170"/>
      <c r="FAQ28" s="170"/>
      <c r="FAS28" s="170"/>
      <c r="FAU28" s="170"/>
      <c r="FAW28" s="170"/>
      <c r="FAY28" s="170"/>
      <c r="FBA28" s="170"/>
      <c r="FBC28" s="170"/>
      <c r="FBE28" s="170"/>
      <c r="FBG28" s="170"/>
      <c r="FBI28" s="170"/>
      <c r="FBK28" s="170"/>
      <c r="FBM28" s="170"/>
      <c r="FBO28" s="170"/>
      <c r="FBQ28" s="170"/>
      <c r="FBS28" s="170"/>
      <c r="FBU28" s="170"/>
      <c r="FBW28" s="170"/>
      <c r="FBY28" s="170"/>
      <c r="FCA28" s="170"/>
      <c r="FCC28" s="170"/>
      <c r="FCE28" s="170"/>
      <c r="FCG28" s="170"/>
      <c r="FCI28" s="170"/>
      <c r="FCK28" s="170"/>
      <c r="FCM28" s="170"/>
      <c r="FCO28" s="170"/>
      <c r="FCQ28" s="170"/>
      <c r="FCS28" s="170"/>
      <c r="FCU28" s="170"/>
      <c r="FCW28" s="170"/>
      <c r="FCY28" s="170"/>
      <c r="FDA28" s="170"/>
      <c r="FDC28" s="170"/>
      <c r="FDE28" s="170"/>
      <c r="FDG28" s="170"/>
      <c r="FDI28" s="170"/>
      <c r="FDK28" s="170"/>
      <c r="FDM28" s="170"/>
      <c r="FDO28" s="170"/>
      <c r="FDQ28" s="170"/>
      <c r="FDS28" s="170"/>
      <c r="FDU28" s="170"/>
      <c r="FDW28" s="170"/>
      <c r="FDY28" s="170"/>
      <c r="FEA28" s="170"/>
      <c r="FEC28" s="170"/>
      <c r="FEE28" s="170"/>
      <c r="FEG28" s="170"/>
      <c r="FEI28" s="170"/>
      <c r="FEK28" s="170"/>
      <c r="FEM28" s="170"/>
      <c r="FEO28" s="170"/>
      <c r="FEQ28" s="170"/>
      <c r="FES28" s="170"/>
      <c r="FEU28" s="170"/>
      <c r="FEW28" s="170"/>
      <c r="FEY28" s="170"/>
      <c r="FFA28" s="170"/>
      <c r="FFC28" s="170"/>
      <c r="FFE28" s="170"/>
      <c r="FFG28" s="170"/>
      <c r="FFI28" s="170"/>
      <c r="FFK28" s="170"/>
      <c r="FFM28" s="170"/>
      <c r="FFO28" s="170"/>
      <c r="FFQ28" s="170"/>
      <c r="FFS28" s="170"/>
      <c r="FFU28" s="170"/>
      <c r="FFW28" s="170"/>
      <c r="FFY28" s="170"/>
      <c r="FGA28" s="170"/>
      <c r="FGC28" s="170"/>
      <c r="FGE28" s="170"/>
      <c r="FGG28" s="170"/>
      <c r="FGI28" s="170"/>
      <c r="FGK28" s="170"/>
      <c r="FGM28" s="170"/>
      <c r="FGO28" s="170"/>
      <c r="FGQ28" s="170"/>
      <c r="FGS28" s="170"/>
      <c r="FGU28" s="170"/>
      <c r="FGW28" s="170"/>
      <c r="FGY28" s="170"/>
      <c r="FHA28" s="170"/>
      <c r="FHC28" s="170"/>
      <c r="FHE28" s="170"/>
      <c r="FHG28" s="170"/>
      <c r="FHI28" s="170"/>
      <c r="FHK28" s="170"/>
      <c r="FHM28" s="170"/>
      <c r="FHO28" s="170"/>
      <c r="FHQ28" s="170"/>
      <c r="FHS28" s="170"/>
      <c r="FHU28" s="170"/>
      <c r="FHW28" s="170"/>
      <c r="FHY28" s="170"/>
      <c r="FIA28" s="170"/>
      <c r="FIC28" s="170"/>
      <c r="FIE28" s="170"/>
      <c r="FIG28" s="170"/>
      <c r="FII28" s="170"/>
      <c r="FIK28" s="170"/>
      <c r="FIM28" s="170"/>
      <c r="FIO28" s="170"/>
      <c r="FIQ28" s="170"/>
      <c r="FIS28" s="170"/>
      <c r="FIU28" s="170"/>
      <c r="FIW28" s="170"/>
      <c r="FIY28" s="170"/>
      <c r="FJA28" s="170"/>
      <c r="FJC28" s="170"/>
      <c r="FJE28" s="170"/>
      <c r="FJG28" s="170"/>
      <c r="FJI28" s="170"/>
      <c r="FJK28" s="170"/>
      <c r="FJM28" s="170"/>
      <c r="FJO28" s="170"/>
      <c r="FJQ28" s="170"/>
      <c r="FJS28" s="170"/>
      <c r="FJU28" s="170"/>
      <c r="FJW28" s="170"/>
      <c r="FJY28" s="170"/>
      <c r="FKA28" s="170"/>
      <c r="FKC28" s="170"/>
      <c r="FKE28" s="170"/>
      <c r="FKG28" s="170"/>
      <c r="FKI28" s="170"/>
      <c r="FKK28" s="170"/>
      <c r="FKM28" s="170"/>
      <c r="FKO28" s="170"/>
      <c r="FKQ28" s="170"/>
      <c r="FKS28" s="170"/>
      <c r="FKU28" s="170"/>
      <c r="FKW28" s="170"/>
      <c r="FKY28" s="170"/>
      <c r="FLA28" s="170"/>
      <c r="FLC28" s="170"/>
      <c r="FLE28" s="170"/>
      <c r="FLG28" s="170"/>
      <c r="FLI28" s="170"/>
      <c r="FLK28" s="170"/>
      <c r="FLM28" s="170"/>
      <c r="FLO28" s="170"/>
      <c r="FLQ28" s="170"/>
      <c r="FLS28" s="170"/>
      <c r="FLU28" s="170"/>
      <c r="FLW28" s="170"/>
      <c r="FLY28" s="170"/>
      <c r="FMA28" s="170"/>
      <c r="FMC28" s="170"/>
      <c r="FME28" s="170"/>
      <c r="FMG28" s="170"/>
      <c r="FMI28" s="170"/>
      <c r="FMK28" s="170"/>
      <c r="FMM28" s="170"/>
      <c r="FMO28" s="170"/>
      <c r="FMQ28" s="170"/>
      <c r="FMS28" s="170"/>
      <c r="FMU28" s="170"/>
      <c r="FMW28" s="170"/>
      <c r="FMY28" s="170"/>
      <c r="FNA28" s="170"/>
      <c r="FNC28" s="170"/>
      <c r="FNE28" s="170"/>
      <c r="FNG28" s="170"/>
      <c r="FNI28" s="170"/>
      <c r="FNK28" s="170"/>
      <c r="FNM28" s="170"/>
      <c r="FNO28" s="170"/>
      <c r="FNQ28" s="170"/>
      <c r="FNS28" s="170"/>
      <c r="FNU28" s="170"/>
      <c r="FNW28" s="170"/>
      <c r="FNY28" s="170"/>
      <c r="FOA28" s="170"/>
      <c r="FOC28" s="170"/>
      <c r="FOE28" s="170"/>
      <c r="FOG28" s="170"/>
      <c r="FOI28" s="170"/>
      <c r="FOK28" s="170"/>
      <c r="FOM28" s="170"/>
      <c r="FOO28" s="170"/>
      <c r="FOQ28" s="170"/>
      <c r="FOS28" s="170"/>
      <c r="FOU28" s="170"/>
      <c r="FOW28" s="170"/>
      <c r="FOY28" s="170"/>
      <c r="FPA28" s="170"/>
      <c r="FPC28" s="170"/>
      <c r="FPE28" s="170"/>
      <c r="FPG28" s="170"/>
      <c r="FPI28" s="170"/>
      <c r="FPK28" s="170"/>
      <c r="FPM28" s="170"/>
      <c r="FPO28" s="170"/>
      <c r="FPQ28" s="170"/>
      <c r="FPS28" s="170"/>
      <c r="FPU28" s="170"/>
      <c r="FPW28" s="170"/>
      <c r="FPY28" s="170"/>
      <c r="FQA28" s="170"/>
      <c r="FQC28" s="170"/>
      <c r="FQE28" s="170"/>
      <c r="FQG28" s="170"/>
      <c r="FQI28" s="170"/>
      <c r="FQK28" s="170"/>
      <c r="FQM28" s="170"/>
      <c r="FQO28" s="170"/>
      <c r="FQQ28" s="170"/>
      <c r="FQS28" s="170"/>
      <c r="FQU28" s="170"/>
      <c r="FQW28" s="170"/>
      <c r="FQY28" s="170"/>
      <c r="FRA28" s="170"/>
      <c r="FRC28" s="170"/>
      <c r="FRE28" s="170"/>
      <c r="FRG28" s="170"/>
      <c r="FRI28" s="170"/>
      <c r="FRK28" s="170"/>
      <c r="FRM28" s="170"/>
      <c r="FRO28" s="170"/>
      <c r="FRQ28" s="170"/>
      <c r="FRS28" s="170"/>
      <c r="FRU28" s="170"/>
      <c r="FRW28" s="170"/>
      <c r="FRY28" s="170"/>
      <c r="FSA28" s="170"/>
      <c r="FSC28" s="170"/>
      <c r="FSE28" s="170"/>
      <c r="FSG28" s="170"/>
      <c r="FSI28" s="170"/>
      <c r="FSK28" s="170"/>
      <c r="FSM28" s="170"/>
      <c r="FSO28" s="170"/>
      <c r="FSQ28" s="170"/>
      <c r="FSS28" s="170"/>
      <c r="FSU28" s="170"/>
      <c r="FSW28" s="170"/>
      <c r="FSY28" s="170"/>
      <c r="FTA28" s="170"/>
      <c r="FTC28" s="170"/>
      <c r="FTE28" s="170"/>
      <c r="FTG28" s="170"/>
      <c r="FTI28" s="170"/>
      <c r="FTK28" s="170"/>
      <c r="FTM28" s="170"/>
      <c r="FTO28" s="170"/>
      <c r="FTQ28" s="170"/>
      <c r="FTS28" s="170"/>
      <c r="FTU28" s="170"/>
      <c r="FTW28" s="170"/>
      <c r="FTY28" s="170"/>
      <c r="FUA28" s="170"/>
      <c r="FUC28" s="170"/>
      <c r="FUE28" s="170"/>
      <c r="FUG28" s="170"/>
      <c r="FUI28" s="170"/>
      <c r="FUK28" s="170"/>
      <c r="FUM28" s="170"/>
      <c r="FUO28" s="170"/>
      <c r="FUQ28" s="170"/>
      <c r="FUS28" s="170"/>
      <c r="FUU28" s="170"/>
      <c r="FUW28" s="170"/>
      <c r="FUY28" s="170"/>
      <c r="FVA28" s="170"/>
      <c r="FVC28" s="170"/>
      <c r="FVE28" s="170"/>
      <c r="FVG28" s="170"/>
      <c r="FVI28" s="170"/>
      <c r="FVK28" s="170"/>
      <c r="FVM28" s="170"/>
      <c r="FVO28" s="170"/>
      <c r="FVQ28" s="170"/>
      <c r="FVS28" s="170"/>
      <c r="FVU28" s="170"/>
      <c r="FVW28" s="170"/>
      <c r="FVY28" s="170"/>
      <c r="FWA28" s="170"/>
      <c r="FWC28" s="170"/>
      <c r="FWE28" s="170"/>
      <c r="FWG28" s="170"/>
      <c r="FWI28" s="170"/>
      <c r="FWK28" s="170"/>
      <c r="FWM28" s="170"/>
      <c r="FWO28" s="170"/>
      <c r="FWQ28" s="170"/>
      <c r="FWS28" s="170"/>
      <c r="FWU28" s="170"/>
      <c r="FWW28" s="170"/>
      <c r="FWY28" s="170"/>
      <c r="FXA28" s="170"/>
      <c r="FXC28" s="170"/>
      <c r="FXE28" s="170"/>
      <c r="FXG28" s="170"/>
      <c r="FXI28" s="170"/>
      <c r="FXK28" s="170"/>
      <c r="FXM28" s="170"/>
      <c r="FXO28" s="170"/>
      <c r="FXQ28" s="170"/>
      <c r="FXS28" s="170"/>
      <c r="FXU28" s="170"/>
      <c r="FXW28" s="170"/>
      <c r="FXY28" s="170"/>
      <c r="FYA28" s="170"/>
      <c r="FYC28" s="170"/>
      <c r="FYE28" s="170"/>
      <c r="FYG28" s="170"/>
      <c r="FYI28" s="170"/>
      <c r="FYK28" s="170"/>
      <c r="FYM28" s="170"/>
      <c r="FYO28" s="170"/>
      <c r="FYQ28" s="170"/>
      <c r="FYS28" s="170"/>
      <c r="FYU28" s="170"/>
      <c r="FYW28" s="170"/>
      <c r="FYY28" s="170"/>
      <c r="FZA28" s="170"/>
      <c r="FZC28" s="170"/>
      <c r="FZE28" s="170"/>
      <c r="FZG28" s="170"/>
      <c r="FZI28" s="170"/>
      <c r="FZK28" s="170"/>
      <c r="FZM28" s="170"/>
      <c r="FZO28" s="170"/>
      <c r="FZQ28" s="170"/>
      <c r="FZS28" s="170"/>
      <c r="FZU28" s="170"/>
      <c r="FZW28" s="170"/>
      <c r="FZY28" s="170"/>
      <c r="GAA28" s="170"/>
      <c r="GAC28" s="170"/>
      <c r="GAE28" s="170"/>
      <c r="GAG28" s="170"/>
      <c r="GAI28" s="170"/>
      <c r="GAK28" s="170"/>
      <c r="GAM28" s="170"/>
      <c r="GAO28" s="170"/>
      <c r="GAQ28" s="170"/>
      <c r="GAS28" s="170"/>
      <c r="GAU28" s="170"/>
      <c r="GAW28" s="170"/>
      <c r="GAY28" s="170"/>
      <c r="GBA28" s="170"/>
      <c r="GBC28" s="170"/>
      <c r="GBE28" s="170"/>
      <c r="GBG28" s="170"/>
      <c r="GBI28" s="170"/>
      <c r="GBK28" s="170"/>
      <c r="GBM28" s="170"/>
      <c r="GBO28" s="170"/>
      <c r="GBQ28" s="170"/>
      <c r="GBS28" s="170"/>
      <c r="GBU28" s="170"/>
      <c r="GBW28" s="170"/>
      <c r="GBY28" s="170"/>
      <c r="GCA28" s="170"/>
      <c r="GCC28" s="170"/>
      <c r="GCE28" s="170"/>
      <c r="GCG28" s="170"/>
      <c r="GCI28" s="170"/>
      <c r="GCK28" s="170"/>
      <c r="GCM28" s="170"/>
      <c r="GCO28" s="170"/>
      <c r="GCQ28" s="170"/>
      <c r="GCS28" s="170"/>
      <c r="GCU28" s="170"/>
      <c r="GCW28" s="170"/>
      <c r="GCY28" s="170"/>
      <c r="GDA28" s="170"/>
      <c r="GDC28" s="170"/>
      <c r="GDE28" s="170"/>
      <c r="GDG28" s="170"/>
      <c r="GDI28" s="170"/>
      <c r="GDK28" s="170"/>
      <c r="GDM28" s="170"/>
      <c r="GDO28" s="170"/>
      <c r="GDQ28" s="170"/>
      <c r="GDS28" s="170"/>
      <c r="GDU28" s="170"/>
      <c r="GDW28" s="170"/>
      <c r="GDY28" s="170"/>
      <c r="GEA28" s="170"/>
      <c r="GEC28" s="170"/>
      <c r="GEE28" s="170"/>
      <c r="GEG28" s="170"/>
      <c r="GEI28" s="170"/>
      <c r="GEK28" s="170"/>
      <c r="GEM28" s="170"/>
      <c r="GEO28" s="170"/>
      <c r="GEQ28" s="170"/>
      <c r="GES28" s="170"/>
      <c r="GEU28" s="170"/>
      <c r="GEW28" s="170"/>
      <c r="GEY28" s="170"/>
      <c r="GFA28" s="170"/>
      <c r="GFC28" s="170"/>
      <c r="GFE28" s="170"/>
      <c r="GFG28" s="170"/>
      <c r="GFI28" s="170"/>
      <c r="GFK28" s="170"/>
      <c r="GFM28" s="170"/>
      <c r="GFO28" s="170"/>
      <c r="GFQ28" s="170"/>
      <c r="GFS28" s="170"/>
      <c r="GFU28" s="170"/>
      <c r="GFW28" s="170"/>
      <c r="GFY28" s="170"/>
      <c r="GGA28" s="170"/>
      <c r="GGC28" s="170"/>
      <c r="GGE28" s="170"/>
      <c r="GGG28" s="170"/>
      <c r="GGI28" s="170"/>
      <c r="GGK28" s="170"/>
      <c r="GGM28" s="170"/>
      <c r="GGO28" s="170"/>
      <c r="GGQ28" s="170"/>
      <c r="GGS28" s="170"/>
      <c r="GGU28" s="170"/>
      <c r="GGW28" s="170"/>
      <c r="GGY28" s="170"/>
      <c r="GHA28" s="170"/>
      <c r="GHC28" s="170"/>
      <c r="GHE28" s="170"/>
      <c r="GHG28" s="170"/>
      <c r="GHI28" s="170"/>
      <c r="GHK28" s="170"/>
      <c r="GHM28" s="170"/>
      <c r="GHO28" s="170"/>
      <c r="GHQ28" s="170"/>
      <c r="GHS28" s="170"/>
      <c r="GHU28" s="170"/>
      <c r="GHW28" s="170"/>
      <c r="GHY28" s="170"/>
      <c r="GIA28" s="170"/>
      <c r="GIC28" s="170"/>
      <c r="GIE28" s="170"/>
      <c r="GIG28" s="170"/>
      <c r="GII28" s="170"/>
      <c r="GIK28" s="170"/>
      <c r="GIM28" s="170"/>
      <c r="GIO28" s="170"/>
      <c r="GIQ28" s="170"/>
      <c r="GIS28" s="170"/>
      <c r="GIU28" s="170"/>
      <c r="GIW28" s="170"/>
      <c r="GIY28" s="170"/>
      <c r="GJA28" s="170"/>
      <c r="GJC28" s="170"/>
      <c r="GJE28" s="170"/>
      <c r="GJG28" s="170"/>
      <c r="GJI28" s="170"/>
      <c r="GJK28" s="170"/>
      <c r="GJM28" s="170"/>
      <c r="GJO28" s="170"/>
      <c r="GJQ28" s="170"/>
      <c r="GJS28" s="170"/>
      <c r="GJU28" s="170"/>
      <c r="GJW28" s="170"/>
      <c r="GJY28" s="170"/>
      <c r="GKA28" s="170"/>
      <c r="GKC28" s="170"/>
      <c r="GKE28" s="170"/>
      <c r="GKG28" s="170"/>
      <c r="GKI28" s="170"/>
      <c r="GKK28" s="170"/>
      <c r="GKM28" s="170"/>
      <c r="GKO28" s="170"/>
      <c r="GKQ28" s="170"/>
      <c r="GKS28" s="170"/>
      <c r="GKU28" s="170"/>
      <c r="GKW28" s="170"/>
      <c r="GKY28" s="170"/>
      <c r="GLA28" s="170"/>
      <c r="GLC28" s="170"/>
      <c r="GLE28" s="170"/>
      <c r="GLG28" s="170"/>
      <c r="GLI28" s="170"/>
      <c r="GLK28" s="170"/>
      <c r="GLM28" s="170"/>
      <c r="GLO28" s="170"/>
      <c r="GLQ28" s="170"/>
      <c r="GLS28" s="170"/>
      <c r="GLU28" s="170"/>
      <c r="GLW28" s="170"/>
      <c r="GLY28" s="170"/>
      <c r="GMA28" s="170"/>
      <c r="GMC28" s="170"/>
      <c r="GME28" s="170"/>
      <c r="GMG28" s="170"/>
      <c r="GMI28" s="170"/>
      <c r="GMK28" s="170"/>
      <c r="GMM28" s="170"/>
      <c r="GMO28" s="170"/>
      <c r="GMQ28" s="170"/>
      <c r="GMS28" s="170"/>
      <c r="GMU28" s="170"/>
      <c r="GMW28" s="170"/>
      <c r="GMY28" s="170"/>
      <c r="GNA28" s="170"/>
      <c r="GNC28" s="170"/>
      <c r="GNE28" s="170"/>
      <c r="GNG28" s="170"/>
      <c r="GNI28" s="170"/>
      <c r="GNK28" s="170"/>
      <c r="GNM28" s="170"/>
      <c r="GNO28" s="170"/>
      <c r="GNQ28" s="170"/>
      <c r="GNS28" s="170"/>
      <c r="GNU28" s="170"/>
      <c r="GNW28" s="170"/>
      <c r="GNY28" s="170"/>
      <c r="GOA28" s="170"/>
      <c r="GOC28" s="170"/>
      <c r="GOE28" s="170"/>
      <c r="GOG28" s="170"/>
      <c r="GOI28" s="170"/>
      <c r="GOK28" s="170"/>
      <c r="GOM28" s="170"/>
      <c r="GOO28" s="170"/>
      <c r="GOQ28" s="170"/>
      <c r="GOS28" s="170"/>
      <c r="GOU28" s="170"/>
      <c r="GOW28" s="170"/>
      <c r="GOY28" s="170"/>
      <c r="GPA28" s="170"/>
      <c r="GPC28" s="170"/>
      <c r="GPE28" s="170"/>
      <c r="GPG28" s="170"/>
      <c r="GPI28" s="170"/>
      <c r="GPK28" s="170"/>
      <c r="GPM28" s="170"/>
      <c r="GPO28" s="170"/>
      <c r="GPQ28" s="170"/>
      <c r="GPS28" s="170"/>
      <c r="GPU28" s="170"/>
      <c r="GPW28" s="170"/>
      <c r="GPY28" s="170"/>
      <c r="GQA28" s="170"/>
      <c r="GQC28" s="170"/>
      <c r="GQE28" s="170"/>
      <c r="GQG28" s="170"/>
      <c r="GQI28" s="170"/>
      <c r="GQK28" s="170"/>
      <c r="GQM28" s="170"/>
      <c r="GQO28" s="170"/>
      <c r="GQQ28" s="170"/>
      <c r="GQS28" s="170"/>
      <c r="GQU28" s="170"/>
      <c r="GQW28" s="170"/>
      <c r="GQY28" s="170"/>
      <c r="GRA28" s="170"/>
      <c r="GRC28" s="170"/>
      <c r="GRE28" s="170"/>
      <c r="GRG28" s="170"/>
      <c r="GRI28" s="170"/>
      <c r="GRK28" s="170"/>
      <c r="GRM28" s="170"/>
      <c r="GRO28" s="170"/>
      <c r="GRQ28" s="170"/>
      <c r="GRS28" s="170"/>
      <c r="GRU28" s="170"/>
      <c r="GRW28" s="170"/>
      <c r="GRY28" s="170"/>
      <c r="GSA28" s="170"/>
      <c r="GSC28" s="170"/>
      <c r="GSE28" s="170"/>
      <c r="GSG28" s="170"/>
      <c r="GSI28" s="170"/>
      <c r="GSK28" s="170"/>
      <c r="GSM28" s="170"/>
      <c r="GSO28" s="170"/>
      <c r="GSQ28" s="170"/>
      <c r="GSS28" s="170"/>
      <c r="GSU28" s="170"/>
      <c r="GSW28" s="170"/>
      <c r="GSY28" s="170"/>
      <c r="GTA28" s="170"/>
      <c r="GTC28" s="170"/>
      <c r="GTE28" s="170"/>
      <c r="GTG28" s="170"/>
      <c r="GTI28" s="170"/>
      <c r="GTK28" s="170"/>
      <c r="GTM28" s="170"/>
      <c r="GTO28" s="170"/>
      <c r="GTQ28" s="170"/>
      <c r="GTS28" s="170"/>
      <c r="GTU28" s="170"/>
      <c r="GTW28" s="170"/>
      <c r="GTY28" s="170"/>
      <c r="GUA28" s="170"/>
      <c r="GUC28" s="170"/>
      <c r="GUE28" s="170"/>
      <c r="GUG28" s="170"/>
      <c r="GUI28" s="170"/>
      <c r="GUK28" s="170"/>
      <c r="GUM28" s="170"/>
      <c r="GUO28" s="170"/>
      <c r="GUQ28" s="170"/>
      <c r="GUS28" s="170"/>
      <c r="GUU28" s="170"/>
      <c r="GUW28" s="170"/>
      <c r="GUY28" s="170"/>
      <c r="GVA28" s="170"/>
      <c r="GVC28" s="170"/>
      <c r="GVE28" s="170"/>
      <c r="GVG28" s="170"/>
      <c r="GVI28" s="170"/>
      <c r="GVK28" s="170"/>
      <c r="GVM28" s="170"/>
      <c r="GVO28" s="170"/>
      <c r="GVQ28" s="170"/>
      <c r="GVS28" s="170"/>
      <c r="GVU28" s="170"/>
      <c r="GVW28" s="170"/>
      <c r="GVY28" s="170"/>
      <c r="GWA28" s="170"/>
      <c r="GWC28" s="170"/>
      <c r="GWE28" s="170"/>
      <c r="GWG28" s="170"/>
      <c r="GWI28" s="170"/>
      <c r="GWK28" s="170"/>
      <c r="GWM28" s="170"/>
      <c r="GWO28" s="170"/>
      <c r="GWQ28" s="170"/>
      <c r="GWS28" s="170"/>
      <c r="GWU28" s="170"/>
      <c r="GWW28" s="170"/>
      <c r="GWY28" s="170"/>
      <c r="GXA28" s="170"/>
      <c r="GXC28" s="170"/>
      <c r="GXE28" s="170"/>
      <c r="GXG28" s="170"/>
      <c r="GXI28" s="170"/>
      <c r="GXK28" s="170"/>
      <c r="GXM28" s="170"/>
      <c r="GXO28" s="170"/>
      <c r="GXQ28" s="170"/>
      <c r="GXS28" s="170"/>
      <c r="GXU28" s="170"/>
      <c r="GXW28" s="170"/>
      <c r="GXY28" s="170"/>
      <c r="GYA28" s="170"/>
      <c r="GYC28" s="170"/>
      <c r="GYE28" s="170"/>
      <c r="GYG28" s="170"/>
      <c r="GYI28" s="170"/>
      <c r="GYK28" s="170"/>
      <c r="GYM28" s="170"/>
      <c r="GYO28" s="170"/>
      <c r="GYQ28" s="170"/>
      <c r="GYS28" s="170"/>
      <c r="GYU28" s="170"/>
      <c r="GYW28" s="170"/>
      <c r="GYY28" s="170"/>
      <c r="GZA28" s="170"/>
      <c r="GZC28" s="170"/>
      <c r="GZE28" s="170"/>
      <c r="GZG28" s="170"/>
      <c r="GZI28" s="170"/>
      <c r="GZK28" s="170"/>
      <c r="GZM28" s="170"/>
      <c r="GZO28" s="170"/>
      <c r="GZQ28" s="170"/>
      <c r="GZS28" s="170"/>
      <c r="GZU28" s="170"/>
      <c r="GZW28" s="170"/>
      <c r="GZY28" s="170"/>
      <c r="HAA28" s="170"/>
      <c r="HAC28" s="170"/>
      <c r="HAE28" s="170"/>
      <c r="HAG28" s="170"/>
      <c r="HAI28" s="170"/>
      <c r="HAK28" s="170"/>
      <c r="HAM28" s="170"/>
      <c r="HAO28" s="170"/>
      <c r="HAQ28" s="170"/>
      <c r="HAS28" s="170"/>
      <c r="HAU28" s="170"/>
      <c r="HAW28" s="170"/>
      <c r="HAY28" s="170"/>
      <c r="HBA28" s="170"/>
      <c r="HBC28" s="170"/>
      <c r="HBE28" s="170"/>
      <c r="HBG28" s="170"/>
      <c r="HBI28" s="170"/>
      <c r="HBK28" s="170"/>
      <c r="HBM28" s="170"/>
      <c r="HBO28" s="170"/>
      <c r="HBQ28" s="170"/>
      <c r="HBS28" s="170"/>
      <c r="HBU28" s="170"/>
      <c r="HBW28" s="170"/>
      <c r="HBY28" s="170"/>
      <c r="HCA28" s="170"/>
      <c r="HCC28" s="170"/>
      <c r="HCE28" s="170"/>
      <c r="HCG28" s="170"/>
      <c r="HCI28" s="170"/>
      <c r="HCK28" s="170"/>
      <c r="HCM28" s="170"/>
      <c r="HCO28" s="170"/>
      <c r="HCQ28" s="170"/>
      <c r="HCS28" s="170"/>
      <c r="HCU28" s="170"/>
      <c r="HCW28" s="170"/>
      <c r="HCY28" s="170"/>
      <c r="HDA28" s="170"/>
      <c r="HDC28" s="170"/>
      <c r="HDE28" s="170"/>
      <c r="HDG28" s="170"/>
      <c r="HDI28" s="170"/>
      <c r="HDK28" s="170"/>
      <c r="HDM28" s="170"/>
      <c r="HDO28" s="170"/>
      <c r="HDQ28" s="170"/>
      <c r="HDS28" s="170"/>
      <c r="HDU28" s="170"/>
      <c r="HDW28" s="170"/>
      <c r="HDY28" s="170"/>
      <c r="HEA28" s="170"/>
      <c r="HEC28" s="170"/>
      <c r="HEE28" s="170"/>
      <c r="HEG28" s="170"/>
      <c r="HEI28" s="170"/>
      <c r="HEK28" s="170"/>
      <c r="HEM28" s="170"/>
      <c r="HEO28" s="170"/>
      <c r="HEQ28" s="170"/>
      <c r="HES28" s="170"/>
      <c r="HEU28" s="170"/>
      <c r="HEW28" s="170"/>
      <c r="HEY28" s="170"/>
      <c r="HFA28" s="170"/>
      <c r="HFC28" s="170"/>
      <c r="HFE28" s="170"/>
      <c r="HFG28" s="170"/>
      <c r="HFI28" s="170"/>
      <c r="HFK28" s="170"/>
      <c r="HFM28" s="170"/>
      <c r="HFO28" s="170"/>
      <c r="HFQ28" s="170"/>
      <c r="HFS28" s="170"/>
      <c r="HFU28" s="170"/>
      <c r="HFW28" s="170"/>
      <c r="HFY28" s="170"/>
      <c r="HGA28" s="170"/>
      <c r="HGC28" s="170"/>
      <c r="HGE28" s="170"/>
      <c r="HGG28" s="170"/>
      <c r="HGI28" s="170"/>
      <c r="HGK28" s="170"/>
      <c r="HGM28" s="170"/>
      <c r="HGO28" s="170"/>
      <c r="HGQ28" s="170"/>
      <c r="HGS28" s="170"/>
      <c r="HGU28" s="170"/>
      <c r="HGW28" s="170"/>
      <c r="HGY28" s="170"/>
      <c r="HHA28" s="170"/>
      <c r="HHC28" s="170"/>
      <c r="HHE28" s="170"/>
      <c r="HHG28" s="170"/>
      <c r="HHI28" s="170"/>
      <c r="HHK28" s="170"/>
      <c r="HHM28" s="170"/>
      <c r="HHO28" s="170"/>
      <c r="HHQ28" s="170"/>
      <c r="HHS28" s="170"/>
      <c r="HHU28" s="170"/>
      <c r="HHW28" s="170"/>
      <c r="HHY28" s="170"/>
      <c r="HIA28" s="170"/>
      <c r="HIC28" s="170"/>
      <c r="HIE28" s="170"/>
      <c r="HIG28" s="170"/>
      <c r="HII28" s="170"/>
      <c r="HIK28" s="170"/>
      <c r="HIM28" s="170"/>
      <c r="HIO28" s="170"/>
      <c r="HIQ28" s="170"/>
      <c r="HIS28" s="170"/>
      <c r="HIU28" s="170"/>
      <c r="HIW28" s="170"/>
      <c r="HIY28" s="170"/>
      <c r="HJA28" s="170"/>
      <c r="HJC28" s="170"/>
      <c r="HJE28" s="170"/>
      <c r="HJG28" s="170"/>
      <c r="HJI28" s="170"/>
      <c r="HJK28" s="170"/>
      <c r="HJM28" s="170"/>
      <c r="HJO28" s="170"/>
      <c r="HJQ28" s="170"/>
      <c r="HJS28" s="170"/>
      <c r="HJU28" s="170"/>
      <c r="HJW28" s="170"/>
      <c r="HJY28" s="170"/>
      <c r="HKA28" s="170"/>
      <c r="HKC28" s="170"/>
      <c r="HKE28" s="170"/>
      <c r="HKG28" s="170"/>
      <c r="HKI28" s="170"/>
      <c r="HKK28" s="170"/>
      <c r="HKM28" s="170"/>
      <c r="HKO28" s="170"/>
      <c r="HKQ28" s="170"/>
      <c r="HKS28" s="170"/>
      <c r="HKU28" s="170"/>
      <c r="HKW28" s="170"/>
      <c r="HKY28" s="170"/>
      <c r="HLA28" s="170"/>
      <c r="HLC28" s="170"/>
      <c r="HLE28" s="170"/>
      <c r="HLG28" s="170"/>
      <c r="HLI28" s="170"/>
      <c r="HLK28" s="170"/>
      <c r="HLM28" s="170"/>
      <c r="HLO28" s="170"/>
      <c r="HLQ28" s="170"/>
      <c r="HLS28" s="170"/>
      <c r="HLU28" s="170"/>
      <c r="HLW28" s="170"/>
      <c r="HLY28" s="170"/>
      <c r="HMA28" s="170"/>
      <c r="HMC28" s="170"/>
      <c r="HME28" s="170"/>
      <c r="HMG28" s="170"/>
      <c r="HMI28" s="170"/>
      <c r="HMK28" s="170"/>
      <c r="HMM28" s="170"/>
      <c r="HMO28" s="170"/>
      <c r="HMQ28" s="170"/>
      <c r="HMS28" s="170"/>
      <c r="HMU28" s="170"/>
      <c r="HMW28" s="170"/>
      <c r="HMY28" s="170"/>
      <c r="HNA28" s="170"/>
      <c r="HNC28" s="170"/>
      <c r="HNE28" s="170"/>
      <c r="HNG28" s="170"/>
      <c r="HNI28" s="170"/>
      <c r="HNK28" s="170"/>
      <c r="HNM28" s="170"/>
      <c r="HNO28" s="170"/>
      <c r="HNQ28" s="170"/>
      <c r="HNS28" s="170"/>
      <c r="HNU28" s="170"/>
      <c r="HNW28" s="170"/>
      <c r="HNY28" s="170"/>
      <c r="HOA28" s="170"/>
      <c r="HOC28" s="170"/>
      <c r="HOE28" s="170"/>
      <c r="HOG28" s="170"/>
      <c r="HOI28" s="170"/>
      <c r="HOK28" s="170"/>
      <c r="HOM28" s="170"/>
      <c r="HOO28" s="170"/>
      <c r="HOQ28" s="170"/>
      <c r="HOS28" s="170"/>
      <c r="HOU28" s="170"/>
      <c r="HOW28" s="170"/>
      <c r="HOY28" s="170"/>
      <c r="HPA28" s="170"/>
      <c r="HPC28" s="170"/>
      <c r="HPE28" s="170"/>
      <c r="HPG28" s="170"/>
      <c r="HPI28" s="170"/>
      <c r="HPK28" s="170"/>
      <c r="HPM28" s="170"/>
      <c r="HPO28" s="170"/>
      <c r="HPQ28" s="170"/>
      <c r="HPS28" s="170"/>
      <c r="HPU28" s="170"/>
      <c r="HPW28" s="170"/>
      <c r="HPY28" s="170"/>
      <c r="HQA28" s="170"/>
      <c r="HQC28" s="170"/>
      <c r="HQE28" s="170"/>
      <c r="HQG28" s="170"/>
      <c r="HQI28" s="170"/>
      <c r="HQK28" s="170"/>
      <c r="HQM28" s="170"/>
      <c r="HQO28" s="170"/>
      <c r="HQQ28" s="170"/>
      <c r="HQS28" s="170"/>
      <c r="HQU28" s="170"/>
      <c r="HQW28" s="170"/>
      <c r="HQY28" s="170"/>
      <c r="HRA28" s="170"/>
      <c r="HRC28" s="170"/>
      <c r="HRE28" s="170"/>
      <c r="HRG28" s="170"/>
      <c r="HRI28" s="170"/>
      <c r="HRK28" s="170"/>
      <c r="HRM28" s="170"/>
      <c r="HRO28" s="170"/>
      <c r="HRQ28" s="170"/>
      <c r="HRS28" s="170"/>
      <c r="HRU28" s="170"/>
      <c r="HRW28" s="170"/>
      <c r="HRY28" s="170"/>
      <c r="HSA28" s="170"/>
      <c r="HSC28" s="170"/>
      <c r="HSE28" s="170"/>
      <c r="HSG28" s="170"/>
      <c r="HSI28" s="170"/>
      <c r="HSK28" s="170"/>
      <c r="HSM28" s="170"/>
      <c r="HSO28" s="170"/>
      <c r="HSQ28" s="170"/>
      <c r="HSS28" s="170"/>
      <c r="HSU28" s="170"/>
      <c r="HSW28" s="170"/>
      <c r="HSY28" s="170"/>
      <c r="HTA28" s="170"/>
      <c r="HTC28" s="170"/>
      <c r="HTE28" s="170"/>
      <c r="HTG28" s="170"/>
      <c r="HTI28" s="170"/>
      <c r="HTK28" s="170"/>
      <c r="HTM28" s="170"/>
      <c r="HTO28" s="170"/>
      <c r="HTQ28" s="170"/>
      <c r="HTS28" s="170"/>
      <c r="HTU28" s="170"/>
      <c r="HTW28" s="170"/>
      <c r="HTY28" s="170"/>
      <c r="HUA28" s="170"/>
      <c r="HUC28" s="170"/>
      <c r="HUE28" s="170"/>
      <c r="HUG28" s="170"/>
      <c r="HUI28" s="170"/>
      <c r="HUK28" s="170"/>
      <c r="HUM28" s="170"/>
      <c r="HUO28" s="170"/>
      <c r="HUQ28" s="170"/>
      <c r="HUS28" s="170"/>
      <c r="HUU28" s="170"/>
      <c r="HUW28" s="170"/>
      <c r="HUY28" s="170"/>
      <c r="HVA28" s="170"/>
      <c r="HVC28" s="170"/>
      <c r="HVE28" s="170"/>
      <c r="HVG28" s="170"/>
      <c r="HVI28" s="170"/>
      <c r="HVK28" s="170"/>
      <c r="HVM28" s="170"/>
      <c r="HVO28" s="170"/>
      <c r="HVQ28" s="170"/>
      <c r="HVS28" s="170"/>
      <c r="HVU28" s="170"/>
      <c r="HVW28" s="170"/>
      <c r="HVY28" s="170"/>
      <c r="HWA28" s="170"/>
      <c r="HWC28" s="170"/>
      <c r="HWE28" s="170"/>
      <c r="HWG28" s="170"/>
      <c r="HWI28" s="170"/>
      <c r="HWK28" s="170"/>
      <c r="HWM28" s="170"/>
      <c r="HWO28" s="170"/>
      <c r="HWQ28" s="170"/>
      <c r="HWS28" s="170"/>
      <c r="HWU28" s="170"/>
      <c r="HWW28" s="170"/>
      <c r="HWY28" s="170"/>
      <c r="HXA28" s="170"/>
      <c r="HXC28" s="170"/>
      <c r="HXE28" s="170"/>
      <c r="HXG28" s="170"/>
      <c r="HXI28" s="170"/>
      <c r="HXK28" s="170"/>
      <c r="HXM28" s="170"/>
      <c r="HXO28" s="170"/>
      <c r="HXQ28" s="170"/>
      <c r="HXS28" s="170"/>
      <c r="HXU28" s="170"/>
      <c r="HXW28" s="170"/>
      <c r="HXY28" s="170"/>
      <c r="HYA28" s="170"/>
      <c r="HYC28" s="170"/>
      <c r="HYE28" s="170"/>
      <c r="HYG28" s="170"/>
      <c r="HYI28" s="170"/>
      <c r="HYK28" s="170"/>
      <c r="HYM28" s="170"/>
      <c r="HYO28" s="170"/>
      <c r="HYQ28" s="170"/>
      <c r="HYS28" s="170"/>
      <c r="HYU28" s="170"/>
      <c r="HYW28" s="170"/>
      <c r="HYY28" s="170"/>
      <c r="HZA28" s="170"/>
      <c r="HZC28" s="170"/>
      <c r="HZE28" s="170"/>
      <c r="HZG28" s="170"/>
      <c r="HZI28" s="170"/>
      <c r="HZK28" s="170"/>
      <c r="HZM28" s="170"/>
      <c r="HZO28" s="170"/>
      <c r="HZQ28" s="170"/>
      <c r="HZS28" s="170"/>
      <c r="HZU28" s="170"/>
      <c r="HZW28" s="170"/>
      <c r="HZY28" s="170"/>
      <c r="IAA28" s="170"/>
      <c r="IAC28" s="170"/>
      <c r="IAE28" s="170"/>
      <c r="IAG28" s="170"/>
      <c r="IAI28" s="170"/>
      <c r="IAK28" s="170"/>
      <c r="IAM28" s="170"/>
      <c r="IAO28" s="170"/>
      <c r="IAQ28" s="170"/>
      <c r="IAS28" s="170"/>
      <c r="IAU28" s="170"/>
      <c r="IAW28" s="170"/>
      <c r="IAY28" s="170"/>
      <c r="IBA28" s="170"/>
      <c r="IBC28" s="170"/>
      <c r="IBE28" s="170"/>
      <c r="IBG28" s="170"/>
      <c r="IBI28" s="170"/>
      <c r="IBK28" s="170"/>
      <c r="IBM28" s="170"/>
      <c r="IBO28" s="170"/>
      <c r="IBQ28" s="170"/>
      <c r="IBS28" s="170"/>
      <c r="IBU28" s="170"/>
      <c r="IBW28" s="170"/>
      <c r="IBY28" s="170"/>
      <c r="ICA28" s="170"/>
      <c r="ICC28" s="170"/>
      <c r="ICE28" s="170"/>
      <c r="ICG28" s="170"/>
      <c r="ICI28" s="170"/>
      <c r="ICK28" s="170"/>
      <c r="ICM28" s="170"/>
      <c r="ICO28" s="170"/>
      <c r="ICQ28" s="170"/>
      <c r="ICS28" s="170"/>
      <c r="ICU28" s="170"/>
      <c r="ICW28" s="170"/>
      <c r="ICY28" s="170"/>
      <c r="IDA28" s="170"/>
      <c r="IDC28" s="170"/>
      <c r="IDE28" s="170"/>
      <c r="IDG28" s="170"/>
      <c r="IDI28" s="170"/>
      <c r="IDK28" s="170"/>
      <c r="IDM28" s="170"/>
      <c r="IDO28" s="170"/>
      <c r="IDQ28" s="170"/>
      <c r="IDS28" s="170"/>
      <c r="IDU28" s="170"/>
      <c r="IDW28" s="170"/>
      <c r="IDY28" s="170"/>
      <c r="IEA28" s="170"/>
      <c r="IEC28" s="170"/>
      <c r="IEE28" s="170"/>
      <c r="IEG28" s="170"/>
      <c r="IEI28" s="170"/>
      <c r="IEK28" s="170"/>
      <c r="IEM28" s="170"/>
      <c r="IEO28" s="170"/>
      <c r="IEQ28" s="170"/>
      <c r="IES28" s="170"/>
      <c r="IEU28" s="170"/>
      <c r="IEW28" s="170"/>
      <c r="IEY28" s="170"/>
      <c r="IFA28" s="170"/>
      <c r="IFC28" s="170"/>
      <c r="IFE28" s="170"/>
      <c r="IFG28" s="170"/>
      <c r="IFI28" s="170"/>
      <c r="IFK28" s="170"/>
      <c r="IFM28" s="170"/>
      <c r="IFO28" s="170"/>
      <c r="IFQ28" s="170"/>
      <c r="IFS28" s="170"/>
      <c r="IFU28" s="170"/>
      <c r="IFW28" s="170"/>
      <c r="IFY28" s="170"/>
      <c r="IGA28" s="170"/>
      <c r="IGC28" s="170"/>
      <c r="IGE28" s="170"/>
      <c r="IGG28" s="170"/>
      <c r="IGI28" s="170"/>
      <c r="IGK28" s="170"/>
      <c r="IGM28" s="170"/>
      <c r="IGO28" s="170"/>
      <c r="IGQ28" s="170"/>
      <c r="IGS28" s="170"/>
      <c r="IGU28" s="170"/>
      <c r="IGW28" s="170"/>
      <c r="IGY28" s="170"/>
      <c r="IHA28" s="170"/>
      <c r="IHC28" s="170"/>
      <c r="IHE28" s="170"/>
      <c r="IHG28" s="170"/>
      <c r="IHI28" s="170"/>
      <c r="IHK28" s="170"/>
      <c r="IHM28" s="170"/>
      <c r="IHO28" s="170"/>
      <c r="IHQ28" s="170"/>
      <c r="IHS28" s="170"/>
      <c r="IHU28" s="170"/>
      <c r="IHW28" s="170"/>
      <c r="IHY28" s="170"/>
      <c r="IIA28" s="170"/>
      <c r="IIC28" s="170"/>
      <c r="IIE28" s="170"/>
      <c r="IIG28" s="170"/>
      <c r="III28" s="170"/>
      <c r="IIK28" s="170"/>
      <c r="IIM28" s="170"/>
      <c r="IIO28" s="170"/>
      <c r="IIQ28" s="170"/>
      <c r="IIS28" s="170"/>
      <c r="IIU28" s="170"/>
      <c r="IIW28" s="170"/>
      <c r="IIY28" s="170"/>
      <c r="IJA28" s="170"/>
      <c r="IJC28" s="170"/>
      <c r="IJE28" s="170"/>
      <c r="IJG28" s="170"/>
      <c r="IJI28" s="170"/>
      <c r="IJK28" s="170"/>
      <c r="IJM28" s="170"/>
      <c r="IJO28" s="170"/>
      <c r="IJQ28" s="170"/>
      <c r="IJS28" s="170"/>
      <c r="IJU28" s="170"/>
      <c r="IJW28" s="170"/>
      <c r="IJY28" s="170"/>
      <c r="IKA28" s="170"/>
      <c r="IKC28" s="170"/>
      <c r="IKE28" s="170"/>
      <c r="IKG28" s="170"/>
      <c r="IKI28" s="170"/>
      <c r="IKK28" s="170"/>
      <c r="IKM28" s="170"/>
      <c r="IKO28" s="170"/>
      <c r="IKQ28" s="170"/>
      <c r="IKS28" s="170"/>
      <c r="IKU28" s="170"/>
      <c r="IKW28" s="170"/>
      <c r="IKY28" s="170"/>
      <c r="ILA28" s="170"/>
      <c r="ILC28" s="170"/>
      <c r="ILE28" s="170"/>
      <c r="ILG28" s="170"/>
      <c r="ILI28" s="170"/>
      <c r="ILK28" s="170"/>
      <c r="ILM28" s="170"/>
      <c r="ILO28" s="170"/>
      <c r="ILQ28" s="170"/>
      <c r="ILS28" s="170"/>
      <c r="ILU28" s="170"/>
      <c r="ILW28" s="170"/>
      <c r="ILY28" s="170"/>
      <c r="IMA28" s="170"/>
      <c r="IMC28" s="170"/>
      <c r="IME28" s="170"/>
      <c r="IMG28" s="170"/>
      <c r="IMI28" s="170"/>
      <c r="IMK28" s="170"/>
      <c r="IMM28" s="170"/>
      <c r="IMO28" s="170"/>
      <c r="IMQ28" s="170"/>
      <c r="IMS28" s="170"/>
      <c r="IMU28" s="170"/>
      <c r="IMW28" s="170"/>
      <c r="IMY28" s="170"/>
      <c r="INA28" s="170"/>
      <c r="INC28" s="170"/>
      <c r="INE28" s="170"/>
      <c r="ING28" s="170"/>
      <c r="INI28" s="170"/>
      <c r="INK28" s="170"/>
      <c r="INM28" s="170"/>
      <c r="INO28" s="170"/>
      <c r="INQ28" s="170"/>
      <c r="INS28" s="170"/>
      <c r="INU28" s="170"/>
      <c r="INW28" s="170"/>
      <c r="INY28" s="170"/>
      <c r="IOA28" s="170"/>
      <c r="IOC28" s="170"/>
      <c r="IOE28" s="170"/>
      <c r="IOG28" s="170"/>
      <c r="IOI28" s="170"/>
      <c r="IOK28" s="170"/>
      <c r="IOM28" s="170"/>
      <c r="IOO28" s="170"/>
      <c r="IOQ28" s="170"/>
      <c r="IOS28" s="170"/>
      <c r="IOU28" s="170"/>
      <c r="IOW28" s="170"/>
      <c r="IOY28" s="170"/>
      <c r="IPA28" s="170"/>
      <c r="IPC28" s="170"/>
      <c r="IPE28" s="170"/>
      <c r="IPG28" s="170"/>
      <c r="IPI28" s="170"/>
      <c r="IPK28" s="170"/>
      <c r="IPM28" s="170"/>
      <c r="IPO28" s="170"/>
      <c r="IPQ28" s="170"/>
      <c r="IPS28" s="170"/>
      <c r="IPU28" s="170"/>
      <c r="IPW28" s="170"/>
      <c r="IPY28" s="170"/>
      <c r="IQA28" s="170"/>
      <c r="IQC28" s="170"/>
      <c r="IQE28" s="170"/>
      <c r="IQG28" s="170"/>
      <c r="IQI28" s="170"/>
      <c r="IQK28" s="170"/>
      <c r="IQM28" s="170"/>
      <c r="IQO28" s="170"/>
      <c r="IQQ28" s="170"/>
      <c r="IQS28" s="170"/>
      <c r="IQU28" s="170"/>
      <c r="IQW28" s="170"/>
      <c r="IQY28" s="170"/>
      <c r="IRA28" s="170"/>
      <c r="IRC28" s="170"/>
      <c r="IRE28" s="170"/>
      <c r="IRG28" s="170"/>
      <c r="IRI28" s="170"/>
      <c r="IRK28" s="170"/>
      <c r="IRM28" s="170"/>
      <c r="IRO28" s="170"/>
      <c r="IRQ28" s="170"/>
      <c r="IRS28" s="170"/>
      <c r="IRU28" s="170"/>
      <c r="IRW28" s="170"/>
      <c r="IRY28" s="170"/>
      <c r="ISA28" s="170"/>
      <c r="ISC28" s="170"/>
      <c r="ISE28" s="170"/>
      <c r="ISG28" s="170"/>
      <c r="ISI28" s="170"/>
      <c r="ISK28" s="170"/>
      <c r="ISM28" s="170"/>
      <c r="ISO28" s="170"/>
      <c r="ISQ28" s="170"/>
      <c r="ISS28" s="170"/>
      <c r="ISU28" s="170"/>
      <c r="ISW28" s="170"/>
      <c r="ISY28" s="170"/>
      <c r="ITA28" s="170"/>
      <c r="ITC28" s="170"/>
      <c r="ITE28" s="170"/>
      <c r="ITG28" s="170"/>
      <c r="ITI28" s="170"/>
      <c r="ITK28" s="170"/>
      <c r="ITM28" s="170"/>
      <c r="ITO28" s="170"/>
      <c r="ITQ28" s="170"/>
      <c r="ITS28" s="170"/>
      <c r="ITU28" s="170"/>
      <c r="ITW28" s="170"/>
      <c r="ITY28" s="170"/>
      <c r="IUA28" s="170"/>
      <c r="IUC28" s="170"/>
      <c r="IUE28" s="170"/>
      <c r="IUG28" s="170"/>
      <c r="IUI28" s="170"/>
      <c r="IUK28" s="170"/>
      <c r="IUM28" s="170"/>
      <c r="IUO28" s="170"/>
      <c r="IUQ28" s="170"/>
      <c r="IUS28" s="170"/>
      <c r="IUU28" s="170"/>
      <c r="IUW28" s="170"/>
      <c r="IUY28" s="170"/>
      <c r="IVA28" s="170"/>
      <c r="IVC28" s="170"/>
      <c r="IVE28" s="170"/>
      <c r="IVG28" s="170"/>
      <c r="IVI28" s="170"/>
      <c r="IVK28" s="170"/>
      <c r="IVM28" s="170"/>
      <c r="IVO28" s="170"/>
      <c r="IVQ28" s="170"/>
      <c r="IVS28" s="170"/>
      <c r="IVU28" s="170"/>
      <c r="IVW28" s="170"/>
      <c r="IVY28" s="170"/>
      <c r="IWA28" s="170"/>
      <c r="IWC28" s="170"/>
      <c r="IWE28" s="170"/>
      <c r="IWG28" s="170"/>
      <c r="IWI28" s="170"/>
      <c r="IWK28" s="170"/>
      <c r="IWM28" s="170"/>
      <c r="IWO28" s="170"/>
      <c r="IWQ28" s="170"/>
      <c r="IWS28" s="170"/>
      <c r="IWU28" s="170"/>
      <c r="IWW28" s="170"/>
      <c r="IWY28" s="170"/>
      <c r="IXA28" s="170"/>
      <c r="IXC28" s="170"/>
      <c r="IXE28" s="170"/>
      <c r="IXG28" s="170"/>
      <c r="IXI28" s="170"/>
      <c r="IXK28" s="170"/>
      <c r="IXM28" s="170"/>
      <c r="IXO28" s="170"/>
      <c r="IXQ28" s="170"/>
      <c r="IXS28" s="170"/>
      <c r="IXU28" s="170"/>
      <c r="IXW28" s="170"/>
      <c r="IXY28" s="170"/>
      <c r="IYA28" s="170"/>
      <c r="IYC28" s="170"/>
      <c r="IYE28" s="170"/>
      <c r="IYG28" s="170"/>
      <c r="IYI28" s="170"/>
      <c r="IYK28" s="170"/>
      <c r="IYM28" s="170"/>
      <c r="IYO28" s="170"/>
      <c r="IYQ28" s="170"/>
      <c r="IYS28" s="170"/>
      <c r="IYU28" s="170"/>
      <c r="IYW28" s="170"/>
      <c r="IYY28" s="170"/>
      <c r="IZA28" s="170"/>
      <c r="IZC28" s="170"/>
      <c r="IZE28" s="170"/>
      <c r="IZG28" s="170"/>
      <c r="IZI28" s="170"/>
      <c r="IZK28" s="170"/>
      <c r="IZM28" s="170"/>
      <c r="IZO28" s="170"/>
      <c r="IZQ28" s="170"/>
      <c r="IZS28" s="170"/>
      <c r="IZU28" s="170"/>
      <c r="IZW28" s="170"/>
      <c r="IZY28" s="170"/>
      <c r="JAA28" s="170"/>
      <c r="JAC28" s="170"/>
      <c r="JAE28" s="170"/>
      <c r="JAG28" s="170"/>
      <c r="JAI28" s="170"/>
      <c r="JAK28" s="170"/>
      <c r="JAM28" s="170"/>
      <c r="JAO28" s="170"/>
      <c r="JAQ28" s="170"/>
      <c r="JAS28" s="170"/>
      <c r="JAU28" s="170"/>
      <c r="JAW28" s="170"/>
      <c r="JAY28" s="170"/>
      <c r="JBA28" s="170"/>
      <c r="JBC28" s="170"/>
      <c r="JBE28" s="170"/>
      <c r="JBG28" s="170"/>
      <c r="JBI28" s="170"/>
      <c r="JBK28" s="170"/>
      <c r="JBM28" s="170"/>
      <c r="JBO28" s="170"/>
      <c r="JBQ28" s="170"/>
      <c r="JBS28" s="170"/>
      <c r="JBU28" s="170"/>
      <c r="JBW28" s="170"/>
      <c r="JBY28" s="170"/>
      <c r="JCA28" s="170"/>
      <c r="JCC28" s="170"/>
      <c r="JCE28" s="170"/>
      <c r="JCG28" s="170"/>
      <c r="JCI28" s="170"/>
      <c r="JCK28" s="170"/>
      <c r="JCM28" s="170"/>
      <c r="JCO28" s="170"/>
      <c r="JCQ28" s="170"/>
      <c r="JCS28" s="170"/>
      <c r="JCU28" s="170"/>
      <c r="JCW28" s="170"/>
      <c r="JCY28" s="170"/>
      <c r="JDA28" s="170"/>
      <c r="JDC28" s="170"/>
      <c r="JDE28" s="170"/>
      <c r="JDG28" s="170"/>
      <c r="JDI28" s="170"/>
      <c r="JDK28" s="170"/>
      <c r="JDM28" s="170"/>
      <c r="JDO28" s="170"/>
      <c r="JDQ28" s="170"/>
      <c r="JDS28" s="170"/>
      <c r="JDU28" s="170"/>
      <c r="JDW28" s="170"/>
      <c r="JDY28" s="170"/>
      <c r="JEA28" s="170"/>
      <c r="JEC28" s="170"/>
      <c r="JEE28" s="170"/>
      <c r="JEG28" s="170"/>
      <c r="JEI28" s="170"/>
      <c r="JEK28" s="170"/>
      <c r="JEM28" s="170"/>
      <c r="JEO28" s="170"/>
      <c r="JEQ28" s="170"/>
      <c r="JES28" s="170"/>
      <c r="JEU28" s="170"/>
      <c r="JEW28" s="170"/>
      <c r="JEY28" s="170"/>
      <c r="JFA28" s="170"/>
      <c r="JFC28" s="170"/>
      <c r="JFE28" s="170"/>
      <c r="JFG28" s="170"/>
      <c r="JFI28" s="170"/>
      <c r="JFK28" s="170"/>
      <c r="JFM28" s="170"/>
      <c r="JFO28" s="170"/>
      <c r="JFQ28" s="170"/>
      <c r="JFS28" s="170"/>
      <c r="JFU28" s="170"/>
      <c r="JFW28" s="170"/>
      <c r="JFY28" s="170"/>
      <c r="JGA28" s="170"/>
      <c r="JGC28" s="170"/>
      <c r="JGE28" s="170"/>
      <c r="JGG28" s="170"/>
      <c r="JGI28" s="170"/>
      <c r="JGK28" s="170"/>
      <c r="JGM28" s="170"/>
      <c r="JGO28" s="170"/>
      <c r="JGQ28" s="170"/>
      <c r="JGS28" s="170"/>
      <c r="JGU28" s="170"/>
      <c r="JGW28" s="170"/>
      <c r="JGY28" s="170"/>
      <c r="JHA28" s="170"/>
      <c r="JHC28" s="170"/>
      <c r="JHE28" s="170"/>
      <c r="JHG28" s="170"/>
      <c r="JHI28" s="170"/>
      <c r="JHK28" s="170"/>
      <c r="JHM28" s="170"/>
      <c r="JHO28" s="170"/>
      <c r="JHQ28" s="170"/>
      <c r="JHS28" s="170"/>
      <c r="JHU28" s="170"/>
      <c r="JHW28" s="170"/>
      <c r="JHY28" s="170"/>
      <c r="JIA28" s="170"/>
      <c r="JIC28" s="170"/>
      <c r="JIE28" s="170"/>
      <c r="JIG28" s="170"/>
      <c r="JII28" s="170"/>
      <c r="JIK28" s="170"/>
      <c r="JIM28" s="170"/>
      <c r="JIO28" s="170"/>
      <c r="JIQ28" s="170"/>
      <c r="JIS28" s="170"/>
      <c r="JIU28" s="170"/>
      <c r="JIW28" s="170"/>
      <c r="JIY28" s="170"/>
      <c r="JJA28" s="170"/>
      <c r="JJC28" s="170"/>
      <c r="JJE28" s="170"/>
      <c r="JJG28" s="170"/>
      <c r="JJI28" s="170"/>
      <c r="JJK28" s="170"/>
      <c r="JJM28" s="170"/>
      <c r="JJO28" s="170"/>
      <c r="JJQ28" s="170"/>
      <c r="JJS28" s="170"/>
      <c r="JJU28" s="170"/>
      <c r="JJW28" s="170"/>
      <c r="JJY28" s="170"/>
      <c r="JKA28" s="170"/>
      <c r="JKC28" s="170"/>
      <c r="JKE28" s="170"/>
      <c r="JKG28" s="170"/>
      <c r="JKI28" s="170"/>
      <c r="JKK28" s="170"/>
      <c r="JKM28" s="170"/>
      <c r="JKO28" s="170"/>
      <c r="JKQ28" s="170"/>
      <c r="JKS28" s="170"/>
      <c r="JKU28" s="170"/>
      <c r="JKW28" s="170"/>
      <c r="JKY28" s="170"/>
      <c r="JLA28" s="170"/>
      <c r="JLC28" s="170"/>
      <c r="JLE28" s="170"/>
      <c r="JLG28" s="170"/>
      <c r="JLI28" s="170"/>
      <c r="JLK28" s="170"/>
      <c r="JLM28" s="170"/>
      <c r="JLO28" s="170"/>
      <c r="JLQ28" s="170"/>
      <c r="JLS28" s="170"/>
      <c r="JLU28" s="170"/>
      <c r="JLW28" s="170"/>
      <c r="JLY28" s="170"/>
      <c r="JMA28" s="170"/>
      <c r="JMC28" s="170"/>
      <c r="JME28" s="170"/>
      <c r="JMG28" s="170"/>
      <c r="JMI28" s="170"/>
      <c r="JMK28" s="170"/>
      <c r="JMM28" s="170"/>
      <c r="JMO28" s="170"/>
      <c r="JMQ28" s="170"/>
      <c r="JMS28" s="170"/>
      <c r="JMU28" s="170"/>
      <c r="JMW28" s="170"/>
      <c r="JMY28" s="170"/>
      <c r="JNA28" s="170"/>
      <c r="JNC28" s="170"/>
      <c r="JNE28" s="170"/>
      <c r="JNG28" s="170"/>
      <c r="JNI28" s="170"/>
      <c r="JNK28" s="170"/>
      <c r="JNM28" s="170"/>
      <c r="JNO28" s="170"/>
      <c r="JNQ28" s="170"/>
      <c r="JNS28" s="170"/>
      <c r="JNU28" s="170"/>
      <c r="JNW28" s="170"/>
      <c r="JNY28" s="170"/>
      <c r="JOA28" s="170"/>
      <c r="JOC28" s="170"/>
      <c r="JOE28" s="170"/>
      <c r="JOG28" s="170"/>
      <c r="JOI28" s="170"/>
      <c r="JOK28" s="170"/>
      <c r="JOM28" s="170"/>
      <c r="JOO28" s="170"/>
      <c r="JOQ28" s="170"/>
      <c r="JOS28" s="170"/>
      <c r="JOU28" s="170"/>
      <c r="JOW28" s="170"/>
      <c r="JOY28" s="170"/>
      <c r="JPA28" s="170"/>
      <c r="JPC28" s="170"/>
      <c r="JPE28" s="170"/>
      <c r="JPG28" s="170"/>
      <c r="JPI28" s="170"/>
      <c r="JPK28" s="170"/>
      <c r="JPM28" s="170"/>
      <c r="JPO28" s="170"/>
      <c r="JPQ28" s="170"/>
      <c r="JPS28" s="170"/>
      <c r="JPU28" s="170"/>
      <c r="JPW28" s="170"/>
      <c r="JPY28" s="170"/>
      <c r="JQA28" s="170"/>
      <c r="JQC28" s="170"/>
      <c r="JQE28" s="170"/>
      <c r="JQG28" s="170"/>
      <c r="JQI28" s="170"/>
      <c r="JQK28" s="170"/>
      <c r="JQM28" s="170"/>
      <c r="JQO28" s="170"/>
      <c r="JQQ28" s="170"/>
      <c r="JQS28" s="170"/>
      <c r="JQU28" s="170"/>
      <c r="JQW28" s="170"/>
      <c r="JQY28" s="170"/>
      <c r="JRA28" s="170"/>
      <c r="JRC28" s="170"/>
      <c r="JRE28" s="170"/>
      <c r="JRG28" s="170"/>
      <c r="JRI28" s="170"/>
      <c r="JRK28" s="170"/>
      <c r="JRM28" s="170"/>
      <c r="JRO28" s="170"/>
      <c r="JRQ28" s="170"/>
      <c r="JRS28" s="170"/>
      <c r="JRU28" s="170"/>
      <c r="JRW28" s="170"/>
      <c r="JRY28" s="170"/>
      <c r="JSA28" s="170"/>
      <c r="JSC28" s="170"/>
      <c r="JSE28" s="170"/>
      <c r="JSG28" s="170"/>
      <c r="JSI28" s="170"/>
      <c r="JSK28" s="170"/>
      <c r="JSM28" s="170"/>
      <c r="JSO28" s="170"/>
      <c r="JSQ28" s="170"/>
      <c r="JSS28" s="170"/>
      <c r="JSU28" s="170"/>
      <c r="JSW28" s="170"/>
      <c r="JSY28" s="170"/>
      <c r="JTA28" s="170"/>
      <c r="JTC28" s="170"/>
      <c r="JTE28" s="170"/>
      <c r="JTG28" s="170"/>
      <c r="JTI28" s="170"/>
      <c r="JTK28" s="170"/>
      <c r="JTM28" s="170"/>
      <c r="JTO28" s="170"/>
      <c r="JTQ28" s="170"/>
      <c r="JTS28" s="170"/>
      <c r="JTU28" s="170"/>
      <c r="JTW28" s="170"/>
      <c r="JTY28" s="170"/>
      <c r="JUA28" s="170"/>
      <c r="JUC28" s="170"/>
      <c r="JUE28" s="170"/>
      <c r="JUG28" s="170"/>
      <c r="JUI28" s="170"/>
      <c r="JUK28" s="170"/>
      <c r="JUM28" s="170"/>
      <c r="JUO28" s="170"/>
      <c r="JUQ28" s="170"/>
      <c r="JUS28" s="170"/>
      <c r="JUU28" s="170"/>
      <c r="JUW28" s="170"/>
      <c r="JUY28" s="170"/>
      <c r="JVA28" s="170"/>
      <c r="JVC28" s="170"/>
      <c r="JVE28" s="170"/>
      <c r="JVG28" s="170"/>
      <c r="JVI28" s="170"/>
      <c r="JVK28" s="170"/>
      <c r="JVM28" s="170"/>
      <c r="JVO28" s="170"/>
      <c r="JVQ28" s="170"/>
      <c r="JVS28" s="170"/>
      <c r="JVU28" s="170"/>
      <c r="JVW28" s="170"/>
      <c r="JVY28" s="170"/>
      <c r="JWA28" s="170"/>
      <c r="JWC28" s="170"/>
      <c r="JWE28" s="170"/>
      <c r="JWG28" s="170"/>
      <c r="JWI28" s="170"/>
      <c r="JWK28" s="170"/>
      <c r="JWM28" s="170"/>
      <c r="JWO28" s="170"/>
      <c r="JWQ28" s="170"/>
      <c r="JWS28" s="170"/>
      <c r="JWU28" s="170"/>
      <c r="JWW28" s="170"/>
      <c r="JWY28" s="170"/>
      <c r="JXA28" s="170"/>
      <c r="JXC28" s="170"/>
      <c r="JXE28" s="170"/>
      <c r="JXG28" s="170"/>
      <c r="JXI28" s="170"/>
      <c r="JXK28" s="170"/>
      <c r="JXM28" s="170"/>
      <c r="JXO28" s="170"/>
      <c r="JXQ28" s="170"/>
      <c r="JXS28" s="170"/>
      <c r="JXU28" s="170"/>
      <c r="JXW28" s="170"/>
      <c r="JXY28" s="170"/>
      <c r="JYA28" s="170"/>
      <c r="JYC28" s="170"/>
      <c r="JYE28" s="170"/>
      <c r="JYG28" s="170"/>
      <c r="JYI28" s="170"/>
      <c r="JYK28" s="170"/>
      <c r="JYM28" s="170"/>
      <c r="JYO28" s="170"/>
      <c r="JYQ28" s="170"/>
      <c r="JYS28" s="170"/>
      <c r="JYU28" s="170"/>
      <c r="JYW28" s="170"/>
      <c r="JYY28" s="170"/>
      <c r="JZA28" s="170"/>
      <c r="JZC28" s="170"/>
      <c r="JZE28" s="170"/>
      <c r="JZG28" s="170"/>
      <c r="JZI28" s="170"/>
      <c r="JZK28" s="170"/>
      <c r="JZM28" s="170"/>
      <c r="JZO28" s="170"/>
      <c r="JZQ28" s="170"/>
      <c r="JZS28" s="170"/>
      <c r="JZU28" s="170"/>
      <c r="JZW28" s="170"/>
      <c r="JZY28" s="170"/>
      <c r="KAA28" s="170"/>
      <c r="KAC28" s="170"/>
      <c r="KAE28" s="170"/>
      <c r="KAG28" s="170"/>
      <c r="KAI28" s="170"/>
      <c r="KAK28" s="170"/>
      <c r="KAM28" s="170"/>
      <c r="KAO28" s="170"/>
      <c r="KAQ28" s="170"/>
      <c r="KAS28" s="170"/>
      <c r="KAU28" s="170"/>
      <c r="KAW28" s="170"/>
      <c r="KAY28" s="170"/>
      <c r="KBA28" s="170"/>
      <c r="KBC28" s="170"/>
      <c r="KBE28" s="170"/>
      <c r="KBG28" s="170"/>
      <c r="KBI28" s="170"/>
      <c r="KBK28" s="170"/>
      <c r="KBM28" s="170"/>
      <c r="KBO28" s="170"/>
      <c r="KBQ28" s="170"/>
      <c r="KBS28" s="170"/>
      <c r="KBU28" s="170"/>
      <c r="KBW28" s="170"/>
      <c r="KBY28" s="170"/>
      <c r="KCA28" s="170"/>
      <c r="KCC28" s="170"/>
      <c r="KCE28" s="170"/>
      <c r="KCG28" s="170"/>
      <c r="KCI28" s="170"/>
      <c r="KCK28" s="170"/>
      <c r="KCM28" s="170"/>
      <c r="KCO28" s="170"/>
      <c r="KCQ28" s="170"/>
      <c r="KCS28" s="170"/>
      <c r="KCU28" s="170"/>
      <c r="KCW28" s="170"/>
      <c r="KCY28" s="170"/>
      <c r="KDA28" s="170"/>
      <c r="KDC28" s="170"/>
      <c r="KDE28" s="170"/>
      <c r="KDG28" s="170"/>
      <c r="KDI28" s="170"/>
      <c r="KDK28" s="170"/>
      <c r="KDM28" s="170"/>
      <c r="KDO28" s="170"/>
      <c r="KDQ28" s="170"/>
      <c r="KDS28" s="170"/>
      <c r="KDU28" s="170"/>
      <c r="KDW28" s="170"/>
      <c r="KDY28" s="170"/>
      <c r="KEA28" s="170"/>
      <c r="KEC28" s="170"/>
      <c r="KEE28" s="170"/>
      <c r="KEG28" s="170"/>
      <c r="KEI28" s="170"/>
      <c r="KEK28" s="170"/>
      <c r="KEM28" s="170"/>
      <c r="KEO28" s="170"/>
      <c r="KEQ28" s="170"/>
      <c r="KES28" s="170"/>
      <c r="KEU28" s="170"/>
      <c r="KEW28" s="170"/>
      <c r="KEY28" s="170"/>
      <c r="KFA28" s="170"/>
      <c r="KFC28" s="170"/>
      <c r="KFE28" s="170"/>
      <c r="KFG28" s="170"/>
      <c r="KFI28" s="170"/>
      <c r="KFK28" s="170"/>
      <c r="KFM28" s="170"/>
      <c r="KFO28" s="170"/>
      <c r="KFQ28" s="170"/>
      <c r="KFS28" s="170"/>
      <c r="KFU28" s="170"/>
      <c r="KFW28" s="170"/>
      <c r="KFY28" s="170"/>
      <c r="KGA28" s="170"/>
      <c r="KGC28" s="170"/>
      <c r="KGE28" s="170"/>
      <c r="KGG28" s="170"/>
      <c r="KGI28" s="170"/>
      <c r="KGK28" s="170"/>
      <c r="KGM28" s="170"/>
      <c r="KGO28" s="170"/>
      <c r="KGQ28" s="170"/>
      <c r="KGS28" s="170"/>
      <c r="KGU28" s="170"/>
      <c r="KGW28" s="170"/>
      <c r="KGY28" s="170"/>
      <c r="KHA28" s="170"/>
      <c r="KHC28" s="170"/>
      <c r="KHE28" s="170"/>
      <c r="KHG28" s="170"/>
      <c r="KHI28" s="170"/>
      <c r="KHK28" s="170"/>
      <c r="KHM28" s="170"/>
      <c r="KHO28" s="170"/>
      <c r="KHQ28" s="170"/>
      <c r="KHS28" s="170"/>
      <c r="KHU28" s="170"/>
      <c r="KHW28" s="170"/>
      <c r="KHY28" s="170"/>
      <c r="KIA28" s="170"/>
      <c r="KIC28" s="170"/>
      <c r="KIE28" s="170"/>
      <c r="KIG28" s="170"/>
      <c r="KII28" s="170"/>
      <c r="KIK28" s="170"/>
      <c r="KIM28" s="170"/>
      <c r="KIO28" s="170"/>
      <c r="KIQ28" s="170"/>
      <c r="KIS28" s="170"/>
      <c r="KIU28" s="170"/>
      <c r="KIW28" s="170"/>
      <c r="KIY28" s="170"/>
      <c r="KJA28" s="170"/>
      <c r="KJC28" s="170"/>
      <c r="KJE28" s="170"/>
      <c r="KJG28" s="170"/>
      <c r="KJI28" s="170"/>
      <c r="KJK28" s="170"/>
      <c r="KJM28" s="170"/>
      <c r="KJO28" s="170"/>
      <c r="KJQ28" s="170"/>
      <c r="KJS28" s="170"/>
      <c r="KJU28" s="170"/>
      <c r="KJW28" s="170"/>
      <c r="KJY28" s="170"/>
      <c r="KKA28" s="170"/>
      <c r="KKC28" s="170"/>
      <c r="KKE28" s="170"/>
      <c r="KKG28" s="170"/>
      <c r="KKI28" s="170"/>
      <c r="KKK28" s="170"/>
      <c r="KKM28" s="170"/>
      <c r="KKO28" s="170"/>
      <c r="KKQ28" s="170"/>
      <c r="KKS28" s="170"/>
      <c r="KKU28" s="170"/>
      <c r="KKW28" s="170"/>
      <c r="KKY28" s="170"/>
      <c r="KLA28" s="170"/>
      <c r="KLC28" s="170"/>
      <c r="KLE28" s="170"/>
      <c r="KLG28" s="170"/>
      <c r="KLI28" s="170"/>
      <c r="KLK28" s="170"/>
      <c r="KLM28" s="170"/>
      <c r="KLO28" s="170"/>
      <c r="KLQ28" s="170"/>
      <c r="KLS28" s="170"/>
      <c r="KLU28" s="170"/>
      <c r="KLW28" s="170"/>
      <c r="KLY28" s="170"/>
      <c r="KMA28" s="170"/>
      <c r="KMC28" s="170"/>
      <c r="KME28" s="170"/>
      <c r="KMG28" s="170"/>
      <c r="KMI28" s="170"/>
      <c r="KMK28" s="170"/>
      <c r="KMM28" s="170"/>
      <c r="KMO28" s="170"/>
      <c r="KMQ28" s="170"/>
      <c r="KMS28" s="170"/>
      <c r="KMU28" s="170"/>
      <c r="KMW28" s="170"/>
      <c r="KMY28" s="170"/>
      <c r="KNA28" s="170"/>
      <c r="KNC28" s="170"/>
      <c r="KNE28" s="170"/>
      <c r="KNG28" s="170"/>
      <c r="KNI28" s="170"/>
      <c r="KNK28" s="170"/>
      <c r="KNM28" s="170"/>
      <c r="KNO28" s="170"/>
      <c r="KNQ28" s="170"/>
      <c r="KNS28" s="170"/>
      <c r="KNU28" s="170"/>
      <c r="KNW28" s="170"/>
      <c r="KNY28" s="170"/>
      <c r="KOA28" s="170"/>
      <c r="KOC28" s="170"/>
      <c r="KOE28" s="170"/>
      <c r="KOG28" s="170"/>
      <c r="KOI28" s="170"/>
      <c r="KOK28" s="170"/>
      <c r="KOM28" s="170"/>
      <c r="KOO28" s="170"/>
      <c r="KOQ28" s="170"/>
      <c r="KOS28" s="170"/>
      <c r="KOU28" s="170"/>
      <c r="KOW28" s="170"/>
      <c r="KOY28" s="170"/>
      <c r="KPA28" s="170"/>
      <c r="KPC28" s="170"/>
      <c r="KPE28" s="170"/>
      <c r="KPG28" s="170"/>
      <c r="KPI28" s="170"/>
      <c r="KPK28" s="170"/>
      <c r="KPM28" s="170"/>
      <c r="KPO28" s="170"/>
      <c r="KPQ28" s="170"/>
      <c r="KPS28" s="170"/>
      <c r="KPU28" s="170"/>
      <c r="KPW28" s="170"/>
      <c r="KPY28" s="170"/>
      <c r="KQA28" s="170"/>
      <c r="KQC28" s="170"/>
      <c r="KQE28" s="170"/>
      <c r="KQG28" s="170"/>
      <c r="KQI28" s="170"/>
      <c r="KQK28" s="170"/>
      <c r="KQM28" s="170"/>
      <c r="KQO28" s="170"/>
      <c r="KQQ28" s="170"/>
      <c r="KQS28" s="170"/>
      <c r="KQU28" s="170"/>
      <c r="KQW28" s="170"/>
      <c r="KQY28" s="170"/>
      <c r="KRA28" s="170"/>
      <c r="KRC28" s="170"/>
      <c r="KRE28" s="170"/>
      <c r="KRG28" s="170"/>
      <c r="KRI28" s="170"/>
      <c r="KRK28" s="170"/>
      <c r="KRM28" s="170"/>
      <c r="KRO28" s="170"/>
      <c r="KRQ28" s="170"/>
      <c r="KRS28" s="170"/>
      <c r="KRU28" s="170"/>
      <c r="KRW28" s="170"/>
      <c r="KRY28" s="170"/>
      <c r="KSA28" s="170"/>
      <c r="KSC28" s="170"/>
      <c r="KSE28" s="170"/>
      <c r="KSG28" s="170"/>
      <c r="KSI28" s="170"/>
      <c r="KSK28" s="170"/>
      <c r="KSM28" s="170"/>
      <c r="KSO28" s="170"/>
      <c r="KSQ28" s="170"/>
      <c r="KSS28" s="170"/>
      <c r="KSU28" s="170"/>
      <c r="KSW28" s="170"/>
      <c r="KSY28" s="170"/>
      <c r="KTA28" s="170"/>
      <c r="KTC28" s="170"/>
      <c r="KTE28" s="170"/>
      <c r="KTG28" s="170"/>
      <c r="KTI28" s="170"/>
      <c r="KTK28" s="170"/>
      <c r="KTM28" s="170"/>
      <c r="KTO28" s="170"/>
      <c r="KTQ28" s="170"/>
      <c r="KTS28" s="170"/>
      <c r="KTU28" s="170"/>
      <c r="KTW28" s="170"/>
      <c r="KTY28" s="170"/>
      <c r="KUA28" s="170"/>
      <c r="KUC28" s="170"/>
      <c r="KUE28" s="170"/>
      <c r="KUG28" s="170"/>
      <c r="KUI28" s="170"/>
      <c r="KUK28" s="170"/>
      <c r="KUM28" s="170"/>
      <c r="KUO28" s="170"/>
      <c r="KUQ28" s="170"/>
      <c r="KUS28" s="170"/>
      <c r="KUU28" s="170"/>
      <c r="KUW28" s="170"/>
      <c r="KUY28" s="170"/>
      <c r="KVA28" s="170"/>
      <c r="KVC28" s="170"/>
      <c r="KVE28" s="170"/>
      <c r="KVG28" s="170"/>
      <c r="KVI28" s="170"/>
      <c r="KVK28" s="170"/>
      <c r="KVM28" s="170"/>
      <c r="KVO28" s="170"/>
      <c r="KVQ28" s="170"/>
      <c r="KVS28" s="170"/>
      <c r="KVU28" s="170"/>
      <c r="KVW28" s="170"/>
      <c r="KVY28" s="170"/>
      <c r="KWA28" s="170"/>
      <c r="KWC28" s="170"/>
      <c r="KWE28" s="170"/>
      <c r="KWG28" s="170"/>
      <c r="KWI28" s="170"/>
      <c r="KWK28" s="170"/>
      <c r="KWM28" s="170"/>
      <c r="KWO28" s="170"/>
      <c r="KWQ28" s="170"/>
      <c r="KWS28" s="170"/>
      <c r="KWU28" s="170"/>
      <c r="KWW28" s="170"/>
      <c r="KWY28" s="170"/>
      <c r="KXA28" s="170"/>
      <c r="KXC28" s="170"/>
      <c r="KXE28" s="170"/>
      <c r="KXG28" s="170"/>
      <c r="KXI28" s="170"/>
      <c r="KXK28" s="170"/>
      <c r="KXM28" s="170"/>
      <c r="KXO28" s="170"/>
      <c r="KXQ28" s="170"/>
      <c r="KXS28" s="170"/>
      <c r="KXU28" s="170"/>
      <c r="KXW28" s="170"/>
      <c r="KXY28" s="170"/>
      <c r="KYA28" s="170"/>
      <c r="KYC28" s="170"/>
      <c r="KYE28" s="170"/>
      <c r="KYG28" s="170"/>
      <c r="KYI28" s="170"/>
      <c r="KYK28" s="170"/>
      <c r="KYM28" s="170"/>
      <c r="KYO28" s="170"/>
      <c r="KYQ28" s="170"/>
      <c r="KYS28" s="170"/>
      <c r="KYU28" s="170"/>
      <c r="KYW28" s="170"/>
      <c r="KYY28" s="170"/>
      <c r="KZA28" s="170"/>
      <c r="KZC28" s="170"/>
      <c r="KZE28" s="170"/>
      <c r="KZG28" s="170"/>
      <c r="KZI28" s="170"/>
      <c r="KZK28" s="170"/>
      <c r="KZM28" s="170"/>
      <c r="KZO28" s="170"/>
      <c r="KZQ28" s="170"/>
      <c r="KZS28" s="170"/>
      <c r="KZU28" s="170"/>
      <c r="KZW28" s="170"/>
      <c r="KZY28" s="170"/>
      <c r="LAA28" s="170"/>
      <c r="LAC28" s="170"/>
      <c r="LAE28" s="170"/>
      <c r="LAG28" s="170"/>
      <c r="LAI28" s="170"/>
      <c r="LAK28" s="170"/>
      <c r="LAM28" s="170"/>
      <c r="LAO28" s="170"/>
      <c r="LAQ28" s="170"/>
      <c r="LAS28" s="170"/>
      <c r="LAU28" s="170"/>
      <c r="LAW28" s="170"/>
      <c r="LAY28" s="170"/>
      <c r="LBA28" s="170"/>
      <c r="LBC28" s="170"/>
      <c r="LBE28" s="170"/>
      <c r="LBG28" s="170"/>
      <c r="LBI28" s="170"/>
      <c r="LBK28" s="170"/>
      <c r="LBM28" s="170"/>
      <c r="LBO28" s="170"/>
      <c r="LBQ28" s="170"/>
      <c r="LBS28" s="170"/>
      <c r="LBU28" s="170"/>
      <c r="LBW28" s="170"/>
      <c r="LBY28" s="170"/>
      <c r="LCA28" s="170"/>
      <c r="LCC28" s="170"/>
      <c r="LCE28" s="170"/>
      <c r="LCG28" s="170"/>
      <c r="LCI28" s="170"/>
      <c r="LCK28" s="170"/>
      <c r="LCM28" s="170"/>
      <c r="LCO28" s="170"/>
      <c r="LCQ28" s="170"/>
      <c r="LCS28" s="170"/>
      <c r="LCU28" s="170"/>
      <c r="LCW28" s="170"/>
      <c r="LCY28" s="170"/>
      <c r="LDA28" s="170"/>
      <c r="LDC28" s="170"/>
      <c r="LDE28" s="170"/>
      <c r="LDG28" s="170"/>
      <c r="LDI28" s="170"/>
      <c r="LDK28" s="170"/>
      <c r="LDM28" s="170"/>
      <c r="LDO28" s="170"/>
      <c r="LDQ28" s="170"/>
      <c r="LDS28" s="170"/>
      <c r="LDU28" s="170"/>
      <c r="LDW28" s="170"/>
      <c r="LDY28" s="170"/>
      <c r="LEA28" s="170"/>
      <c r="LEC28" s="170"/>
      <c r="LEE28" s="170"/>
      <c r="LEG28" s="170"/>
      <c r="LEI28" s="170"/>
      <c r="LEK28" s="170"/>
      <c r="LEM28" s="170"/>
      <c r="LEO28" s="170"/>
      <c r="LEQ28" s="170"/>
      <c r="LES28" s="170"/>
      <c r="LEU28" s="170"/>
      <c r="LEW28" s="170"/>
      <c r="LEY28" s="170"/>
      <c r="LFA28" s="170"/>
      <c r="LFC28" s="170"/>
      <c r="LFE28" s="170"/>
      <c r="LFG28" s="170"/>
      <c r="LFI28" s="170"/>
      <c r="LFK28" s="170"/>
      <c r="LFM28" s="170"/>
      <c r="LFO28" s="170"/>
      <c r="LFQ28" s="170"/>
      <c r="LFS28" s="170"/>
      <c r="LFU28" s="170"/>
      <c r="LFW28" s="170"/>
      <c r="LFY28" s="170"/>
      <c r="LGA28" s="170"/>
      <c r="LGC28" s="170"/>
      <c r="LGE28" s="170"/>
      <c r="LGG28" s="170"/>
      <c r="LGI28" s="170"/>
      <c r="LGK28" s="170"/>
      <c r="LGM28" s="170"/>
      <c r="LGO28" s="170"/>
      <c r="LGQ28" s="170"/>
      <c r="LGS28" s="170"/>
      <c r="LGU28" s="170"/>
      <c r="LGW28" s="170"/>
      <c r="LGY28" s="170"/>
      <c r="LHA28" s="170"/>
      <c r="LHC28" s="170"/>
      <c r="LHE28" s="170"/>
      <c r="LHG28" s="170"/>
      <c r="LHI28" s="170"/>
      <c r="LHK28" s="170"/>
      <c r="LHM28" s="170"/>
      <c r="LHO28" s="170"/>
      <c r="LHQ28" s="170"/>
      <c r="LHS28" s="170"/>
      <c r="LHU28" s="170"/>
      <c r="LHW28" s="170"/>
      <c r="LHY28" s="170"/>
      <c r="LIA28" s="170"/>
      <c r="LIC28" s="170"/>
      <c r="LIE28" s="170"/>
      <c r="LIG28" s="170"/>
      <c r="LII28" s="170"/>
      <c r="LIK28" s="170"/>
      <c r="LIM28" s="170"/>
      <c r="LIO28" s="170"/>
      <c r="LIQ28" s="170"/>
      <c r="LIS28" s="170"/>
      <c r="LIU28" s="170"/>
      <c r="LIW28" s="170"/>
      <c r="LIY28" s="170"/>
      <c r="LJA28" s="170"/>
      <c r="LJC28" s="170"/>
      <c r="LJE28" s="170"/>
      <c r="LJG28" s="170"/>
      <c r="LJI28" s="170"/>
      <c r="LJK28" s="170"/>
      <c r="LJM28" s="170"/>
      <c r="LJO28" s="170"/>
      <c r="LJQ28" s="170"/>
      <c r="LJS28" s="170"/>
      <c r="LJU28" s="170"/>
      <c r="LJW28" s="170"/>
      <c r="LJY28" s="170"/>
      <c r="LKA28" s="170"/>
      <c r="LKC28" s="170"/>
      <c r="LKE28" s="170"/>
      <c r="LKG28" s="170"/>
      <c r="LKI28" s="170"/>
      <c r="LKK28" s="170"/>
      <c r="LKM28" s="170"/>
      <c r="LKO28" s="170"/>
      <c r="LKQ28" s="170"/>
      <c r="LKS28" s="170"/>
      <c r="LKU28" s="170"/>
      <c r="LKW28" s="170"/>
      <c r="LKY28" s="170"/>
      <c r="LLA28" s="170"/>
      <c r="LLC28" s="170"/>
      <c r="LLE28" s="170"/>
      <c r="LLG28" s="170"/>
      <c r="LLI28" s="170"/>
      <c r="LLK28" s="170"/>
      <c r="LLM28" s="170"/>
      <c r="LLO28" s="170"/>
      <c r="LLQ28" s="170"/>
      <c r="LLS28" s="170"/>
      <c r="LLU28" s="170"/>
      <c r="LLW28" s="170"/>
      <c r="LLY28" s="170"/>
      <c r="LMA28" s="170"/>
      <c r="LMC28" s="170"/>
      <c r="LME28" s="170"/>
      <c r="LMG28" s="170"/>
      <c r="LMI28" s="170"/>
      <c r="LMK28" s="170"/>
      <c r="LMM28" s="170"/>
      <c r="LMO28" s="170"/>
      <c r="LMQ28" s="170"/>
      <c r="LMS28" s="170"/>
      <c r="LMU28" s="170"/>
      <c r="LMW28" s="170"/>
      <c r="LMY28" s="170"/>
      <c r="LNA28" s="170"/>
      <c r="LNC28" s="170"/>
      <c r="LNE28" s="170"/>
      <c r="LNG28" s="170"/>
      <c r="LNI28" s="170"/>
      <c r="LNK28" s="170"/>
      <c r="LNM28" s="170"/>
      <c r="LNO28" s="170"/>
      <c r="LNQ28" s="170"/>
      <c r="LNS28" s="170"/>
      <c r="LNU28" s="170"/>
      <c r="LNW28" s="170"/>
      <c r="LNY28" s="170"/>
      <c r="LOA28" s="170"/>
      <c r="LOC28" s="170"/>
      <c r="LOE28" s="170"/>
      <c r="LOG28" s="170"/>
      <c r="LOI28" s="170"/>
      <c r="LOK28" s="170"/>
      <c r="LOM28" s="170"/>
      <c r="LOO28" s="170"/>
      <c r="LOQ28" s="170"/>
      <c r="LOS28" s="170"/>
      <c r="LOU28" s="170"/>
      <c r="LOW28" s="170"/>
      <c r="LOY28" s="170"/>
      <c r="LPA28" s="170"/>
      <c r="LPC28" s="170"/>
      <c r="LPE28" s="170"/>
      <c r="LPG28" s="170"/>
      <c r="LPI28" s="170"/>
      <c r="LPK28" s="170"/>
      <c r="LPM28" s="170"/>
      <c r="LPO28" s="170"/>
      <c r="LPQ28" s="170"/>
      <c r="LPS28" s="170"/>
      <c r="LPU28" s="170"/>
      <c r="LPW28" s="170"/>
      <c r="LPY28" s="170"/>
      <c r="LQA28" s="170"/>
      <c r="LQC28" s="170"/>
      <c r="LQE28" s="170"/>
      <c r="LQG28" s="170"/>
      <c r="LQI28" s="170"/>
      <c r="LQK28" s="170"/>
      <c r="LQM28" s="170"/>
      <c r="LQO28" s="170"/>
      <c r="LQQ28" s="170"/>
      <c r="LQS28" s="170"/>
      <c r="LQU28" s="170"/>
      <c r="LQW28" s="170"/>
      <c r="LQY28" s="170"/>
      <c r="LRA28" s="170"/>
      <c r="LRC28" s="170"/>
      <c r="LRE28" s="170"/>
      <c r="LRG28" s="170"/>
      <c r="LRI28" s="170"/>
      <c r="LRK28" s="170"/>
      <c r="LRM28" s="170"/>
      <c r="LRO28" s="170"/>
      <c r="LRQ28" s="170"/>
      <c r="LRS28" s="170"/>
      <c r="LRU28" s="170"/>
      <c r="LRW28" s="170"/>
      <c r="LRY28" s="170"/>
      <c r="LSA28" s="170"/>
      <c r="LSC28" s="170"/>
      <c r="LSE28" s="170"/>
      <c r="LSG28" s="170"/>
      <c r="LSI28" s="170"/>
      <c r="LSK28" s="170"/>
      <c r="LSM28" s="170"/>
      <c r="LSO28" s="170"/>
      <c r="LSQ28" s="170"/>
      <c r="LSS28" s="170"/>
      <c r="LSU28" s="170"/>
      <c r="LSW28" s="170"/>
      <c r="LSY28" s="170"/>
      <c r="LTA28" s="170"/>
      <c r="LTC28" s="170"/>
      <c r="LTE28" s="170"/>
      <c r="LTG28" s="170"/>
      <c r="LTI28" s="170"/>
      <c r="LTK28" s="170"/>
      <c r="LTM28" s="170"/>
      <c r="LTO28" s="170"/>
      <c r="LTQ28" s="170"/>
      <c r="LTS28" s="170"/>
      <c r="LTU28" s="170"/>
      <c r="LTW28" s="170"/>
      <c r="LTY28" s="170"/>
      <c r="LUA28" s="170"/>
      <c r="LUC28" s="170"/>
      <c r="LUE28" s="170"/>
      <c r="LUG28" s="170"/>
      <c r="LUI28" s="170"/>
      <c r="LUK28" s="170"/>
      <c r="LUM28" s="170"/>
      <c r="LUO28" s="170"/>
      <c r="LUQ28" s="170"/>
      <c r="LUS28" s="170"/>
      <c r="LUU28" s="170"/>
      <c r="LUW28" s="170"/>
      <c r="LUY28" s="170"/>
      <c r="LVA28" s="170"/>
      <c r="LVC28" s="170"/>
      <c r="LVE28" s="170"/>
      <c r="LVG28" s="170"/>
      <c r="LVI28" s="170"/>
      <c r="LVK28" s="170"/>
      <c r="LVM28" s="170"/>
      <c r="LVO28" s="170"/>
      <c r="LVQ28" s="170"/>
      <c r="LVS28" s="170"/>
      <c r="LVU28" s="170"/>
      <c r="LVW28" s="170"/>
      <c r="LVY28" s="170"/>
      <c r="LWA28" s="170"/>
      <c r="LWC28" s="170"/>
      <c r="LWE28" s="170"/>
      <c r="LWG28" s="170"/>
      <c r="LWI28" s="170"/>
      <c r="LWK28" s="170"/>
      <c r="LWM28" s="170"/>
      <c r="LWO28" s="170"/>
      <c r="LWQ28" s="170"/>
      <c r="LWS28" s="170"/>
      <c r="LWU28" s="170"/>
      <c r="LWW28" s="170"/>
      <c r="LWY28" s="170"/>
      <c r="LXA28" s="170"/>
      <c r="LXC28" s="170"/>
      <c r="LXE28" s="170"/>
      <c r="LXG28" s="170"/>
      <c r="LXI28" s="170"/>
      <c r="LXK28" s="170"/>
      <c r="LXM28" s="170"/>
      <c r="LXO28" s="170"/>
      <c r="LXQ28" s="170"/>
      <c r="LXS28" s="170"/>
      <c r="LXU28" s="170"/>
      <c r="LXW28" s="170"/>
      <c r="LXY28" s="170"/>
      <c r="LYA28" s="170"/>
      <c r="LYC28" s="170"/>
      <c r="LYE28" s="170"/>
      <c r="LYG28" s="170"/>
      <c r="LYI28" s="170"/>
      <c r="LYK28" s="170"/>
      <c r="LYM28" s="170"/>
      <c r="LYO28" s="170"/>
      <c r="LYQ28" s="170"/>
      <c r="LYS28" s="170"/>
      <c r="LYU28" s="170"/>
      <c r="LYW28" s="170"/>
      <c r="LYY28" s="170"/>
      <c r="LZA28" s="170"/>
      <c r="LZC28" s="170"/>
      <c r="LZE28" s="170"/>
      <c r="LZG28" s="170"/>
      <c r="LZI28" s="170"/>
      <c r="LZK28" s="170"/>
      <c r="LZM28" s="170"/>
      <c r="LZO28" s="170"/>
      <c r="LZQ28" s="170"/>
      <c r="LZS28" s="170"/>
      <c r="LZU28" s="170"/>
      <c r="LZW28" s="170"/>
      <c r="LZY28" s="170"/>
      <c r="MAA28" s="170"/>
      <c r="MAC28" s="170"/>
      <c r="MAE28" s="170"/>
      <c r="MAG28" s="170"/>
      <c r="MAI28" s="170"/>
      <c r="MAK28" s="170"/>
      <c r="MAM28" s="170"/>
      <c r="MAO28" s="170"/>
      <c r="MAQ28" s="170"/>
      <c r="MAS28" s="170"/>
      <c r="MAU28" s="170"/>
      <c r="MAW28" s="170"/>
      <c r="MAY28" s="170"/>
      <c r="MBA28" s="170"/>
      <c r="MBC28" s="170"/>
      <c r="MBE28" s="170"/>
      <c r="MBG28" s="170"/>
      <c r="MBI28" s="170"/>
      <c r="MBK28" s="170"/>
      <c r="MBM28" s="170"/>
      <c r="MBO28" s="170"/>
      <c r="MBQ28" s="170"/>
      <c r="MBS28" s="170"/>
      <c r="MBU28" s="170"/>
      <c r="MBW28" s="170"/>
      <c r="MBY28" s="170"/>
      <c r="MCA28" s="170"/>
      <c r="MCC28" s="170"/>
      <c r="MCE28" s="170"/>
      <c r="MCG28" s="170"/>
      <c r="MCI28" s="170"/>
      <c r="MCK28" s="170"/>
      <c r="MCM28" s="170"/>
      <c r="MCO28" s="170"/>
      <c r="MCQ28" s="170"/>
      <c r="MCS28" s="170"/>
      <c r="MCU28" s="170"/>
      <c r="MCW28" s="170"/>
      <c r="MCY28" s="170"/>
      <c r="MDA28" s="170"/>
      <c r="MDC28" s="170"/>
      <c r="MDE28" s="170"/>
      <c r="MDG28" s="170"/>
      <c r="MDI28" s="170"/>
      <c r="MDK28" s="170"/>
      <c r="MDM28" s="170"/>
      <c r="MDO28" s="170"/>
      <c r="MDQ28" s="170"/>
      <c r="MDS28" s="170"/>
      <c r="MDU28" s="170"/>
      <c r="MDW28" s="170"/>
      <c r="MDY28" s="170"/>
      <c r="MEA28" s="170"/>
      <c r="MEC28" s="170"/>
      <c r="MEE28" s="170"/>
      <c r="MEG28" s="170"/>
      <c r="MEI28" s="170"/>
      <c r="MEK28" s="170"/>
      <c r="MEM28" s="170"/>
      <c r="MEO28" s="170"/>
      <c r="MEQ28" s="170"/>
      <c r="MES28" s="170"/>
      <c r="MEU28" s="170"/>
      <c r="MEW28" s="170"/>
      <c r="MEY28" s="170"/>
      <c r="MFA28" s="170"/>
      <c r="MFC28" s="170"/>
      <c r="MFE28" s="170"/>
      <c r="MFG28" s="170"/>
      <c r="MFI28" s="170"/>
      <c r="MFK28" s="170"/>
      <c r="MFM28" s="170"/>
      <c r="MFO28" s="170"/>
      <c r="MFQ28" s="170"/>
      <c r="MFS28" s="170"/>
      <c r="MFU28" s="170"/>
      <c r="MFW28" s="170"/>
      <c r="MFY28" s="170"/>
      <c r="MGA28" s="170"/>
      <c r="MGC28" s="170"/>
      <c r="MGE28" s="170"/>
      <c r="MGG28" s="170"/>
      <c r="MGI28" s="170"/>
      <c r="MGK28" s="170"/>
      <c r="MGM28" s="170"/>
      <c r="MGO28" s="170"/>
      <c r="MGQ28" s="170"/>
      <c r="MGS28" s="170"/>
      <c r="MGU28" s="170"/>
      <c r="MGW28" s="170"/>
      <c r="MGY28" s="170"/>
      <c r="MHA28" s="170"/>
      <c r="MHC28" s="170"/>
      <c r="MHE28" s="170"/>
      <c r="MHG28" s="170"/>
      <c r="MHI28" s="170"/>
      <c r="MHK28" s="170"/>
      <c r="MHM28" s="170"/>
      <c r="MHO28" s="170"/>
      <c r="MHQ28" s="170"/>
      <c r="MHS28" s="170"/>
      <c r="MHU28" s="170"/>
      <c r="MHW28" s="170"/>
      <c r="MHY28" s="170"/>
      <c r="MIA28" s="170"/>
      <c r="MIC28" s="170"/>
      <c r="MIE28" s="170"/>
      <c r="MIG28" s="170"/>
      <c r="MII28" s="170"/>
      <c r="MIK28" s="170"/>
      <c r="MIM28" s="170"/>
      <c r="MIO28" s="170"/>
      <c r="MIQ28" s="170"/>
      <c r="MIS28" s="170"/>
      <c r="MIU28" s="170"/>
      <c r="MIW28" s="170"/>
      <c r="MIY28" s="170"/>
      <c r="MJA28" s="170"/>
      <c r="MJC28" s="170"/>
      <c r="MJE28" s="170"/>
      <c r="MJG28" s="170"/>
      <c r="MJI28" s="170"/>
      <c r="MJK28" s="170"/>
      <c r="MJM28" s="170"/>
      <c r="MJO28" s="170"/>
      <c r="MJQ28" s="170"/>
      <c r="MJS28" s="170"/>
      <c r="MJU28" s="170"/>
      <c r="MJW28" s="170"/>
      <c r="MJY28" s="170"/>
      <c r="MKA28" s="170"/>
      <c r="MKC28" s="170"/>
      <c r="MKE28" s="170"/>
      <c r="MKG28" s="170"/>
      <c r="MKI28" s="170"/>
      <c r="MKK28" s="170"/>
      <c r="MKM28" s="170"/>
      <c r="MKO28" s="170"/>
      <c r="MKQ28" s="170"/>
      <c r="MKS28" s="170"/>
      <c r="MKU28" s="170"/>
      <c r="MKW28" s="170"/>
      <c r="MKY28" s="170"/>
      <c r="MLA28" s="170"/>
      <c r="MLC28" s="170"/>
      <c r="MLE28" s="170"/>
      <c r="MLG28" s="170"/>
      <c r="MLI28" s="170"/>
      <c r="MLK28" s="170"/>
      <c r="MLM28" s="170"/>
      <c r="MLO28" s="170"/>
      <c r="MLQ28" s="170"/>
      <c r="MLS28" s="170"/>
      <c r="MLU28" s="170"/>
      <c r="MLW28" s="170"/>
      <c r="MLY28" s="170"/>
      <c r="MMA28" s="170"/>
      <c r="MMC28" s="170"/>
      <c r="MME28" s="170"/>
      <c r="MMG28" s="170"/>
      <c r="MMI28" s="170"/>
      <c r="MMK28" s="170"/>
      <c r="MMM28" s="170"/>
      <c r="MMO28" s="170"/>
      <c r="MMQ28" s="170"/>
      <c r="MMS28" s="170"/>
      <c r="MMU28" s="170"/>
      <c r="MMW28" s="170"/>
      <c r="MMY28" s="170"/>
      <c r="MNA28" s="170"/>
      <c r="MNC28" s="170"/>
      <c r="MNE28" s="170"/>
      <c r="MNG28" s="170"/>
      <c r="MNI28" s="170"/>
      <c r="MNK28" s="170"/>
      <c r="MNM28" s="170"/>
      <c r="MNO28" s="170"/>
      <c r="MNQ28" s="170"/>
      <c r="MNS28" s="170"/>
      <c r="MNU28" s="170"/>
      <c r="MNW28" s="170"/>
      <c r="MNY28" s="170"/>
      <c r="MOA28" s="170"/>
      <c r="MOC28" s="170"/>
      <c r="MOE28" s="170"/>
      <c r="MOG28" s="170"/>
      <c r="MOI28" s="170"/>
      <c r="MOK28" s="170"/>
      <c r="MOM28" s="170"/>
      <c r="MOO28" s="170"/>
      <c r="MOQ28" s="170"/>
      <c r="MOS28" s="170"/>
      <c r="MOU28" s="170"/>
      <c r="MOW28" s="170"/>
      <c r="MOY28" s="170"/>
      <c r="MPA28" s="170"/>
      <c r="MPC28" s="170"/>
      <c r="MPE28" s="170"/>
      <c r="MPG28" s="170"/>
      <c r="MPI28" s="170"/>
      <c r="MPK28" s="170"/>
      <c r="MPM28" s="170"/>
      <c r="MPO28" s="170"/>
      <c r="MPQ28" s="170"/>
      <c r="MPS28" s="170"/>
      <c r="MPU28" s="170"/>
      <c r="MPW28" s="170"/>
      <c r="MPY28" s="170"/>
      <c r="MQA28" s="170"/>
      <c r="MQC28" s="170"/>
      <c r="MQE28" s="170"/>
      <c r="MQG28" s="170"/>
      <c r="MQI28" s="170"/>
      <c r="MQK28" s="170"/>
      <c r="MQM28" s="170"/>
      <c r="MQO28" s="170"/>
      <c r="MQQ28" s="170"/>
      <c r="MQS28" s="170"/>
      <c r="MQU28" s="170"/>
      <c r="MQW28" s="170"/>
      <c r="MQY28" s="170"/>
      <c r="MRA28" s="170"/>
      <c r="MRC28" s="170"/>
      <c r="MRE28" s="170"/>
      <c r="MRG28" s="170"/>
      <c r="MRI28" s="170"/>
      <c r="MRK28" s="170"/>
      <c r="MRM28" s="170"/>
      <c r="MRO28" s="170"/>
      <c r="MRQ28" s="170"/>
      <c r="MRS28" s="170"/>
      <c r="MRU28" s="170"/>
      <c r="MRW28" s="170"/>
      <c r="MRY28" s="170"/>
      <c r="MSA28" s="170"/>
      <c r="MSC28" s="170"/>
      <c r="MSE28" s="170"/>
      <c r="MSG28" s="170"/>
      <c r="MSI28" s="170"/>
      <c r="MSK28" s="170"/>
      <c r="MSM28" s="170"/>
      <c r="MSO28" s="170"/>
      <c r="MSQ28" s="170"/>
      <c r="MSS28" s="170"/>
      <c r="MSU28" s="170"/>
      <c r="MSW28" s="170"/>
      <c r="MSY28" s="170"/>
      <c r="MTA28" s="170"/>
      <c r="MTC28" s="170"/>
      <c r="MTE28" s="170"/>
      <c r="MTG28" s="170"/>
      <c r="MTI28" s="170"/>
      <c r="MTK28" s="170"/>
      <c r="MTM28" s="170"/>
      <c r="MTO28" s="170"/>
      <c r="MTQ28" s="170"/>
      <c r="MTS28" s="170"/>
      <c r="MTU28" s="170"/>
      <c r="MTW28" s="170"/>
      <c r="MTY28" s="170"/>
      <c r="MUA28" s="170"/>
      <c r="MUC28" s="170"/>
      <c r="MUE28" s="170"/>
      <c r="MUG28" s="170"/>
      <c r="MUI28" s="170"/>
      <c r="MUK28" s="170"/>
      <c r="MUM28" s="170"/>
      <c r="MUO28" s="170"/>
      <c r="MUQ28" s="170"/>
      <c r="MUS28" s="170"/>
      <c r="MUU28" s="170"/>
      <c r="MUW28" s="170"/>
      <c r="MUY28" s="170"/>
      <c r="MVA28" s="170"/>
      <c r="MVC28" s="170"/>
      <c r="MVE28" s="170"/>
      <c r="MVG28" s="170"/>
      <c r="MVI28" s="170"/>
      <c r="MVK28" s="170"/>
      <c r="MVM28" s="170"/>
      <c r="MVO28" s="170"/>
      <c r="MVQ28" s="170"/>
      <c r="MVS28" s="170"/>
      <c r="MVU28" s="170"/>
      <c r="MVW28" s="170"/>
      <c r="MVY28" s="170"/>
      <c r="MWA28" s="170"/>
      <c r="MWC28" s="170"/>
      <c r="MWE28" s="170"/>
      <c r="MWG28" s="170"/>
      <c r="MWI28" s="170"/>
      <c r="MWK28" s="170"/>
      <c r="MWM28" s="170"/>
      <c r="MWO28" s="170"/>
      <c r="MWQ28" s="170"/>
      <c r="MWS28" s="170"/>
      <c r="MWU28" s="170"/>
      <c r="MWW28" s="170"/>
      <c r="MWY28" s="170"/>
      <c r="MXA28" s="170"/>
      <c r="MXC28" s="170"/>
      <c r="MXE28" s="170"/>
      <c r="MXG28" s="170"/>
      <c r="MXI28" s="170"/>
      <c r="MXK28" s="170"/>
      <c r="MXM28" s="170"/>
      <c r="MXO28" s="170"/>
      <c r="MXQ28" s="170"/>
      <c r="MXS28" s="170"/>
      <c r="MXU28" s="170"/>
      <c r="MXW28" s="170"/>
      <c r="MXY28" s="170"/>
      <c r="MYA28" s="170"/>
      <c r="MYC28" s="170"/>
      <c r="MYE28" s="170"/>
      <c r="MYG28" s="170"/>
      <c r="MYI28" s="170"/>
      <c r="MYK28" s="170"/>
      <c r="MYM28" s="170"/>
      <c r="MYO28" s="170"/>
      <c r="MYQ28" s="170"/>
      <c r="MYS28" s="170"/>
      <c r="MYU28" s="170"/>
      <c r="MYW28" s="170"/>
      <c r="MYY28" s="170"/>
      <c r="MZA28" s="170"/>
      <c r="MZC28" s="170"/>
      <c r="MZE28" s="170"/>
      <c r="MZG28" s="170"/>
      <c r="MZI28" s="170"/>
      <c r="MZK28" s="170"/>
      <c r="MZM28" s="170"/>
      <c r="MZO28" s="170"/>
      <c r="MZQ28" s="170"/>
      <c r="MZS28" s="170"/>
      <c r="MZU28" s="170"/>
      <c r="MZW28" s="170"/>
      <c r="MZY28" s="170"/>
      <c r="NAA28" s="170"/>
      <c r="NAC28" s="170"/>
      <c r="NAE28" s="170"/>
      <c r="NAG28" s="170"/>
      <c r="NAI28" s="170"/>
      <c r="NAK28" s="170"/>
      <c r="NAM28" s="170"/>
      <c r="NAO28" s="170"/>
      <c r="NAQ28" s="170"/>
      <c r="NAS28" s="170"/>
      <c r="NAU28" s="170"/>
      <c r="NAW28" s="170"/>
      <c r="NAY28" s="170"/>
      <c r="NBA28" s="170"/>
      <c r="NBC28" s="170"/>
      <c r="NBE28" s="170"/>
      <c r="NBG28" s="170"/>
      <c r="NBI28" s="170"/>
      <c r="NBK28" s="170"/>
      <c r="NBM28" s="170"/>
      <c r="NBO28" s="170"/>
      <c r="NBQ28" s="170"/>
      <c r="NBS28" s="170"/>
      <c r="NBU28" s="170"/>
      <c r="NBW28" s="170"/>
      <c r="NBY28" s="170"/>
      <c r="NCA28" s="170"/>
      <c r="NCC28" s="170"/>
      <c r="NCE28" s="170"/>
      <c r="NCG28" s="170"/>
      <c r="NCI28" s="170"/>
      <c r="NCK28" s="170"/>
      <c r="NCM28" s="170"/>
      <c r="NCO28" s="170"/>
      <c r="NCQ28" s="170"/>
      <c r="NCS28" s="170"/>
      <c r="NCU28" s="170"/>
      <c r="NCW28" s="170"/>
      <c r="NCY28" s="170"/>
      <c r="NDA28" s="170"/>
      <c r="NDC28" s="170"/>
      <c r="NDE28" s="170"/>
      <c r="NDG28" s="170"/>
      <c r="NDI28" s="170"/>
      <c r="NDK28" s="170"/>
      <c r="NDM28" s="170"/>
      <c r="NDO28" s="170"/>
      <c r="NDQ28" s="170"/>
      <c r="NDS28" s="170"/>
      <c r="NDU28" s="170"/>
      <c r="NDW28" s="170"/>
      <c r="NDY28" s="170"/>
      <c r="NEA28" s="170"/>
      <c r="NEC28" s="170"/>
      <c r="NEE28" s="170"/>
      <c r="NEG28" s="170"/>
      <c r="NEI28" s="170"/>
      <c r="NEK28" s="170"/>
      <c r="NEM28" s="170"/>
      <c r="NEO28" s="170"/>
      <c r="NEQ28" s="170"/>
      <c r="NES28" s="170"/>
      <c r="NEU28" s="170"/>
      <c r="NEW28" s="170"/>
      <c r="NEY28" s="170"/>
      <c r="NFA28" s="170"/>
      <c r="NFC28" s="170"/>
      <c r="NFE28" s="170"/>
      <c r="NFG28" s="170"/>
      <c r="NFI28" s="170"/>
      <c r="NFK28" s="170"/>
      <c r="NFM28" s="170"/>
      <c r="NFO28" s="170"/>
      <c r="NFQ28" s="170"/>
      <c r="NFS28" s="170"/>
      <c r="NFU28" s="170"/>
      <c r="NFW28" s="170"/>
      <c r="NFY28" s="170"/>
      <c r="NGA28" s="170"/>
      <c r="NGC28" s="170"/>
      <c r="NGE28" s="170"/>
      <c r="NGG28" s="170"/>
      <c r="NGI28" s="170"/>
      <c r="NGK28" s="170"/>
      <c r="NGM28" s="170"/>
      <c r="NGO28" s="170"/>
      <c r="NGQ28" s="170"/>
      <c r="NGS28" s="170"/>
      <c r="NGU28" s="170"/>
      <c r="NGW28" s="170"/>
      <c r="NGY28" s="170"/>
      <c r="NHA28" s="170"/>
      <c r="NHC28" s="170"/>
      <c r="NHE28" s="170"/>
      <c r="NHG28" s="170"/>
      <c r="NHI28" s="170"/>
      <c r="NHK28" s="170"/>
      <c r="NHM28" s="170"/>
      <c r="NHO28" s="170"/>
      <c r="NHQ28" s="170"/>
      <c r="NHS28" s="170"/>
      <c r="NHU28" s="170"/>
      <c r="NHW28" s="170"/>
      <c r="NHY28" s="170"/>
      <c r="NIA28" s="170"/>
      <c r="NIC28" s="170"/>
      <c r="NIE28" s="170"/>
      <c r="NIG28" s="170"/>
      <c r="NII28" s="170"/>
      <c r="NIK28" s="170"/>
      <c r="NIM28" s="170"/>
      <c r="NIO28" s="170"/>
      <c r="NIQ28" s="170"/>
      <c r="NIS28" s="170"/>
      <c r="NIU28" s="170"/>
      <c r="NIW28" s="170"/>
      <c r="NIY28" s="170"/>
      <c r="NJA28" s="170"/>
      <c r="NJC28" s="170"/>
      <c r="NJE28" s="170"/>
      <c r="NJG28" s="170"/>
      <c r="NJI28" s="170"/>
      <c r="NJK28" s="170"/>
      <c r="NJM28" s="170"/>
      <c r="NJO28" s="170"/>
      <c r="NJQ28" s="170"/>
      <c r="NJS28" s="170"/>
      <c r="NJU28" s="170"/>
      <c r="NJW28" s="170"/>
      <c r="NJY28" s="170"/>
      <c r="NKA28" s="170"/>
      <c r="NKC28" s="170"/>
      <c r="NKE28" s="170"/>
      <c r="NKG28" s="170"/>
      <c r="NKI28" s="170"/>
      <c r="NKK28" s="170"/>
      <c r="NKM28" s="170"/>
      <c r="NKO28" s="170"/>
      <c r="NKQ28" s="170"/>
      <c r="NKS28" s="170"/>
      <c r="NKU28" s="170"/>
      <c r="NKW28" s="170"/>
      <c r="NKY28" s="170"/>
      <c r="NLA28" s="170"/>
      <c r="NLC28" s="170"/>
      <c r="NLE28" s="170"/>
      <c r="NLG28" s="170"/>
      <c r="NLI28" s="170"/>
      <c r="NLK28" s="170"/>
      <c r="NLM28" s="170"/>
      <c r="NLO28" s="170"/>
      <c r="NLQ28" s="170"/>
      <c r="NLS28" s="170"/>
      <c r="NLU28" s="170"/>
      <c r="NLW28" s="170"/>
      <c r="NLY28" s="170"/>
      <c r="NMA28" s="170"/>
      <c r="NMC28" s="170"/>
      <c r="NME28" s="170"/>
      <c r="NMG28" s="170"/>
      <c r="NMI28" s="170"/>
      <c r="NMK28" s="170"/>
      <c r="NMM28" s="170"/>
      <c r="NMO28" s="170"/>
      <c r="NMQ28" s="170"/>
      <c r="NMS28" s="170"/>
      <c r="NMU28" s="170"/>
      <c r="NMW28" s="170"/>
      <c r="NMY28" s="170"/>
      <c r="NNA28" s="170"/>
      <c r="NNC28" s="170"/>
      <c r="NNE28" s="170"/>
      <c r="NNG28" s="170"/>
      <c r="NNI28" s="170"/>
      <c r="NNK28" s="170"/>
      <c r="NNM28" s="170"/>
      <c r="NNO28" s="170"/>
      <c r="NNQ28" s="170"/>
      <c r="NNS28" s="170"/>
      <c r="NNU28" s="170"/>
      <c r="NNW28" s="170"/>
      <c r="NNY28" s="170"/>
      <c r="NOA28" s="170"/>
      <c r="NOC28" s="170"/>
      <c r="NOE28" s="170"/>
      <c r="NOG28" s="170"/>
      <c r="NOI28" s="170"/>
      <c r="NOK28" s="170"/>
      <c r="NOM28" s="170"/>
      <c r="NOO28" s="170"/>
      <c r="NOQ28" s="170"/>
      <c r="NOS28" s="170"/>
      <c r="NOU28" s="170"/>
      <c r="NOW28" s="170"/>
      <c r="NOY28" s="170"/>
      <c r="NPA28" s="170"/>
      <c r="NPC28" s="170"/>
      <c r="NPE28" s="170"/>
      <c r="NPG28" s="170"/>
      <c r="NPI28" s="170"/>
      <c r="NPK28" s="170"/>
      <c r="NPM28" s="170"/>
      <c r="NPO28" s="170"/>
      <c r="NPQ28" s="170"/>
      <c r="NPS28" s="170"/>
      <c r="NPU28" s="170"/>
      <c r="NPW28" s="170"/>
      <c r="NPY28" s="170"/>
      <c r="NQA28" s="170"/>
      <c r="NQC28" s="170"/>
      <c r="NQE28" s="170"/>
      <c r="NQG28" s="170"/>
      <c r="NQI28" s="170"/>
      <c r="NQK28" s="170"/>
      <c r="NQM28" s="170"/>
      <c r="NQO28" s="170"/>
      <c r="NQQ28" s="170"/>
      <c r="NQS28" s="170"/>
      <c r="NQU28" s="170"/>
      <c r="NQW28" s="170"/>
      <c r="NQY28" s="170"/>
      <c r="NRA28" s="170"/>
      <c r="NRC28" s="170"/>
      <c r="NRE28" s="170"/>
      <c r="NRG28" s="170"/>
      <c r="NRI28" s="170"/>
      <c r="NRK28" s="170"/>
      <c r="NRM28" s="170"/>
      <c r="NRO28" s="170"/>
      <c r="NRQ28" s="170"/>
      <c r="NRS28" s="170"/>
      <c r="NRU28" s="170"/>
      <c r="NRW28" s="170"/>
      <c r="NRY28" s="170"/>
      <c r="NSA28" s="170"/>
      <c r="NSC28" s="170"/>
      <c r="NSE28" s="170"/>
      <c r="NSG28" s="170"/>
      <c r="NSI28" s="170"/>
      <c r="NSK28" s="170"/>
      <c r="NSM28" s="170"/>
      <c r="NSO28" s="170"/>
      <c r="NSQ28" s="170"/>
      <c r="NSS28" s="170"/>
      <c r="NSU28" s="170"/>
      <c r="NSW28" s="170"/>
      <c r="NSY28" s="170"/>
      <c r="NTA28" s="170"/>
      <c r="NTC28" s="170"/>
      <c r="NTE28" s="170"/>
      <c r="NTG28" s="170"/>
      <c r="NTI28" s="170"/>
      <c r="NTK28" s="170"/>
      <c r="NTM28" s="170"/>
      <c r="NTO28" s="170"/>
      <c r="NTQ28" s="170"/>
      <c r="NTS28" s="170"/>
      <c r="NTU28" s="170"/>
      <c r="NTW28" s="170"/>
      <c r="NTY28" s="170"/>
      <c r="NUA28" s="170"/>
      <c r="NUC28" s="170"/>
      <c r="NUE28" s="170"/>
      <c r="NUG28" s="170"/>
      <c r="NUI28" s="170"/>
      <c r="NUK28" s="170"/>
      <c r="NUM28" s="170"/>
      <c r="NUO28" s="170"/>
      <c r="NUQ28" s="170"/>
      <c r="NUS28" s="170"/>
      <c r="NUU28" s="170"/>
      <c r="NUW28" s="170"/>
      <c r="NUY28" s="170"/>
      <c r="NVA28" s="170"/>
      <c r="NVC28" s="170"/>
      <c r="NVE28" s="170"/>
      <c r="NVG28" s="170"/>
      <c r="NVI28" s="170"/>
      <c r="NVK28" s="170"/>
      <c r="NVM28" s="170"/>
      <c r="NVO28" s="170"/>
      <c r="NVQ28" s="170"/>
      <c r="NVS28" s="170"/>
      <c r="NVU28" s="170"/>
      <c r="NVW28" s="170"/>
      <c r="NVY28" s="170"/>
      <c r="NWA28" s="170"/>
      <c r="NWC28" s="170"/>
      <c r="NWE28" s="170"/>
      <c r="NWG28" s="170"/>
      <c r="NWI28" s="170"/>
      <c r="NWK28" s="170"/>
      <c r="NWM28" s="170"/>
      <c r="NWO28" s="170"/>
      <c r="NWQ28" s="170"/>
      <c r="NWS28" s="170"/>
      <c r="NWU28" s="170"/>
      <c r="NWW28" s="170"/>
      <c r="NWY28" s="170"/>
      <c r="NXA28" s="170"/>
      <c r="NXC28" s="170"/>
      <c r="NXE28" s="170"/>
      <c r="NXG28" s="170"/>
      <c r="NXI28" s="170"/>
      <c r="NXK28" s="170"/>
      <c r="NXM28" s="170"/>
      <c r="NXO28" s="170"/>
      <c r="NXQ28" s="170"/>
      <c r="NXS28" s="170"/>
      <c r="NXU28" s="170"/>
      <c r="NXW28" s="170"/>
      <c r="NXY28" s="170"/>
      <c r="NYA28" s="170"/>
      <c r="NYC28" s="170"/>
      <c r="NYE28" s="170"/>
      <c r="NYG28" s="170"/>
      <c r="NYI28" s="170"/>
      <c r="NYK28" s="170"/>
      <c r="NYM28" s="170"/>
      <c r="NYO28" s="170"/>
      <c r="NYQ28" s="170"/>
      <c r="NYS28" s="170"/>
      <c r="NYU28" s="170"/>
      <c r="NYW28" s="170"/>
      <c r="NYY28" s="170"/>
      <c r="NZA28" s="170"/>
      <c r="NZC28" s="170"/>
      <c r="NZE28" s="170"/>
      <c r="NZG28" s="170"/>
      <c r="NZI28" s="170"/>
      <c r="NZK28" s="170"/>
      <c r="NZM28" s="170"/>
      <c r="NZO28" s="170"/>
      <c r="NZQ28" s="170"/>
      <c r="NZS28" s="170"/>
      <c r="NZU28" s="170"/>
      <c r="NZW28" s="170"/>
      <c r="NZY28" s="170"/>
      <c r="OAA28" s="170"/>
      <c r="OAC28" s="170"/>
      <c r="OAE28" s="170"/>
      <c r="OAG28" s="170"/>
      <c r="OAI28" s="170"/>
      <c r="OAK28" s="170"/>
      <c r="OAM28" s="170"/>
      <c r="OAO28" s="170"/>
      <c r="OAQ28" s="170"/>
      <c r="OAS28" s="170"/>
      <c r="OAU28" s="170"/>
      <c r="OAW28" s="170"/>
      <c r="OAY28" s="170"/>
      <c r="OBA28" s="170"/>
      <c r="OBC28" s="170"/>
      <c r="OBE28" s="170"/>
      <c r="OBG28" s="170"/>
      <c r="OBI28" s="170"/>
      <c r="OBK28" s="170"/>
      <c r="OBM28" s="170"/>
      <c r="OBO28" s="170"/>
      <c r="OBQ28" s="170"/>
      <c r="OBS28" s="170"/>
      <c r="OBU28" s="170"/>
      <c r="OBW28" s="170"/>
      <c r="OBY28" s="170"/>
      <c r="OCA28" s="170"/>
      <c r="OCC28" s="170"/>
      <c r="OCE28" s="170"/>
      <c r="OCG28" s="170"/>
      <c r="OCI28" s="170"/>
      <c r="OCK28" s="170"/>
      <c r="OCM28" s="170"/>
      <c r="OCO28" s="170"/>
      <c r="OCQ28" s="170"/>
      <c r="OCS28" s="170"/>
      <c r="OCU28" s="170"/>
      <c r="OCW28" s="170"/>
      <c r="OCY28" s="170"/>
      <c r="ODA28" s="170"/>
      <c r="ODC28" s="170"/>
      <c r="ODE28" s="170"/>
      <c r="ODG28" s="170"/>
      <c r="ODI28" s="170"/>
      <c r="ODK28" s="170"/>
      <c r="ODM28" s="170"/>
      <c r="ODO28" s="170"/>
      <c r="ODQ28" s="170"/>
      <c r="ODS28" s="170"/>
      <c r="ODU28" s="170"/>
      <c r="ODW28" s="170"/>
      <c r="ODY28" s="170"/>
      <c r="OEA28" s="170"/>
      <c r="OEC28" s="170"/>
      <c r="OEE28" s="170"/>
      <c r="OEG28" s="170"/>
      <c r="OEI28" s="170"/>
      <c r="OEK28" s="170"/>
      <c r="OEM28" s="170"/>
      <c r="OEO28" s="170"/>
      <c r="OEQ28" s="170"/>
      <c r="OES28" s="170"/>
      <c r="OEU28" s="170"/>
      <c r="OEW28" s="170"/>
      <c r="OEY28" s="170"/>
      <c r="OFA28" s="170"/>
      <c r="OFC28" s="170"/>
      <c r="OFE28" s="170"/>
      <c r="OFG28" s="170"/>
      <c r="OFI28" s="170"/>
      <c r="OFK28" s="170"/>
      <c r="OFM28" s="170"/>
      <c r="OFO28" s="170"/>
      <c r="OFQ28" s="170"/>
      <c r="OFS28" s="170"/>
      <c r="OFU28" s="170"/>
      <c r="OFW28" s="170"/>
      <c r="OFY28" s="170"/>
      <c r="OGA28" s="170"/>
      <c r="OGC28" s="170"/>
      <c r="OGE28" s="170"/>
      <c r="OGG28" s="170"/>
      <c r="OGI28" s="170"/>
      <c r="OGK28" s="170"/>
      <c r="OGM28" s="170"/>
      <c r="OGO28" s="170"/>
      <c r="OGQ28" s="170"/>
      <c r="OGS28" s="170"/>
      <c r="OGU28" s="170"/>
      <c r="OGW28" s="170"/>
      <c r="OGY28" s="170"/>
      <c r="OHA28" s="170"/>
      <c r="OHC28" s="170"/>
      <c r="OHE28" s="170"/>
      <c r="OHG28" s="170"/>
      <c r="OHI28" s="170"/>
      <c r="OHK28" s="170"/>
      <c r="OHM28" s="170"/>
      <c r="OHO28" s="170"/>
      <c r="OHQ28" s="170"/>
      <c r="OHS28" s="170"/>
      <c r="OHU28" s="170"/>
      <c r="OHW28" s="170"/>
      <c r="OHY28" s="170"/>
      <c r="OIA28" s="170"/>
      <c r="OIC28" s="170"/>
      <c r="OIE28" s="170"/>
      <c r="OIG28" s="170"/>
      <c r="OII28" s="170"/>
      <c r="OIK28" s="170"/>
      <c r="OIM28" s="170"/>
      <c r="OIO28" s="170"/>
      <c r="OIQ28" s="170"/>
      <c r="OIS28" s="170"/>
      <c r="OIU28" s="170"/>
      <c r="OIW28" s="170"/>
      <c r="OIY28" s="170"/>
      <c r="OJA28" s="170"/>
      <c r="OJC28" s="170"/>
      <c r="OJE28" s="170"/>
      <c r="OJG28" s="170"/>
      <c r="OJI28" s="170"/>
      <c r="OJK28" s="170"/>
      <c r="OJM28" s="170"/>
      <c r="OJO28" s="170"/>
      <c r="OJQ28" s="170"/>
      <c r="OJS28" s="170"/>
      <c r="OJU28" s="170"/>
      <c r="OJW28" s="170"/>
      <c r="OJY28" s="170"/>
      <c r="OKA28" s="170"/>
      <c r="OKC28" s="170"/>
      <c r="OKE28" s="170"/>
      <c r="OKG28" s="170"/>
      <c r="OKI28" s="170"/>
      <c r="OKK28" s="170"/>
      <c r="OKM28" s="170"/>
      <c r="OKO28" s="170"/>
      <c r="OKQ28" s="170"/>
      <c r="OKS28" s="170"/>
      <c r="OKU28" s="170"/>
      <c r="OKW28" s="170"/>
      <c r="OKY28" s="170"/>
      <c r="OLA28" s="170"/>
      <c r="OLC28" s="170"/>
      <c r="OLE28" s="170"/>
      <c r="OLG28" s="170"/>
      <c r="OLI28" s="170"/>
      <c r="OLK28" s="170"/>
      <c r="OLM28" s="170"/>
      <c r="OLO28" s="170"/>
      <c r="OLQ28" s="170"/>
      <c r="OLS28" s="170"/>
      <c r="OLU28" s="170"/>
      <c r="OLW28" s="170"/>
      <c r="OLY28" s="170"/>
      <c r="OMA28" s="170"/>
      <c r="OMC28" s="170"/>
      <c r="OME28" s="170"/>
      <c r="OMG28" s="170"/>
      <c r="OMI28" s="170"/>
      <c r="OMK28" s="170"/>
      <c r="OMM28" s="170"/>
      <c r="OMO28" s="170"/>
      <c r="OMQ28" s="170"/>
      <c r="OMS28" s="170"/>
      <c r="OMU28" s="170"/>
      <c r="OMW28" s="170"/>
      <c r="OMY28" s="170"/>
      <c r="ONA28" s="170"/>
      <c r="ONC28" s="170"/>
      <c r="ONE28" s="170"/>
      <c r="ONG28" s="170"/>
      <c r="ONI28" s="170"/>
      <c r="ONK28" s="170"/>
      <c r="ONM28" s="170"/>
      <c r="ONO28" s="170"/>
      <c r="ONQ28" s="170"/>
      <c r="ONS28" s="170"/>
      <c r="ONU28" s="170"/>
      <c r="ONW28" s="170"/>
      <c r="ONY28" s="170"/>
      <c r="OOA28" s="170"/>
      <c r="OOC28" s="170"/>
      <c r="OOE28" s="170"/>
      <c r="OOG28" s="170"/>
      <c r="OOI28" s="170"/>
      <c r="OOK28" s="170"/>
      <c r="OOM28" s="170"/>
      <c r="OOO28" s="170"/>
      <c r="OOQ28" s="170"/>
      <c r="OOS28" s="170"/>
      <c r="OOU28" s="170"/>
      <c r="OOW28" s="170"/>
      <c r="OOY28" s="170"/>
      <c r="OPA28" s="170"/>
      <c r="OPC28" s="170"/>
      <c r="OPE28" s="170"/>
      <c r="OPG28" s="170"/>
      <c r="OPI28" s="170"/>
      <c r="OPK28" s="170"/>
      <c r="OPM28" s="170"/>
      <c r="OPO28" s="170"/>
      <c r="OPQ28" s="170"/>
      <c r="OPS28" s="170"/>
      <c r="OPU28" s="170"/>
      <c r="OPW28" s="170"/>
      <c r="OPY28" s="170"/>
      <c r="OQA28" s="170"/>
      <c r="OQC28" s="170"/>
      <c r="OQE28" s="170"/>
      <c r="OQG28" s="170"/>
      <c r="OQI28" s="170"/>
      <c r="OQK28" s="170"/>
      <c r="OQM28" s="170"/>
      <c r="OQO28" s="170"/>
      <c r="OQQ28" s="170"/>
      <c r="OQS28" s="170"/>
      <c r="OQU28" s="170"/>
      <c r="OQW28" s="170"/>
      <c r="OQY28" s="170"/>
      <c r="ORA28" s="170"/>
      <c r="ORC28" s="170"/>
      <c r="ORE28" s="170"/>
      <c r="ORG28" s="170"/>
      <c r="ORI28" s="170"/>
      <c r="ORK28" s="170"/>
      <c r="ORM28" s="170"/>
      <c r="ORO28" s="170"/>
      <c r="ORQ28" s="170"/>
      <c r="ORS28" s="170"/>
      <c r="ORU28" s="170"/>
      <c r="ORW28" s="170"/>
      <c r="ORY28" s="170"/>
      <c r="OSA28" s="170"/>
      <c r="OSC28" s="170"/>
      <c r="OSE28" s="170"/>
      <c r="OSG28" s="170"/>
      <c r="OSI28" s="170"/>
      <c r="OSK28" s="170"/>
      <c r="OSM28" s="170"/>
      <c r="OSO28" s="170"/>
      <c r="OSQ28" s="170"/>
      <c r="OSS28" s="170"/>
      <c r="OSU28" s="170"/>
      <c r="OSW28" s="170"/>
      <c r="OSY28" s="170"/>
      <c r="OTA28" s="170"/>
      <c r="OTC28" s="170"/>
      <c r="OTE28" s="170"/>
      <c r="OTG28" s="170"/>
      <c r="OTI28" s="170"/>
      <c r="OTK28" s="170"/>
      <c r="OTM28" s="170"/>
      <c r="OTO28" s="170"/>
      <c r="OTQ28" s="170"/>
      <c r="OTS28" s="170"/>
      <c r="OTU28" s="170"/>
      <c r="OTW28" s="170"/>
      <c r="OTY28" s="170"/>
      <c r="OUA28" s="170"/>
      <c r="OUC28" s="170"/>
      <c r="OUE28" s="170"/>
      <c r="OUG28" s="170"/>
      <c r="OUI28" s="170"/>
      <c r="OUK28" s="170"/>
      <c r="OUM28" s="170"/>
      <c r="OUO28" s="170"/>
      <c r="OUQ28" s="170"/>
      <c r="OUS28" s="170"/>
      <c r="OUU28" s="170"/>
      <c r="OUW28" s="170"/>
      <c r="OUY28" s="170"/>
      <c r="OVA28" s="170"/>
      <c r="OVC28" s="170"/>
      <c r="OVE28" s="170"/>
      <c r="OVG28" s="170"/>
      <c r="OVI28" s="170"/>
      <c r="OVK28" s="170"/>
      <c r="OVM28" s="170"/>
      <c r="OVO28" s="170"/>
      <c r="OVQ28" s="170"/>
      <c r="OVS28" s="170"/>
      <c r="OVU28" s="170"/>
      <c r="OVW28" s="170"/>
      <c r="OVY28" s="170"/>
      <c r="OWA28" s="170"/>
      <c r="OWC28" s="170"/>
      <c r="OWE28" s="170"/>
      <c r="OWG28" s="170"/>
      <c r="OWI28" s="170"/>
      <c r="OWK28" s="170"/>
      <c r="OWM28" s="170"/>
      <c r="OWO28" s="170"/>
      <c r="OWQ28" s="170"/>
      <c r="OWS28" s="170"/>
      <c r="OWU28" s="170"/>
      <c r="OWW28" s="170"/>
      <c r="OWY28" s="170"/>
      <c r="OXA28" s="170"/>
      <c r="OXC28" s="170"/>
      <c r="OXE28" s="170"/>
      <c r="OXG28" s="170"/>
      <c r="OXI28" s="170"/>
      <c r="OXK28" s="170"/>
      <c r="OXM28" s="170"/>
      <c r="OXO28" s="170"/>
      <c r="OXQ28" s="170"/>
      <c r="OXS28" s="170"/>
      <c r="OXU28" s="170"/>
      <c r="OXW28" s="170"/>
      <c r="OXY28" s="170"/>
      <c r="OYA28" s="170"/>
      <c r="OYC28" s="170"/>
      <c r="OYE28" s="170"/>
      <c r="OYG28" s="170"/>
      <c r="OYI28" s="170"/>
      <c r="OYK28" s="170"/>
      <c r="OYM28" s="170"/>
      <c r="OYO28" s="170"/>
      <c r="OYQ28" s="170"/>
      <c r="OYS28" s="170"/>
      <c r="OYU28" s="170"/>
      <c r="OYW28" s="170"/>
      <c r="OYY28" s="170"/>
      <c r="OZA28" s="170"/>
      <c r="OZC28" s="170"/>
      <c r="OZE28" s="170"/>
      <c r="OZG28" s="170"/>
      <c r="OZI28" s="170"/>
      <c r="OZK28" s="170"/>
      <c r="OZM28" s="170"/>
      <c r="OZO28" s="170"/>
      <c r="OZQ28" s="170"/>
      <c r="OZS28" s="170"/>
      <c r="OZU28" s="170"/>
      <c r="OZW28" s="170"/>
      <c r="OZY28" s="170"/>
      <c r="PAA28" s="170"/>
      <c r="PAC28" s="170"/>
      <c r="PAE28" s="170"/>
      <c r="PAG28" s="170"/>
      <c r="PAI28" s="170"/>
      <c r="PAK28" s="170"/>
      <c r="PAM28" s="170"/>
      <c r="PAO28" s="170"/>
      <c r="PAQ28" s="170"/>
      <c r="PAS28" s="170"/>
      <c r="PAU28" s="170"/>
      <c r="PAW28" s="170"/>
      <c r="PAY28" s="170"/>
      <c r="PBA28" s="170"/>
      <c r="PBC28" s="170"/>
      <c r="PBE28" s="170"/>
      <c r="PBG28" s="170"/>
      <c r="PBI28" s="170"/>
      <c r="PBK28" s="170"/>
      <c r="PBM28" s="170"/>
      <c r="PBO28" s="170"/>
      <c r="PBQ28" s="170"/>
      <c r="PBS28" s="170"/>
      <c r="PBU28" s="170"/>
      <c r="PBW28" s="170"/>
      <c r="PBY28" s="170"/>
      <c r="PCA28" s="170"/>
      <c r="PCC28" s="170"/>
      <c r="PCE28" s="170"/>
      <c r="PCG28" s="170"/>
      <c r="PCI28" s="170"/>
      <c r="PCK28" s="170"/>
      <c r="PCM28" s="170"/>
      <c r="PCO28" s="170"/>
      <c r="PCQ28" s="170"/>
      <c r="PCS28" s="170"/>
      <c r="PCU28" s="170"/>
      <c r="PCW28" s="170"/>
      <c r="PCY28" s="170"/>
      <c r="PDA28" s="170"/>
      <c r="PDC28" s="170"/>
      <c r="PDE28" s="170"/>
      <c r="PDG28" s="170"/>
      <c r="PDI28" s="170"/>
      <c r="PDK28" s="170"/>
      <c r="PDM28" s="170"/>
      <c r="PDO28" s="170"/>
      <c r="PDQ28" s="170"/>
      <c r="PDS28" s="170"/>
      <c r="PDU28" s="170"/>
      <c r="PDW28" s="170"/>
      <c r="PDY28" s="170"/>
      <c r="PEA28" s="170"/>
      <c r="PEC28" s="170"/>
      <c r="PEE28" s="170"/>
      <c r="PEG28" s="170"/>
      <c r="PEI28" s="170"/>
      <c r="PEK28" s="170"/>
      <c r="PEM28" s="170"/>
      <c r="PEO28" s="170"/>
      <c r="PEQ28" s="170"/>
      <c r="PES28" s="170"/>
      <c r="PEU28" s="170"/>
      <c r="PEW28" s="170"/>
      <c r="PEY28" s="170"/>
      <c r="PFA28" s="170"/>
      <c r="PFC28" s="170"/>
      <c r="PFE28" s="170"/>
      <c r="PFG28" s="170"/>
      <c r="PFI28" s="170"/>
      <c r="PFK28" s="170"/>
      <c r="PFM28" s="170"/>
      <c r="PFO28" s="170"/>
      <c r="PFQ28" s="170"/>
      <c r="PFS28" s="170"/>
      <c r="PFU28" s="170"/>
      <c r="PFW28" s="170"/>
      <c r="PFY28" s="170"/>
      <c r="PGA28" s="170"/>
      <c r="PGC28" s="170"/>
      <c r="PGE28" s="170"/>
      <c r="PGG28" s="170"/>
      <c r="PGI28" s="170"/>
      <c r="PGK28" s="170"/>
      <c r="PGM28" s="170"/>
      <c r="PGO28" s="170"/>
      <c r="PGQ28" s="170"/>
      <c r="PGS28" s="170"/>
      <c r="PGU28" s="170"/>
      <c r="PGW28" s="170"/>
      <c r="PGY28" s="170"/>
      <c r="PHA28" s="170"/>
      <c r="PHC28" s="170"/>
      <c r="PHE28" s="170"/>
      <c r="PHG28" s="170"/>
      <c r="PHI28" s="170"/>
      <c r="PHK28" s="170"/>
      <c r="PHM28" s="170"/>
      <c r="PHO28" s="170"/>
      <c r="PHQ28" s="170"/>
      <c r="PHS28" s="170"/>
      <c r="PHU28" s="170"/>
      <c r="PHW28" s="170"/>
      <c r="PHY28" s="170"/>
      <c r="PIA28" s="170"/>
      <c r="PIC28" s="170"/>
      <c r="PIE28" s="170"/>
      <c r="PIG28" s="170"/>
      <c r="PII28" s="170"/>
      <c r="PIK28" s="170"/>
      <c r="PIM28" s="170"/>
      <c r="PIO28" s="170"/>
      <c r="PIQ28" s="170"/>
      <c r="PIS28" s="170"/>
      <c r="PIU28" s="170"/>
      <c r="PIW28" s="170"/>
      <c r="PIY28" s="170"/>
      <c r="PJA28" s="170"/>
      <c r="PJC28" s="170"/>
      <c r="PJE28" s="170"/>
      <c r="PJG28" s="170"/>
      <c r="PJI28" s="170"/>
      <c r="PJK28" s="170"/>
      <c r="PJM28" s="170"/>
      <c r="PJO28" s="170"/>
      <c r="PJQ28" s="170"/>
      <c r="PJS28" s="170"/>
      <c r="PJU28" s="170"/>
      <c r="PJW28" s="170"/>
      <c r="PJY28" s="170"/>
      <c r="PKA28" s="170"/>
      <c r="PKC28" s="170"/>
      <c r="PKE28" s="170"/>
      <c r="PKG28" s="170"/>
      <c r="PKI28" s="170"/>
      <c r="PKK28" s="170"/>
      <c r="PKM28" s="170"/>
      <c r="PKO28" s="170"/>
      <c r="PKQ28" s="170"/>
      <c r="PKS28" s="170"/>
      <c r="PKU28" s="170"/>
      <c r="PKW28" s="170"/>
      <c r="PKY28" s="170"/>
      <c r="PLA28" s="170"/>
      <c r="PLC28" s="170"/>
      <c r="PLE28" s="170"/>
      <c r="PLG28" s="170"/>
      <c r="PLI28" s="170"/>
      <c r="PLK28" s="170"/>
      <c r="PLM28" s="170"/>
      <c r="PLO28" s="170"/>
      <c r="PLQ28" s="170"/>
      <c r="PLS28" s="170"/>
      <c r="PLU28" s="170"/>
      <c r="PLW28" s="170"/>
      <c r="PLY28" s="170"/>
      <c r="PMA28" s="170"/>
      <c r="PMC28" s="170"/>
      <c r="PME28" s="170"/>
      <c r="PMG28" s="170"/>
      <c r="PMI28" s="170"/>
      <c r="PMK28" s="170"/>
      <c r="PMM28" s="170"/>
      <c r="PMO28" s="170"/>
      <c r="PMQ28" s="170"/>
      <c r="PMS28" s="170"/>
      <c r="PMU28" s="170"/>
      <c r="PMW28" s="170"/>
      <c r="PMY28" s="170"/>
      <c r="PNA28" s="170"/>
      <c r="PNC28" s="170"/>
      <c r="PNE28" s="170"/>
      <c r="PNG28" s="170"/>
      <c r="PNI28" s="170"/>
      <c r="PNK28" s="170"/>
      <c r="PNM28" s="170"/>
      <c r="PNO28" s="170"/>
      <c r="PNQ28" s="170"/>
      <c r="PNS28" s="170"/>
      <c r="PNU28" s="170"/>
      <c r="PNW28" s="170"/>
      <c r="PNY28" s="170"/>
      <c r="POA28" s="170"/>
      <c r="POC28" s="170"/>
      <c r="POE28" s="170"/>
      <c r="POG28" s="170"/>
      <c r="POI28" s="170"/>
      <c r="POK28" s="170"/>
      <c r="POM28" s="170"/>
      <c r="POO28" s="170"/>
      <c r="POQ28" s="170"/>
      <c r="POS28" s="170"/>
      <c r="POU28" s="170"/>
      <c r="POW28" s="170"/>
      <c r="POY28" s="170"/>
      <c r="PPA28" s="170"/>
      <c r="PPC28" s="170"/>
      <c r="PPE28" s="170"/>
      <c r="PPG28" s="170"/>
      <c r="PPI28" s="170"/>
      <c r="PPK28" s="170"/>
      <c r="PPM28" s="170"/>
      <c r="PPO28" s="170"/>
      <c r="PPQ28" s="170"/>
      <c r="PPS28" s="170"/>
      <c r="PPU28" s="170"/>
      <c r="PPW28" s="170"/>
      <c r="PPY28" s="170"/>
      <c r="PQA28" s="170"/>
      <c r="PQC28" s="170"/>
      <c r="PQE28" s="170"/>
      <c r="PQG28" s="170"/>
      <c r="PQI28" s="170"/>
      <c r="PQK28" s="170"/>
      <c r="PQM28" s="170"/>
      <c r="PQO28" s="170"/>
      <c r="PQQ28" s="170"/>
      <c r="PQS28" s="170"/>
      <c r="PQU28" s="170"/>
      <c r="PQW28" s="170"/>
      <c r="PQY28" s="170"/>
      <c r="PRA28" s="170"/>
      <c r="PRC28" s="170"/>
      <c r="PRE28" s="170"/>
      <c r="PRG28" s="170"/>
      <c r="PRI28" s="170"/>
      <c r="PRK28" s="170"/>
      <c r="PRM28" s="170"/>
      <c r="PRO28" s="170"/>
      <c r="PRQ28" s="170"/>
      <c r="PRS28" s="170"/>
      <c r="PRU28" s="170"/>
      <c r="PRW28" s="170"/>
      <c r="PRY28" s="170"/>
      <c r="PSA28" s="170"/>
      <c r="PSC28" s="170"/>
      <c r="PSE28" s="170"/>
      <c r="PSG28" s="170"/>
      <c r="PSI28" s="170"/>
      <c r="PSK28" s="170"/>
      <c r="PSM28" s="170"/>
      <c r="PSO28" s="170"/>
      <c r="PSQ28" s="170"/>
      <c r="PSS28" s="170"/>
      <c r="PSU28" s="170"/>
      <c r="PSW28" s="170"/>
      <c r="PSY28" s="170"/>
      <c r="PTA28" s="170"/>
      <c r="PTC28" s="170"/>
      <c r="PTE28" s="170"/>
      <c r="PTG28" s="170"/>
      <c r="PTI28" s="170"/>
      <c r="PTK28" s="170"/>
      <c r="PTM28" s="170"/>
      <c r="PTO28" s="170"/>
      <c r="PTQ28" s="170"/>
      <c r="PTS28" s="170"/>
      <c r="PTU28" s="170"/>
      <c r="PTW28" s="170"/>
      <c r="PTY28" s="170"/>
      <c r="PUA28" s="170"/>
      <c r="PUC28" s="170"/>
      <c r="PUE28" s="170"/>
      <c r="PUG28" s="170"/>
      <c r="PUI28" s="170"/>
      <c r="PUK28" s="170"/>
      <c r="PUM28" s="170"/>
      <c r="PUO28" s="170"/>
      <c r="PUQ28" s="170"/>
      <c r="PUS28" s="170"/>
      <c r="PUU28" s="170"/>
      <c r="PUW28" s="170"/>
      <c r="PUY28" s="170"/>
      <c r="PVA28" s="170"/>
      <c r="PVC28" s="170"/>
      <c r="PVE28" s="170"/>
      <c r="PVG28" s="170"/>
      <c r="PVI28" s="170"/>
      <c r="PVK28" s="170"/>
      <c r="PVM28" s="170"/>
      <c r="PVO28" s="170"/>
      <c r="PVQ28" s="170"/>
      <c r="PVS28" s="170"/>
      <c r="PVU28" s="170"/>
      <c r="PVW28" s="170"/>
      <c r="PVY28" s="170"/>
      <c r="PWA28" s="170"/>
      <c r="PWC28" s="170"/>
      <c r="PWE28" s="170"/>
      <c r="PWG28" s="170"/>
      <c r="PWI28" s="170"/>
      <c r="PWK28" s="170"/>
      <c r="PWM28" s="170"/>
      <c r="PWO28" s="170"/>
      <c r="PWQ28" s="170"/>
      <c r="PWS28" s="170"/>
      <c r="PWU28" s="170"/>
      <c r="PWW28" s="170"/>
      <c r="PWY28" s="170"/>
      <c r="PXA28" s="170"/>
      <c r="PXC28" s="170"/>
      <c r="PXE28" s="170"/>
      <c r="PXG28" s="170"/>
      <c r="PXI28" s="170"/>
      <c r="PXK28" s="170"/>
      <c r="PXM28" s="170"/>
      <c r="PXO28" s="170"/>
      <c r="PXQ28" s="170"/>
      <c r="PXS28" s="170"/>
      <c r="PXU28" s="170"/>
      <c r="PXW28" s="170"/>
      <c r="PXY28" s="170"/>
      <c r="PYA28" s="170"/>
      <c r="PYC28" s="170"/>
      <c r="PYE28" s="170"/>
      <c r="PYG28" s="170"/>
      <c r="PYI28" s="170"/>
      <c r="PYK28" s="170"/>
      <c r="PYM28" s="170"/>
      <c r="PYO28" s="170"/>
      <c r="PYQ28" s="170"/>
      <c r="PYS28" s="170"/>
      <c r="PYU28" s="170"/>
      <c r="PYW28" s="170"/>
      <c r="PYY28" s="170"/>
      <c r="PZA28" s="170"/>
      <c r="PZC28" s="170"/>
      <c r="PZE28" s="170"/>
      <c r="PZG28" s="170"/>
      <c r="PZI28" s="170"/>
      <c r="PZK28" s="170"/>
      <c r="PZM28" s="170"/>
      <c r="PZO28" s="170"/>
      <c r="PZQ28" s="170"/>
      <c r="PZS28" s="170"/>
      <c r="PZU28" s="170"/>
      <c r="PZW28" s="170"/>
      <c r="PZY28" s="170"/>
      <c r="QAA28" s="170"/>
      <c r="QAC28" s="170"/>
      <c r="QAE28" s="170"/>
      <c r="QAG28" s="170"/>
      <c r="QAI28" s="170"/>
      <c r="QAK28" s="170"/>
      <c r="QAM28" s="170"/>
      <c r="QAO28" s="170"/>
      <c r="QAQ28" s="170"/>
      <c r="QAS28" s="170"/>
      <c r="QAU28" s="170"/>
      <c r="QAW28" s="170"/>
      <c r="QAY28" s="170"/>
      <c r="QBA28" s="170"/>
      <c r="QBC28" s="170"/>
      <c r="QBE28" s="170"/>
      <c r="QBG28" s="170"/>
      <c r="QBI28" s="170"/>
      <c r="QBK28" s="170"/>
      <c r="QBM28" s="170"/>
      <c r="QBO28" s="170"/>
      <c r="QBQ28" s="170"/>
      <c r="QBS28" s="170"/>
      <c r="QBU28" s="170"/>
      <c r="QBW28" s="170"/>
      <c r="QBY28" s="170"/>
      <c r="QCA28" s="170"/>
      <c r="QCC28" s="170"/>
      <c r="QCE28" s="170"/>
      <c r="QCG28" s="170"/>
      <c r="QCI28" s="170"/>
      <c r="QCK28" s="170"/>
      <c r="QCM28" s="170"/>
      <c r="QCO28" s="170"/>
      <c r="QCQ28" s="170"/>
      <c r="QCS28" s="170"/>
      <c r="QCU28" s="170"/>
      <c r="QCW28" s="170"/>
      <c r="QCY28" s="170"/>
      <c r="QDA28" s="170"/>
      <c r="QDC28" s="170"/>
      <c r="QDE28" s="170"/>
      <c r="QDG28" s="170"/>
      <c r="QDI28" s="170"/>
      <c r="QDK28" s="170"/>
      <c r="QDM28" s="170"/>
      <c r="QDO28" s="170"/>
      <c r="QDQ28" s="170"/>
      <c r="QDS28" s="170"/>
      <c r="QDU28" s="170"/>
      <c r="QDW28" s="170"/>
      <c r="QDY28" s="170"/>
      <c r="QEA28" s="170"/>
      <c r="QEC28" s="170"/>
      <c r="QEE28" s="170"/>
      <c r="QEG28" s="170"/>
      <c r="QEI28" s="170"/>
      <c r="QEK28" s="170"/>
      <c r="QEM28" s="170"/>
      <c r="QEO28" s="170"/>
      <c r="QEQ28" s="170"/>
      <c r="QES28" s="170"/>
      <c r="QEU28" s="170"/>
      <c r="QEW28" s="170"/>
      <c r="QEY28" s="170"/>
      <c r="QFA28" s="170"/>
      <c r="QFC28" s="170"/>
      <c r="QFE28" s="170"/>
      <c r="QFG28" s="170"/>
      <c r="QFI28" s="170"/>
      <c r="QFK28" s="170"/>
      <c r="QFM28" s="170"/>
      <c r="QFO28" s="170"/>
      <c r="QFQ28" s="170"/>
      <c r="QFS28" s="170"/>
      <c r="QFU28" s="170"/>
      <c r="QFW28" s="170"/>
      <c r="QFY28" s="170"/>
      <c r="QGA28" s="170"/>
      <c r="QGC28" s="170"/>
      <c r="QGE28" s="170"/>
      <c r="QGG28" s="170"/>
      <c r="QGI28" s="170"/>
      <c r="QGK28" s="170"/>
      <c r="QGM28" s="170"/>
      <c r="QGO28" s="170"/>
      <c r="QGQ28" s="170"/>
      <c r="QGS28" s="170"/>
      <c r="QGU28" s="170"/>
      <c r="QGW28" s="170"/>
      <c r="QGY28" s="170"/>
      <c r="QHA28" s="170"/>
      <c r="QHC28" s="170"/>
      <c r="QHE28" s="170"/>
      <c r="QHG28" s="170"/>
      <c r="QHI28" s="170"/>
      <c r="QHK28" s="170"/>
      <c r="QHM28" s="170"/>
      <c r="QHO28" s="170"/>
      <c r="QHQ28" s="170"/>
      <c r="QHS28" s="170"/>
      <c r="QHU28" s="170"/>
      <c r="QHW28" s="170"/>
      <c r="QHY28" s="170"/>
      <c r="QIA28" s="170"/>
      <c r="QIC28" s="170"/>
      <c r="QIE28" s="170"/>
      <c r="QIG28" s="170"/>
      <c r="QII28" s="170"/>
      <c r="QIK28" s="170"/>
      <c r="QIM28" s="170"/>
      <c r="QIO28" s="170"/>
      <c r="QIQ28" s="170"/>
      <c r="QIS28" s="170"/>
      <c r="QIU28" s="170"/>
      <c r="QIW28" s="170"/>
      <c r="QIY28" s="170"/>
      <c r="QJA28" s="170"/>
      <c r="QJC28" s="170"/>
      <c r="QJE28" s="170"/>
      <c r="QJG28" s="170"/>
      <c r="QJI28" s="170"/>
      <c r="QJK28" s="170"/>
      <c r="QJM28" s="170"/>
      <c r="QJO28" s="170"/>
      <c r="QJQ28" s="170"/>
      <c r="QJS28" s="170"/>
      <c r="QJU28" s="170"/>
      <c r="QJW28" s="170"/>
      <c r="QJY28" s="170"/>
      <c r="QKA28" s="170"/>
      <c r="QKC28" s="170"/>
      <c r="QKE28" s="170"/>
      <c r="QKG28" s="170"/>
      <c r="QKI28" s="170"/>
      <c r="QKK28" s="170"/>
      <c r="QKM28" s="170"/>
      <c r="QKO28" s="170"/>
      <c r="QKQ28" s="170"/>
      <c r="QKS28" s="170"/>
      <c r="QKU28" s="170"/>
      <c r="QKW28" s="170"/>
      <c r="QKY28" s="170"/>
      <c r="QLA28" s="170"/>
      <c r="QLC28" s="170"/>
      <c r="QLE28" s="170"/>
      <c r="QLG28" s="170"/>
      <c r="QLI28" s="170"/>
      <c r="QLK28" s="170"/>
      <c r="QLM28" s="170"/>
      <c r="QLO28" s="170"/>
      <c r="QLQ28" s="170"/>
      <c r="QLS28" s="170"/>
      <c r="QLU28" s="170"/>
      <c r="QLW28" s="170"/>
      <c r="QLY28" s="170"/>
      <c r="QMA28" s="170"/>
      <c r="QMC28" s="170"/>
      <c r="QME28" s="170"/>
      <c r="QMG28" s="170"/>
      <c r="QMI28" s="170"/>
      <c r="QMK28" s="170"/>
      <c r="QMM28" s="170"/>
      <c r="QMO28" s="170"/>
      <c r="QMQ28" s="170"/>
      <c r="QMS28" s="170"/>
      <c r="QMU28" s="170"/>
      <c r="QMW28" s="170"/>
      <c r="QMY28" s="170"/>
      <c r="QNA28" s="170"/>
      <c r="QNC28" s="170"/>
      <c r="QNE28" s="170"/>
      <c r="QNG28" s="170"/>
      <c r="QNI28" s="170"/>
      <c r="QNK28" s="170"/>
      <c r="QNM28" s="170"/>
      <c r="QNO28" s="170"/>
      <c r="QNQ28" s="170"/>
      <c r="QNS28" s="170"/>
      <c r="QNU28" s="170"/>
      <c r="QNW28" s="170"/>
      <c r="QNY28" s="170"/>
      <c r="QOA28" s="170"/>
      <c r="QOC28" s="170"/>
      <c r="QOE28" s="170"/>
      <c r="QOG28" s="170"/>
      <c r="QOI28" s="170"/>
      <c r="QOK28" s="170"/>
      <c r="QOM28" s="170"/>
      <c r="QOO28" s="170"/>
      <c r="QOQ28" s="170"/>
      <c r="QOS28" s="170"/>
      <c r="QOU28" s="170"/>
      <c r="QOW28" s="170"/>
      <c r="QOY28" s="170"/>
      <c r="QPA28" s="170"/>
      <c r="QPC28" s="170"/>
      <c r="QPE28" s="170"/>
      <c r="QPG28" s="170"/>
      <c r="QPI28" s="170"/>
      <c r="QPK28" s="170"/>
      <c r="QPM28" s="170"/>
      <c r="QPO28" s="170"/>
      <c r="QPQ28" s="170"/>
      <c r="QPS28" s="170"/>
      <c r="QPU28" s="170"/>
      <c r="QPW28" s="170"/>
      <c r="QPY28" s="170"/>
      <c r="QQA28" s="170"/>
      <c r="QQC28" s="170"/>
      <c r="QQE28" s="170"/>
      <c r="QQG28" s="170"/>
      <c r="QQI28" s="170"/>
      <c r="QQK28" s="170"/>
      <c r="QQM28" s="170"/>
      <c r="QQO28" s="170"/>
      <c r="QQQ28" s="170"/>
      <c r="QQS28" s="170"/>
      <c r="QQU28" s="170"/>
      <c r="QQW28" s="170"/>
      <c r="QQY28" s="170"/>
      <c r="QRA28" s="170"/>
      <c r="QRC28" s="170"/>
      <c r="QRE28" s="170"/>
      <c r="QRG28" s="170"/>
      <c r="QRI28" s="170"/>
      <c r="QRK28" s="170"/>
      <c r="QRM28" s="170"/>
      <c r="QRO28" s="170"/>
      <c r="QRQ28" s="170"/>
      <c r="QRS28" s="170"/>
      <c r="QRU28" s="170"/>
      <c r="QRW28" s="170"/>
      <c r="QRY28" s="170"/>
      <c r="QSA28" s="170"/>
      <c r="QSC28" s="170"/>
      <c r="QSE28" s="170"/>
      <c r="QSG28" s="170"/>
      <c r="QSI28" s="170"/>
      <c r="QSK28" s="170"/>
      <c r="QSM28" s="170"/>
      <c r="QSO28" s="170"/>
      <c r="QSQ28" s="170"/>
      <c r="QSS28" s="170"/>
      <c r="QSU28" s="170"/>
      <c r="QSW28" s="170"/>
      <c r="QSY28" s="170"/>
      <c r="QTA28" s="170"/>
      <c r="QTC28" s="170"/>
      <c r="QTE28" s="170"/>
      <c r="QTG28" s="170"/>
      <c r="QTI28" s="170"/>
      <c r="QTK28" s="170"/>
      <c r="QTM28" s="170"/>
      <c r="QTO28" s="170"/>
      <c r="QTQ28" s="170"/>
      <c r="QTS28" s="170"/>
      <c r="QTU28" s="170"/>
      <c r="QTW28" s="170"/>
      <c r="QTY28" s="170"/>
      <c r="QUA28" s="170"/>
      <c r="QUC28" s="170"/>
      <c r="QUE28" s="170"/>
      <c r="QUG28" s="170"/>
      <c r="QUI28" s="170"/>
      <c r="QUK28" s="170"/>
      <c r="QUM28" s="170"/>
      <c r="QUO28" s="170"/>
      <c r="QUQ28" s="170"/>
      <c r="QUS28" s="170"/>
      <c r="QUU28" s="170"/>
      <c r="QUW28" s="170"/>
      <c r="QUY28" s="170"/>
      <c r="QVA28" s="170"/>
      <c r="QVC28" s="170"/>
      <c r="QVE28" s="170"/>
      <c r="QVG28" s="170"/>
      <c r="QVI28" s="170"/>
      <c r="QVK28" s="170"/>
      <c r="QVM28" s="170"/>
      <c r="QVO28" s="170"/>
      <c r="QVQ28" s="170"/>
      <c r="QVS28" s="170"/>
      <c r="QVU28" s="170"/>
      <c r="QVW28" s="170"/>
      <c r="QVY28" s="170"/>
      <c r="QWA28" s="170"/>
      <c r="QWC28" s="170"/>
      <c r="QWE28" s="170"/>
      <c r="QWG28" s="170"/>
      <c r="QWI28" s="170"/>
      <c r="QWK28" s="170"/>
      <c r="QWM28" s="170"/>
      <c r="QWO28" s="170"/>
      <c r="QWQ28" s="170"/>
      <c r="QWS28" s="170"/>
      <c r="QWU28" s="170"/>
      <c r="QWW28" s="170"/>
      <c r="QWY28" s="170"/>
      <c r="QXA28" s="170"/>
      <c r="QXC28" s="170"/>
      <c r="QXE28" s="170"/>
      <c r="QXG28" s="170"/>
      <c r="QXI28" s="170"/>
      <c r="QXK28" s="170"/>
      <c r="QXM28" s="170"/>
      <c r="QXO28" s="170"/>
      <c r="QXQ28" s="170"/>
      <c r="QXS28" s="170"/>
      <c r="QXU28" s="170"/>
      <c r="QXW28" s="170"/>
      <c r="QXY28" s="170"/>
      <c r="QYA28" s="170"/>
      <c r="QYC28" s="170"/>
      <c r="QYE28" s="170"/>
      <c r="QYG28" s="170"/>
      <c r="QYI28" s="170"/>
      <c r="QYK28" s="170"/>
      <c r="QYM28" s="170"/>
      <c r="QYO28" s="170"/>
      <c r="QYQ28" s="170"/>
      <c r="QYS28" s="170"/>
      <c r="QYU28" s="170"/>
      <c r="QYW28" s="170"/>
      <c r="QYY28" s="170"/>
      <c r="QZA28" s="170"/>
      <c r="QZC28" s="170"/>
      <c r="QZE28" s="170"/>
      <c r="QZG28" s="170"/>
      <c r="QZI28" s="170"/>
      <c r="QZK28" s="170"/>
      <c r="QZM28" s="170"/>
      <c r="QZO28" s="170"/>
      <c r="QZQ28" s="170"/>
      <c r="QZS28" s="170"/>
      <c r="QZU28" s="170"/>
      <c r="QZW28" s="170"/>
      <c r="QZY28" s="170"/>
      <c r="RAA28" s="170"/>
      <c r="RAC28" s="170"/>
      <c r="RAE28" s="170"/>
      <c r="RAG28" s="170"/>
      <c r="RAI28" s="170"/>
      <c r="RAK28" s="170"/>
      <c r="RAM28" s="170"/>
      <c r="RAO28" s="170"/>
      <c r="RAQ28" s="170"/>
      <c r="RAS28" s="170"/>
      <c r="RAU28" s="170"/>
      <c r="RAW28" s="170"/>
      <c r="RAY28" s="170"/>
      <c r="RBA28" s="170"/>
      <c r="RBC28" s="170"/>
      <c r="RBE28" s="170"/>
      <c r="RBG28" s="170"/>
      <c r="RBI28" s="170"/>
      <c r="RBK28" s="170"/>
      <c r="RBM28" s="170"/>
      <c r="RBO28" s="170"/>
      <c r="RBQ28" s="170"/>
      <c r="RBS28" s="170"/>
      <c r="RBU28" s="170"/>
      <c r="RBW28" s="170"/>
      <c r="RBY28" s="170"/>
      <c r="RCA28" s="170"/>
      <c r="RCC28" s="170"/>
      <c r="RCE28" s="170"/>
      <c r="RCG28" s="170"/>
      <c r="RCI28" s="170"/>
      <c r="RCK28" s="170"/>
      <c r="RCM28" s="170"/>
      <c r="RCO28" s="170"/>
      <c r="RCQ28" s="170"/>
      <c r="RCS28" s="170"/>
      <c r="RCU28" s="170"/>
      <c r="RCW28" s="170"/>
      <c r="RCY28" s="170"/>
      <c r="RDA28" s="170"/>
      <c r="RDC28" s="170"/>
      <c r="RDE28" s="170"/>
      <c r="RDG28" s="170"/>
      <c r="RDI28" s="170"/>
      <c r="RDK28" s="170"/>
      <c r="RDM28" s="170"/>
      <c r="RDO28" s="170"/>
      <c r="RDQ28" s="170"/>
      <c r="RDS28" s="170"/>
      <c r="RDU28" s="170"/>
      <c r="RDW28" s="170"/>
      <c r="RDY28" s="170"/>
      <c r="REA28" s="170"/>
      <c r="REC28" s="170"/>
      <c r="REE28" s="170"/>
      <c r="REG28" s="170"/>
      <c r="REI28" s="170"/>
      <c r="REK28" s="170"/>
      <c r="REM28" s="170"/>
      <c r="REO28" s="170"/>
      <c r="REQ28" s="170"/>
      <c r="RES28" s="170"/>
      <c r="REU28" s="170"/>
      <c r="REW28" s="170"/>
      <c r="REY28" s="170"/>
      <c r="RFA28" s="170"/>
      <c r="RFC28" s="170"/>
      <c r="RFE28" s="170"/>
      <c r="RFG28" s="170"/>
      <c r="RFI28" s="170"/>
      <c r="RFK28" s="170"/>
      <c r="RFM28" s="170"/>
      <c r="RFO28" s="170"/>
      <c r="RFQ28" s="170"/>
      <c r="RFS28" s="170"/>
      <c r="RFU28" s="170"/>
      <c r="RFW28" s="170"/>
      <c r="RFY28" s="170"/>
      <c r="RGA28" s="170"/>
      <c r="RGC28" s="170"/>
      <c r="RGE28" s="170"/>
      <c r="RGG28" s="170"/>
      <c r="RGI28" s="170"/>
      <c r="RGK28" s="170"/>
      <c r="RGM28" s="170"/>
      <c r="RGO28" s="170"/>
      <c r="RGQ28" s="170"/>
      <c r="RGS28" s="170"/>
      <c r="RGU28" s="170"/>
      <c r="RGW28" s="170"/>
      <c r="RGY28" s="170"/>
      <c r="RHA28" s="170"/>
      <c r="RHC28" s="170"/>
      <c r="RHE28" s="170"/>
      <c r="RHG28" s="170"/>
      <c r="RHI28" s="170"/>
      <c r="RHK28" s="170"/>
      <c r="RHM28" s="170"/>
      <c r="RHO28" s="170"/>
      <c r="RHQ28" s="170"/>
      <c r="RHS28" s="170"/>
      <c r="RHU28" s="170"/>
      <c r="RHW28" s="170"/>
      <c r="RHY28" s="170"/>
      <c r="RIA28" s="170"/>
      <c r="RIC28" s="170"/>
      <c r="RIE28" s="170"/>
      <c r="RIG28" s="170"/>
      <c r="RII28" s="170"/>
      <c r="RIK28" s="170"/>
      <c r="RIM28" s="170"/>
      <c r="RIO28" s="170"/>
      <c r="RIQ28" s="170"/>
      <c r="RIS28" s="170"/>
      <c r="RIU28" s="170"/>
      <c r="RIW28" s="170"/>
      <c r="RIY28" s="170"/>
      <c r="RJA28" s="170"/>
      <c r="RJC28" s="170"/>
      <c r="RJE28" s="170"/>
      <c r="RJG28" s="170"/>
      <c r="RJI28" s="170"/>
      <c r="RJK28" s="170"/>
      <c r="RJM28" s="170"/>
      <c r="RJO28" s="170"/>
      <c r="RJQ28" s="170"/>
      <c r="RJS28" s="170"/>
      <c r="RJU28" s="170"/>
      <c r="RJW28" s="170"/>
      <c r="RJY28" s="170"/>
      <c r="RKA28" s="170"/>
      <c r="RKC28" s="170"/>
      <c r="RKE28" s="170"/>
      <c r="RKG28" s="170"/>
      <c r="RKI28" s="170"/>
      <c r="RKK28" s="170"/>
      <c r="RKM28" s="170"/>
      <c r="RKO28" s="170"/>
      <c r="RKQ28" s="170"/>
      <c r="RKS28" s="170"/>
      <c r="RKU28" s="170"/>
      <c r="RKW28" s="170"/>
      <c r="RKY28" s="170"/>
      <c r="RLA28" s="170"/>
      <c r="RLC28" s="170"/>
      <c r="RLE28" s="170"/>
      <c r="RLG28" s="170"/>
      <c r="RLI28" s="170"/>
      <c r="RLK28" s="170"/>
      <c r="RLM28" s="170"/>
      <c r="RLO28" s="170"/>
      <c r="RLQ28" s="170"/>
      <c r="RLS28" s="170"/>
      <c r="RLU28" s="170"/>
      <c r="RLW28" s="170"/>
      <c r="RLY28" s="170"/>
      <c r="RMA28" s="170"/>
      <c r="RMC28" s="170"/>
      <c r="RME28" s="170"/>
      <c r="RMG28" s="170"/>
      <c r="RMI28" s="170"/>
      <c r="RMK28" s="170"/>
      <c r="RMM28" s="170"/>
      <c r="RMO28" s="170"/>
      <c r="RMQ28" s="170"/>
      <c r="RMS28" s="170"/>
      <c r="RMU28" s="170"/>
      <c r="RMW28" s="170"/>
      <c r="RMY28" s="170"/>
      <c r="RNA28" s="170"/>
      <c r="RNC28" s="170"/>
      <c r="RNE28" s="170"/>
      <c r="RNG28" s="170"/>
      <c r="RNI28" s="170"/>
      <c r="RNK28" s="170"/>
      <c r="RNM28" s="170"/>
      <c r="RNO28" s="170"/>
      <c r="RNQ28" s="170"/>
      <c r="RNS28" s="170"/>
      <c r="RNU28" s="170"/>
      <c r="RNW28" s="170"/>
      <c r="RNY28" s="170"/>
      <c r="ROA28" s="170"/>
      <c r="ROC28" s="170"/>
      <c r="ROE28" s="170"/>
      <c r="ROG28" s="170"/>
      <c r="ROI28" s="170"/>
      <c r="ROK28" s="170"/>
      <c r="ROM28" s="170"/>
      <c r="ROO28" s="170"/>
      <c r="ROQ28" s="170"/>
      <c r="ROS28" s="170"/>
      <c r="ROU28" s="170"/>
      <c r="ROW28" s="170"/>
      <c r="ROY28" s="170"/>
      <c r="RPA28" s="170"/>
      <c r="RPC28" s="170"/>
      <c r="RPE28" s="170"/>
      <c r="RPG28" s="170"/>
      <c r="RPI28" s="170"/>
      <c r="RPK28" s="170"/>
      <c r="RPM28" s="170"/>
      <c r="RPO28" s="170"/>
      <c r="RPQ28" s="170"/>
      <c r="RPS28" s="170"/>
      <c r="RPU28" s="170"/>
      <c r="RPW28" s="170"/>
      <c r="RPY28" s="170"/>
      <c r="RQA28" s="170"/>
      <c r="RQC28" s="170"/>
      <c r="RQE28" s="170"/>
      <c r="RQG28" s="170"/>
      <c r="RQI28" s="170"/>
      <c r="RQK28" s="170"/>
      <c r="RQM28" s="170"/>
      <c r="RQO28" s="170"/>
      <c r="RQQ28" s="170"/>
      <c r="RQS28" s="170"/>
      <c r="RQU28" s="170"/>
      <c r="RQW28" s="170"/>
      <c r="RQY28" s="170"/>
      <c r="RRA28" s="170"/>
      <c r="RRC28" s="170"/>
      <c r="RRE28" s="170"/>
      <c r="RRG28" s="170"/>
      <c r="RRI28" s="170"/>
      <c r="RRK28" s="170"/>
      <c r="RRM28" s="170"/>
      <c r="RRO28" s="170"/>
      <c r="RRQ28" s="170"/>
      <c r="RRS28" s="170"/>
      <c r="RRU28" s="170"/>
      <c r="RRW28" s="170"/>
      <c r="RRY28" s="170"/>
      <c r="RSA28" s="170"/>
      <c r="RSC28" s="170"/>
      <c r="RSE28" s="170"/>
      <c r="RSG28" s="170"/>
      <c r="RSI28" s="170"/>
      <c r="RSK28" s="170"/>
      <c r="RSM28" s="170"/>
      <c r="RSO28" s="170"/>
      <c r="RSQ28" s="170"/>
      <c r="RSS28" s="170"/>
      <c r="RSU28" s="170"/>
      <c r="RSW28" s="170"/>
      <c r="RSY28" s="170"/>
      <c r="RTA28" s="170"/>
      <c r="RTC28" s="170"/>
      <c r="RTE28" s="170"/>
      <c r="RTG28" s="170"/>
      <c r="RTI28" s="170"/>
      <c r="RTK28" s="170"/>
      <c r="RTM28" s="170"/>
      <c r="RTO28" s="170"/>
      <c r="RTQ28" s="170"/>
      <c r="RTS28" s="170"/>
      <c r="RTU28" s="170"/>
      <c r="RTW28" s="170"/>
      <c r="RTY28" s="170"/>
      <c r="RUA28" s="170"/>
      <c r="RUC28" s="170"/>
      <c r="RUE28" s="170"/>
      <c r="RUG28" s="170"/>
      <c r="RUI28" s="170"/>
      <c r="RUK28" s="170"/>
      <c r="RUM28" s="170"/>
      <c r="RUO28" s="170"/>
      <c r="RUQ28" s="170"/>
      <c r="RUS28" s="170"/>
      <c r="RUU28" s="170"/>
      <c r="RUW28" s="170"/>
      <c r="RUY28" s="170"/>
      <c r="RVA28" s="170"/>
      <c r="RVC28" s="170"/>
      <c r="RVE28" s="170"/>
      <c r="RVG28" s="170"/>
      <c r="RVI28" s="170"/>
      <c r="RVK28" s="170"/>
      <c r="RVM28" s="170"/>
      <c r="RVO28" s="170"/>
      <c r="RVQ28" s="170"/>
      <c r="RVS28" s="170"/>
      <c r="RVU28" s="170"/>
      <c r="RVW28" s="170"/>
      <c r="RVY28" s="170"/>
      <c r="RWA28" s="170"/>
      <c r="RWC28" s="170"/>
      <c r="RWE28" s="170"/>
      <c r="RWG28" s="170"/>
      <c r="RWI28" s="170"/>
      <c r="RWK28" s="170"/>
      <c r="RWM28" s="170"/>
      <c r="RWO28" s="170"/>
      <c r="RWQ28" s="170"/>
      <c r="RWS28" s="170"/>
      <c r="RWU28" s="170"/>
      <c r="RWW28" s="170"/>
      <c r="RWY28" s="170"/>
      <c r="RXA28" s="170"/>
      <c r="RXC28" s="170"/>
      <c r="RXE28" s="170"/>
      <c r="RXG28" s="170"/>
      <c r="RXI28" s="170"/>
      <c r="RXK28" s="170"/>
      <c r="RXM28" s="170"/>
      <c r="RXO28" s="170"/>
      <c r="RXQ28" s="170"/>
      <c r="RXS28" s="170"/>
      <c r="RXU28" s="170"/>
      <c r="RXW28" s="170"/>
      <c r="RXY28" s="170"/>
      <c r="RYA28" s="170"/>
      <c r="RYC28" s="170"/>
      <c r="RYE28" s="170"/>
      <c r="RYG28" s="170"/>
      <c r="RYI28" s="170"/>
      <c r="RYK28" s="170"/>
      <c r="RYM28" s="170"/>
      <c r="RYO28" s="170"/>
      <c r="RYQ28" s="170"/>
      <c r="RYS28" s="170"/>
      <c r="RYU28" s="170"/>
      <c r="RYW28" s="170"/>
      <c r="RYY28" s="170"/>
      <c r="RZA28" s="170"/>
      <c r="RZC28" s="170"/>
      <c r="RZE28" s="170"/>
      <c r="RZG28" s="170"/>
      <c r="RZI28" s="170"/>
      <c r="RZK28" s="170"/>
      <c r="RZM28" s="170"/>
      <c r="RZO28" s="170"/>
      <c r="RZQ28" s="170"/>
      <c r="RZS28" s="170"/>
      <c r="RZU28" s="170"/>
      <c r="RZW28" s="170"/>
      <c r="RZY28" s="170"/>
      <c r="SAA28" s="170"/>
      <c r="SAC28" s="170"/>
      <c r="SAE28" s="170"/>
      <c r="SAG28" s="170"/>
      <c r="SAI28" s="170"/>
      <c r="SAK28" s="170"/>
      <c r="SAM28" s="170"/>
      <c r="SAO28" s="170"/>
      <c r="SAQ28" s="170"/>
      <c r="SAS28" s="170"/>
      <c r="SAU28" s="170"/>
      <c r="SAW28" s="170"/>
      <c r="SAY28" s="170"/>
      <c r="SBA28" s="170"/>
      <c r="SBC28" s="170"/>
      <c r="SBE28" s="170"/>
      <c r="SBG28" s="170"/>
      <c r="SBI28" s="170"/>
      <c r="SBK28" s="170"/>
      <c r="SBM28" s="170"/>
      <c r="SBO28" s="170"/>
      <c r="SBQ28" s="170"/>
      <c r="SBS28" s="170"/>
      <c r="SBU28" s="170"/>
      <c r="SBW28" s="170"/>
      <c r="SBY28" s="170"/>
      <c r="SCA28" s="170"/>
      <c r="SCC28" s="170"/>
      <c r="SCE28" s="170"/>
      <c r="SCG28" s="170"/>
      <c r="SCI28" s="170"/>
      <c r="SCK28" s="170"/>
      <c r="SCM28" s="170"/>
      <c r="SCO28" s="170"/>
      <c r="SCQ28" s="170"/>
      <c r="SCS28" s="170"/>
      <c r="SCU28" s="170"/>
      <c r="SCW28" s="170"/>
      <c r="SCY28" s="170"/>
      <c r="SDA28" s="170"/>
      <c r="SDC28" s="170"/>
      <c r="SDE28" s="170"/>
      <c r="SDG28" s="170"/>
      <c r="SDI28" s="170"/>
      <c r="SDK28" s="170"/>
      <c r="SDM28" s="170"/>
      <c r="SDO28" s="170"/>
      <c r="SDQ28" s="170"/>
      <c r="SDS28" s="170"/>
      <c r="SDU28" s="170"/>
      <c r="SDW28" s="170"/>
      <c r="SDY28" s="170"/>
      <c r="SEA28" s="170"/>
      <c r="SEC28" s="170"/>
      <c r="SEE28" s="170"/>
      <c r="SEG28" s="170"/>
      <c r="SEI28" s="170"/>
      <c r="SEK28" s="170"/>
      <c r="SEM28" s="170"/>
      <c r="SEO28" s="170"/>
      <c r="SEQ28" s="170"/>
      <c r="SES28" s="170"/>
      <c r="SEU28" s="170"/>
      <c r="SEW28" s="170"/>
      <c r="SEY28" s="170"/>
      <c r="SFA28" s="170"/>
      <c r="SFC28" s="170"/>
      <c r="SFE28" s="170"/>
      <c r="SFG28" s="170"/>
      <c r="SFI28" s="170"/>
      <c r="SFK28" s="170"/>
      <c r="SFM28" s="170"/>
      <c r="SFO28" s="170"/>
      <c r="SFQ28" s="170"/>
      <c r="SFS28" s="170"/>
      <c r="SFU28" s="170"/>
      <c r="SFW28" s="170"/>
      <c r="SFY28" s="170"/>
      <c r="SGA28" s="170"/>
      <c r="SGC28" s="170"/>
      <c r="SGE28" s="170"/>
      <c r="SGG28" s="170"/>
      <c r="SGI28" s="170"/>
      <c r="SGK28" s="170"/>
      <c r="SGM28" s="170"/>
      <c r="SGO28" s="170"/>
      <c r="SGQ28" s="170"/>
      <c r="SGS28" s="170"/>
      <c r="SGU28" s="170"/>
      <c r="SGW28" s="170"/>
      <c r="SGY28" s="170"/>
      <c r="SHA28" s="170"/>
      <c r="SHC28" s="170"/>
      <c r="SHE28" s="170"/>
      <c r="SHG28" s="170"/>
      <c r="SHI28" s="170"/>
      <c r="SHK28" s="170"/>
      <c r="SHM28" s="170"/>
      <c r="SHO28" s="170"/>
      <c r="SHQ28" s="170"/>
      <c r="SHS28" s="170"/>
      <c r="SHU28" s="170"/>
      <c r="SHW28" s="170"/>
      <c r="SHY28" s="170"/>
      <c r="SIA28" s="170"/>
      <c r="SIC28" s="170"/>
      <c r="SIE28" s="170"/>
      <c r="SIG28" s="170"/>
      <c r="SII28" s="170"/>
      <c r="SIK28" s="170"/>
      <c r="SIM28" s="170"/>
      <c r="SIO28" s="170"/>
      <c r="SIQ28" s="170"/>
      <c r="SIS28" s="170"/>
      <c r="SIU28" s="170"/>
      <c r="SIW28" s="170"/>
      <c r="SIY28" s="170"/>
      <c r="SJA28" s="170"/>
      <c r="SJC28" s="170"/>
      <c r="SJE28" s="170"/>
      <c r="SJG28" s="170"/>
      <c r="SJI28" s="170"/>
      <c r="SJK28" s="170"/>
      <c r="SJM28" s="170"/>
      <c r="SJO28" s="170"/>
      <c r="SJQ28" s="170"/>
      <c r="SJS28" s="170"/>
      <c r="SJU28" s="170"/>
      <c r="SJW28" s="170"/>
      <c r="SJY28" s="170"/>
      <c r="SKA28" s="170"/>
      <c r="SKC28" s="170"/>
      <c r="SKE28" s="170"/>
      <c r="SKG28" s="170"/>
      <c r="SKI28" s="170"/>
      <c r="SKK28" s="170"/>
      <c r="SKM28" s="170"/>
      <c r="SKO28" s="170"/>
      <c r="SKQ28" s="170"/>
      <c r="SKS28" s="170"/>
      <c r="SKU28" s="170"/>
      <c r="SKW28" s="170"/>
      <c r="SKY28" s="170"/>
      <c r="SLA28" s="170"/>
      <c r="SLC28" s="170"/>
      <c r="SLE28" s="170"/>
      <c r="SLG28" s="170"/>
      <c r="SLI28" s="170"/>
      <c r="SLK28" s="170"/>
      <c r="SLM28" s="170"/>
      <c r="SLO28" s="170"/>
      <c r="SLQ28" s="170"/>
      <c r="SLS28" s="170"/>
      <c r="SLU28" s="170"/>
      <c r="SLW28" s="170"/>
      <c r="SLY28" s="170"/>
      <c r="SMA28" s="170"/>
      <c r="SMC28" s="170"/>
      <c r="SME28" s="170"/>
      <c r="SMG28" s="170"/>
      <c r="SMI28" s="170"/>
      <c r="SMK28" s="170"/>
      <c r="SMM28" s="170"/>
      <c r="SMO28" s="170"/>
      <c r="SMQ28" s="170"/>
      <c r="SMS28" s="170"/>
      <c r="SMU28" s="170"/>
      <c r="SMW28" s="170"/>
      <c r="SMY28" s="170"/>
      <c r="SNA28" s="170"/>
      <c r="SNC28" s="170"/>
      <c r="SNE28" s="170"/>
      <c r="SNG28" s="170"/>
      <c r="SNI28" s="170"/>
      <c r="SNK28" s="170"/>
      <c r="SNM28" s="170"/>
      <c r="SNO28" s="170"/>
      <c r="SNQ28" s="170"/>
      <c r="SNS28" s="170"/>
      <c r="SNU28" s="170"/>
      <c r="SNW28" s="170"/>
      <c r="SNY28" s="170"/>
      <c r="SOA28" s="170"/>
      <c r="SOC28" s="170"/>
      <c r="SOE28" s="170"/>
      <c r="SOG28" s="170"/>
      <c r="SOI28" s="170"/>
      <c r="SOK28" s="170"/>
      <c r="SOM28" s="170"/>
      <c r="SOO28" s="170"/>
      <c r="SOQ28" s="170"/>
      <c r="SOS28" s="170"/>
      <c r="SOU28" s="170"/>
      <c r="SOW28" s="170"/>
      <c r="SOY28" s="170"/>
      <c r="SPA28" s="170"/>
      <c r="SPC28" s="170"/>
      <c r="SPE28" s="170"/>
      <c r="SPG28" s="170"/>
      <c r="SPI28" s="170"/>
      <c r="SPK28" s="170"/>
      <c r="SPM28" s="170"/>
      <c r="SPO28" s="170"/>
      <c r="SPQ28" s="170"/>
      <c r="SPS28" s="170"/>
      <c r="SPU28" s="170"/>
      <c r="SPW28" s="170"/>
      <c r="SPY28" s="170"/>
      <c r="SQA28" s="170"/>
      <c r="SQC28" s="170"/>
      <c r="SQE28" s="170"/>
      <c r="SQG28" s="170"/>
      <c r="SQI28" s="170"/>
      <c r="SQK28" s="170"/>
      <c r="SQM28" s="170"/>
      <c r="SQO28" s="170"/>
      <c r="SQQ28" s="170"/>
      <c r="SQS28" s="170"/>
      <c r="SQU28" s="170"/>
      <c r="SQW28" s="170"/>
      <c r="SQY28" s="170"/>
      <c r="SRA28" s="170"/>
      <c r="SRC28" s="170"/>
      <c r="SRE28" s="170"/>
      <c r="SRG28" s="170"/>
      <c r="SRI28" s="170"/>
      <c r="SRK28" s="170"/>
      <c r="SRM28" s="170"/>
      <c r="SRO28" s="170"/>
      <c r="SRQ28" s="170"/>
      <c r="SRS28" s="170"/>
      <c r="SRU28" s="170"/>
      <c r="SRW28" s="170"/>
      <c r="SRY28" s="170"/>
      <c r="SSA28" s="170"/>
      <c r="SSC28" s="170"/>
      <c r="SSE28" s="170"/>
      <c r="SSG28" s="170"/>
      <c r="SSI28" s="170"/>
      <c r="SSK28" s="170"/>
      <c r="SSM28" s="170"/>
      <c r="SSO28" s="170"/>
      <c r="SSQ28" s="170"/>
      <c r="SSS28" s="170"/>
      <c r="SSU28" s="170"/>
      <c r="SSW28" s="170"/>
      <c r="SSY28" s="170"/>
      <c r="STA28" s="170"/>
      <c r="STC28" s="170"/>
      <c r="STE28" s="170"/>
      <c r="STG28" s="170"/>
      <c r="STI28" s="170"/>
      <c r="STK28" s="170"/>
      <c r="STM28" s="170"/>
      <c r="STO28" s="170"/>
      <c r="STQ28" s="170"/>
      <c r="STS28" s="170"/>
      <c r="STU28" s="170"/>
      <c r="STW28" s="170"/>
      <c r="STY28" s="170"/>
      <c r="SUA28" s="170"/>
      <c r="SUC28" s="170"/>
      <c r="SUE28" s="170"/>
      <c r="SUG28" s="170"/>
      <c r="SUI28" s="170"/>
      <c r="SUK28" s="170"/>
      <c r="SUM28" s="170"/>
      <c r="SUO28" s="170"/>
      <c r="SUQ28" s="170"/>
      <c r="SUS28" s="170"/>
      <c r="SUU28" s="170"/>
      <c r="SUW28" s="170"/>
      <c r="SUY28" s="170"/>
      <c r="SVA28" s="170"/>
      <c r="SVC28" s="170"/>
      <c r="SVE28" s="170"/>
      <c r="SVG28" s="170"/>
      <c r="SVI28" s="170"/>
      <c r="SVK28" s="170"/>
      <c r="SVM28" s="170"/>
      <c r="SVO28" s="170"/>
      <c r="SVQ28" s="170"/>
      <c r="SVS28" s="170"/>
      <c r="SVU28" s="170"/>
      <c r="SVW28" s="170"/>
      <c r="SVY28" s="170"/>
      <c r="SWA28" s="170"/>
      <c r="SWC28" s="170"/>
      <c r="SWE28" s="170"/>
      <c r="SWG28" s="170"/>
      <c r="SWI28" s="170"/>
      <c r="SWK28" s="170"/>
      <c r="SWM28" s="170"/>
      <c r="SWO28" s="170"/>
      <c r="SWQ28" s="170"/>
      <c r="SWS28" s="170"/>
      <c r="SWU28" s="170"/>
      <c r="SWW28" s="170"/>
      <c r="SWY28" s="170"/>
      <c r="SXA28" s="170"/>
      <c r="SXC28" s="170"/>
      <c r="SXE28" s="170"/>
      <c r="SXG28" s="170"/>
      <c r="SXI28" s="170"/>
      <c r="SXK28" s="170"/>
      <c r="SXM28" s="170"/>
      <c r="SXO28" s="170"/>
      <c r="SXQ28" s="170"/>
      <c r="SXS28" s="170"/>
      <c r="SXU28" s="170"/>
      <c r="SXW28" s="170"/>
      <c r="SXY28" s="170"/>
      <c r="SYA28" s="170"/>
      <c r="SYC28" s="170"/>
      <c r="SYE28" s="170"/>
      <c r="SYG28" s="170"/>
      <c r="SYI28" s="170"/>
      <c r="SYK28" s="170"/>
      <c r="SYM28" s="170"/>
      <c r="SYO28" s="170"/>
      <c r="SYQ28" s="170"/>
      <c r="SYS28" s="170"/>
      <c r="SYU28" s="170"/>
      <c r="SYW28" s="170"/>
      <c r="SYY28" s="170"/>
      <c r="SZA28" s="170"/>
      <c r="SZC28" s="170"/>
      <c r="SZE28" s="170"/>
      <c r="SZG28" s="170"/>
      <c r="SZI28" s="170"/>
      <c r="SZK28" s="170"/>
      <c r="SZM28" s="170"/>
      <c r="SZO28" s="170"/>
      <c r="SZQ28" s="170"/>
      <c r="SZS28" s="170"/>
      <c r="SZU28" s="170"/>
      <c r="SZW28" s="170"/>
      <c r="SZY28" s="170"/>
      <c r="TAA28" s="170"/>
      <c r="TAC28" s="170"/>
      <c r="TAE28" s="170"/>
      <c r="TAG28" s="170"/>
      <c r="TAI28" s="170"/>
      <c r="TAK28" s="170"/>
      <c r="TAM28" s="170"/>
      <c r="TAO28" s="170"/>
      <c r="TAQ28" s="170"/>
      <c r="TAS28" s="170"/>
      <c r="TAU28" s="170"/>
      <c r="TAW28" s="170"/>
      <c r="TAY28" s="170"/>
      <c r="TBA28" s="170"/>
      <c r="TBC28" s="170"/>
      <c r="TBE28" s="170"/>
      <c r="TBG28" s="170"/>
      <c r="TBI28" s="170"/>
      <c r="TBK28" s="170"/>
      <c r="TBM28" s="170"/>
      <c r="TBO28" s="170"/>
      <c r="TBQ28" s="170"/>
      <c r="TBS28" s="170"/>
      <c r="TBU28" s="170"/>
      <c r="TBW28" s="170"/>
      <c r="TBY28" s="170"/>
      <c r="TCA28" s="170"/>
      <c r="TCC28" s="170"/>
      <c r="TCE28" s="170"/>
      <c r="TCG28" s="170"/>
      <c r="TCI28" s="170"/>
      <c r="TCK28" s="170"/>
      <c r="TCM28" s="170"/>
      <c r="TCO28" s="170"/>
      <c r="TCQ28" s="170"/>
      <c r="TCS28" s="170"/>
      <c r="TCU28" s="170"/>
      <c r="TCW28" s="170"/>
      <c r="TCY28" s="170"/>
      <c r="TDA28" s="170"/>
      <c r="TDC28" s="170"/>
      <c r="TDE28" s="170"/>
      <c r="TDG28" s="170"/>
      <c r="TDI28" s="170"/>
      <c r="TDK28" s="170"/>
      <c r="TDM28" s="170"/>
      <c r="TDO28" s="170"/>
      <c r="TDQ28" s="170"/>
      <c r="TDS28" s="170"/>
      <c r="TDU28" s="170"/>
      <c r="TDW28" s="170"/>
      <c r="TDY28" s="170"/>
      <c r="TEA28" s="170"/>
      <c r="TEC28" s="170"/>
      <c r="TEE28" s="170"/>
      <c r="TEG28" s="170"/>
      <c r="TEI28" s="170"/>
      <c r="TEK28" s="170"/>
      <c r="TEM28" s="170"/>
      <c r="TEO28" s="170"/>
      <c r="TEQ28" s="170"/>
      <c r="TES28" s="170"/>
      <c r="TEU28" s="170"/>
      <c r="TEW28" s="170"/>
      <c r="TEY28" s="170"/>
      <c r="TFA28" s="170"/>
      <c r="TFC28" s="170"/>
      <c r="TFE28" s="170"/>
      <c r="TFG28" s="170"/>
      <c r="TFI28" s="170"/>
      <c r="TFK28" s="170"/>
      <c r="TFM28" s="170"/>
      <c r="TFO28" s="170"/>
      <c r="TFQ28" s="170"/>
      <c r="TFS28" s="170"/>
      <c r="TFU28" s="170"/>
      <c r="TFW28" s="170"/>
      <c r="TFY28" s="170"/>
      <c r="TGA28" s="170"/>
      <c r="TGC28" s="170"/>
      <c r="TGE28" s="170"/>
      <c r="TGG28" s="170"/>
      <c r="TGI28" s="170"/>
      <c r="TGK28" s="170"/>
      <c r="TGM28" s="170"/>
      <c r="TGO28" s="170"/>
      <c r="TGQ28" s="170"/>
      <c r="TGS28" s="170"/>
      <c r="TGU28" s="170"/>
      <c r="TGW28" s="170"/>
      <c r="TGY28" s="170"/>
      <c r="THA28" s="170"/>
      <c r="THC28" s="170"/>
      <c r="THE28" s="170"/>
      <c r="THG28" s="170"/>
      <c r="THI28" s="170"/>
      <c r="THK28" s="170"/>
      <c r="THM28" s="170"/>
      <c r="THO28" s="170"/>
      <c r="THQ28" s="170"/>
      <c r="THS28" s="170"/>
      <c r="THU28" s="170"/>
      <c r="THW28" s="170"/>
      <c r="THY28" s="170"/>
      <c r="TIA28" s="170"/>
      <c r="TIC28" s="170"/>
      <c r="TIE28" s="170"/>
      <c r="TIG28" s="170"/>
      <c r="TII28" s="170"/>
      <c r="TIK28" s="170"/>
      <c r="TIM28" s="170"/>
      <c r="TIO28" s="170"/>
      <c r="TIQ28" s="170"/>
      <c r="TIS28" s="170"/>
      <c r="TIU28" s="170"/>
      <c r="TIW28" s="170"/>
      <c r="TIY28" s="170"/>
      <c r="TJA28" s="170"/>
      <c r="TJC28" s="170"/>
      <c r="TJE28" s="170"/>
      <c r="TJG28" s="170"/>
      <c r="TJI28" s="170"/>
      <c r="TJK28" s="170"/>
      <c r="TJM28" s="170"/>
      <c r="TJO28" s="170"/>
      <c r="TJQ28" s="170"/>
      <c r="TJS28" s="170"/>
      <c r="TJU28" s="170"/>
      <c r="TJW28" s="170"/>
      <c r="TJY28" s="170"/>
      <c r="TKA28" s="170"/>
      <c r="TKC28" s="170"/>
      <c r="TKE28" s="170"/>
      <c r="TKG28" s="170"/>
      <c r="TKI28" s="170"/>
      <c r="TKK28" s="170"/>
      <c r="TKM28" s="170"/>
      <c r="TKO28" s="170"/>
      <c r="TKQ28" s="170"/>
      <c r="TKS28" s="170"/>
      <c r="TKU28" s="170"/>
      <c r="TKW28" s="170"/>
      <c r="TKY28" s="170"/>
      <c r="TLA28" s="170"/>
      <c r="TLC28" s="170"/>
      <c r="TLE28" s="170"/>
      <c r="TLG28" s="170"/>
      <c r="TLI28" s="170"/>
      <c r="TLK28" s="170"/>
      <c r="TLM28" s="170"/>
      <c r="TLO28" s="170"/>
      <c r="TLQ28" s="170"/>
      <c r="TLS28" s="170"/>
      <c r="TLU28" s="170"/>
      <c r="TLW28" s="170"/>
      <c r="TLY28" s="170"/>
      <c r="TMA28" s="170"/>
      <c r="TMC28" s="170"/>
      <c r="TME28" s="170"/>
      <c r="TMG28" s="170"/>
      <c r="TMI28" s="170"/>
      <c r="TMK28" s="170"/>
      <c r="TMM28" s="170"/>
      <c r="TMO28" s="170"/>
      <c r="TMQ28" s="170"/>
      <c r="TMS28" s="170"/>
      <c r="TMU28" s="170"/>
      <c r="TMW28" s="170"/>
      <c r="TMY28" s="170"/>
      <c r="TNA28" s="170"/>
      <c r="TNC28" s="170"/>
      <c r="TNE28" s="170"/>
      <c r="TNG28" s="170"/>
      <c r="TNI28" s="170"/>
      <c r="TNK28" s="170"/>
      <c r="TNM28" s="170"/>
      <c r="TNO28" s="170"/>
      <c r="TNQ28" s="170"/>
      <c r="TNS28" s="170"/>
      <c r="TNU28" s="170"/>
      <c r="TNW28" s="170"/>
      <c r="TNY28" s="170"/>
      <c r="TOA28" s="170"/>
      <c r="TOC28" s="170"/>
      <c r="TOE28" s="170"/>
      <c r="TOG28" s="170"/>
      <c r="TOI28" s="170"/>
      <c r="TOK28" s="170"/>
      <c r="TOM28" s="170"/>
      <c r="TOO28" s="170"/>
      <c r="TOQ28" s="170"/>
      <c r="TOS28" s="170"/>
      <c r="TOU28" s="170"/>
      <c r="TOW28" s="170"/>
      <c r="TOY28" s="170"/>
      <c r="TPA28" s="170"/>
      <c r="TPC28" s="170"/>
      <c r="TPE28" s="170"/>
      <c r="TPG28" s="170"/>
      <c r="TPI28" s="170"/>
      <c r="TPK28" s="170"/>
      <c r="TPM28" s="170"/>
      <c r="TPO28" s="170"/>
      <c r="TPQ28" s="170"/>
      <c r="TPS28" s="170"/>
      <c r="TPU28" s="170"/>
      <c r="TPW28" s="170"/>
      <c r="TPY28" s="170"/>
      <c r="TQA28" s="170"/>
      <c r="TQC28" s="170"/>
      <c r="TQE28" s="170"/>
      <c r="TQG28" s="170"/>
      <c r="TQI28" s="170"/>
      <c r="TQK28" s="170"/>
      <c r="TQM28" s="170"/>
      <c r="TQO28" s="170"/>
      <c r="TQQ28" s="170"/>
      <c r="TQS28" s="170"/>
      <c r="TQU28" s="170"/>
      <c r="TQW28" s="170"/>
      <c r="TQY28" s="170"/>
      <c r="TRA28" s="170"/>
      <c r="TRC28" s="170"/>
      <c r="TRE28" s="170"/>
      <c r="TRG28" s="170"/>
      <c r="TRI28" s="170"/>
      <c r="TRK28" s="170"/>
      <c r="TRM28" s="170"/>
      <c r="TRO28" s="170"/>
      <c r="TRQ28" s="170"/>
      <c r="TRS28" s="170"/>
      <c r="TRU28" s="170"/>
      <c r="TRW28" s="170"/>
      <c r="TRY28" s="170"/>
      <c r="TSA28" s="170"/>
      <c r="TSC28" s="170"/>
      <c r="TSE28" s="170"/>
      <c r="TSG28" s="170"/>
      <c r="TSI28" s="170"/>
      <c r="TSK28" s="170"/>
      <c r="TSM28" s="170"/>
      <c r="TSO28" s="170"/>
      <c r="TSQ28" s="170"/>
      <c r="TSS28" s="170"/>
      <c r="TSU28" s="170"/>
      <c r="TSW28" s="170"/>
      <c r="TSY28" s="170"/>
      <c r="TTA28" s="170"/>
      <c r="TTC28" s="170"/>
      <c r="TTE28" s="170"/>
      <c r="TTG28" s="170"/>
      <c r="TTI28" s="170"/>
      <c r="TTK28" s="170"/>
      <c r="TTM28" s="170"/>
      <c r="TTO28" s="170"/>
      <c r="TTQ28" s="170"/>
      <c r="TTS28" s="170"/>
      <c r="TTU28" s="170"/>
      <c r="TTW28" s="170"/>
      <c r="TTY28" s="170"/>
      <c r="TUA28" s="170"/>
      <c r="TUC28" s="170"/>
      <c r="TUE28" s="170"/>
      <c r="TUG28" s="170"/>
      <c r="TUI28" s="170"/>
      <c r="TUK28" s="170"/>
      <c r="TUM28" s="170"/>
      <c r="TUO28" s="170"/>
      <c r="TUQ28" s="170"/>
      <c r="TUS28" s="170"/>
      <c r="TUU28" s="170"/>
      <c r="TUW28" s="170"/>
      <c r="TUY28" s="170"/>
      <c r="TVA28" s="170"/>
      <c r="TVC28" s="170"/>
      <c r="TVE28" s="170"/>
      <c r="TVG28" s="170"/>
      <c r="TVI28" s="170"/>
      <c r="TVK28" s="170"/>
      <c r="TVM28" s="170"/>
      <c r="TVO28" s="170"/>
      <c r="TVQ28" s="170"/>
      <c r="TVS28" s="170"/>
      <c r="TVU28" s="170"/>
      <c r="TVW28" s="170"/>
      <c r="TVY28" s="170"/>
      <c r="TWA28" s="170"/>
      <c r="TWC28" s="170"/>
      <c r="TWE28" s="170"/>
      <c r="TWG28" s="170"/>
      <c r="TWI28" s="170"/>
      <c r="TWK28" s="170"/>
      <c r="TWM28" s="170"/>
      <c r="TWO28" s="170"/>
      <c r="TWQ28" s="170"/>
      <c r="TWS28" s="170"/>
      <c r="TWU28" s="170"/>
      <c r="TWW28" s="170"/>
      <c r="TWY28" s="170"/>
      <c r="TXA28" s="170"/>
      <c r="TXC28" s="170"/>
      <c r="TXE28" s="170"/>
      <c r="TXG28" s="170"/>
      <c r="TXI28" s="170"/>
      <c r="TXK28" s="170"/>
      <c r="TXM28" s="170"/>
      <c r="TXO28" s="170"/>
      <c r="TXQ28" s="170"/>
      <c r="TXS28" s="170"/>
      <c r="TXU28" s="170"/>
      <c r="TXW28" s="170"/>
      <c r="TXY28" s="170"/>
      <c r="TYA28" s="170"/>
      <c r="TYC28" s="170"/>
      <c r="TYE28" s="170"/>
      <c r="TYG28" s="170"/>
      <c r="TYI28" s="170"/>
      <c r="TYK28" s="170"/>
      <c r="TYM28" s="170"/>
      <c r="TYO28" s="170"/>
      <c r="TYQ28" s="170"/>
      <c r="TYS28" s="170"/>
      <c r="TYU28" s="170"/>
      <c r="TYW28" s="170"/>
      <c r="TYY28" s="170"/>
      <c r="TZA28" s="170"/>
      <c r="TZC28" s="170"/>
      <c r="TZE28" s="170"/>
      <c r="TZG28" s="170"/>
      <c r="TZI28" s="170"/>
      <c r="TZK28" s="170"/>
      <c r="TZM28" s="170"/>
      <c r="TZO28" s="170"/>
      <c r="TZQ28" s="170"/>
      <c r="TZS28" s="170"/>
      <c r="TZU28" s="170"/>
      <c r="TZW28" s="170"/>
      <c r="TZY28" s="170"/>
      <c r="UAA28" s="170"/>
      <c r="UAC28" s="170"/>
      <c r="UAE28" s="170"/>
      <c r="UAG28" s="170"/>
      <c r="UAI28" s="170"/>
      <c r="UAK28" s="170"/>
      <c r="UAM28" s="170"/>
      <c r="UAO28" s="170"/>
      <c r="UAQ28" s="170"/>
      <c r="UAS28" s="170"/>
      <c r="UAU28" s="170"/>
      <c r="UAW28" s="170"/>
      <c r="UAY28" s="170"/>
      <c r="UBA28" s="170"/>
      <c r="UBC28" s="170"/>
      <c r="UBE28" s="170"/>
      <c r="UBG28" s="170"/>
      <c r="UBI28" s="170"/>
      <c r="UBK28" s="170"/>
      <c r="UBM28" s="170"/>
      <c r="UBO28" s="170"/>
      <c r="UBQ28" s="170"/>
      <c r="UBS28" s="170"/>
      <c r="UBU28" s="170"/>
      <c r="UBW28" s="170"/>
      <c r="UBY28" s="170"/>
      <c r="UCA28" s="170"/>
      <c r="UCC28" s="170"/>
      <c r="UCE28" s="170"/>
      <c r="UCG28" s="170"/>
      <c r="UCI28" s="170"/>
      <c r="UCK28" s="170"/>
      <c r="UCM28" s="170"/>
      <c r="UCO28" s="170"/>
      <c r="UCQ28" s="170"/>
      <c r="UCS28" s="170"/>
      <c r="UCU28" s="170"/>
      <c r="UCW28" s="170"/>
      <c r="UCY28" s="170"/>
      <c r="UDA28" s="170"/>
      <c r="UDC28" s="170"/>
      <c r="UDE28" s="170"/>
      <c r="UDG28" s="170"/>
      <c r="UDI28" s="170"/>
      <c r="UDK28" s="170"/>
      <c r="UDM28" s="170"/>
      <c r="UDO28" s="170"/>
      <c r="UDQ28" s="170"/>
      <c r="UDS28" s="170"/>
      <c r="UDU28" s="170"/>
      <c r="UDW28" s="170"/>
      <c r="UDY28" s="170"/>
      <c r="UEA28" s="170"/>
      <c r="UEC28" s="170"/>
      <c r="UEE28" s="170"/>
      <c r="UEG28" s="170"/>
      <c r="UEI28" s="170"/>
      <c r="UEK28" s="170"/>
      <c r="UEM28" s="170"/>
      <c r="UEO28" s="170"/>
      <c r="UEQ28" s="170"/>
      <c r="UES28" s="170"/>
      <c r="UEU28" s="170"/>
      <c r="UEW28" s="170"/>
      <c r="UEY28" s="170"/>
      <c r="UFA28" s="170"/>
      <c r="UFC28" s="170"/>
      <c r="UFE28" s="170"/>
      <c r="UFG28" s="170"/>
      <c r="UFI28" s="170"/>
      <c r="UFK28" s="170"/>
      <c r="UFM28" s="170"/>
      <c r="UFO28" s="170"/>
      <c r="UFQ28" s="170"/>
      <c r="UFS28" s="170"/>
      <c r="UFU28" s="170"/>
      <c r="UFW28" s="170"/>
      <c r="UFY28" s="170"/>
      <c r="UGA28" s="170"/>
      <c r="UGC28" s="170"/>
      <c r="UGE28" s="170"/>
      <c r="UGG28" s="170"/>
      <c r="UGI28" s="170"/>
      <c r="UGK28" s="170"/>
      <c r="UGM28" s="170"/>
      <c r="UGO28" s="170"/>
      <c r="UGQ28" s="170"/>
      <c r="UGS28" s="170"/>
      <c r="UGU28" s="170"/>
      <c r="UGW28" s="170"/>
      <c r="UGY28" s="170"/>
      <c r="UHA28" s="170"/>
      <c r="UHC28" s="170"/>
      <c r="UHE28" s="170"/>
      <c r="UHG28" s="170"/>
      <c r="UHI28" s="170"/>
      <c r="UHK28" s="170"/>
      <c r="UHM28" s="170"/>
      <c r="UHO28" s="170"/>
      <c r="UHQ28" s="170"/>
      <c r="UHS28" s="170"/>
      <c r="UHU28" s="170"/>
      <c r="UHW28" s="170"/>
      <c r="UHY28" s="170"/>
      <c r="UIA28" s="170"/>
      <c r="UIC28" s="170"/>
      <c r="UIE28" s="170"/>
      <c r="UIG28" s="170"/>
      <c r="UII28" s="170"/>
      <c r="UIK28" s="170"/>
      <c r="UIM28" s="170"/>
      <c r="UIO28" s="170"/>
      <c r="UIQ28" s="170"/>
      <c r="UIS28" s="170"/>
      <c r="UIU28" s="170"/>
      <c r="UIW28" s="170"/>
      <c r="UIY28" s="170"/>
      <c r="UJA28" s="170"/>
      <c r="UJC28" s="170"/>
      <c r="UJE28" s="170"/>
      <c r="UJG28" s="170"/>
      <c r="UJI28" s="170"/>
      <c r="UJK28" s="170"/>
      <c r="UJM28" s="170"/>
      <c r="UJO28" s="170"/>
      <c r="UJQ28" s="170"/>
      <c r="UJS28" s="170"/>
      <c r="UJU28" s="170"/>
      <c r="UJW28" s="170"/>
      <c r="UJY28" s="170"/>
      <c r="UKA28" s="170"/>
      <c r="UKC28" s="170"/>
      <c r="UKE28" s="170"/>
      <c r="UKG28" s="170"/>
      <c r="UKI28" s="170"/>
      <c r="UKK28" s="170"/>
      <c r="UKM28" s="170"/>
      <c r="UKO28" s="170"/>
      <c r="UKQ28" s="170"/>
      <c r="UKS28" s="170"/>
      <c r="UKU28" s="170"/>
      <c r="UKW28" s="170"/>
      <c r="UKY28" s="170"/>
      <c r="ULA28" s="170"/>
      <c r="ULC28" s="170"/>
      <c r="ULE28" s="170"/>
      <c r="ULG28" s="170"/>
      <c r="ULI28" s="170"/>
      <c r="ULK28" s="170"/>
      <c r="ULM28" s="170"/>
      <c r="ULO28" s="170"/>
      <c r="ULQ28" s="170"/>
      <c r="ULS28" s="170"/>
      <c r="ULU28" s="170"/>
      <c r="ULW28" s="170"/>
      <c r="ULY28" s="170"/>
      <c r="UMA28" s="170"/>
      <c r="UMC28" s="170"/>
      <c r="UME28" s="170"/>
      <c r="UMG28" s="170"/>
      <c r="UMI28" s="170"/>
      <c r="UMK28" s="170"/>
      <c r="UMM28" s="170"/>
      <c r="UMO28" s="170"/>
      <c r="UMQ28" s="170"/>
      <c r="UMS28" s="170"/>
      <c r="UMU28" s="170"/>
      <c r="UMW28" s="170"/>
      <c r="UMY28" s="170"/>
      <c r="UNA28" s="170"/>
      <c r="UNC28" s="170"/>
      <c r="UNE28" s="170"/>
      <c r="UNG28" s="170"/>
      <c r="UNI28" s="170"/>
      <c r="UNK28" s="170"/>
      <c r="UNM28" s="170"/>
      <c r="UNO28" s="170"/>
      <c r="UNQ28" s="170"/>
      <c r="UNS28" s="170"/>
      <c r="UNU28" s="170"/>
      <c r="UNW28" s="170"/>
      <c r="UNY28" s="170"/>
      <c r="UOA28" s="170"/>
      <c r="UOC28" s="170"/>
      <c r="UOE28" s="170"/>
      <c r="UOG28" s="170"/>
      <c r="UOI28" s="170"/>
      <c r="UOK28" s="170"/>
      <c r="UOM28" s="170"/>
      <c r="UOO28" s="170"/>
      <c r="UOQ28" s="170"/>
      <c r="UOS28" s="170"/>
      <c r="UOU28" s="170"/>
      <c r="UOW28" s="170"/>
      <c r="UOY28" s="170"/>
      <c r="UPA28" s="170"/>
      <c r="UPC28" s="170"/>
      <c r="UPE28" s="170"/>
      <c r="UPG28" s="170"/>
      <c r="UPI28" s="170"/>
      <c r="UPK28" s="170"/>
      <c r="UPM28" s="170"/>
      <c r="UPO28" s="170"/>
      <c r="UPQ28" s="170"/>
      <c r="UPS28" s="170"/>
      <c r="UPU28" s="170"/>
      <c r="UPW28" s="170"/>
      <c r="UPY28" s="170"/>
      <c r="UQA28" s="170"/>
      <c r="UQC28" s="170"/>
      <c r="UQE28" s="170"/>
      <c r="UQG28" s="170"/>
      <c r="UQI28" s="170"/>
      <c r="UQK28" s="170"/>
      <c r="UQM28" s="170"/>
      <c r="UQO28" s="170"/>
      <c r="UQQ28" s="170"/>
      <c r="UQS28" s="170"/>
      <c r="UQU28" s="170"/>
      <c r="UQW28" s="170"/>
      <c r="UQY28" s="170"/>
      <c r="URA28" s="170"/>
      <c r="URC28" s="170"/>
      <c r="URE28" s="170"/>
      <c r="URG28" s="170"/>
      <c r="URI28" s="170"/>
      <c r="URK28" s="170"/>
      <c r="URM28" s="170"/>
      <c r="URO28" s="170"/>
      <c r="URQ28" s="170"/>
      <c r="URS28" s="170"/>
      <c r="URU28" s="170"/>
      <c r="URW28" s="170"/>
      <c r="URY28" s="170"/>
      <c r="USA28" s="170"/>
      <c r="USC28" s="170"/>
      <c r="USE28" s="170"/>
      <c r="USG28" s="170"/>
      <c r="USI28" s="170"/>
      <c r="USK28" s="170"/>
      <c r="USM28" s="170"/>
      <c r="USO28" s="170"/>
      <c r="USQ28" s="170"/>
      <c r="USS28" s="170"/>
      <c r="USU28" s="170"/>
      <c r="USW28" s="170"/>
      <c r="USY28" s="170"/>
      <c r="UTA28" s="170"/>
      <c r="UTC28" s="170"/>
      <c r="UTE28" s="170"/>
      <c r="UTG28" s="170"/>
      <c r="UTI28" s="170"/>
      <c r="UTK28" s="170"/>
      <c r="UTM28" s="170"/>
      <c r="UTO28" s="170"/>
      <c r="UTQ28" s="170"/>
      <c r="UTS28" s="170"/>
      <c r="UTU28" s="170"/>
      <c r="UTW28" s="170"/>
      <c r="UTY28" s="170"/>
      <c r="UUA28" s="170"/>
      <c r="UUC28" s="170"/>
      <c r="UUE28" s="170"/>
      <c r="UUG28" s="170"/>
      <c r="UUI28" s="170"/>
      <c r="UUK28" s="170"/>
      <c r="UUM28" s="170"/>
      <c r="UUO28" s="170"/>
      <c r="UUQ28" s="170"/>
      <c r="UUS28" s="170"/>
      <c r="UUU28" s="170"/>
      <c r="UUW28" s="170"/>
      <c r="UUY28" s="170"/>
      <c r="UVA28" s="170"/>
      <c r="UVC28" s="170"/>
      <c r="UVE28" s="170"/>
      <c r="UVG28" s="170"/>
      <c r="UVI28" s="170"/>
      <c r="UVK28" s="170"/>
      <c r="UVM28" s="170"/>
      <c r="UVO28" s="170"/>
      <c r="UVQ28" s="170"/>
      <c r="UVS28" s="170"/>
      <c r="UVU28" s="170"/>
      <c r="UVW28" s="170"/>
      <c r="UVY28" s="170"/>
      <c r="UWA28" s="170"/>
      <c r="UWC28" s="170"/>
      <c r="UWE28" s="170"/>
      <c r="UWG28" s="170"/>
      <c r="UWI28" s="170"/>
      <c r="UWK28" s="170"/>
      <c r="UWM28" s="170"/>
      <c r="UWO28" s="170"/>
      <c r="UWQ28" s="170"/>
      <c r="UWS28" s="170"/>
      <c r="UWU28" s="170"/>
      <c r="UWW28" s="170"/>
      <c r="UWY28" s="170"/>
      <c r="UXA28" s="170"/>
      <c r="UXC28" s="170"/>
      <c r="UXE28" s="170"/>
      <c r="UXG28" s="170"/>
      <c r="UXI28" s="170"/>
      <c r="UXK28" s="170"/>
      <c r="UXM28" s="170"/>
      <c r="UXO28" s="170"/>
      <c r="UXQ28" s="170"/>
      <c r="UXS28" s="170"/>
      <c r="UXU28" s="170"/>
      <c r="UXW28" s="170"/>
      <c r="UXY28" s="170"/>
      <c r="UYA28" s="170"/>
      <c r="UYC28" s="170"/>
      <c r="UYE28" s="170"/>
      <c r="UYG28" s="170"/>
      <c r="UYI28" s="170"/>
      <c r="UYK28" s="170"/>
      <c r="UYM28" s="170"/>
      <c r="UYO28" s="170"/>
      <c r="UYQ28" s="170"/>
      <c r="UYS28" s="170"/>
      <c r="UYU28" s="170"/>
      <c r="UYW28" s="170"/>
      <c r="UYY28" s="170"/>
      <c r="UZA28" s="170"/>
      <c r="UZC28" s="170"/>
      <c r="UZE28" s="170"/>
      <c r="UZG28" s="170"/>
      <c r="UZI28" s="170"/>
      <c r="UZK28" s="170"/>
      <c r="UZM28" s="170"/>
      <c r="UZO28" s="170"/>
      <c r="UZQ28" s="170"/>
      <c r="UZS28" s="170"/>
      <c r="UZU28" s="170"/>
      <c r="UZW28" s="170"/>
      <c r="UZY28" s="170"/>
      <c r="VAA28" s="170"/>
      <c r="VAC28" s="170"/>
      <c r="VAE28" s="170"/>
      <c r="VAG28" s="170"/>
      <c r="VAI28" s="170"/>
      <c r="VAK28" s="170"/>
      <c r="VAM28" s="170"/>
      <c r="VAO28" s="170"/>
      <c r="VAQ28" s="170"/>
      <c r="VAS28" s="170"/>
      <c r="VAU28" s="170"/>
      <c r="VAW28" s="170"/>
      <c r="VAY28" s="170"/>
      <c r="VBA28" s="170"/>
      <c r="VBC28" s="170"/>
      <c r="VBE28" s="170"/>
      <c r="VBG28" s="170"/>
      <c r="VBI28" s="170"/>
      <c r="VBK28" s="170"/>
      <c r="VBM28" s="170"/>
      <c r="VBO28" s="170"/>
      <c r="VBQ28" s="170"/>
      <c r="VBS28" s="170"/>
      <c r="VBU28" s="170"/>
      <c r="VBW28" s="170"/>
      <c r="VBY28" s="170"/>
      <c r="VCA28" s="170"/>
      <c r="VCC28" s="170"/>
      <c r="VCE28" s="170"/>
      <c r="VCG28" s="170"/>
      <c r="VCI28" s="170"/>
      <c r="VCK28" s="170"/>
      <c r="VCM28" s="170"/>
      <c r="VCO28" s="170"/>
      <c r="VCQ28" s="170"/>
      <c r="VCS28" s="170"/>
      <c r="VCU28" s="170"/>
      <c r="VCW28" s="170"/>
      <c r="VCY28" s="170"/>
      <c r="VDA28" s="170"/>
      <c r="VDC28" s="170"/>
      <c r="VDE28" s="170"/>
      <c r="VDG28" s="170"/>
      <c r="VDI28" s="170"/>
      <c r="VDK28" s="170"/>
      <c r="VDM28" s="170"/>
      <c r="VDO28" s="170"/>
      <c r="VDQ28" s="170"/>
      <c r="VDS28" s="170"/>
      <c r="VDU28" s="170"/>
      <c r="VDW28" s="170"/>
      <c r="VDY28" s="170"/>
      <c r="VEA28" s="170"/>
      <c r="VEC28" s="170"/>
      <c r="VEE28" s="170"/>
      <c r="VEG28" s="170"/>
      <c r="VEI28" s="170"/>
      <c r="VEK28" s="170"/>
      <c r="VEM28" s="170"/>
      <c r="VEO28" s="170"/>
      <c r="VEQ28" s="170"/>
      <c r="VES28" s="170"/>
      <c r="VEU28" s="170"/>
      <c r="VEW28" s="170"/>
      <c r="VEY28" s="170"/>
      <c r="VFA28" s="170"/>
      <c r="VFC28" s="170"/>
      <c r="VFE28" s="170"/>
      <c r="VFG28" s="170"/>
      <c r="VFI28" s="170"/>
      <c r="VFK28" s="170"/>
      <c r="VFM28" s="170"/>
      <c r="VFO28" s="170"/>
      <c r="VFQ28" s="170"/>
      <c r="VFS28" s="170"/>
      <c r="VFU28" s="170"/>
      <c r="VFW28" s="170"/>
      <c r="VFY28" s="170"/>
      <c r="VGA28" s="170"/>
      <c r="VGC28" s="170"/>
      <c r="VGE28" s="170"/>
      <c r="VGG28" s="170"/>
      <c r="VGI28" s="170"/>
      <c r="VGK28" s="170"/>
      <c r="VGM28" s="170"/>
      <c r="VGO28" s="170"/>
      <c r="VGQ28" s="170"/>
      <c r="VGS28" s="170"/>
      <c r="VGU28" s="170"/>
      <c r="VGW28" s="170"/>
      <c r="VGY28" s="170"/>
      <c r="VHA28" s="170"/>
      <c r="VHC28" s="170"/>
      <c r="VHE28" s="170"/>
      <c r="VHG28" s="170"/>
      <c r="VHI28" s="170"/>
      <c r="VHK28" s="170"/>
      <c r="VHM28" s="170"/>
      <c r="VHO28" s="170"/>
      <c r="VHQ28" s="170"/>
      <c r="VHS28" s="170"/>
      <c r="VHU28" s="170"/>
      <c r="VHW28" s="170"/>
      <c r="VHY28" s="170"/>
      <c r="VIA28" s="170"/>
      <c r="VIC28" s="170"/>
      <c r="VIE28" s="170"/>
      <c r="VIG28" s="170"/>
      <c r="VII28" s="170"/>
      <c r="VIK28" s="170"/>
      <c r="VIM28" s="170"/>
      <c r="VIO28" s="170"/>
      <c r="VIQ28" s="170"/>
      <c r="VIS28" s="170"/>
      <c r="VIU28" s="170"/>
      <c r="VIW28" s="170"/>
      <c r="VIY28" s="170"/>
      <c r="VJA28" s="170"/>
      <c r="VJC28" s="170"/>
      <c r="VJE28" s="170"/>
      <c r="VJG28" s="170"/>
      <c r="VJI28" s="170"/>
      <c r="VJK28" s="170"/>
      <c r="VJM28" s="170"/>
      <c r="VJO28" s="170"/>
      <c r="VJQ28" s="170"/>
      <c r="VJS28" s="170"/>
      <c r="VJU28" s="170"/>
      <c r="VJW28" s="170"/>
      <c r="VJY28" s="170"/>
      <c r="VKA28" s="170"/>
      <c r="VKC28" s="170"/>
      <c r="VKE28" s="170"/>
      <c r="VKG28" s="170"/>
      <c r="VKI28" s="170"/>
      <c r="VKK28" s="170"/>
      <c r="VKM28" s="170"/>
      <c r="VKO28" s="170"/>
      <c r="VKQ28" s="170"/>
      <c r="VKS28" s="170"/>
      <c r="VKU28" s="170"/>
      <c r="VKW28" s="170"/>
      <c r="VKY28" s="170"/>
      <c r="VLA28" s="170"/>
      <c r="VLC28" s="170"/>
      <c r="VLE28" s="170"/>
      <c r="VLG28" s="170"/>
      <c r="VLI28" s="170"/>
      <c r="VLK28" s="170"/>
      <c r="VLM28" s="170"/>
      <c r="VLO28" s="170"/>
      <c r="VLQ28" s="170"/>
      <c r="VLS28" s="170"/>
      <c r="VLU28" s="170"/>
      <c r="VLW28" s="170"/>
      <c r="VLY28" s="170"/>
      <c r="VMA28" s="170"/>
      <c r="VMC28" s="170"/>
      <c r="VME28" s="170"/>
      <c r="VMG28" s="170"/>
      <c r="VMI28" s="170"/>
      <c r="VMK28" s="170"/>
      <c r="VMM28" s="170"/>
      <c r="VMO28" s="170"/>
      <c r="VMQ28" s="170"/>
      <c r="VMS28" s="170"/>
      <c r="VMU28" s="170"/>
      <c r="VMW28" s="170"/>
      <c r="VMY28" s="170"/>
      <c r="VNA28" s="170"/>
      <c r="VNC28" s="170"/>
      <c r="VNE28" s="170"/>
      <c r="VNG28" s="170"/>
      <c r="VNI28" s="170"/>
      <c r="VNK28" s="170"/>
      <c r="VNM28" s="170"/>
      <c r="VNO28" s="170"/>
      <c r="VNQ28" s="170"/>
      <c r="VNS28" s="170"/>
      <c r="VNU28" s="170"/>
      <c r="VNW28" s="170"/>
      <c r="VNY28" s="170"/>
      <c r="VOA28" s="170"/>
      <c r="VOC28" s="170"/>
      <c r="VOE28" s="170"/>
      <c r="VOG28" s="170"/>
      <c r="VOI28" s="170"/>
      <c r="VOK28" s="170"/>
      <c r="VOM28" s="170"/>
      <c r="VOO28" s="170"/>
      <c r="VOQ28" s="170"/>
      <c r="VOS28" s="170"/>
      <c r="VOU28" s="170"/>
      <c r="VOW28" s="170"/>
      <c r="VOY28" s="170"/>
      <c r="VPA28" s="170"/>
      <c r="VPC28" s="170"/>
      <c r="VPE28" s="170"/>
      <c r="VPG28" s="170"/>
      <c r="VPI28" s="170"/>
      <c r="VPK28" s="170"/>
      <c r="VPM28" s="170"/>
      <c r="VPO28" s="170"/>
      <c r="VPQ28" s="170"/>
      <c r="VPS28" s="170"/>
      <c r="VPU28" s="170"/>
      <c r="VPW28" s="170"/>
      <c r="VPY28" s="170"/>
      <c r="VQA28" s="170"/>
      <c r="VQC28" s="170"/>
      <c r="VQE28" s="170"/>
      <c r="VQG28" s="170"/>
      <c r="VQI28" s="170"/>
      <c r="VQK28" s="170"/>
      <c r="VQM28" s="170"/>
      <c r="VQO28" s="170"/>
      <c r="VQQ28" s="170"/>
      <c r="VQS28" s="170"/>
      <c r="VQU28" s="170"/>
      <c r="VQW28" s="170"/>
      <c r="VQY28" s="170"/>
      <c r="VRA28" s="170"/>
      <c r="VRC28" s="170"/>
      <c r="VRE28" s="170"/>
      <c r="VRG28" s="170"/>
      <c r="VRI28" s="170"/>
      <c r="VRK28" s="170"/>
      <c r="VRM28" s="170"/>
      <c r="VRO28" s="170"/>
      <c r="VRQ28" s="170"/>
      <c r="VRS28" s="170"/>
      <c r="VRU28" s="170"/>
      <c r="VRW28" s="170"/>
      <c r="VRY28" s="170"/>
      <c r="VSA28" s="170"/>
      <c r="VSC28" s="170"/>
      <c r="VSE28" s="170"/>
      <c r="VSG28" s="170"/>
      <c r="VSI28" s="170"/>
      <c r="VSK28" s="170"/>
      <c r="VSM28" s="170"/>
      <c r="VSO28" s="170"/>
      <c r="VSQ28" s="170"/>
      <c r="VSS28" s="170"/>
      <c r="VSU28" s="170"/>
      <c r="VSW28" s="170"/>
      <c r="VSY28" s="170"/>
      <c r="VTA28" s="170"/>
      <c r="VTC28" s="170"/>
      <c r="VTE28" s="170"/>
      <c r="VTG28" s="170"/>
      <c r="VTI28" s="170"/>
      <c r="VTK28" s="170"/>
      <c r="VTM28" s="170"/>
      <c r="VTO28" s="170"/>
      <c r="VTQ28" s="170"/>
      <c r="VTS28" s="170"/>
      <c r="VTU28" s="170"/>
      <c r="VTW28" s="170"/>
      <c r="VTY28" s="170"/>
      <c r="VUA28" s="170"/>
      <c r="VUC28" s="170"/>
      <c r="VUE28" s="170"/>
      <c r="VUG28" s="170"/>
      <c r="VUI28" s="170"/>
      <c r="VUK28" s="170"/>
      <c r="VUM28" s="170"/>
      <c r="VUO28" s="170"/>
      <c r="VUQ28" s="170"/>
      <c r="VUS28" s="170"/>
      <c r="VUU28" s="170"/>
      <c r="VUW28" s="170"/>
      <c r="VUY28" s="170"/>
      <c r="VVA28" s="170"/>
      <c r="VVC28" s="170"/>
      <c r="VVE28" s="170"/>
      <c r="VVG28" s="170"/>
      <c r="VVI28" s="170"/>
      <c r="VVK28" s="170"/>
      <c r="VVM28" s="170"/>
      <c r="VVO28" s="170"/>
      <c r="VVQ28" s="170"/>
      <c r="VVS28" s="170"/>
      <c r="VVU28" s="170"/>
      <c r="VVW28" s="170"/>
      <c r="VVY28" s="170"/>
      <c r="VWA28" s="170"/>
      <c r="VWC28" s="170"/>
      <c r="VWE28" s="170"/>
      <c r="VWG28" s="170"/>
      <c r="VWI28" s="170"/>
      <c r="VWK28" s="170"/>
      <c r="VWM28" s="170"/>
      <c r="VWO28" s="170"/>
      <c r="VWQ28" s="170"/>
      <c r="VWS28" s="170"/>
      <c r="VWU28" s="170"/>
      <c r="VWW28" s="170"/>
      <c r="VWY28" s="170"/>
      <c r="VXA28" s="170"/>
      <c r="VXC28" s="170"/>
      <c r="VXE28" s="170"/>
      <c r="VXG28" s="170"/>
      <c r="VXI28" s="170"/>
      <c r="VXK28" s="170"/>
      <c r="VXM28" s="170"/>
      <c r="VXO28" s="170"/>
      <c r="VXQ28" s="170"/>
      <c r="VXS28" s="170"/>
      <c r="VXU28" s="170"/>
      <c r="VXW28" s="170"/>
      <c r="VXY28" s="170"/>
      <c r="VYA28" s="170"/>
      <c r="VYC28" s="170"/>
      <c r="VYE28" s="170"/>
      <c r="VYG28" s="170"/>
      <c r="VYI28" s="170"/>
      <c r="VYK28" s="170"/>
      <c r="VYM28" s="170"/>
      <c r="VYO28" s="170"/>
      <c r="VYQ28" s="170"/>
      <c r="VYS28" s="170"/>
      <c r="VYU28" s="170"/>
      <c r="VYW28" s="170"/>
      <c r="VYY28" s="170"/>
      <c r="VZA28" s="170"/>
      <c r="VZC28" s="170"/>
      <c r="VZE28" s="170"/>
      <c r="VZG28" s="170"/>
      <c r="VZI28" s="170"/>
      <c r="VZK28" s="170"/>
      <c r="VZM28" s="170"/>
      <c r="VZO28" s="170"/>
      <c r="VZQ28" s="170"/>
      <c r="VZS28" s="170"/>
      <c r="VZU28" s="170"/>
      <c r="VZW28" s="170"/>
      <c r="VZY28" s="170"/>
      <c r="WAA28" s="170"/>
      <c r="WAC28" s="170"/>
      <c r="WAE28" s="170"/>
      <c r="WAG28" s="170"/>
      <c r="WAI28" s="170"/>
      <c r="WAK28" s="170"/>
      <c r="WAM28" s="170"/>
      <c r="WAO28" s="170"/>
      <c r="WAQ28" s="170"/>
      <c r="WAS28" s="170"/>
      <c r="WAU28" s="170"/>
      <c r="WAW28" s="170"/>
      <c r="WAY28" s="170"/>
      <c r="WBA28" s="170"/>
      <c r="WBC28" s="170"/>
      <c r="WBE28" s="170"/>
      <c r="WBG28" s="170"/>
      <c r="WBI28" s="170"/>
      <c r="WBK28" s="170"/>
      <c r="WBM28" s="170"/>
      <c r="WBO28" s="170"/>
      <c r="WBQ28" s="170"/>
      <c r="WBS28" s="170"/>
      <c r="WBU28" s="170"/>
      <c r="WBW28" s="170"/>
      <c r="WBY28" s="170"/>
      <c r="WCA28" s="170"/>
      <c r="WCC28" s="170"/>
      <c r="WCE28" s="170"/>
      <c r="WCG28" s="170"/>
      <c r="WCI28" s="170"/>
      <c r="WCK28" s="170"/>
      <c r="WCM28" s="170"/>
      <c r="WCO28" s="170"/>
      <c r="WCQ28" s="170"/>
      <c r="WCS28" s="170"/>
      <c r="WCU28" s="170"/>
      <c r="WCW28" s="170"/>
      <c r="WCY28" s="170"/>
      <c r="WDA28" s="170"/>
      <c r="WDC28" s="170"/>
      <c r="WDE28" s="170"/>
      <c r="WDG28" s="170"/>
      <c r="WDI28" s="170"/>
      <c r="WDK28" s="170"/>
      <c r="WDM28" s="170"/>
      <c r="WDO28" s="170"/>
      <c r="WDQ28" s="170"/>
      <c r="WDS28" s="170"/>
      <c r="WDU28" s="170"/>
      <c r="WDW28" s="170"/>
      <c r="WDY28" s="170"/>
      <c r="WEA28" s="170"/>
      <c r="WEC28" s="170"/>
      <c r="WEE28" s="170"/>
      <c r="WEG28" s="170"/>
      <c r="WEI28" s="170"/>
      <c r="WEK28" s="170"/>
      <c r="WEM28" s="170"/>
      <c r="WEO28" s="170"/>
      <c r="WEQ28" s="170"/>
      <c r="WES28" s="170"/>
      <c r="WEU28" s="170"/>
      <c r="WEW28" s="170"/>
      <c r="WEY28" s="170"/>
      <c r="WFA28" s="170"/>
      <c r="WFC28" s="170"/>
      <c r="WFE28" s="170"/>
      <c r="WFG28" s="170"/>
      <c r="WFI28" s="170"/>
      <c r="WFK28" s="170"/>
      <c r="WFM28" s="170"/>
      <c r="WFO28" s="170"/>
      <c r="WFQ28" s="170"/>
      <c r="WFS28" s="170"/>
      <c r="WFU28" s="170"/>
      <c r="WFW28" s="170"/>
      <c r="WFY28" s="170"/>
      <c r="WGA28" s="170"/>
      <c r="WGC28" s="170"/>
      <c r="WGE28" s="170"/>
      <c r="WGG28" s="170"/>
      <c r="WGI28" s="170"/>
      <c r="WGK28" s="170"/>
      <c r="WGM28" s="170"/>
      <c r="WGO28" s="170"/>
      <c r="WGQ28" s="170"/>
      <c r="WGS28" s="170"/>
      <c r="WGU28" s="170"/>
      <c r="WGW28" s="170"/>
      <c r="WGY28" s="170"/>
      <c r="WHA28" s="170"/>
      <c r="WHC28" s="170"/>
      <c r="WHE28" s="170"/>
      <c r="WHG28" s="170"/>
      <c r="WHI28" s="170"/>
      <c r="WHK28" s="170"/>
      <c r="WHM28" s="170"/>
      <c r="WHO28" s="170"/>
      <c r="WHQ28" s="170"/>
      <c r="WHS28" s="170"/>
      <c r="WHU28" s="170"/>
      <c r="WHW28" s="170"/>
      <c r="WHY28" s="170"/>
      <c r="WIA28" s="170"/>
      <c r="WIC28" s="170"/>
      <c r="WIE28" s="170"/>
      <c r="WIG28" s="170"/>
      <c r="WII28" s="170"/>
      <c r="WIK28" s="170"/>
      <c r="WIM28" s="170"/>
      <c r="WIO28" s="170"/>
      <c r="WIQ28" s="170"/>
      <c r="WIS28" s="170"/>
      <c r="WIU28" s="170"/>
      <c r="WIW28" s="170"/>
      <c r="WIY28" s="170"/>
      <c r="WJA28" s="170"/>
      <c r="WJC28" s="170"/>
      <c r="WJE28" s="170"/>
      <c r="WJG28" s="170"/>
      <c r="WJI28" s="170"/>
      <c r="WJK28" s="170"/>
      <c r="WJM28" s="170"/>
      <c r="WJO28" s="170"/>
      <c r="WJQ28" s="170"/>
      <c r="WJS28" s="170"/>
      <c r="WJU28" s="170"/>
      <c r="WJW28" s="170"/>
      <c r="WJY28" s="170"/>
      <c r="WKA28" s="170"/>
      <c r="WKC28" s="170"/>
      <c r="WKE28" s="170"/>
      <c r="WKG28" s="170"/>
      <c r="WKI28" s="170"/>
      <c r="WKK28" s="170"/>
      <c r="WKM28" s="170"/>
      <c r="WKO28" s="170"/>
      <c r="WKQ28" s="170"/>
      <c r="WKS28" s="170"/>
      <c r="WKU28" s="170"/>
      <c r="WKW28" s="170"/>
      <c r="WKY28" s="170"/>
      <c r="WLA28" s="170"/>
      <c r="WLC28" s="170"/>
      <c r="WLE28" s="170"/>
      <c r="WLG28" s="170"/>
      <c r="WLI28" s="170"/>
      <c r="WLK28" s="170"/>
      <c r="WLM28" s="170"/>
      <c r="WLO28" s="170"/>
      <c r="WLQ28" s="170"/>
      <c r="WLS28" s="170"/>
      <c r="WLU28" s="170"/>
      <c r="WLW28" s="170"/>
      <c r="WLY28" s="170"/>
      <c r="WMA28" s="170"/>
      <c r="WMC28" s="170"/>
      <c r="WME28" s="170"/>
      <c r="WMG28" s="170"/>
      <c r="WMI28" s="170"/>
      <c r="WMK28" s="170"/>
      <c r="WMM28" s="170"/>
      <c r="WMO28" s="170"/>
      <c r="WMQ28" s="170"/>
      <c r="WMS28" s="170"/>
      <c r="WMU28" s="170"/>
      <c r="WMW28" s="170"/>
      <c r="WMY28" s="170"/>
      <c r="WNA28" s="170"/>
      <c r="WNC28" s="170"/>
      <c r="WNE28" s="170"/>
      <c r="WNG28" s="170"/>
      <c r="WNI28" s="170"/>
      <c r="WNK28" s="170"/>
      <c r="WNM28" s="170"/>
      <c r="WNO28" s="170"/>
      <c r="WNQ28" s="170"/>
      <c r="WNS28" s="170"/>
      <c r="WNU28" s="170"/>
      <c r="WNW28" s="170"/>
      <c r="WNY28" s="170"/>
      <c r="WOA28" s="170"/>
      <c r="WOC28" s="170"/>
      <c r="WOE28" s="170"/>
      <c r="WOG28" s="170"/>
      <c r="WOI28" s="170"/>
      <c r="WOK28" s="170"/>
      <c r="WOM28" s="170"/>
      <c r="WOO28" s="170"/>
      <c r="WOQ28" s="170"/>
      <c r="WOS28" s="170"/>
      <c r="WOU28" s="170"/>
      <c r="WOW28" s="170"/>
      <c r="WOY28" s="170"/>
      <c r="WPA28" s="170"/>
      <c r="WPC28" s="170"/>
      <c r="WPE28" s="170"/>
      <c r="WPG28" s="170"/>
      <c r="WPI28" s="170"/>
      <c r="WPK28" s="170"/>
      <c r="WPM28" s="170"/>
      <c r="WPO28" s="170"/>
      <c r="WPQ28" s="170"/>
      <c r="WPS28" s="170"/>
      <c r="WPU28" s="170"/>
      <c r="WPW28" s="170"/>
      <c r="WPY28" s="170"/>
      <c r="WQA28" s="170"/>
      <c r="WQC28" s="170"/>
      <c r="WQE28" s="170"/>
      <c r="WQG28" s="170"/>
      <c r="WQI28" s="170"/>
      <c r="WQK28" s="170"/>
      <c r="WQM28" s="170"/>
      <c r="WQO28" s="170"/>
      <c r="WQQ28" s="170"/>
      <c r="WQS28" s="170"/>
      <c r="WQU28" s="170"/>
      <c r="WQW28" s="170"/>
      <c r="WQY28" s="170"/>
      <c r="WRA28" s="170"/>
      <c r="WRC28" s="170"/>
      <c r="WRE28" s="170"/>
      <c r="WRG28" s="170"/>
      <c r="WRI28" s="170"/>
      <c r="WRK28" s="170"/>
      <c r="WRM28" s="170"/>
      <c r="WRO28" s="170"/>
      <c r="WRQ28" s="170"/>
      <c r="WRS28" s="170"/>
      <c r="WRU28" s="170"/>
      <c r="WRW28" s="170"/>
      <c r="WRY28" s="170"/>
      <c r="WSA28" s="170"/>
      <c r="WSC28" s="170"/>
      <c r="WSE28" s="170"/>
      <c r="WSG28" s="170"/>
      <c r="WSI28" s="170"/>
      <c r="WSK28" s="170"/>
      <c r="WSM28" s="170"/>
      <c r="WSO28" s="170"/>
      <c r="WSQ28" s="170"/>
      <c r="WSS28" s="170"/>
      <c r="WSU28" s="170"/>
      <c r="WSW28" s="170"/>
      <c r="WSY28" s="170"/>
      <c r="WTA28" s="170"/>
      <c r="WTC28" s="170"/>
      <c r="WTE28" s="170"/>
      <c r="WTG28" s="170"/>
      <c r="WTI28" s="170"/>
      <c r="WTK28" s="170"/>
      <c r="WTM28" s="170"/>
      <c r="WTO28" s="170"/>
      <c r="WTQ28" s="170"/>
      <c r="WTS28" s="170"/>
      <c r="WTU28" s="170"/>
      <c r="WTW28" s="170"/>
      <c r="WTY28" s="170"/>
      <c r="WUA28" s="170"/>
      <c r="WUC28" s="170"/>
      <c r="WUE28" s="170"/>
      <c r="WUG28" s="170"/>
      <c r="WUI28" s="170"/>
      <c r="WUK28" s="170"/>
      <c r="WUM28" s="170"/>
      <c r="WUO28" s="170"/>
      <c r="WUQ28" s="170"/>
      <c r="WUS28" s="170"/>
      <c r="WUU28" s="170"/>
      <c r="WUW28" s="170"/>
      <c r="WUY28" s="170"/>
      <c r="WVA28" s="170"/>
      <c r="WVC28" s="170"/>
      <c r="WVE28" s="170"/>
      <c r="WVG28" s="170"/>
      <c r="WVI28" s="170"/>
      <c r="WVK28" s="170"/>
      <c r="WVM28" s="170"/>
      <c r="WVO28" s="170"/>
      <c r="WVQ28" s="170"/>
      <c r="WVS28" s="170"/>
      <c r="WVU28" s="170"/>
      <c r="WVW28" s="170"/>
      <c r="WVY28" s="170"/>
      <c r="WWA28" s="170"/>
      <c r="WWC28" s="170"/>
      <c r="WWE28" s="170"/>
      <c r="WWG28" s="170"/>
      <c r="WWI28" s="170"/>
      <c r="WWK28" s="170"/>
      <c r="WWM28" s="170"/>
      <c r="WWO28" s="170"/>
      <c r="WWQ28" s="170"/>
      <c r="WWS28" s="170"/>
      <c r="WWU28" s="170"/>
      <c r="WWW28" s="170"/>
      <c r="WWY28" s="170"/>
      <c r="WXA28" s="170"/>
      <c r="WXC28" s="170"/>
      <c r="WXE28" s="170"/>
      <c r="WXG28" s="170"/>
      <c r="WXI28" s="170"/>
      <c r="WXK28" s="170"/>
      <c r="WXM28" s="170"/>
      <c r="WXO28" s="170"/>
      <c r="WXQ28" s="170"/>
      <c r="WXS28" s="170"/>
      <c r="WXU28" s="170"/>
      <c r="WXW28" s="170"/>
      <c r="WXY28" s="170"/>
      <c r="WYA28" s="170"/>
      <c r="WYC28" s="170"/>
      <c r="WYE28" s="170"/>
      <c r="WYG28" s="170"/>
      <c r="WYI28" s="170"/>
      <c r="WYK28" s="170"/>
      <c r="WYM28" s="170"/>
      <c r="WYO28" s="170"/>
      <c r="WYQ28" s="170"/>
      <c r="WYS28" s="170"/>
      <c r="WYU28" s="170"/>
      <c r="WYW28" s="170"/>
      <c r="WYY28" s="170"/>
      <c r="WZA28" s="170"/>
      <c r="WZC28" s="170"/>
      <c r="WZE28" s="170"/>
      <c r="WZG28" s="170"/>
      <c r="WZI28" s="170"/>
      <c r="WZK28" s="170"/>
      <c r="WZM28" s="170"/>
      <c r="WZO28" s="170"/>
      <c r="WZQ28" s="170"/>
      <c r="WZS28" s="170"/>
      <c r="WZU28" s="170"/>
      <c r="WZW28" s="170"/>
      <c r="WZY28" s="170"/>
      <c r="XAA28" s="170"/>
      <c r="XAC28" s="170"/>
      <c r="XAE28" s="170"/>
      <c r="XAG28" s="170"/>
      <c r="XAI28" s="170"/>
      <c r="XAK28" s="170"/>
      <c r="XAM28" s="170"/>
      <c r="XAO28" s="170"/>
      <c r="XAQ28" s="170"/>
      <c r="XAS28" s="170"/>
      <c r="XAU28" s="170"/>
      <c r="XAW28" s="170"/>
      <c r="XAY28" s="170"/>
      <c r="XBA28" s="170"/>
      <c r="XBC28" s="170"/>
      <c r="XBE28" s="170"/>
      <c r="XBG28" s="170"/>
      <c r="XBI28" s="170"/>
      <c r="XBK28" s="170"/>
      <c r="XBM28" s="170"/>
      <c r="XBO28" s="170"/>
      <c r="XBQ28" s="170"/>
      <c r="XBS28" s="170"/>
      <c r="XBU28" s="170"/>
      <c r="XBW28" s="170"/>
      <c r="XBY28" s="170"/>
      <c r="XCA28" s="170"/>
      <c r="XCC28" s="170"/>
      <c r="XCE28" s="170"/>
      <c r="XCG28" s="170"/>
      <c r="XCI28" s="170"/>
      <c r="XCK28" s="170"/>
      <c r="XCM28" s="170"/>
      <c r="XCO28" s="170"/>
      <c r="XCQ28" s="170"/>
      <c r="XCS28" s="170"/>
      <c r="XCU28" s="170"/>
      <c r="XCW28" s="170"/>
      <c r="XCY28" s="170"/>
      <c r="XDA28" s="170"/>
      <c r="XDC28" s="170"/>
      <c r="XDE28" s="170"/>
      <c r="XDG28" s="170"/>
      <c r="XDI28" s="170"/>
      <c r="XDK28" s="170"/>
      <c r="XDM28" s="170"/>
      <c r="XDO28" s="170"/>
      <c r="XDQ28" s="170"/>
      <c r="XDS28" s="170"/>
      <c r="XDU28" s="170"/>
      <c r="XDW28" s="170"/>
      <c r="XDY28" s="170"/>
      <c r="XEA28" s="170"/>
      <c r="XEC28" s="170"/>
      <c r="XEE28" s="170"/>
      <c r="XEG28" s="170"/>
      <c r="XEI28" s="170"/>
      <c r="XEK28" s="170"/>
      <c r="XEM28" s="170"/>
      <c r="XEO28" s="170"/>
      <c r="XEQ28" s="170"/>
      <c r="XES28" s="170"/>
      <c r="XEU28" s="170"/>
      <c r="XEW28" s="170"/>
      <c r="XEY28" s="170"/>
      <c r="XFA28" s="170"/>
    </row>
    <row r="29" spans="1:16382" s="111" customFormat="1" ht="12.75" hidden="1" customHeight="1" thickBot="1" x14ac:dyDescent="0.25">
      <c r="A29" s="170">
        <v>18</v>
      </c>
      <c r="C29" s="170"/>
      <c r="E29" s="170" t="str">
        <f>IF(B29=0,"",IF(C29&gt;9999,"",ROUND('General Variables'!$B$4*VLOOKUP(B29,Operations!$A$2:$U$79,10,FALSE)/VLOOKUP(B29,Operations!$A$2:$U$79,9,FALSE)*C29,2)))</f>
        <v/>
      </c>
      <c r="F29" s="111">
        <f>IF(B29=0,0,IF(C29&gt;9999,"",ROUND(IF(VLOOKUP(B29,Operations!$A$2:$U$79,12,FALSE)=0,VLOOKUP(B29,Operations!$A$2:$U$79,13,FALSE)*'General Variables'!$B$8,VLOOKUP(B29,Operations!$A$2:$U$79,12,FALSE)*'General Variables'!$B$7)/VLOOKUP(B29,Operations!$A$2:$U$79,9,FALSE)*C29,2)))</f>
        <v>0</v>
      </c>
      <c r="G29" s="170">
        <f>IF(B29=0,0,IF(C29&gt;9999,"",ROUND(VLOOKUP(VLOOKUP(B29,Operations!$A$2:$U$79,11,FALSE),PowerUnits[],10,FALSE)/VLOOKUP(B29,Operations!$A$2:$U$79,9,FALSE)*C29,2)))</f>
        <v>0</v>
      </c>
      <c r="H29" s="111" t="str">
        <f>IF(B29=0,"",IF(C29&gt;9999,"",ROUND(VLOOKUP($B29,Operations!$A$2:$U$79,15,FALSE)*C29,2)))</f>
        <v/>
      </c>
      <c r="I29" s="170">
        <f>IF(B29=0,0,IF(C29&gt;9999,"",ROUND(VLOOKUP(VLOOKUP(B29,Operations!$A$2:$U$79,11,FALSE),PowerUnits[],16,FALSE)/VLOOKUP(B29,Operations!$A$2:$U$79,9,FALSE)*C29,2)))</f>
        <v>0</v>
      </c>
      <c r="J29" s="111" t="str">
        <f>IF(B29=0,"",IF(C29&gt;9999,"",ROUND(VLOOKUP($B29,Operations!$A$2:$U$79,21,FALSE)*$C29,2)))</f>
        <v/>
      </c>
      <c r="K29" s="170">
        <f t="shared" si="0"/>
        <v>0</v>
      </c>
      <c r="M29" s="170"/>
      <c r="O29" s="170"/>
      <c r="Q29" s="170"/>
      <c r="S29" s="170"/>
      <c r="U29" s="170"/>
      <c r="W29" s="170"/>
      <c r="Y29" s="170"/>
      <c r="AA29" s="170"/>
      <c r="AC29" s="170"/>
      <c r="AE29" s="170"/>
      <c r="AG29" s="170"/>
      <c r="AI29" s="170"/>
      <c r="AK29" s="170"/>
      <c r="AM29" s="170"/>
      <c r="AO29" s="170"/>
      <c r="AQ29" s="170"/>
      <c r="AS29" s="170"/>
      <c r="AU29" s="170"/>
      <c r="AW29" s="170"/>
      <c r="AY29" s="170"/>
      <c r="BA29" s="170"/>
      <c r="BC29" s="170"/>
      <c r="BE29" s="170"/>
      <c r="BG29" s="170"/>
      <c r="BI29" s="170"/>
      <c r="BK29" s="170"/>
      <c r="BM29" s="170"/>
      <c r="BO29" s="170"/>
      <c r="BQ29" s="170"/>
      <c r="BS29" s="170"/>
      <c r="BU29" s="170"/>
      <c r="BW29" s="170"/>
      <c r="BY29" s="170"/>
      <c r="CA29" s="170"/>
      <c r="CC29" s="170"/>
      <c r="CE29" s="170"/>
      <c r="CG29" s="170"/>
      <c r="CI29" s="170"/>
      <c r="CK29" s="170"/>
      <c r="CM29" s="170"/>
      <c r="CO29" s="170"/>
      <c r="CQ29" s="170"/>
      <c r="CS29" s="170"/>
      <c r="CU29" s="170"/>
      <c r="CW29" s="170"/>
      <c r="CY29" s="170"/>
      <c r="DA29" s="170"/>
      <c r="DC29" s="170"/>
      <c r="DE29" s="170"/>
      <c r="DG29" s="170"/>
      <c r="DI29" s="170"/>
      <c r="DK29" s="170"/>
      <c r="DM29" s="170"/>
      <c r="DO29" s="170"/>
      <c r="DQ29" s="170"/>
      <c r="DS29" s="170"/>
      <c r="DU29" s="170"/>
      <c r="DW29" s="170"/>
      <c r="DY29" s="170"/>
      <c r="EA29" s="170"/>
      <c r="EC29" s="170"/>
      <c r="EE29" s="170"/>
      <c r="EG29" s="170"/>
      <c r="EI29" s="170"/>
      <c r="EK29" s="170"/>
      <c r="EM29" s="170"/>
      <c r="EO29" s="170"/>
      <c r="EQ29" s="170"/>
      <c r="ES29" s="170"/>
      <c r="EU29" s="170"/>
      <c r="EW29" s="170"/>
      <c r="EY29" s="170"/>
      <c r="FA29" s="170"/>
      <c r="FC29" s="170"/>
      <c r="FE29" s="170"/>
      <c r="FG29" s="170"/>
      <c r="FI29" s="170"/>
      <c r="FK29" s="170"/>
      <c r="FM29" s="170"/>
      <c r="FO29" s="170"/>
      <c r="FQ29" s="170"/>
      <c r="FS29" s="170"/>
      <c r="FU29" s="170"/>
      <c r="FW29" s="170"/>
      <c r="FY29" s="170"/>
      <c r="GA29" s="170"/>
      <c r="GC29" s="170"/>
      <c r="GE29" s="170"/>
      <c r="GG29" s="170"/>
      <c r="GI29" s="170"/>
      <c r="GK29" s="170"/>
      <c r="GM29" s="170"/>
      <c r="GO29" s="170"/>
      <c r="GQ29" s="170"/>
      <c r="GS29" s="170"/>
      <c r="GU29" s="170"/>
      <c r="GW29" s="170"/>
      <c r="GY29" s="170"/>
      <c r="HA29" s="170"/>
      <c r="HC29" s="170"/>
      <c r="HE29" s="170"/>
      <c r="HG29" s="170"/>
      <c r="HI29" s="170"/>
      <c r="HK29" s="170"/>
      <c r="HM29" s="170"/>
      <c r="HO29" s="170"/>
      <c r="HQ29" s="170"/>
      <c r="HS29" s="170"/>
      <c r="HU29" s="170"/>
      <c r="HW29" s="170"/>
      <c r="HY29" s="170"/>
      <c r="IA29" s="170"/>
      <c r="IC29" s="170"/>
      <c r="IE29" s="170"/>
      <c r="IG29" s="170"/>
      <c r="II29" s="170"/>
      <c r="IK29" s="170"/>
      <c r="IM29" s="170"/>
      <c r="IO29" s="170"/>
      <c r="IQ29" s="170"/>
      <c r="IS29" s="170"/>
      <c r="IU29" s="170"/>
      <c r="IW29" s="170"/>
      <c r="IY29" s="170"/>
      <c r="JA29" s="170"/>
      <c r="JC29" s="170"/>
      <c r="JE29" s="170"/>
      <c r="JG29" s="170"/>
      <c r="JI29" s="170"/>
      <c r="JK29" s="170"/>
      <c r="JM29" s="170"/>
      <c r="JO29" s="170"/>
      <c r="JQ29" s="170"/>
      <c r="JS29" s="170"/>
      <c r="JU29" s="170"/>
      <c r="JW29" s="170"/>
      <c r="JY29" s="170"/>
      <c r="KA29" s="170"/>
      <c r="KC29" s="170"/>
      <c r="KE29" s="170"/>
      <c r="KG29" s="170"/>
      <c r="KI29" s="170"/>
      <c r="KK29" s="170"/>
      <c r="KM29" s="170"/>
      <c r="KO29" s="170"/>
      <c r="KQ29" s="170"/>
      <c r="KS29" s="170"/>
      <c r="KU29" s="170"/>
      <c r="KW29" s="170"/>
      <c r="KY29" s="170"/>
      <c r="LA29" s="170"/>
      <c r="LC29" s="170"/>
      <c r="LE29" s="170"/>
      <c r="LG29" s="170"/>
      <c r="LI29" s="170"/>
      <c r="LK29" s="170"/>
      <c r="LM29" s="170"/>
      <c r="LO29" s="170"/>
      <c r="LQ29" s="170"/>
      <c r="LS29" s="170"/>
      <c r="LU29" s="170"/>
      <c r="LW29" s="170"/>
      <c r="LY29" s="170"/>
      <c r="MA29" s="170"/>
      <c r="MC29" s="170"/>
      <c r="ME29" s="170"/>
      <c r="MG29" s="170"/>
      <c r="MI29" s="170"/>
      <c r="MK29" s="170"/>
      <c r="MM29" s="170"/>
      <c r="MO29" s="170"/>
      <c r="MQ29" s="170"/>
      <c r="MS29" s="170"/>
      <c r="MU29" s="170"/>
      <c r="MW29" s="170"/>
      <c r="MY29" s="170"/>
      <c r="NA29" s="170"/>
      <c r="NC29" s="170"/>
      <c r="NE29" s="170"/>
      <c r="NG29" s="170"/>
      <c r="NI29" s="170"/>
      <c r="NK29" s="170"/>
      <c r="NM29" s="170"/>
      <c r="NO29" s="170"/>
      <c r="NQ29" s="170"/>
      <c r="NS29" s="170"/>
      <c r="NU29" s="170"/>
      <c r="NW29" s="170"/>
      <c r="NY29" s="170"/>
      <c r="OA29" s="170"/>
      <c r="OC29" s="170"/>
      <c r="OE29" s="170"/>
      <c r="OG29" s="170"/>
      <c r="OI29" s="170"/>
      <c r="OK29" s="170"/>
      <c r="OM29" s="170"/>
      <c r="OO29" s="170"/>
      <c r="OQ29" s="170"/>
      <c r="OS29" s="170"/>
      <c r="OU29" s="170"/>
      <c r="OW29" s="170"/>
      <c r="OY29" s="170"/>
      <c r="PA29" s="170"/>
      <c r="PC29" s="170"/>
      <c r="PE29" s="170"/>
      <c r="PG29" s="170"/>
      <c r="PI29" s="170"/>
      <c r="PK29" s="170"/>
      <c r="PM29" s="170"/>
      <c r="PO29" s="170"/>
      <c r="PQ29" s="170"/>
      <c r="PS29" s="170"/>
      <c r="PU29" s="170"/>
      <c r="PW29" s="170"/>
      <c r="PY29" s="170"/>
      <c r="QA29" s="170"/>
      <c r="QC29" s="170"/>
      <c r="QE29" s="170"/>
      <c r="QG29" s="170"/>
      <c r="QI29" s="170"/>
      <c r="QK29" s="170"/>
      <c r="QM29" s="170"/>
      <c r="QO29" s="170"/>
      <c r="QQ29" s="170"/>
      <c r="QS29" s="170"/>
      <c r="QU29" s="170"/>
      <c r="QW29" s="170"/>
      <c r="QY29" s="170"/>
      <c r="RA29" s="170"/>
      <c r="RC29" s="170"/>
      <c r="RE29" s="170"/>
      <c r="RG29" s="170"/>
      <c r="RI29" s="170"/>
      <c r="RK29" s="170"/>
      <c r="RM29" s="170"/>
      <c r="RO29" s="170"/>
      <c r="RQ29" s="170"/>
      <c r="RS29" s="170"/>
      <c r="RU29" s="170"/>
      <c r="RW29" s="170"/>
      <c r="RY29" s="170"/>
      <c r="SA29" s="170"/>
      <c r="SC29" s="170"/>
      <c r="SE29" s="170"/>
      <c r="SG29" s="170"/>
      <c r="SI29" s="170"/>
      <c r="SK29" s="170"/>
      <c r="SM29" s="170"/>
      <c r="SO29" s="170"/>
      <c r="SQ29" s="170"/>
      <c r="SS29" s="170"/>
      <c r="SU29" s="170"/>
      <c r="SW29" s="170"/>
      <c r="SY29" s="170"/>
      <c r="TA29" s="170"/>
      <c r="TC29" s="170"/>
      <c r="TE29" s="170"/>
      <c r="TG29" s="170"/>
      <c r="TI29" s="170"/>
      <c r="TK29" s="170"/>
      <c r="TM29" s="170"/>
      <c r="TO29" s="170"/>
      <c r="TQ29" s="170"/>
      <c r="TS29" s="170"/>
      <c r="TU29" s="170"/>
      <c r="TW29" s="170"/>
      <c r="TY29" s="170"/>
      <c r="UA29" s="170"/>
      <c r="UC29" s="170"/>
      <c r="UE29" s="170"/>
      <c r="UG29" s="170"/>
      <c r="UI29" s="170"/>
      <c r="UK29" s="170"/>
      <c r="UM29" s="170"/>
      <c r="UO29" s="170"/>
      <c r="UQ29" s="170"/>
      <c r="US29" s="170"/>
      <c r="UU29" s="170"/>
      <c r="UW29" s="170"/>
      <c r="UY29" s="170"/>
      <c r="VA29" s="170"/>
      <c r="VC29" s="170"/>
      <c r="VE29" s="170"/>
      <c r="VG29" s="170"/>
      <c r="VI29" s="170"/>
      <c r="VK29" s="170"/>
      <c r="VM29" s="170"/>
      <c r="VO29" s="170"/>
      <c r="VQ29" s="170"/>
      <c r="VS29" s="170"/>
      <c r="VU29" s="170"/>
      <c r="VW29" s="170"/>
      <c r="VY29" s="170"/>
      <c r="WA29" s="170"/>
      <c r="WC29" s="170"/>
      <c r="WE29" s="170"/>
      <c r="WG29" s="170"/>
      <c r="WI29" s="170"/>
      <c r="WK29" s="170"/>
      <c r="WM29" s="170"/>
      <c r="WO29" s="170"/>
      <c r="WQ29" s="170"/>
      <c r="WS29" s="170"/>
      <c r="WU29" s="170"/>
      <c r="WW29" s="170"/>
      <c r="WY29" s="170"/>
      <c r="XA29" s="170"/>
      <c r="XC29" s="170"/>
      <c r="XE29" s="170"/>
      <c r="XG29" s="170"/>
      <c r="XI29" s="170"/>
      <c r="XK29" s="170"/>
      <c r="XM29" s="170"/>
      <c r="XO29" s="170"/>
      <c r="XQ29" s="170"/>
      <c r="XS29" s="170"/>
      <c r="XU29" s="170"/>
      <c r="XW29" s="170"/>
      <c r="XY29" s="170"/>
      <c r="YA29" s="170"/>
      <c r="YC29" s="170"/>
      <c r="YE29" s="170"/>
      <c r="YG29" s="170"/>
      <c r="YI29" s="170"/>
      <c r="YK29" s="170"/>
      <c r="YM29" s="170"/>
      <c r="YO29" s="170"/>
      <c r="YQ29" s="170"/>
      <c r="YS29" s="170"/>
      <c r="YU29" s="170"/>
      <c r="YW29" s="170"/>
      <c r="YY29" s="170"/>
      <c r="ZA29" s="170"/>
      <c r="ZC29" s="170"/>
      <c r="ZE29" s="170"/>
      <c r="ZG29" s="170"/>
      <c r="ZI29" s="170"/>
      <c r="ZK29" s="170"/>
      <c r="ZM29" s="170"/>
      <c r="ZO29" s="170"/>
      <c r="ZQ29" s="170"/>
      <c r="ZS29" s="170"/>
      <c r="ZU29" s="170"/>
      <c r="ZW29" s="170"/>
      <c r="ZY29" s="170"/>
      <c r="AAA29" s="170"/>
      <c r="AAC29" s="170"/>
      <c r="AAE29" s="170"/>
      <c r="AAG29" s="170"/>
      <c r="AAI29" s="170"/>
      <c r="AAK29" s="170"/>
      <c r="AAM29" s="170"/>
      <c r="AAO29" s="170"/>
      <c r="AAQ29" s="170"/>
      <c r="AAS29" s="170"/>
      <c r="AAU29" s="170"/>
      <c r="AAW29" s="170"/>
      <c r="AAY29" s="170"/>
      <c r="ABA29" s="170"/>
      <c r="ABC29" s="170"/>
      <c r="ABE29" s="170"/>
      <c r="ABG29" s="170"/>
      <c r="ABI29" s="170"/>
      <c r="ABK29" s="170"/>
      <c r="ABM29" s="170"/>
      <c r="ABO29" s="170"/>
      <c r="ABQ29" s="170"/>
      <c r="ABS29" s="170"/>
      <c r="ABU29" s="170"/>
      <c r="ABW29" s="170"/>
      <c r="ABY29" s="170"/>
      <c r="ACA29" s="170"/>
      <c r="ACC29" s="170"/>
      <c r="ACE29" s="170"/>
      <c r="ACG29" s="170"/>
      <c r="ACI29" s="170"/>
      <c r="ACK29" s="170"/>
      <c r="ACM29" s="170"/>
      <c r="ACO29" s="170"/>
      <c r="ACQ29" s="170"/>
      <c r="ACS29" s="170"/>
      <c r="ACU29" s="170"/>
      <c r="ACW29" s="170"/>
      <c r="ACY29" s="170"/>
      <c r="ADA29" s="170"/>
      <c r="ADC29" s="170"/>
      <c r="ADE29" s="170"/>
      <c r="ADG29" s="170"/>
      <c r="ADI29" s="170"/>
      <c r="ADK29" s="170"/>
      <c r="ADM29" s="170"/>
      <c r="ADO29" s="170"/>
      <c r="ADQ29" s="170"/>
      <c r="ADS29" s="170"/>
      <c r="ADU29" s="170"/>
      <c r="ADW29" s="170"/>
      <c r="ADY29" s="170"/>
      <c r="AEA29" s="170"/>
      <c r="AEC29" s="170"/>
      <c r="AEE29" s="170"/>
      <c r="AEG29" s="170"/>
      <c r="AEI29" s="170"/>
      <c r="AEK29" s="170"/>
      <c r="AEM29" s="170"/>
      <c r="AEO29" s="170"/>
      <c r="AEQ29" s="170"/>
      <c r="AES29" s="170"/>
      <c r="AEU29" s="170"/>
      <c r="AEW29" s="170"/>
      <c r="AEY29" s="170"/>
      <c r="AFA29" s="170"/>
      <c r="AFC29" s="170"/>
      <c r="AFE29" s="170"/>
      <c r="AFG29" s="170"/>
      <c r="AFI29" s="170"/>
      <c r="AFK29" s="170"/>
      <c r="AFM29" s="170"/>
      <c r="AFO29" s="170"/>
      <c r="AFQ29" s="170"/>
      <c r="AFS29" s="170"/>
      <c r="AFU29" s="170"/>
      <c r="AFW29" s="170"/>
      <c r="AFY29" s="170"/>
      <c r="AGA29" s="170"/>
      <c r="AGC29" s="170"/>
      <c r="AGE29" s="170"/>
      <c r="AGG29" s="170"/>
      <c r="AGI29" s="170"/>
      <c r="AGK29" s="170"/>
      <c r="AGM29" s="170"/>
      <c r="AGO29" s="170"/>
      <c r="AGQ29" s="170"/>
      <c r="AGS29" s="170"/>
      <c r="AGU29" s="170"/>
      <c r="AGW29" s="170"/>
      <c r="AGY29" s="170"/>
      <c r="AHA29" s="170"/>
      <c r="AHC29" s="170"/>
      <c r="AHE29" s="170"/>
      <c r="AHG29" s="170"/>
      <c r="AHI29" s="170"/>
      <c r="AHK29" s="170"/>
      <c r="AHM29" s="170"/>
      <c r="AHO29" s="170"/>
      <c r="AHQ29" s="170"/>
      <c r="AHS29" s="170"/>
      <c r="AHU29" s="170"/>
      <c r="AHW29" s="170"/>
      <c r="AHY29" s="170"/>
      <c r="AIA29" s="170"/>
      <c r="AIC29" s="170"/>
      <c r="AIE29" s="170"/>
      <c r="AIG29" s="170"/>
      <c r="AII29" s="170"/>
      <c r="AIK29" s="170"/>
      <c r="AIM29" s="170"/>
      <c r="AIO29" s="170"/>
      <c r="AIQ29" s="170"/>
      <c r="AIS29" s="170"/>
      <c r="AIU29" s="170"/>
      <c r="AIW29" s="170"/>
      <c r="AIY29" s="170"/>
      <c r="AJA29" s="170"/>
      <c r="AJC29" s="170"/>
      <c r="AJE29" s="170"/>
      <c r="AJG29" s="170"/>
      <c r="AJI29" s="170"/>
      <c r="AJK29" s="170"/>
      <c r="AJM29" s="170"/>
      <c r="AJO29" s="170"/>
      <c r="AJQ29" s="170"/>
      <c r="AJS29" s="170"/>
      <c r="AJU29" s="170"/>
      <c r="AJW29" s="170"/>
      <c r="AJY29" s="170"/>
      <c r="AKA29" s="170"/>
      <c r="AKC29" s="170"/>
      <c r="AKE29" s="170"/>
      <c r="AKG29" s="170"/>
      <c r="AKI29" s="170"/>
      <c r="AKK29" s="170"/>
      <c r="AKM29" s="170"/>
      <c r="AKO29" s="170"/>
      <c r="AKQ29" s="170"/>
      <c r="AKS29" s="170"/>
      <c r="AKU29" s="170"/>
      <c r="AKW29" s="170"/>
      <c r="AKY29" s="170"/>
      <c r="ALA29" s="170"/>
      <c r="ALC29" s="170"/>
      <c r="ALE29" s="170"/>
      <c r="ALG29" s="170"/>
      <c r="ALI29" s="170"/>
      <c r="ALK29" s="170"/>
      <c r="ALM29" s="170"/>
      <c r="ALO29" s="170"/>
      <c r="ALQ29" s="170"/>
      <c r="ALS29" s="170"/>
      <c r="ALU29" s="170"/>
      <c r="ALW29" s="170"/>
      <c r="ALY29" s="170"/>
      <c r="AMA29" s="170"/>
      <c r="AMC29" s="170"/>
      <c r="AME29" s="170"/>
      <c r="AMG29" s="170"/>
      <c r="AMI29" s="170"/>
      <c r="AMK29" s="170"/>
      <c r="AMM29" s="170"/>
      <c r="AMO29" s="170"/>
      <c r="AMQ29" s="170"/>
      <c r="AMS29" s="170"/>
      <c r="AMU29" s="170"/>
      <c r="AMW29" s="170"/>
      <c r="AMY29" s="170"/>
      <c r="ANA29" s="170"/>
      <c r="ANC29" s="170"/>
      <c r="ANE29" s="170"/>
      <c r="ANG29" s="170"/>
      <c r="ANI29" s="170"/>
      <c r="ANK29" s="170"/>
      <c r="ANM29" s="170"/>
      <c r="ANO29" s="170"/>
      <c r="ANQ29" s="170"/>
      <c r="ANS29" s="170"/>
      <c r="ANU29" s="170"/>
      <c r="ANW29" s="170"/>
      <c r="ANY29" s="170"/>
      <c r="AOA29" s="170"/>
      <c r="AOC29" s="170"/>
      <c r="AOE29" s="170"/>
      <c r="AOG29" s="170"/>
      <c r="AOI29" s="170"/>
      <c r="AOK29" s="170"/>
      <c r="AOM29" s="170"/>
      <c r="AOO29" s="170"/>
      <c r="AOQ29" s="170"/>
      <c r="AOS29" s="170"/>
      <c r="AOU29" s="170"/>
      <c r="AOW29" s="170"/>
      <c r="AOY29" s="170"/>
      <c r="APA29" s="170"/>
      <c r="APC29" s="170"/>
      <c r="APE29" s="170"/>
      <c r="APG29" s="170"/>
      <c r="API29" s="170"/>
      <c r="APK29" s="170"/>
      <c r="APM29" s="170"/>
      <c r="APO29" s="170"/>
      <c r="APQ29" s="170"/>
      <c r="APS29" s="170"/>
      <c r="APU29" s="170"/>
      <c r="APW29" s="170"/>
      <c r="APY29" s="170"/>
      <c r="AQA29" s="170"/>
      <c r="AQC29" s="170"/>
      <c r="AQE29" s="170"/>
      <c r="AQG29" s="170"/>
      <c r="AQI29" s="170"/>
      <c r="AQK29" s="170"/>
      <c r="AQM29" s="170"/>
      <c r="AQO29" s="170"/>
      <c r="AQQ29" s="170"/>
      <c r="AQS29" s="170"/>
      <c r="AQU29" s="170"/>
      <c r="AQW29" s="170"/>
      <c r="AQY29" s="170"/>
      <c r="ARA29" s="170"/>
      <c r="ARC29" s="170"/>
      <c r="ARE29" s="170"/>
      <c r="ARG29" s="170"/>
      <c r="ARI29" s="170"/>
      <c r="ARK29" s="170"/>
      <c r="ARM29" s="170"/>
      <c r="ARO29" s="170"/>
      <c r="ARQ29" s="170"/>
      <c r="ARS29" s="170"/>
      <c r="ARU29" s="170"/>
      <c r="ARW29" s="170"/>
      <c r="ARY29" s="170"/>
      <c r="ASA29" s="170"/>
      <c r="ASC29" s="170"/>
      <c r="ASE29" s="170"/>
      <c r="ASG29" s="170"/>
      <c r="ASI29" s="170"/>
      <c r="ASK29" s="170"/>
      <c r="ASM29" s="170"/>
      <c r="ASO29" s="170"/>
      <c r="ASQ29" s="170"/>
      <c r="ASS29" s="170"/>
      <c r="ASU29" s="170"/>
      <c r="ASW29" s="170"/>
      <c r="ASY29" s="170"/>
      <c r="ATA29" s="170"/>
      <c r="ATC29" s="170"/>
      <c r="ATE29" s="170"/>
      <c r="ATG29" s="170"/>
      <c r="ATI29" s="170"/>
      <c r="ATK29" s="170"/>
      <c r="ATM29" s="170"/>
      <c r="ATO29" s="170"/>
      <c r="ATQ29" s="170"/>
      <c r="ATS29" s="170"/>
      <c r="ATU29" s="170"/>
      <c r="ATW29" s="170"/>
      <c r="ATY29" s="170"/>
      <c r="AUA29" s="170"/>
      <c r="AUC29" s="170"/>
      <c r="AUE29" s="170"/>
      <c r="AUG29" s="170"/>
      <c r="AUI29" s="170"/>
      <c r="AUK29" s="170"/>
      <c r="AUM29" s="170"/>
      <c r="AUO29" s="170"/>
      <c r="AUQ29" s="170"/>
      <c r="AUS29" s="170"/>
      <c r="AUU29" s="170"/>
      <c r="AUW29" s="170"/>
      <c r="AUY29" s="170"/>
      <c r="AVA29" s="170"/>
      <c r="AVC29" s="170"/>
      <c r="AVE29" s="170"/>
      <c r="AVG29" s="170"/>
      <c r="AVI29" s="170"/>
      <c r="AVK29" s="170"/>
      <c r="AVM29" s="170"/>
      <c r="AVO29" s="170"/>
      <c r="AVQ29" s="170"/>
      <c r="AVS29" s="170"/>
      <c r="AVU29" s="170"/>
      <c r="AVW29" s="170"/>
      <c r="AVY29" s="170"/>
      <c r="AWA29" s="170"/>
      <c r="AWC29" s="170"/>
      <c r="AWE29" s="170"/>
      <c r="AWG29" s="170"/>
      <c r="AWI29" s="170"/>
      <c r="AWK29" s="170"/>
      <c r="AWM29" s="170"/>
      <c r="AWO29" s="170"/>
      <c r="AWQ29" s="170"/>
      <c r="AWS29" s="170"/>
      <c r="AWU29" s="170"/>
      <c r="AWW29" s="170"/>
      <c r="AWY29" s="170"/>
      <c r="AXA29" s="170"/>
      <c r="AXC29" s="170"/>
      <c r="AXE29" s="170"/>
      <c r="AXG29" s="170"/>
      <c r="AXI29" s="170"/>
      <c r="AXK29" s="170"/>
      <c r="AXM29" s="170"/>
      <c r="AXO29" s="170"/>
      <c r="AXQ29" s="170"/>
      <c r="AXS29" s="170"/>
      <c r="AXU29" s="170"/>
      <c r="AXW29" s="170"/>
      <c r="AXY29" s="170"/>
      <c r="AYA29" s="170"/>
      <c r="AYC29" s="170"/>
      <c r="AYE29" s="170"/>
      <c r="AYG29" s="170"/>
      <c r="AYI29" s="170"/>
      <c r="AYK29" s="170"/>
      <c r="AYM29" s="170"/>
      <c r="AYO29" s="170"/>
      <c r="AYQ29" s="170"/>
      <c r="AYS29" s="170"/>
      <c r="AYU29" s="170"/>
      <c r="AYW29" s="170"/>
      <c r="AYY29" s="170"/>
      <c r="AZA29" s="170"/>
      <c r="AZC29" s="170"/>
      <c r="AZE29" s="170"/>
      <c r="AZG29" s="170"/>
      <c r="AZI29" s="170"/>
      <c r="AZK29" s="170"/>
      <c r="AZM29" s="170"/>
      <c r="AZO29" s="170"/>
      <c r="AZQ29" s="170"/>
      <c r="AZS29" s="170"/>
      <c r="AZU29" s="170"/>
      <c r="AZW29" s="170"/>
      <c r="AZY29" s="170"/>
      <c r="BAA29" s="170"/>
      <c r="BAC29" s="170"/>
      <c r="BAE29" s="170"/>
      <c r="BAG29" s="170"/>
      <c r="BAI29" s="170"/>
      <c r="BAK29" s="170"/>
      <c r="BAM29" s="170"/>
      <c r="BAO29" s="170"/>
      <c r="BAQ29" s="170"/>
      <c r="BAS29" s="170"/>
      <c r="BAU29" s="170"/>
      <c r="BAW29" s="170"/>
      <c r="BAY29" s="170"/>
      <c r="BBA29" s="170"/>
      <c r="BBC29" s="170"/>
      <c r="BBE29" s="170"/>
      <c r="BBG29" s="170"/>
      <c r="BBI29" s="170"/>
      <c r="BBK29" s="170"/>
      <c r="BBM29" s="170"/>
      <c r="BBO29" s="170"/>
      <c r="BBQ29" s="170"/>
      <c r="BBS29" s="170"/>
      <c r="BBU29" s="170"/>
      <c r="BBW29" s="170"/>
      <c r="BBY29" s="170"/>
      <c r="BCA29" s="170"/>
      <c r="BCC29" s="170"/>
      <c r="BCE29" s="170"/>
      <c r="BCG29" s="170"/>
      <c r="BCI29" s="170"/>
      <c r="BCK29" s="170"/>
      <c r="BCM29" s="170"/>
      <c r="BCO29" s="170"/>
      <c r="BCQ29" s="170"/>
      <c r="BCS29" s="170"/>
      <c r="BCU29" s="170"/>
      <c r="BCW29" s="170"/>
      <c r="BCY29" s="170"/>
      <c r="BDA29" s="170"/>
      <c r="BDC29" s="170"/>
      <c r="BDE29" s="170"/>
      <c r="BDG29" s="170"/>
      <c r="BDI29" s="170"/>
      <c r="BDK29" s="170"/>
      <c r="BDM29" s="170"/>
      <c r="BDO29" s="170"/>
      <c r="BDQ29" s="170"/>
      <c r="BDS29" s="170"/>
      <c r="BDU29" s="170"/>
      <c r="BDW29" s="170"/>
      <c r="BDY29" s="170"/>
      <c r="BEA29" s="170"/>
      <c r="BEC29" s="170"/>
      <c r="BEE29" s="170"/>
      <c r="BEG29" s="170"/>
      <c r="BEI29" s="170"/>
      <c r="BEK29" s="170"/>
      <c r="BEM29" s="170"/>
      <c r="BEO29" s="170"/>
      <c r="BEQ29" s="170"/>
      <c r="BES29" s="170"/>
      <c r="BEU29" s="170"/>
      <c r="BEW29" s="170"/>
      <c r="BEY29" s="170"/>
      <c r="BFA29" s="170"/>
      <c r="BFC29" s="170"/>
      <c r="BFE29" s="170"/>
      <c r="BFG29" s="170"/>
      <c r="BFI29" s="170"/>
      <c r="BFK29" s="170"/>
      <c r="BFM29" s="170"/>
      <c r="BFO29" s="170"/>
      <c r="BFQ29" s="170"/>
      <c r="BFS29" s="170"/>
      <c r="BFU29" s="170"/>
      <c r="BFW29" s="170"/>
      <c r="BFY29" s="170"/>
      <c r="BGA29" s="170"/>
      <c r="BGC29" s="170"/>
      <c r="BGE29" s="170"/>
      <c r="BGG29" s="170"/>
      <c r="BGI29" s="170"/>
      <c r="BGK29" s="170"/>
      <c r="BGM29" s="170"/>
      <c r="BGO29" s="170"/>
      <c r="BGQ29" s="170"/>
      <c r="BGS29" s="170"/>
      <c r="BGU29" s="170"/>
      <c r="BGW29" s="170"/>
      <c r="BGY29" s="170"/>
      <c r="BHA29" s="170"/>
      <c r="BHC29" s="170"/>
      <c r="BHE29" s="170"/>
      <c r="BHG29" s="170"/>
      <c r="BHI29" s="170"/>
      <c r="BHK29" s="170"/>
      <c r="BHM29" s="170"/>
      <c r="BHO29" s="170"/>
      <c r="BHQ29" s="170"/>
      <c r="BHS29" s="170"/>
      <c r="BHU29" s="170"/>
      <c r="BHW29" s="170"/>
      <c r="BHY29" s="170"/>
      <c r="BIA29" s="170"/>
      <c r="BIC29" s="170"/>
      <c r="BIE29" s="170"/>
      <c r="BIG29" s="170"/>
      <c r="BII29" s="170"/>
      <c r="BIK29" s="170"/>
      <c r="BIM29" s="170"/>
      <c r="BIO29" s="170"/>
      <c r="BIQ29" s="170"/>
      <c r="BIS29" s="170"/>
      <c r="BIU29" s="170"/>
      <c r="BIW29" s="170"/>
      <c r="BIY29" s="170"/>
      <c r="BJA29" s="170"/>
      <c r="BJC29" s="170"/>
      <c r="BJE29" s="170"/>
      <c r="BJG29" s="170"/>
      <c r="BJI29" s="170"/>
      <c r="BJK29" s="170"/>
      <c r="BJM29" s="170"/>
      <c r="BJO29" s="170"/>
      <c r="BJQ29" s="170"/>
      <c r="BJS29" s="170"/>
      <c r="BJU29" s="170"/>
      <c r="BJW29" s="170"/>
      <c r="BJY29" s="170"/>
      <c r="BKA29" s="170"/>
      <c r="BKC29" s="170"/>
      <c r="BKE29" s="170"/>
      <c r="BKG29" s="170"/>
      <c r="BKI29" s="170"/>
      <c r="BKK29" s="170"/>
      <c r="BKM29" s="170"/>
      <c r="BKO29" s="170"/>
      <c r="BKQ29" s="170"/>
      <c r="BKS29" s="170"/>
      <c r="BKU29" s="170"/>
      <c r="BKW29" s="170"/>
      <c r="BKY29" s="170"/>
      <c r="BLA29" s="170"/>
      <c r="BLC29" s="170"/>
      <c r="BLE29" s="170"/>
      <c r="BLG29" s="170"/>
      <c r="BLI29" s="170"/>
      <c r="BLK29" s="170"/>
      <c r="BLM29" s="170"/>
      <c r="BLO29" s="170"/>
      <c r="BLQ29" s="170"/>
      <c r="BLS29" s="170"/>
      <c r="BLU29" s="170"/>
      <c r="BLW29" s="170"/>
      <c r="BLY29" s="170"/>
      <c r="BMA29" s="170"/>
      <c r="BMC29" s="170"/>
      <c r="BME29" s="170"/>
      <c r="BMG29" s="170"/>
      <c r="BMI29" s="170"/>
      <c r="BMK29" s="170"/>
      <c r="BMM29" s="170"/>
      <c r="BMO29" s="170"/>
      <c r="BMQ29" s="170"/>
      <c r="BMS29" s="170"/>
      <c r="BMU29" s="170"/>
      <c r="BMW29" s="170"/>
      <c r="BMY29" s="170"/>
      <c r="BNA29" s="170"/>
      <c r="BNC29" s="170"/>
      <c r="BNE29" s="170"/>
      <c r="BNG29" s="170"/>
      <c r="BNI29" s="170"/>
      <c r="BNK29" s="170"/>
      <c r="BNM29" s="170"/>
      <c r="BNO29" s="170"/>
      <c r="BNQ29" s="170"/>
      <c r="BNS29" s="170"/>
      <c r="BNU29" s="170"/>
      <c r="BNW29" s="170"/>
      <c r="BNY29" s="170"/>
      <c r="BOA29" s="170"/>
      <c r="BOC29" s="170"/>
      <c r="BOE29" s="170"/>
      <c r="BOG29" s="170"/>
      <c r="BOI29" s="170"/>
      <c r="BOK29" s="170"/>
      <c r="BOM29" s="170"/>
      <c r="BOO29" s="170"/>
      <c r="BOQ29" s="170"/>
      <c r="BOS29" s="170"/>
      <c r="BOU29" s="170"/>
      <c r="BOW29" s="170"/>
      <c r="BOY29" s="170"/>
      <c r="BPA29" s="170"/>
      <c r="BPC29" s="170"/>
      <c r="BPE29" s="170"/>
      <c r="BPG29" s="170"/>
      <c r="BPI29" s="170"/>
      <c r="BPK29" s="170"/>
      <c r="BPM29" s="170"/>
      <c r="BPO29" s="170"/>
      <c r="BPQ29" s="170"/>
      <c r="BPS29" s="170"/>
      <c r="BPU29" s="170"/>
      <c r="BPW29" s="170"/>
      <c r="BPY29" s="170"/>
      <c r="BQA29" s="170"/>
      <c r="BQC29" s="170"/>
      <c r="BQE29" s="170"/>
      <c r="BQG29" s="170"/>
      <c r="BQI29" s="170"/>
      <c r="BQK29" s="170"/>
      <c r="BQM29" s="170"/>
      <c r="BQO29" s="170"/>
      <c r="BQQ29" s="170"/>
      <c r="BQS29" s="170"/>
      <c r="BQU29" s="170"/>
      <c r="BQW29" s="170"/>
      <c r="BQY29" s="170"/>
      <c r="BRA29" s="170"/>
      <c r="BRC29" s="170"/>
      <c r="BRE29" s="170"/>
      <c r="BRG29" s="170"/>
      <c r="BRI29" s="170"/>
      <c r="BRK29" s="170"/>
      <c r="BRM29" s="170"/>
      <c r="BRO29" s="170"/>
      <c r="BRQ29" s="170"/>
      <c r="BRS29" s="170"/>
      <c r="BRU29" s="170"/>
      <c r="BRW29" s="170"/>
      <c r="BRY29" s="170"/>
      <c r="BSA29" s="170"/>
      <c r="BSC29" s="170"/>
      <c r="BSE29" s="170"/>
      <c r="BSG29" s="170"/>
      <c r="BSI29" s="170"/>
      <c r="BSK29" s="170"/>
      <c r="BSM29" s="170"/>
      <c r="BSO29" s="170"/>
      <c r="BSQ29" s="170"/>
      <c r="BSS29" s="170"/>
      <c r="BSU29" s="170"/>
      <c r="BSW29" s="170"/>
      <c r="BSY29" s="170"/>
      <c r="BTA29" s="170"/>
      <c r="BTC29" s="170"/>
      <c r="BTE29" s="170"/>
      <c r="BTG29" s="170"/>
      <c r="BTI29" s="170"/>
      <c r="BTK29" s="170"/>
      <c r="BTM29" s="170"/>
      <c r="BTO29" s="170"/>
      <c r="BTQ29" s="170"/>
      <c r="BTS29" s="170"/>
      <c r="BTU29" s="170"/>
      <c r="BTW29" s="170"/>
      <c r="BTY29" s="170"/>
      <c r="BUA29" s="170"/>
      <c r="BUC29" s="170"/>
      <c r="BUE29" s="170"/>
      <c r="BUG29" s="170"/>
      <c r="BUI29" s="170"/>
      <c r="BUK29" s="170"/>
      <c r="BUM29" s="170"/>
      <c r="BUO29" s="170"/>
      <c r="BUQ29" s="170"/>
      <c r="BUS29" s="170"/>
      <c r="BUU29" s="170"/>
      <c r="BUW29" s="170"/>
      <c r="BUY29" s="170"/>
      <c r="BVA29" s="170"/>
      <c r="BVC29" s="170"/>
      <c r="BVE29" s="170"/>
      <c r="BVG29" s="170"/>
      <c r="BVI29" s="170"/>
      <c r="BVK29" s="170"/>
      <c r="BVM29" s="170"/>
      <c r="BVO29" s="170"/>
      <c r="BVQ29" s="170"/>
      <c r="BVS29" s="170"/>
      <c r="BVU29" s="170"/>
      <c r="BVW29" s="170"/>
      <c r="BVY29" s="170"/>
      <c r="BWA29" s="170"/>
      <c r="BWC29" s="170"/>
      <c r="BWE29" s="170"/>
      <c r="BWG29" s="170"/>
      <c r="BWI29" s="170"/>
      <c r="BWK29" s="170"/>
      <c r="BWM29" s="170"/>
      <c r="BWO29" s="170"/>
      <c r="BWQ29" s="170"/>
      <c r="BWS29" s="170"/>
      <c r="BWU29" s="170"/>
      <c r="BWW29" s="170"/>
      <c r="BWY29" s="170"/>
      <c r="BXA29" s="170"/>
      <c r="BXC29" s="170"/>
      <c r="BXE29" s="170"/>
      <c r="BXG29" s="170"/>
      <c r="BXI29" s="170"/>
      <c r="BXK29" s="170"/>
      <c r="BXM29" s="170"/>
      <c r="BXO29" s="170"/>
      <c r="BXQ29" s="170"/>
      <c r="BXS29" s="170"/>
      <c r="BXU29" s="170"/>
      <c r="BXW29" s="170"/>
      <c r="BXY29" s="170"/>
      <c r="BYA29" s="170"/>
      <c r="BYC29" s="170"/>
      <c r="BYE29" s="170"/>
      <c r="BYG29" s="170"/>
      <c r="BYI29" s="170"/>
      <c r="BYK29" s="170"/>
      <c r="BYM29" s="170"/>
      <c r="BYO29" s="170"/>
      <c r="BYQ29" s="170"/>
      <c r="BYS29" s="170"/>
      <c r="BYU29" s="170"/>
      <c r="BYW29" s="170"/>
      <c r="BYY29" s="170"/>
      <c r="BZA29" s="170"/>
      <c r="BZC29" s="170"/>
      <c r="BZE29" s="170"/>
      <c r="BZG29" s="170"/>
      <c r="BZI29" s="170"/>
      <c r="BZK29" s="170"/>
      <c r="BZM29" s="170"/>
      <c r="BZO29" s="170"/>
      <c r="BZQ29" s="170"/>
      <c r="BZS29" s="170"/>
      <c r="BZU29" s="170"/>
      <c r="BZW29" s="170"/>
      <c r="BZY29" s="170"/>
      <c r="CAA29" s="170"/>
      <c r="CAC29" s="170"/>
      <c r="CAE29" s="170"/>
      <c r="CAG29" s="170"/>
      <c r="CAI29" s="170"/>
      <c r="CAK29" s="170"/>
      <c r="CAM29" s="170"/>
      <c r="CAO29" s="170"/>
      <c r="CAQ29" s="170"/>
      <c r="CAS29" s="170"/>
      <c r="CAU29" s="170"/>
      <c r="CAW29" s="170"/>
      <c r="CAY29" s="170"/>
      <c r="CBA29" s="170"/>
      <c r="CBC29" s="170"/>
      <c r="CBE29" s="170"/>
      <c r="CBG29" s="170"/>
      <c r="CBI29" s="170"/>
      <c r="CBK29" s="170"/>
      <c r="CBM29" s="170"/>
      <c r="CBO29" s="170"/>
      <c r="CBQ29" s="170"/>
      <c r="CBS29" s="170"/>
      <c r="CBU29" s="170"/>
      <c r="CBW29" s="170"/>
      <c r="CBY29" s="170"/>
      <c r="CCA29" s="170"/>
      <c r="CCC29" s="170"/>
      <c r="CCE29" s="170"/>
      <c r="CCG29" s="170"/>
      <c r="CCI29" s="170"/>
      <c r="CCK29" s="170"/>
      <c r="CCM29" s="170"/>
      <c r="CCO29" s="170"/>
      <c r="CCQ29" s="170"/>
      <c r="CCS29" s="170"/>
      <c r="CCU29" s="170"/>
      <c r="CCW29" s="170"/>
      <c r="CCY29" s="170"/>
      <c r="CDA29" s="170"/>
      <c r="CDC29" s="170"/>
      <c r="CDE29" s="170"/>
      <c r="CDG29" s="170"/>
      <c r="CDI29" s="170"/>
      <c r="CDK29" s="170"/>
      <c r="CDM29" s="170"/>
      <c r="CDO29" s="170"/>
      <c r="CDQ29" s="170"/>
      <c r="CDS29" s="170"/>
      <c r="CDU29" s="170"/>
      <c r="CDW29" s="170"/>
      <c r="CDY29" s="170"/>
      <c r="CEA29" s="170"/>
      <c r="CEC29" s="170"/>
      <c r="CEE29" s="170"/>
      <c r="CEG29" s="170"/>
      <c r="CEI29" s="170"/>
      <c r="CEK29" s="170"/>
      <c r="CEM29" s="170"/>
      <c r="CEO29" s="170"/>
      <c r="CEQ29" s="170"/>
      <c r="CES29" s="170"/>
      <c r="CEU29" s="170"/>
      <c r="CEW29" s="170"/>
      <c r="CEY29" s="170"/>
      <c r="CFA29" s="170"/>
      <c r="CFC29" s="170"/>
      <c r="CFE29" s="170"/>
      <c r="CFG29" s="170"/>
      <c r="CFI29" s="170"/>
      <c r="CFK29" s="170"/>
      <c r="CFM29" s="170"/>
      <c r="CFO29" s="170"/>
      <c r="CFQ29" s="170"/>
      <c r="CFS29" s="170"/>
      <c r="CFU29" s="170"/>
      <c r="CFW29" s="170"/>
      <c r="CFY29" s="170"/>
      <c r="CGA29" s="170"/>
      <c r="CGC29" s="170"/>
      <c r="CGE29" s="170"/>
      <c r="CGG29" s="170"/>
      <c r="CGI29" s="170"/>
      <c r="CGK29" s="170"/>
      <c r="CGM29" s="170"/>
      <c r="CGO29" s="170"/>
      <c r="CGQ29" s="170"/>
      <c r="CGS29" s="170"/>
      <c r="CGU29" s="170"/>
      <c r="CGW29" s="170"/>
      <c r="CGY29" s="170"/>
      <c r="CHA29" s="170"/>
      <c r="CHC29" s="170"/>
      <c r="CHE29" s="170"/>
      <c r="CHG29" s="170"/>
      <c r="CHI29" s="170"/>
      <c r="CHK29" s="170"/>
      <c r="CHM29" s="170"/>
      <c r="CHO29" s="170"/>
      <c r="CHQ29" s="170"/>
      <c r="CHS29" s="170"/>
      <c r="CHU29" s="170"/>
      <c r="CHW29" s="170"/>
      <c r="CHY29" s="170"/>
      <c r="CIA29" s="170"/>
      <c r="CIC29" s="170"/>
      <c r="CIE29" s="170"/>
      <c r="CIG29" s="170"/>
      <c r="CII29" s="170"/>
      <c r="CIK29" s="170"/>
      <c r="CIM29" s="170"/>
      <c r="CIO29" s="170"/>
      <c r="CIQ29" s="170"/>
      <c r="CIS29" s="170"/>
      <c r="CIU29" s="170"/>
      <c r="CIW29" s="170"/>
      <c r="CIY29" s="170"/>
      <c r="CJA29" s="170"/>
      <c r="CJC29" s="170"/>
      <c r="CJE29" s="170"/>
      <c r="CJG29" s="170"/>
      <c r="CJI29" s="170"/>
      <c r="CJK29" s="170"/>
      <c r="CJM29" s="170"/>
      <c r="CJO29" s="170"/>
      <c r="CJQ29" s="170"/>
      <c r="CJS29" s="170"/>
      <c r="CJU29" s="170"/>
      <c r="CJW29" s="170"/>
      <c r="CJY29" s="170"/>
      <c r="CKA29" s="170"/>
      <c r="CKC29" s="170"/>
      <c r="CKE29" s="170"/>
      <c r="CKG29" s="170"/>
      <c r="CKI29" s="170"/>
      <c r="CKK29" s="170"/>
      <c r="CKM29" s="170"/>
      <c r="CKO29" s="170"/>
      <c r="CKQ29" s="170"/>
      <c r="CKS29" s="170"/>
      <c r="CKU29" s="170"/>
      <c r="CKW29" s="170"/>
      <c r="CKY29" s="170"/>
      <c r="CLA29" s="170"/>
      <c r="CLC29" s="170"/>
      <c r="CLE29" s="170"/>
      <c r="CLG29" s="170"/>
      <c r="CLI29" s="170"/>
      <c r="CLK29" s="170"/>
      <c r="CLM29" s="170"/>
      <c r="CLO29" s="170"/>
      <c r="CLQ29" s="170"/>
      <c r="CLS29" s="170"/>
      <c r="CLU29" s="170"/>
      <c r="CLW29" s="170"/>
      <c r="CLY29" s="170"/>
      <c r="CMA29" s="170"/>
      <c r="CMC29" s="170"/>
      <c r="CME29" s="170"/>
      <c r="CMG29" s="170"/>
      <c r="CMI29" s="170"/>
      <c r="CMK29" s="170"/>
      <c r="CMM29" s="170"/>
      <c r="CMO29" s="170"/>
      <c r="CMQ29" s="170"/>
      <c r="CMS29" s="170"/>
      <c r="CMU29" s="170"/>
      <c r="CMW29" s="170"/>
      <c r="CMY29" s="170"/>
      <c r="CNA29" s="170"/>
      <c r="CNC29" s="170"/>
      <c r="CNE29" s="170"/>
      <c r="CNG29" s="170"/>
      <c r="CNI29" s="170"/>
      <c r="CNK29" s="170"/>
      <c r="CNM29" s="170"/>
      <c r="CNO29" s="170"/>
      <c r="CNQ29" s="170"/>
      <c r="CNS29" s="170"/>
      <c r="CNU29" s="170"/>
      <c r="CNW29" s="170"/>
      <c r="CNY29" s="170"/>
      <c r="COA29" s="170"/>
      <c r="COC29" s="170"/>
      <c r="COE29" s="170"/>
      <c r="COG29" s="170"/>
      <c r="COI29" s="170"/>
      <c r="COK29" s="170"/>
      <c r="COM29" s="170"/>
      <c r="COO29" s="170"/>
      <c r="COQ29" s="170"/>
      <c r="COS29" s="170"/>
      <c r="COU29" s="170"/>
      <c r="COW29" s="170"/>
      <c r="COY29" s="170"/>
      <c r="CPA29" s="170"/>
      <c r="CPC29" s="170"/>
      <c r="CPE29" s="170"/>
      <c r="CPG29" s="170"/>
      <c r="CPI29" s="170"/>
      <c r="CPK29" s="170"/>
      <c r="CPM29" s="170"/>
      <c r="CPO29" s="170"/>
      <c r="CPQ29" s="170"/>
      <c r="CPS29" s="170"/>
      <c r="CPU29" s="170"/>
      <c r="CPW29" s="170"/>
      <c r="CPY29" s="170"/>
      <c r="CQA29" s="170"/>
      <c r="CQC29" s="170"/>
      <c r="CQE29" s="170"/>
      <c r="CQG29" s="170"/>
      <c r="CQI29" s="170"/>
      <c r="CQK29" s="170"/>
      <c r="CQM29" s="170"/>
      <c r="CQO29" s="170"/>
      <c r="CQQ29" s="170"/>
      <c r="CQS29" s="170"/>
      <c r="CQU29" s="170"/>
      <c r="CQW29" s="170"/>
      <c r="CQY29" s="170"/>
      <c r="CRA29" s="170"/>
      <c r="CRC29" s="170"/>
      <c r="CRE29" s="170"/>
      <c r="CRG29" s="170"/>
      <c r="CRI29" s="170"/>
      <c r="CRK29" s="170"/>
      <c r="CRM29" s="170"/>
      <c r="CRO29" s="170"/>
      <c r="CRQ29" s="170"/>
      <c r="CRS29" s="170"/>
      <c r="CRU29" s="170"/>
      <c r="CRW29" s="170"/>
      <c r="CRY29" s="170"/>
      <c r="CSA29" s="170"/>
      <c r="CSC29" s="170"/>
      <c r="CSE29" s="170"/>
      <c r="CSG29" s="170"/>
      <c r="CSI29" s="170"/>
      <c r="CSK29" s="170"/>
      <c r="CSM29" s="170"/>
      <c r="CSO29" s="170"/>
      <c r="CSQ29" s="170"/>
      <c r="CSS29" s="170"/>
      <c r="CSU29" s="170"/>
      <c r="CSW29" s="170"/>
      <c r="CSY29" s="170"/>
      <c r="CTA29" s="170"/>
      <c r="CTC29" s="170"/>
      <c r="CTE29" s="170"/>
      <c r="CTG29" s="170"/>
      <c r="CTI29" s="170"/>
      <c r="CTK29" s="170"/>
      <c r="CTM29" s="170"/>
      <c r="CTO29" s="170"/>
      <c r="CTQ29" s="170"/>
      <c r="CTS29" s="170"/>
      <c r="CTU29" s="170"/>
      <c r="CTW29" s="170"/>
      <c r="CTY29" s="170"/>
      <c r="CUA29" s="170"/>
      <c r="CUC29" s="170"/>
      <c r="CUE29" s="170"/>
      <c r="CUG29" s="170"/>
      <c r="CUI29" s="170"/>
      <c r="CUK29" s="170"/>
      <c r="CUM29" s="170"/>
      <c r="CUO29" s="170"/>
      <c r="CUQ29" s="170"/>
      <c r="CUS29" s="170"/>
      <c r="CUU29" s="170"/>
      <c r="CUW29" s="170"/>
      <c r="CUY29" s="170"/>
      <c r="CVA29" s="170"/>
      <c r="CVC29" s="170"/>
      <c r="CVE29" s="170"/>
      <c r="CVG29" s="170"/>
      <c r="CVI29" s="170"/>
      <c r="CVK29" s="170"/>
      <c r="CVM29" s="170"/>
      <c r="CVO29" s="170"/>
      <c r="CVQ29" s="170"/>
      <c r="CVS29" s="170"/>
      <c r="CVU29" s="170"/>
      <c r="CVW29" s="170"/>
      <c r="CVY29" s="170"/>
      <c r="CWA29" s="170"/>
      <c r="CWC29" s="170"/>
      <c r="CWE29" s="170"/>
      <c r="CWG29" s="170"/>
      <c r="CWI29" s="170"/>
      <c r="CWK29" s="170"/>
      <c r="CWM29" s="170"/>
      <c r="CWO29" s="170"/>
      <c r="CWQ29" s="170"/>
      <c r="CWS29" s="170"/>
      <c r="CWU29" s="170"/>
      <c r="CWW29" s="170"/>
      <c r="CWY29" s="170"/>
      <c r="CXA29" s="170"/>
      <c r="CXC29" s="170"/>
      <c r="CXE29" s="170"/>
      <c r="CXG29" s="170"/>
      <c r="CXI29" s="170"/>
      <c r="CXK29" s="170"/>
      <c r="CXM29" s="170"/>
      <c r="CXO29" s="170"/>
      <c r="CXQ29" s="170"/>
      <c r="CXS29" s="170"/>
      <c r="CXU29" s="170"/>
      <c r="CXW29" s="170"/>
      <c r="CXY29" s="170"/>
      <c r="CYA29" s="170"/>
      <c r="CYC29" s="170"/>
      <c r="CYE29" s="170"/>
      <c r="CYG29" s="170"/>
      <c r="CYI29" s="170"/>
      <c r="CYK29" s="170"/>
      <c r="CYM29" s="170"/>
      <c r="CYO29" s="170"/>
      <c r="CYQ29" s="170"/>
      <c r="CYS29" s="170"/>
      <c r="CYU29" s="170"/>
      <c r="CYW29" s="170"/>
      <c r="CYY29" s="170"/>
      <c r="CZA29" s="170"/>
      <c r="CZC29" s="170"/>
      <c r="CZE29" s="170"/>
      <c r="CZG29" s="170"/>
      <c r="CZI29" s="170"/>
      <c r="CZK29" s="170"/>
      <c r="CZM29" s="170"/>
      <c r="CZO29" s="170"/>
      <c r="CZQ29" s="170"/>
      <c r="CZS29" s="170"/>
      <c r="CZU29" s="170"/>
      <c r="CZW29" s="170"/>
      <c r="CZY29" s="170"/>
      <c r="DAA29" s="170"/>
      <c r="DAC29" s="170"/>
      <c r="DAE29" s="170"/>
      <c r="DAG29" s="170"/>
      <c r="DAI29" s="170"/>
      <c r="DAK29" s="170"/>
      <c r="DAM29" s="170"/>
      <c r="DAO29" s="170"/>
      <c r="DAQ29" s="170"/>
      <c r="DAS29" s="170"/>
      <c r="DAU29" s="170"/>
      <c r="DAW29" s="170"/>
      <c r="DAY29" s="170"/>
      <c r="DBA29" s="170"/>
      <c r="DBC29" s="170"/>
      <c r="DBE29" s="170"/>
      <c r="DBG29" s="170"/>
      <c r="DBI29" s="170"/>
      <c r="DBK29" s="170"/>
      <c r="DBM29" s="170"/>
      <c r="DBO29" s="170"/>
      <c r="DBQ29" s="170"/>
      <c r="DBS29" s="170"/>
      <c r="DBU29" s="170"/>
      <c r="DBW29" s="170"/>
      <c r="DBY29" s="170"/>
      <c r="DCA29" s="170"/>
      <c r="DCC29" s="170"/>
      <c r="DCE29" s="170"/>
      <c r="DCG29" s="170"/>
      <c r="DCI29" s="170"/>
      <c r="DCK29" s="170"/>
      <c r="DCM29" s="170"/>
      <c r="DCO29" s="170"/>
      <c r="DCQ29" s="170"/>
      <c r="DCS29" s="170"/>
      <c r="DCU29" s="170"/>
      <c r="DCW29" s="170"/>
      <c r="DCY29" s="170"/>
      <c r="DDA29" s="170"/>
      <c r="DDC29" s="170"/>
      <c r="DDE29" s="170"/>
      <c r="DDG29" s="170"/>
      <c r="DDI29" s="170"/>
      <c r="DDK29" s="170"/>
      <c r="DDM29" s="170"/>
      <c r="DDO29" s="170"/>
      <c r="DDQ29" s="170"/>
      <c r="DDS29" s="170"/>
      <c r="DDU29" s="170"/>
      <c r="DDW29" s="170"/>
      <c r="DDY29" s="170"/>
      <c r="DEA29" s="170"/>
      <c r="DEC29" s="170"/>
      <c r="DEE29" s="170"/>
      <c r="DEG29" s="170"/>
      <c r="DEI29" s="170"/>
      <c r="DEK29" s="170"/>
      <c r="DEM29" s="170"/>
      <c r="DEO29" s="170"/>
      <c r="DEQ29" s="170"/>
      <c r="DES29" s="170"/>
      <c r="DEU29" s="170"/>
      <c r="DEW29" s="170"/>
      <c r="DEY29" s="170"/>
      <c r="DFA29" s="170"/>
      <c r="DFC29" s="170"/>
      <c r="DFE29" s="170"/>
      <c r="DFG29" s="170"/>
      <c r="DFI29" s="170"/>
      <c r="DFK29" s="170"/>
      <c r="DFM29" s="170"/>
      <c r="DFO29" s="170"/>
      <c r="DFQ29" s="170"/>
      <c r="DFS29" s="170"/>
      <c r="DFU29" s="170"/>
      <c r="DFW29" s="170"/>
      <c r="DFY29" s="170"/>
      <c r="DGA29" s="170"/>
      <c r="DGC29" s="170"/>
      <c r="DGE29" s="170"/>
      <c r="DGG29" s="170"/>
      <c r="DGI29" s="170"/>
      <c r="DGK29" s="170"/>
      <c r="DGM29" s="170"/>
      <c r="DGO29" s="170"/>
      <c r="DGQ29" s="170"/>
      <c r="DGS29" s="170"/>
      <c r="DGU29" s="170"/>
      <c r="DGW29" s="170"/>
      <c r="DGY29" s="170"/>
      <c r="DHA29" s="170"/>
      <c r="DHC29" s="170"/>
      <c r="DHE29" s="170"/>
      <c r="DHG29" s="170"/>
      <c r="DHI29" s="170"/>
      <c r="DHK29" s="170"/>
      <c r="DHM29" s="170"/>
      <c r="DHO29" s="170"/>
      <c r="DHQ29" s="170"/>
      <c r="DHS29" s="170"/>
      <c r="DHU29" s="170"/>
      <c r="DHW29" s="170"/>
      <c r="DHY29" s="170"/>
      <c r="DIA29" s="170"/>
      <c r="DIC29" s="170"/>
      <c r="DIE29" s="170"/>
      <c r="DIG29" s="170"/>
      <c r="DII29" s="170"/>
      <c r="DIK29" s="170"/>
      <c r="DIM29" s="170"/>
      <c r="DIO29" s="170"/>
      <c r="DIQ29" s="170"/>
      <c r="DIS29" s="170"/>
      <c r="DIU29" s="170"/>
      <c r="DIW29" s="170"/>
      <c r="DIY29" s="170"/>
      <c r="DJA29" s="170"/>
      <c r="DJC29" s="170"/>
      <c r="DJE29" s="170"/>
      <c r="DJG29" s="170"/>
      <c r="DJI29" s="170"/>
      <c r="DJK29" s="170"/>
      <c r="DJM29" s="170"/>
      <c r="DJO29" s="170"/>
      <c r="DJQ29" s="170"/>
      <c r="DJS29" s="170"/>
      <c r="DJU29" s="170"/>
      <c r="DJW29" s="170"/>
      <c r="DJY29" s="170"/>
      <c r="DKA29" s="170"/>
      <c r="DKC29" s="170"/>
      <c r="DKE29" s="170"/>
      <c r="DKG29" s="170"/>
      <c r="DKI29" s="170"/>
      <c r="DKK29" s="170"/>
      <c r="DKM29" s="170"/>
      <c r="DKO29" s="170"/>
      <c r="DKQ29" s="170"/>
      <c r="DKS29" s="170"/>
      <c r="DKU29" s="170"/>
      <c r="DKW29" s="170"/>
      <c r="DKY29" s="170"/>
      <c r="DLA29" s="170"/>
      <c r="DLC29" s="170"/>
      <c r="DLE29" s="170"/>
      <c r="DLG29" s="170"/>
      <c r="DLI29" s="170"/>
      <c r="DLK29" s="170"/>
      <c r="DLM29" s="170"/>
      <c r="DLO29" s="170"/>
      <c r="DLQ29" s="170"/>
      <c r="DLS29" s="170"/>
      <c r="DLU29" s="170"/>
      <c r="DLW29" s="170"/>
      <c r="DLY29" s="170"/>
      <c r="DMA29" s="170"/>
      <c r="DMC29" s="170"/>
      <c r="DME29" s="170"/>
      <c r="DMG29" s="170"/>
      <c r="DMI29" s="170"/>
      <c r="DMK29" s="170"/>
      <c r="DMM29" s="170"/>
      <c r="DMO29" s="170"/>
      <c r="DMQ29" s="170"/>
      <c r="DMS29" s="170"/>
      <c r="DMU29" s="170"/>
      <c r="DMW29" s="170"/>
      <c r="DMY29" s="170"/>
      <c r="DNA29" s="170"/>
      <c r="DNC29" s="170"/>
      <c r="DNE29" s="170"/>
      <c r="DNG29" s="170"/>
      <c r="DNI29" s="170"/>
      <c r="DNK29" s="170"/>
      <c r="DNM29" s="170"/>
      <c r="DNO29" s="170"/>
      <c r="DNQ29" s="170"/>
      <c r="DNS29" s="170"/>
      <c r="DNU29" s="170"/>
      <c r="DNW29" s="170"/>
      <c r="DNY29" s="170"/>
      <c r="DOA29" s="170"/>
      <c r="DOC29" s="170"/>
      <c r="DOE29" s="170"/>
      <c r="DOG29" s="170"/>
      <c r="DOI29" s="170"/>
      <c r="DOK29" s="170"/>
      <c r="DOM29" s="170"/>
      <c r="DOO29" s="170"/>
      <c r="DOQ29" s="170"/>
      <c r="DOS29" s="170"/>
      <c r="DOU29" s="170"/>
      <c r="DOW29" s="170"/>
      <c r="DOY29" s="170"/>
      <c r="DPA29" s="170"/>
      <c r="DPC29" s="170"/>
      <c r="DPE29" s="170"/>
      <c r="DPG29" s="170"/>
      <c r="DPI29" s="170"/>
      <c r="DPK29" s="170"/>
      <c r="DPM29" s="170"/>
      <c r="DPO29" s="170"/>
      <c r="DPQ29" s="170"/>
      <c r="DPS29" s="170"/>
      <c r="DPU29" s="170"/>
      <c r="DPW29" s="170"/>
      <c r="DPY29" s="170"/>
      <c r="DQA29" s="170"/>
      <c r="DQC29" s="170"/>
      <c r="DQE29" s="170"/>
      <c r="DQG29" s="170"/>
      <c r="DQI29" s="170"/>
      <c r="DQK29" s="170"/>
      <c r="DQM29" s="170"/>
      <c r="DQO29" s="170"/>
      <c r="DQQ29" s="170"/>
      <c r="DQS29" s="170"/>
      <c r="DQU29" s="170"/>
      <c r="DQW29" s="170"/>
      <c r="DQY29" s="170"/>
      <c r="DRA29" s="170"/>
      <c r="DRC29" s="170"/>
      <c r="DRE29" s="170"/>
      <c r="DRG29" s="170"/>
      <c r="DRI29" s="170"/>
      <c r="DRK29" s="170"/>
      <c r="DRM29" s="170"/>
      <c r="DRO29" s="170"/>
      <c r="DRQ29" s="170"/>
      <c r="DRS29" s="170"/>
      <c r="DRU29" s="170"/>
      <c r="DRW29" s="170"/>
      <c r="DRY29" s="170"/>
      <c r="DSA29" s="170"/>
      <c r="DSC29" s="170"/>
      <c r="DSE29" s="170"/>
      <c r="DSG29" s="170"/>
      <c r="DSI29" s="170"/>
      <c r="DSK29" s="170"/>
      <c r="DSM29" s="170"/>
      <c r="DSO29" s="170"/>
      <c r="DSQ29" s="170"/>
      <c r="DSS29" s="170"/>
      <c r="DSU29" s="170"/>
      <c r="DSW29" s="170"/>
      <c r="DSY29" s="170"/>
      <c r="DTA29" s="170"/>
      <c r="DTC29" s="170"/>
      <c r="DTE29" s="170"/>
      <c r="DTG29" s="170"/>
      <c r="DTI29" s="170"/>
      <c r="DTK29" s="170"/>
      <c r="DTM29" s="170"/>
      <c r="DTO29" s="170"/>
      <c r="DTQ29" s="170"/>
      <c r="DTS29" s="170"/>
      <c r="DTU29" s="170"/>
      <c r="DTW29" s="170"/>
      <c r="DTY29" s="170"/>
      <c r="DUA29" s="170"/>
      <c r="DUC29" s="170"/>
      <c r="DUE29" s="170"/>
      <c r="DUG29" s="170"/>
      <c r="DUI29" s="170"/>
      <c r="DUK29" s="170"/>
      <c r="DUM29" s="170"/>
      <c r="DUO29" s="170"/>
      <c r="DUQ29" s="170"/>
      <c r="DUS29" s="170"/>
      <c r="DUU29" s="170"/>
      <c r="DUW29" s="170"/>
      <c r="DUY29" s="170"/>
      <c r="DVA29" s="170"/>
      <c r="DVC29" s="170"/>
      <c r="DVE29" s="170"/>
      <c r="DVG29" s="170"/>
      <c r="DVI29" s="170"/>
      <c r="DVK29" s="170"/>
      <c r="DVM29" s="170"/>
      <c r="DVO29" s="170"/>
      <c r="DVQ29" s="170"/>
      <c r="DVS29" s="170"/>
      <c r="DVU29" s="170"/>
      <c r="DVW29" s="170"/>
      <c r="DVY29" s="170"/>
      <c r="DWA29" s="170"/>
      <c r="DWC29" s="170"/>
      <c r="DWE29" s="170"/>
      <c r="DWG29" s="170"/>
      <c r="DWI29" s="170"/>
      <c r="DWK29" s="170"/>
      <c r="DWM29" s="170"/>
      <c r="DWO29" s="170"/>
      <c r="DWQ29" s="170"/>
      <c r="DWS29" s="170"/>
      <c r="DWU29" s="170"/>
      <c r="DWW29" s="170"/>
      <c r="DWY29" s="170"/>
      <c r="DXA29" s="170"/>
      <c r="DXC29" s="170"/>
      <c r="DXE29" s="170"/>
      <c r="DXG29" s="170"/>
      <c r="DXI29" s="170"/>
      <c r="DXK29" s="170"/>
      <c r="DXM29" s="170"/>
      <c r="DXO29" s="170"/>
      <c r="DXQ29" s="170"/>
      <c r="DXS29" s="170"/>
      <c r="DXU29" s="170"/>
      <c r="DXW29" s="170"/>
      <c r="DXY29" s="170"/>
      <c r="DYA29" s="170"/>
      <c r="DYC29" s="170"/>
      <c r="DYE29" s="170"/>
      <c r="DYG29" s="170"/>
      <c r="DYI29" s="170"/>
      <c r="DYK29" s="170"/>
      <c r="DYM29" s="170"/>
      <c r="DYO29" s="170"/>
      <c r="DYQ29" s="170"/>
      <c r="DYS29" s="170"/>
      <c r="DYU29" s="170"/>
      <c r="DYW29" s="170"/>
      <c r="DYY29" s="170"/>
      <c r="DZA29" s="170"/>
      <c r="DZC29" s="170"/>
      <c r="DZE29" s="170"/>
      <c r="DZG29" s="170"/>
      <c r="DZI29" s="170"/>
      <c r="DZK29" s="170"/>
      <c r="DZM29" s="170"/>
      <c r="DZO29" s="170"/>
      <c r="DZQ29" s="170"/>
      <c r="DZS29" s="170"/>
      <c r="DZU29" s="170"/>
      <c r="DZW29" s="170"/>
      <c r="DZY29" s="170"/>
      <c r="EAA29" s="170"/>
      <c r="EAC29" s="170"/>
      <c r="EAE29" s="170"/>
      <c r="EAG29" s="170"/>
      <c r="EAI29" s="170"/>
      <c r="EAK29" s="170"/>
      <c r="EAM29" s="170"/>
      <c r="EAO29" s="170"/>
      <c r="EAQ29" s="170"/>
      <c r="EAS29" s="170"/>
      <c r="EAU29" s="170"/>
      <c r="EAW29" s="170"/>
      <c r="EAY29" s="170"/>
      <c r="EBA29" s="170"/>
      <c r="EBC29" s="170"/>
      <c r="EBE29" s="170"/>
      <c r="EBG29" s="170"/>
      <c r="EBI29" s="170"/>
      <c r="EBK29" s="170"/>
      <c r="EBM29" s="170"/>
      <c r="EBO29" s="170"/>
      <c r="EBQ29" s="170"/>
      <c r="EBS29" s="170"/>
      <c r="EBU29" s="170"/>
      <c r="EBW29" s="170"/>
      <c r="EBY29" s="170"/>
      <c r="ECA29" s="170"/>
      <c r="ECC29" s="170"/>
      <c r="ECE29" s="170"/>
      <c r="ECG29" s="170"/>
      <c r="ECI29" s="170"/>
      <c r="ECK29" s="170"/>
      <c r="ECM29" s="170"/>
      <c r="ECO29" s="170"/>
      <c r="ECQ29" s="170"/>
      <c r="ECS29" s="170"/>
      <c r="ECU29" s="170"/>
      <c r="ECW29" s="170"/>
      <c r="ECY29" s="170"/>
      <c r="EDA29" s="170"/>
      <c r="EDC29" s="170"/>
      <c r="EDE29" s="170"/>
      <c r="EDG29" s="170"/>
      <c r="EDI29" s="170"/>
      <c r="EDK29" s="170"/>
      <c r="EDM29" s="170"/>
      <c r="EDO29" s="170"/>
      <c r="EDQ29" s="170"/>
      <c r="EDS29" s="170"/>
      <c r="EDU29" s="170"/>
      <c r="EDW29" s="170"/>
      <c r="EDY29" s="170"/>
      <c r="EEA29" s="170"/>
      <c r="EEC29" s="170"/>
      <c r="EEE29" s="170"/>
      <c r="EEG29" s="170"/>
      <c r="EEI29" s="170"/>
      <c r="EEK29" s="170"/>
      <c r="EEM29" s="170"/>
      <c r="EEO29" s="170"/>
      <c r="EEQ29" s="170"/>
      <c r="EES29" s="170"/>
      <c r="EEU29" s="170"/>
      <c r="EEW29" s="170"/>
      <c r="EEY29" s="170"/>
      <c r="EFA29" s="170"/>
      <c r="EFC29" s="170"/>
      <c r="EFE29" s="170"/>
      <c r="EFG29" s="170"/>
      <c r="EFI29" s="170"/>
      <c r="EFK29" s="170"/>
      <c r="EFM29" s="170"/>
      <c r="EFO29" s="170"/>
      <c r="EFQ29" s="170"/>
      <c r="EFS29" s="170"/>
      <c r="EFU29" s="170"/>
      <c r="EFW29" s="170"/>
      <c r="EFY29" s="170"/>
      <c r="EGA29" s="170"/>
      <c r="EGC29" s="170"/>
      <c r="EGE29" s="170"/>
      <c r="EGG29" s="170"/>
      <c r="EGI29" s="170"/>
      <c r="EGK29" s="170"/>
      <c r="EGM29" s="170"/>
      <c r="EGO29" s="170"/>
      <c r="EGQ29" s="170"/>
      <c r="EGS29" s="170"/>
      <c r="EGU29" s="170"/>
      <c r="EGW29" s="170"/>
      <c r="EGY29" s="170"/>
      <c r="EHA29" s="170"/>
      <c r="EHC29" s="170"/>
      <c r="EHE29" s="170"/>
      <c r="EHG29" s="170"/>
      <c r="EHI29" s="170"/>
      <c r="EHK29" s="170"/>
      <c r="EHM29" s="170"/>
      <c r="EHO29" s="170"/>
      <c r="EHQ29" s="170"/>
      <c r="EHS29" s="170"/>
      <c r="EHU29" s="170"/>
      <c r="EHW29" s="170"/>
      <c r="EHY29" s="170"/>
      <c r="EIA29" s="170"/>
      <c r="EIC29" s="170"/>
      <c r="EIE29" s="170"/>
      <c r="EIG29" s="170"/>
      <c r="EII29" s="170"/>
      <c r="EIK29" s="170"/>
      <c r="EIM29" s="170"/>
      <c r="EIO29" s="170"/>
      <c r="EIQ29" s="170"/>
      <c r="EIS29" s="170"/>
      <c r="EIU29" s="170"/>
      <c r="EIW29" s="170"/>
      <c r="EIY29" s="170"/>
      <c r="EJA29" s="170"/>
      <c r="EJC29" s="170"/>
      <c r="EJE29" s="170"/>
      <c r="EJG29" s="170"/>
      <c r="EJI29" s="170"/>
      <c r="EJK29" s="170"/>
      <c r="EJM29" s="170"/>
      <c r="EJO29" s="170"/>
      <c r="EJQ29" s="170"/>
      <c r="EJS29" s="170"/>
      <c r="EJU29" s="170"/>
      <c r="EJW29" s="170"/>
      <c r="EJY29" s="170"/>
      <c r="EKA29" s="170"/>
      <c r="EKC29" s="170"/>
      <c r="EKE29" s="170"/>
      <c r="EKG29" s="170"/>
      <c r="EKI29" s="170"/>
      <c r="EKK29" s="170"/>
      <c r="EKM29" s="170"/>
      <c r="EKO29" s="170"/>
      <c r="EKQ29" s="170"/>
      <c r="EKS29" s="170"/>
      <c r="EKU29" s="170"/>
      <c r="EKW29" s="170"/>
      <c r="EKY29" s="170"/>
      <c r="ELA29" s="170"/>
      <c r="ELC29" s="170"/>
      <c r="ELE29" s="170"/>
      <c r="ELG29" s="170"/>
      <c r="ELI29" s="170"/>
      <c r="ELK29" s="170"/>
      <c r="ELM29" s="170"/>
      <c r="ELO29" s="170"/>
      <c r="ELQ29" s="170"/>
      <c r="ELS29" s="170"/>
      <c r="ELU29" s="170"/>
      <c r="ELW29" s="170"/>
      <c r="ELY29" s="170"/>
      <c r="EMA29" s="170"/>
      <c r="EMC29" s="170"/>
      <c r="EME29" s="170"/>
      <c r="EMG29" s="170"/>
      <c r="EMI29" s="170"/>
      <c r="EMK29" s="170"/>
      <c r="EMM29" s="170"/>
      <c r="EMO29" s="170"/>
      <c r="EMQ29" s="170"/>
      <c r="EMS29" s="170"/>
      <c r="EMU29" s="170"/>
      <c r="EMW29" s="170"/>
      <c r="EMY29" s="170"/>
      <c r="ENA29" s="170"/>
      <c r="ENC29" s="170"/>
      <c r="ENE29" s="170"/>
      <c r="ENG29" s="170"/>
      <c r="ENI29" s="170"/>
      <c r="ENK29" s="170"/>
      <c r="ENM29" s="170"/>
      <c r="ENO29" s="170"/>
      <c r="ENQ29" s="170"/>
      <c r="ENS29" s="170"/>
      <c r="ENU29" s="170"/>
      <c r="ENW29" s="170"/>
      <c r="ENY29" s="170"/>
      <c r="EOA29" s="170"/>
      <c r="EOC29" s="170"/>
      <c r="EOE29" s="170"/>
      <c r="EOG29" s="170"/>
      <c r="EOI29" s="170"/>
      <c r="EOK29" s="170"/>
      <c r="EOM29" s="170"/>
      <c r="EOO29" s="170"/>
      <c r="EOQ29" s="170"/>
      <c r="EOS29" s="170"/>
      <c r="EOU29" s="170"/>
      <c r="EOW29" s="170"/>
      <c r="EOY29" s="170"/>
      <c r="EPA29" s="170"/>
      <c r="EPC29" s="170"/>
      <c r="EPE29" s="170"/>
      <c r="EPG29" s="170"/>
      <c r="EPI29" s="170"/>
      <c r="EPK29" s="170"/>
      <c r="EPM29" s="170"/>
      <c r="EPO29" s="170"/>
      <c r="EPQ29" s="170"/>
      <c r="EPS29" s="170"/>
      <c r="EPU29" s="170"/>
      <c r="EPW29" s="170"/>
      <c r="EPY29" s="170"/>
      <c r="EQA29" s="170"/>
      <c r="EQC29" s="170"/>
      <c r="EQE29" s="170"/>
      <c r="EQG29" s="170"/>
      <c r="EQI29" s="170"/>
      <c r="EQK29" s="170"/>
      <c r="EQM29" s="170"/>
      <c r="EQO29" s="170"/>
      <c r="EQQ29" s="170"/>
      <c r="EQS29" s="170"/>
      <c r="EQU29" s="170"/>
      <c r="EQW29" s="170"/>
      <c r="EQY29" s="170"/>
      <c r="ERA29" s="170"/>
      <c r="ERC29" s="170"/>
      <c r="ERE29" s="170"/>
      <c r="ERG29" s="170"/>
      <c r="ERI29" s="170"/>
      <c r="ERK29" s="170"/>
      <c r="ERM29" s="170"/>
      <c r="ERO29" s="170"/>
      <c r="ERQ29" s="170"/>
      <c r="ERS29" s="170"/>
      <c r="ERU29" s="170"/>
      <c r="ERW29" s="170"/>
      <c r="ERY29" s="170"/>
      <c r="ESA29" s="170"/>
      <c r="ESC29" s="170"/>
      <c r="ESE29" s="170"/>
      <c r="ESG29" s="170"/>
      <c r="ESI29" s="170"/>
      <c r="ESK29" s="170"/>
      <c r="ESM29" s="170"/>
      <c r="ESO29" s="170"/>
      <c r="ESQ29" s="170"/>
      <c r="ESS29" s="170"/>
      <c r="ESU29" s="170"/>
      <c r="ESW29" s="170"/>
      <c r="ESY29" s="170"/>
      <c r="ETA29" s="170"/>
      <c r="ETC29" s="170"/>
      <c r="ETE29" s="170"/>
      <c r="ETG29" s="170"/>
      <c r="ETI29" s="170"/>
      <c r="ETK29" s="170"/>
      <c r="ETM29" s="170"/>
      <c r="ETO29" s="170"/>
      <c r="ETQ29" s="170"/>
      <c r="ETS29" s="170"/>
      <c r="ETU29" s="170"/>
      <c r="ETW29" s="170"/>
      <c r="ETY29" s="170"/>
      <c r="EUA29" s="170"/>
      <c r="EUC29" s="170"/>
      <c r="EUE29" s="170"/>
      <c r="EUG29" s="170"/>
      <c r="EUI29" s="170"/>
      <c r="EUK29" s="170"/>
      <c r="EUM29" s="170"/>
      <c r="EUO29" s="170"/>
      <c r="EUQ29" s="170"/>
      <c r="EUS29" s="170"/>
      <c r="EUU29" s="170"/>
      <c r="EUW29" s="170"/>
      <c r="EUY29" s="170"/>
      <c r="EVA29" s="170"/>
      <c r="EVC29" s="170"/>
      <c r="EVE29" s="170"/>
      <c r="EVG29" s="170"/>
      <c r="EVI29" s="170"/>
      <c r="EVK29" s="170"/>
      <c r="EVM29" s="170"/>
      <c r="EVO29" s="170"/>
      <c r="EVQ29" s="170"/>
      <c r="EVS29" s="170"/>
      <c r="EVU29" s="170"/>
      <c r="EVW29" s="170"/>
      <c r="EVY29" s="170"/>
      <c r="EWA29" s="170"/>
      <c r="EWC29" s="170"/>
      <c r="EWE29" s="170"/>
      <c r="EWG29" s="170"/>
      <c r="EWI29" s="170"/>
      <c r="EWK29" s="170"/>
      <c r="EWM29" s="170"/>
      <c r="EWO29" s="170"/>
      <c r="EWQ29" s="170"/>
      <c r="EWS29" s="170"/>
      <c r="EWU29" s="170"/>
      <c r="EWW29" s="170"/>
      <c r="EWY29" s="170"/>
      <c r="EXA29" s="170"/>
      <c r="EXC29" s="170"/>
      <c r="EXE29" s="170"/>
      <c r="EXG29" s="170"/>
      <c r="EXI29" s="170"/>
      <c r="EXK29" s="170"/>
      <c r="EXM29" s="170"/>
      <c r="EXO29" s="170"/>
      <c r="EXQ29" s="170"/>
      <c r="EXS29" s="170"/>
      <c r="EXU29" s="170"/>
      <c r="EXW29" s="170"/>
      <c r="EXY29" s="170"/>
      <c r="EYA29" s="170"/>
      <c r="EYC29" s="170"/>
      <c r="EYE29" s="170"/>
      <c r="EYG29" s="170"/>
      <c r="EYI29" s="170"/>
      <c r="EYK29" s="170"/>
      <c r="EYM29" s="170"/>
      <c r="EYO29" s="170"/>
      <c r="EYQ29" s="170"/>
      <c r="EYS29" s="170"/>
      <c r="EYU29" s="170"/>
      <c r="EYW29" s="170"/>
      <c r="EYY29" s="170"/>
      <c r="EZA29" s="170"/>
      <c r="EZC29" s="170"/>
      <c r="EZE29" s="170"/>
      <c r="EZG29" s="170"/>
      <c r="EZI29" s="170"/>
      <c r="EZK29" s="170"/>
      <c r="EZM29" s="170"/>
      <c r="EZO29" s="170"/>
      <c r="EZQ29" s="170"/>
      <c r="EZS29" s="170"/>
      <c r="EZU29" s="170"/>
      <c r="EZW29" s="170"/>
      <c r="EZY29" s="170"/>
      <c r="FAA29" s="170"/>
      <c r="FAC29" s="170"/>
      <c r="FAE29" s="170"/>
      <c r="FAG29" s="170"/>
      <c r="FAI29" s="170"/>
      <c r="FAK29" s="170"/>
      <c r="FAM29" s="170"/>
      <c r="FAO29" s="170"/>
      <c r="FAQ29" s="170"/>
      <c r="FAS29" s="170"/>
      <c r="FAU29" s="170"/>
      <c r="FAW29" s="170"/>
      <c r="FAY29" s="170"/>
      <c r="FBA29" s="170"/>
      <c r="FBC29" s="170"/>
      <c r="FBE29" s="170"/>
      <c r="FBG29" s="170"/>
      <c r="FBI29" s="170"/>
      <c r="FBK29" s="170"/>
      <c r="FBM29" s="170"/>
      <c r="FBO29" s="170"/>
      <c r="FBQ29" s="170"/>
      <c r="FBS29" s="170"/>
      <c r="FBU29" s="170"/>
      <c r="FBW29" s="170"/>
      <c r="FBY29" s="170"/>
      <c r="FCA29" s="170"/>
      <c r="FCC29" s="170"/>
      <c r="FCE29" s="170"/>
      <c r="FCG29" s="170"/>
      <c r="FCI29" s="170"/>
      <c r="FCK29" s="170"/>
      <c r="FCM29" s="170"/>
      <c r="FCO29" s="170"/>
      <c r="FCQ29" s="170"/>
      <c r="FCS29" s="170"/>
      <c r="FCU29" s="170"/>
      <c r="FCW29" s="170"/>
      <c r="FCY29" s="170"/>
      <c r="FDA29" s="170"/>
      <c r="FDC29" s="170"/>
      <c r="FDE29" s="170"/>
      <c r="FDG29" s="170"/>
      <c r="FDI29" s="170"/>
      <c r="FDK29" s="170"/>
      <c r="FDM29" s="170"/>
      <c r="FDO29" s="170"/>
      <c r="FDQ29" s="170"/>
      <c r="FDS29" s="170"/>
      <c r="FDU29" s="170"/>
      <c r="FDW29" s="170"/>
      <c r="FDY29" s="170"/>
      <c r="FEA29" s="170"/>
      <c r="FEC29" s="170"/>
      <c r="FEE29" s="170"/>
      <c r="FEG29" s="170"/>
      <c r="FEI29" s="170"/>
      <c r="FEK29" s="170"/>
      <c r="FEM29" s="170"/>
      <c r="FEO29" s="170"/>
      <c r="FEQ29" s="170"/>
      <c r="FES29" s="170"/>
      <c r="FEU29" s="170"/>
      <c r="FEW29" s="170"/>
      <c r="FEY29" s="170"/>
      <c r="FFA29" s="170"/>
      <c r="FFC29" s="170"/>
      <c r="FFE29" s="170"/>
      <c r="FFG29" s="170"/>
      <c r="FFI29" s="170"/>
      <c r="FFK29" s="170"/>
      <c r="FFM29" s="170"/>
      <c r="FFO29" s="170"/>
      <c r="FFQ29" s="170"/>
      <c r="FFS29" s="170"/>
      <c r="FFU29" s="170"/>
      <c r="FFW29" s="170"/>
      <c r="FFY29" s="170"/>
      <c r="FGA29" s="170"/>
      <c r="FGC29" s="170"/>
      <c r="FGE29" s="170"/>
      <c r="FGG29" s="170"/>
      <c r="FGI29" s="170"/>
      <c r="FGK29" s="170"/>
      <c r="FGM29" s="170"/>
      <c r="FGO29" s="170"/>
      <c r="FGQ29" s="170"/>
      <c r="FGS29" s="170"/>
      <c r="FGU29" s="170"/>
      <c r="FGW29" s="170"/>
      <c r="FGY29" s="170"/>
      <c r="FHA29" s="170"/>
      <c r="FHC29" s="170"/>
      <c r="FHE29" s="170"/>
      <c r="FHG29" s="170"/>
      <c r="FHI29" s="170"/>
      <c r="FHK29" s="170"/>
      <c r="FHM29" s="170"/>
      <c r="FHO29" s="170"/>
      <c r="FHQ29" s="170"/>
      <c r="FHS29" s="170"/>
      <c r="FHU29" s="170"/>
      <c r="FHW29" s="170"/>
      <c r="FHY29" s="170"/>
      <c r="FIA29" s="170"/>
      <c r="FIC29" s="170"/>
      <c r="FIE29" s="170"/>
      <c r="FIG29" s="170"/>
      <c r="FII29" s="170"/>
      <c r="FIK29" s="170"/>
      <c r="FIM29" s="170"/>
      <c r="FIO29" s="170"/>
      <c r="FIQ29" s="170"/>
      <c r="FIS29" s="170"/>
      <c r="FIU29" s="170"/>
      <c r="FIW29" s="170"/>
      <c r="FIY29" s="170"/>
      <c r="FJA29" s="170"/>
      <c r="FJC29" s="170"/>
      <c r="FJE29" s="170"/>
      <c r="FJG29" s="170"/>
      <c r="FJI29" s="170"/>
      <c r="FJK29" s="170"/>
      <c r="FJM29" s="170"/>
      <c r="FJO29" s="170"/>
      <c r="FJQ29" s="170"/>
      <c r="FJS29" s="170"/>
      <c r="FJU29" s="170"/>
      <c r="FJW29" s="170"/>
      <c r="FJY29" s="170"/>
      <c r="FKA29" s="170"/>
      <c r="FKC29" s="170"/>
      <c r="FKE29" s="170"/>
      <c r="FKG29" s="170"/>
      <c r="FKI29" s="170"/>
      <c r="FKK29" s="170"/>
      <c r="FKM29" s="170"/>
      <c r="FKO29" s="170"/>
      <c r="FKQ29" s="170"/>
      <c r="FKS29" s="170"/>
      <c r="FKU29" s="170"/>
      <c r="FKW29" s="170"/>
      <c r="FKY29" s="170"/>
      <c r="FLA29" s="170"/>
      <c r="FLC29" s="170"/>
      <c r="FLE29" s="170"/>
      <c r="FLG29" s="170"/>
      <c r="FLI29" s="170"/>
      <c r="FLK29" s="170"/>
      <c r="FLM29" s="170"/>
      <c r="FLO29" s="170"/>
      <c r="FLQ29" s="170"/>
      <c r="FLS29" s="170"/>
      <c r="FLU29" s="170"/>
      <c r="FLW29" s="170"/>
      <c r="FLY29" s="170"/>
      <c r="FMA29" s="170"/>
      <c r="FMC29" s="170"/>
      <c r="FME29" s="170"/>
      <c r="FMG29" s="170"/>
      <c r="FMI29" s="170"/>
      <c r="FMK29" s="170"/>
      <c r="FMM29" s="170"/>
      <c r="FMO29" s="170"/>
      <c r="FMQ29" s="170"/>
      <c r="FMS29" s="170"/>
      <c r="FMU29" s="170"/>
      <c r="FMW29" s="170"/>
      <c r="FMY29" s="170"/>
      <c r="FNA29" s="170"/>
      <c r="FNC29" s="170"/>
      <c r="FNE29" s="170"/>
      <c r="FNG29" s="170"/>
      <c r="FNI29" s="170"/>
      <c r="FNK29" s="170"/>
      <c r="FNM29" s="170"/>
      <c r="FNO29" s="170"/>
      <c r="FNQ29" s="170"/>
      <c r="FNS29" s="170"/>
      <c r="FNU29" s="170"/>
      <c r="FNW29" s="170"/>
      <c r="FNY29" s="170"/>
      <c r="FOA29" s="170"/>
      <c r="FOC29" s="170"/>
      <c r="FOE29" s="170"/>
      <c r="FOG29" s="170"/>
      <c r="FOI29" s="170"/>
      <c r="FOK29" s="170"/>
      <c r="FOM29" s="170"/>
      <c r="FOO29" s="170"/>
      <c r="FOQ29" s="170"/>
      <c r="FOS29" s="170"/>
      <c r="FOU29" s="170"/>
      <c r="FOW29" s="170"/>
      <c r="FOY29" s="170"/>
      <c r="FPA29" s="170"/>
      <c r="FPC29" s="170"/>
      <c r="FPE29" s="170"/>
      <c r="FPG29" s="170"/>
      <c r="FPI29" s="170"/>
      <c r="FPK29" s="170"/>
      <c r="FPM29" s="170"/>
      <c r="FPO29" s="170"/>
      <c r="FPQ29" s="170"/>
      <c r="FPS29" s="170"/>
      <c r="FPU29" s="170"/>
      <c r="FPW29" s="170"/>
      <c r="FPY29" s="170"/>
      <c r="FQA29" s="170"/>
      <c r="FQC29" s="170"/>
      <c r="FQE29" s="170"/>
      <c r="FQG29" s="170"/>
      <c r="FQI29" s="170"/>
      <c r="FQK29" s="170"/>
      <c r="FQM29" s="170"/>
      <c r="FQO29" s="170"/>
      <c r="FQQ29" s="170"/>
      <c r="FQS29" s="170"/>
      <c r="FQU29" s="170"/>
      <c r="FQW29" s="170"/>
      <c r="FQY29" s="170"/>
      <c r="FRA29" s="170"/>
      <c r="FRC29" s="170"/>
      <c r="FRE29" s="170"/>
      <c r="FRG29" s="170"/>
      <c r="FRI29" s="170"/>
      <c r="FRK29" s="170"/>
      <c r="FRM29" s="170"/>
      <c r="FRO29" s="170"/>
      <c r="FRQ29" s="170"/>
      <c r="FRS29" s="170"/>
      <c r="FRU29" s="170"/>
      <c r="FRW29" s="170"/>
      <c r="FRY29" s="170"/>
      <c r="FSA29" s="170"/>
      <c r="FSC29" s="170"/>
      <c r="FSE29" s="170"/>
      <c r="FSG29" s="170"/>
      <c r="FSI29" s="170"/>
      <c r="FSK29" s="170"/>
      <c r="FSM29" s="170"/>
      <c r="FSO29" s="170"/>
      <c r="FSQ29" s="170"/>
      <c r="FSS29" s="170"/>
      <c r="FSU29" s="170"/>
      <c r="FSW29" s="170"/>
      <c r="FSY29" s="170"/>
      <c r="FTA29" s="170"/>
      <c r="FTC29" s="170"/>
      <c r="FTE29" s="170"/>
      <c r="FTG29" s="170"/>
      <c r="FTI29" s="170"/>
      <c r="FTK29" s="170"/>
      <c r="FTM29" s="170"/>
      <c r="FTO29" s="170"/>
      <c r="FTQ29" s="170"/>
      <c r="FTS29" s="170"/>
      <c r="FTU29" s="170"/>
      <c r="FTW29" s="170"/>
      <c r="FTY29" s="170"/>
      <c r="FUA29" s="170"/>
      <c r="FUC29" s="170"/>
      <c r="FUE29" s="170"/>
      <c r="FUG29" s="170"/>
      <c r="FUI29" s="170"/>
      <c r="FUK29" s="170"/>
      <c r="FUM29" s="170"/>
      <c r="FUO29" s="170"/>
      <c r="FUQ29" s="170"/>
      <c r="FUS29" s="170"/>
      <c r="FUU29" s="170"/>
      <c r="FUW29" s="170"/>
      <c r="FUY29" s="170"/>
      <c r="FVA29" s="170"/>
      <c r="FVC29" s="170"/>
      <c r="FVE29" s="170"/>
      <c r="FVG29" s="170"/>
      <c r="FVI29" s="170"/>
      <c r="FVK29" s="170"/>
      <c r="FVM29" s="170"/>
      <c r="FVO29" s="170"/>
      <c r="FVQ29" s="170"/>
      <c r="FVS29" s="170"/>
      <c r="FVU29" s="170"/>
      <c r="FVW29" s="170"/>
      <c r="FVY29" s="170"/>
      <c r="FWA29" s="170"/>
      <c r="FWC29" s="170"/>
      <c r="FWE29" s="170"/>
      <c r="FWG29" s="170"/>
      <c r="FWI29" s="170"/>
      <c r="FWK29" s="170"/>
      <c r="FWM29" s="170"/>
      <c r="FWO29" s="170"/>
      <c r="FWQ29" s="170"/>
      <c r="FWS29" s="170"/>
      <c r="FWU29" s="170"/>
      <c r="FWW29" s="170"/>
      <c r="FWY29" s="170"/>
      <c r="FXA29" s="170"/>
      <c r="FXC29" s="170"/>
      <c r="FXE29" s="170"/>
      <c r="FXG29" s="170"/>
      <c r="FXI29" s="170"/>
      <c r="FXK29" s="170"/>
      <c r="FXM29" s="170"/>
      <c r="FXO29" s="170"/>
      <c r="FXQ29" s="170"/>
      <c r="FXS29" s="170"/>
      <c r="FXU29" s="170"/>
      <c r="FXW29" s="170"/>
      <c r="FXY29" s="170"/>
      <c r="FYA29" s="170"/>
      <c r="FYC29" s="170"/>
      <c r="FYE29" s="170"/>
      <c r="FYG29" s="170"/>
      <c r="FYI29" s="170"/>
      <c r="FYK29" s="170"/>
      <c r="FYM29" s="170"/>
      <c r="FYO29" s="170"/>
      <c r="FYQ29" s="170"/>
      <c r="FYS29" s="170"/>
      <c r="FYU29" s="170"/>
      <c r="FYW29" s="170"/>
      <c r="FYY29" s="170"/>
      <c r="FZA29" s="170"/>
      <c r="FZC29" s="170"/>
      <c r="FZE29" s="170"/>
      <c r="FZG29" s="170"/>
      <c r="FZI29" s="170"/>
      <c r="FZK29" s="170"/>
      <c r="FZM29" s="170"/>
      <c r="FZO29" s="170"/>
      <c r="FZQ29" s="170"/>
      <c r="FZS29" s="170"/>
      <c r="FZU29" s="170"/>
      <c r="FZW29" s="170"/>
      <c r="FZY29" s="170"/>
      <c r="GAA29" s="170"/>
      <c r="GAC29" s="170"/>
      <c r="GAE29" s="170"/>
      <c r="GAG29" s="170"/>
      <c r="GAI29" s="170"/>
      <c r="GAK29" s="170"/>
      <c r="GAM29" s="170"/>
      <c r="GAO29" s="170"/>
      <c r="GAQ29" s="170"/>
      <c r="GAS29" s="170"/>
      <c r="GAU29" s="170"/>
      <c r="GAW29" s="170"/>
      <c r="GAY29" s="170"/>
      <c r="GBA29" s="170"/>
      <c r="GBC29" s="170"/>
      <c r="GBE29" s="170"/>
      <c r="GBG29" s="170"/>
      <c r="GBI29" s="170"/>
      <c r="GBK29" s="170"/>
      <c r="GBM29" s="170"/>
      <c r="GBO29" s="170"/>
      <c r="GBQ29" s="170"/>
      <c r="GBS29" s="170"/>
      <c r="GBU29" s="170"/>
      <c r="GBW29" s="170"/>
      <c r="GBY29" s="170"/>
      <c r="GCA29" s="170"/>
      <c r="GCC29" s="170"/>
      <c r="GCE29" s="170"/>
      <c r="GCG29" s="170"/>
      <c r="GCI29" s="170"/>
      <c r="GCK29" s="170"/>
      <c r="GCM29" s="170"/>
      <c r="GCO29" s="170"/>
      <c r="GCQ29" s="170"/>
      <c r="GCS29" s="170"/>
      <c r="GCU29" s="170"/>
      <c r="GCW29" s="170"/>
      <c r="GCY29" s="170"/>
      <c r="GDA29" s="170"/>
      <c r="GDC29" s="170"/>
      <c r="GDE29" s="170"/>
      <c r="GDG29" s="170"/>
      <c r="GDI29" s="170"/>
      <c r="GDK29" s="170"/>
      <c r="GDM29" s="170"/>
      <c r="GDO29" s="170"/>
      <c r="GDQ29" s="170"/>
      <c r="GDS29" s="170"/>
      <c r="GDU29" s="170"/>
      <c r="GDW29" s="170"/>
      <c r="GDY29" s="170"/>
      <c r="GEA29" s="170"/>
      <c r="GEC29" s="170"/>
      <c r="GEE29" s="170"/>
      <c r="GEG29" s="170"/>
      <c r="GEI29" s="170"/>
      <c r="GEK29" s="170"/>
      <c r="GEM29" s="170"/>
      <c r="GEO29" s="170"/>
      <c r="GEQ29" s="170"/>
      <c r="GES29" s="170"/>
      <c r="GEU29" s="170"/>
      <c r="GEW29" s="170"/>
      <c r="GEY29" s="170"/>
      <c r="GFA29" s="170"/>
      <c r="GFC29" s="170"/>
      <c r="GFE29" s="170"/>
      <c r="GFG29" s="170"/>
      <c r="GFI29" s="170"/>
      <c r="GFK29" s="170"/>
      <c r="GFM29" s="170"/>
      <c r="GFO29" s="170"/>
      <c r="GFQ29" s="170"/>
      <c r="GFS29" s="170"/>
      <c r="GFU29" s="170"/>
      <c r="GFW29" s="170"/>
      <c r="GFY29" s="170"/>
      <c r="GGA29" s="170"/>
      <c r="GGC29" s="170"/>
      <c r="GGE29" s="170"/>
      <c r="GGG29" s="170"/>
      <c r="GGI29" s="170"/>
      <c r="GGK29" s="170"/>
      <c r="GGM29" s="170"/>
      <c r="GGO29" s="170"/>
      <c r="GGQ29" s="170"/>
      <c r="GGS29" s="170"/>
      <c r="GGU29" s="170"/>
      <c r="GGW29" s="170"/>
      <c r="GGY29" s="170"/>
      <c r="GHA29" s="170"/>
      <c r="GHC29" s="170"/>
      <c r="GHE29" s="170"/>
      <c r="GHG29" s="170"/>
      <c r="GHI29" s="170"/>
      <c r="GHK29" s="170"/>
      <c r="GHM29" s="170"/>
      <c r="GHO29" s="170"/>
      <c r="GHQ29" s="170"/>
      <c r="GHS29" s="170"/>
      <c r="GHU29" s="170"/>
      <c r="GHW29" s="170"/>
      <c r="GHY29" s="170"/>
      <c r="GIA29" s="170"/>
      <c r="GIC29" s="170"/>
      <c r="GIE29" s="170"/>
      <c r="GIG29" s="170"/>
      <c r="GII29" s="170"/>
      <c r="GIK29" s="170"/>
      <c r="GIM29" s="170"/>
      <c r="GIO29" s="170"/>
      <c r="GIQ29" s="170"/>
      <c r="GIS29" s="170"/>
      <c r="GIU29" s="170"/>
      <c r="GIW29" s="170"/>
      <c r="GIY29" s="170"/>
      <c r="GJA29" s="170"/>
      <c r="GJC29" s="170"/>
      <c r="GJE29" s="170"/>
      <c r="GJG29" s="170"/>
      <c r="GJI29" s="170"/>
      <c r="GJK29" s="170"/>
      <c r="GJM29" s="170"/>
      <c r="GJO29" s="170"/>
      <c r="GJQ29" s="170"/>
      <c r="GJS29" s="170"/>
      <c r="GJU29" s="170"/>
      <c r="GJW29" s="170"/>
      <c r="GJY29" s="170"/>
      <c r="GKA29" s="170"/>
      <c r="GKC29" s="170"/>
      <c r="GKE29" s="170"/>
      <c r="GKG29" s="170"/>
      <c r="GKI29" s="170"/>
      <c r="GKK29" s="170"/>
      <c r="GKM29" s="170"/>
      <c r="GKO29" s="170"/>
      <c r="GKQ29" s="170"/>
      <c r="GKS29" s="170"/>
      <c r="GKU29" s="170"/>
      <c r="GKW29" s="170"/>
      <c r="GKY29" s="170"/>
      <c r="GLA29" s="170"/>
      <c r="GLC29" s="170"/>
      <c r="GLE29" s="170"/>
      <c r="GLG29" s="170"/>
      <c r="GLI29" s="170"/>
      <c r="GLK29" s="170"/>
      <c r="GLM29" s="170"/>
      <c r="GLO29" s="170"/>
      <c r="GLQ29" s="170"/>
      <c r="GLS29" s="170"/>
      <c r="GLU29" s="170"/>
      <c r="GLW29" s="170"/>
      <c r="GLY29" s="170"/>
      <c r="GMA29" s="170"/>
      <c r="GMC29" s="170"/>
      <c r="GME29" s="170"/>
      <c r="GMG29" s="170"/>
      <c r="GMI29" s="170"/>
      <c r="GMK29" s="170"/>
      <c r="GMM29" s="170"/>
      <c r="GMO29" s="170"/>
      <c r="GMQ29" s="170"/>
      <c r="GMS29" s="170"/>
      <c r="GMU29" s="170"/>
      <c r="GMW29" s="170"/>
      <c r="GMY29" s="170"/>
      <c r="GNA29" s="170"/>
      <c r="GNC29" s="170"/>
      <c r="GNE29" s="170"/>
      <c r="GNG29" s="170"/>
      <c r="GNI29" s="170"/>
      <c r="GNK29" s="170"/>
      <c r="GNM29" s="170"/>
      <c r="GNO29" s="170"/>
      <c r="GNQ29" s="170"/>
      <c r="GNS29" s="170"/>
      <c r="GNU29" s="170"/>
      <c r="GNW29" s="170"/>
      <c r="GNY29" s="170"/>
      <c r="GOA29" s="170"/>
      <c r="GOC29" s="170"/>
      <c r="GOE29" s="170"/>
      <c r="GOG29" s="170"/>
      <c r="GOI29" s="170"/>
      <c r="GOK29" s="170"/>
      <c r="GOM29" s="170"/>
      <c r="GOO29" s="170"/>
      <c r="GOQ29" s="170"/>
      <c r="GOS29" s="170"/>
      <c r="GOU29" s="170"/>
      <c r="GOW29" s="170"/>
      <c r="GOY29" s="170"/>
      <c r="GPA29" s="170"/>
      <c r="GPC29" s="170"/>
      <c r="GPE29" s="170"/>
      <c r="GPG29" s="170"/>
      <c r="GPI29" s="170"/>
      <c r="GPK29" s="170"/>
      <c r="GPM29" s="170"/>
      <c r="GPO29" s="170"/>
      <c r="GPQ29" s="170"/>
      <c r="GPS29" s="170"/>
      <c r="GPU29" s="170"/>
      <c r="GPW29" s="170"/>
      <c r="GPY29" s="170"/>
      <c r="GQA29" s="170"/>
      <c r="GQC29" s="170"/>
      <c r="GQE29" s="170"/>
      <c r="GQG29" s="170"/>
      <c r="GQI29" s="170"/>
      <c r="GQK29" s="170"/>
      <c r="GQM29" s="170"/>
      <c r="GQO29" s="170"/>
      <c r="GQQ29" s="170"/>
      <c r="GQS29" s="170"/>
      <c r="GQU29" s="170"/>
      <c r="GQW29" s="170"/>
      <c r="GQY29" s="170"/>
      <c r="GRA29" s="170"/>
      <c r="GRC29" s="170"/>
      <c r="GRE29" s="170"/>
      <c r="GRG29" s="170"/>
      <c r="GRI29" s="170"/>
      <c r="GRK29" s="170"/>
      <c r="GRM29" s="170"/>
      <c r="GRO29" s="170"/>
      <c r="GRQ29" s="170"/>
      <c r="GRS29" s="170"/>
      <c r="GRU29" s="170"/>
      <c r="GRW29" s="170"/>
      <c r="GRY29" s="170"/>
      <c r="GSA29" s="170"/>
      <c r="GSC29" s="170"/>
      <c r="GSE29" s="170"/>
      <c r="GSG29" s="170"/>
      <c r="GSI29" s="170"/>
      <c r="GSK29" s="170"/>
      <c r="GSM29" s="170"/>
      <c r="GSO29" s="170"/>
      <c r="GSQ29" s="170"/>
      <c r="GSS29" s="170"/>
      <c r="GSU29" s="170"/>
      <c r="GSW29" s="170"/>
      <c r="GSY29" s="170"/>
      <c r="GTA29" s="170"/>
      <c r="GTC29" s="170"/>
      <c r="GTE29" s="170"/>
      <c r="GTG29" s="170"/>
      <c r="GTI29" s="170"/>
      <c r="GTK29" s="170"/>
      <c r="GTM29" s="170"/>
      <c r="GTO29" s="170"/>
      <c r="GTQ29" s="170"/>
      <c r="GTS29" s="170"/>
      <c r="GTU29" s="170"/>
      <c r="GTW29" s="170"/>
      <c r="GTY29" s="170"/>
      <c r="GUA29" s="170"/>
      <c r="GUC29" s="170"/>
      <c r="GUE29" s="170"/>
      <c r="GUG29" s="170"/>
      <c r="GUI29" s="170"/>
      <c r="GUK29" s="170"/>
      <c r="GUM29" s="170"/>
      <c r="GUO29" s="170"/>
      <c r="GUQ29" s="170"/>
      <c r="GUS29" s="170"/>
      <c r="GUU29" s="170"/>
      <c r="GUW29" s="170"/>
      <c r="GUY29" s="170"/>
      <c r="GVA29" s="170"/>
      <c r="GVC29" s="170"/>
      <c r="GVE29" s="170"/>
      <c r="GVG29" s="170"/>
      <c r="GVI29" s="170"/>
      <c r="GVK29" s="170"/>
      <c r="GVM29" s="170"/>
      <c r="GVO29" s="170"/>
      <c r="GVQ29" s="170"/>
      <c r="GVS29" s="170"/>
      <c r="GVU29" s="170"/>
      <c r="GVW29" s="170"/>
      <c r="GVY29" s="170"/>
      <c r="GWA29" s="170"/>
      <c r="GWC29" s="170"/>
      <c r="GWE29" s="170"/>
      <c r="GWG29" s="170"/>
      <c r="GWI29" s="170"/>
      <c r="GWK29" s="170"/>
      <c r="GWM29" s="170"/>
      <c r="GWO29" s="170"/>
      <c r="GWQ29" s="170"/>
      <c r="GWS29" s="170"/>
      <c r="GWU29" s="170"/>
      <c r="GWW29" s="170"/>
      <c r="GWY29" s="170"/>
      <c r="GXA29" s="170"/>
      <c r="GXC29" s="170"/>
      <c r="GXE29" s="170"/>
      <c r="GXG29" s="170"/>
      <c r="GXI29" s="170"/>
      <c r="GXK29" s="170"/>
      <c r="GXM29" s="170"/>
      <c r="GXO29" s="170"/>
      <c r="GXQ29" s="170"/>
      <c r="GXS29" s="170"/>
      <c r="GXU29" s="170"/>
      <c r="GXW29" s="170"/>
      <c r="GXY29" s="170"/>
      <c r="GYA29" s="170"/>
      <c r="GYC29" s="170"/>
      <c r="GYE29" s="170"/>
      <c r="GYG29" s="170"/>
      <c r="GYI29" s="170"/>
      <c r="GYK29" s="170"/>
      <c r="GYM29" s="170"/>
      <c r="GYO29" s="170"/>
      <c r="GYQ29" s="170"/>
      <c r="GYS29" s="170"/>
      <c r="GYU29" s="170"/>
      <c r="GYW29" s="170"/>
      <c r="GYY29" s="170"/>
      <c r="GZA29" s="170"/>
      <c r="GZC29" s="170"/>
      <c r="GZE29" s="170"/>
      <c r="GZG29" s="170"/>
      <c r="GZI29" s="170"/>
      <c r="GZK29" s="170"/>
      <c r="GZM29" s="170"/>
      <c r="GZO29" s="170"/>
      <c r="GZQ29" s="170"/>
      <c r="GZS29" s="170"/>
      <c r="GZU29" s="170"/>
      <c r="GZW29" s="170"/>
      <c r="GZY29" s="170"/>
      <c r="HAA29" s="170"/>
      <c r="HAC29" s="170"/>
      <c r="HAE29" s="170"/>
      <c r="HAG29" s="170"/>
      <c r="HAI29" s="170"/>
      <c r="HAK29" s="170"/>
      <c r="HAM29" s="170"/>
      <c r="HAO29" s="170"/>
      <c r="HAQ29" s="170"/>
      <c r="HAS29" s="170"/>
      <c r="HAU29" s="170"/>
      <c r="HAW29" s="170"/>
      <c r="HAY29" s="170"/>
      <c r="HBA29" s="170"/>
      <c r="HBC29" s="170"/>
      <c r="HBE29" s="170"/>
      <c r="HBG29" s="170"/>
      <c r="HBI29" s="170"/>
      <c r="HBK29" s="170"/>
      <c r="HBM29" s="170"/>
      <c r="HBO29" s="170"/>
      <c r="HBQ29" s="170"/>
      <c r="HBS29" s="170"/>
      <c r="HBU29" s="170"/>
      <c r="HBW29" s="170"/>
      <c r="HBY29" s="170"/>
      <c r="HCA29" s="170"/>
      <c r="HCC29" s="170"/>
      <c r="HCE29" s="170"/>
      <c r="HCG29" s="170"/>
      <c r="HCI29" s="170"/>
      <c r="HCK29" s="170"/>
      <c r="HCM29" s="170"/>
      <c r="HCO29" s="170"/>
      <c r="HCQ29" s="170"/>
      <c r="HCS29" s="170"/>
      <c r="HCU29" s="170"/>
      <c r="HCW29" s="170"/>
      <c r="HCY29" s="170"/>
      <c r="HDA29" s="170"/>
      <c r="HDC29" s="170"/>
      <c r="HDE29" s="170"/>
      <c r="HDG29" s="170"/>
      <c r="HDI29" s="170"/>
      <c r="HDK29" s="170"/>
      <c r="HDM29" s="170"/>
      <c r="HDO29" s="170"/>
      <c r="HDQ29" s="170"/>
      <c r="HDS29" s="170"/>
      <c r="HDU29" s="170"/>
      <c r="HDW29" s="170"/>
      <c r="HDY29" s="170"/>
      <c r="HEA29" s="170"/>
      <c r="HEC29" s="170"/>
      <c r="HEE29" s="170"/>
      <c r="HEG29" s="170"/>
      <c r="HEI29" s="170"/>
      <c r="HEK29" s="170"/>
      <c r="HEM29" s="170"/>
      <c r="HEO29" s="170"/>
      <c r="HEQ29" s="170"/>
      <c r="HES29" s="170"/>
      <c r="HEU29" s="170"/>
      <c r="HEW29" s="170"/>
      <c r="HEY29" s="170"/>
      <c r="HFA29" s="170"/>
      <c r="HFC29" s="170"/>
      <c r="HFE29" s="170"/>
      <c r="HFG29" s="170"/>
      <c r="HFI29" s="170"/>
      <c r="HFK29" s="170"/>
      <c r="HFM29" s="170"/>
      <c r="HFO29" s="170"/>
      <c r="HFQ29" s="170"/>
      <c r="HFS29" s="170"/>
      <c r="HFU29" s="170"/>
      <c r="HFW29" s="170"/>
      <c r="HFY29" s="170"/>
      <c r="HGA29" s="170"/>
      <c r="HGC29" s="170"/>
      <c r="HGE29" s="170"/>
      <c r="HGG29" s="170"/>
      <c r="HGI29" s="170"/>
      <c r="HGK29" s="170"/>
      <c r="HGM29" s="170"/>
      <c r="HGO29" s="170"/>
      <c r="HGQ29" s="170"/>
      <c r="HGS29" s="170"/>
      <c r="HGU29" s="170"/>
      <c r="HGW29" s="170"/>
      <c r="HGY29" s="170"/>
      <c r="HHA29" s="170"/>
      <c r="HHC29" s="170"/>
      <c r="HHE29" s="170"/>
      <c r="HHG29" s="170"/>
      <c r="HHI29" s="170"/>
      <c r="HHK29" s="170"/>
      <c r="HHM29" s="170"/>
      <c r="HHO29" s="170"/>
      <c r="HHQ29" s="170"/>
      <c r="HHS29" s="170"/>
      <c r="HHU29" s="170"/>
      <c r="HHW29" s="170"/>
      <c r="HHY29" s="170"/>
      <c r="HIA29" s="170"/>
      <c r="HIC29" s="170"/>
      <c r="HIE29" s="170"/>
      <c r="HIG29" s="170"/>
      <c r="HII29" s="170"/>
      <c r="HIK29" s="170"/>
      <c r="HIM29" s="170"/>
      <c r="HIO29" s="170"/>
      <c r="HIQ29" s="170"/>
      <c r="HIS29" s="170"/>
      <c r="HIU29" s="170"/>
      <c r="HIW29" s="170"/>
      <c r="HIY29" s="170"/>
      <c r="HJA29" s="170"/>
      <c r="HJC29" s="170"/>
      <c r="HJE29" s="170"/>
      <c r="HJG29" s="170"/>
      <c r="HJI29" s="170"/>
      <c r="HJK29" s="170"/>
      <c r="HJM29" s="170"/>
      <c r="HJO29" s="170"/>
      <c r="HJQ29" s="170"/>
      <c r="HJS29" s="170"/>
      <c r="HJU29" s="170"/>
      <c r="HJW29" s="170"/>
      <c r="HJY29" s="170"/>
      <c r="HKA29" s="170"/>
      <c r="HKC29" s="170"/>
      <c r="HKE29" s="170"/>
      <c r="HKG29" s="170"/>
      <c r="HKI29" s="170"/>
      <c r="HKK29" s="170"/>
      <c r="HKM29" s="170"/>
      <c r="HKO29" s="170"/>
      <c r="HKQ29" s="170"/>
      <c r="HKS29" s="170"/>
      <c r="HKU29" s="170"/>
      <c r="HKW29" s="170"/>
      <c r="HKY29" s="170"/>
      <c r="HLA29" s="170"/>
      <c r="HLC29" s="170"/>
      <c r="HLE29" s="170"/>
      <c r="HLG29" s="170"/>
      <c r="HLI29" s="170"/>
      <c r="HLK29" s="170"/>
      <c r="HLM29" s="170"/>
      <c r="HLO29" s="170"/>
      <c r="HLQ29" s="170"/>
      <c r="HLS29" s="170"/>
      <c r="HLU29" s="170"/>
      <c r="HLW29" s="170"/>
      <c r="HLY29" s="170"/>
      <c r="HMA29" s="170"/>
      <c r="HMC29" s="170"/>
      <c r="HME29" s="170"/>
      <c r="HMG29" s="170"/>
      <c r="HMI29" s="170"/>
      <c r="HMK29" s="170"/>
      <c r="HMM29" s="170"/>
      <c r="HMO29" s="170"/>
      <c r="HMQ29" s="170"/>
      <c r="HMS29" s="170"/>
      <c r="HMU29" s="170"/>
      <c r="HMW29" s="170"/>
      <c r="HMY29" s="170"/>
      <c r="HNA29" s="170"/>
      <c r="HNC29" s="170"/>
      <c r="HNE29" s="170"/>
      <c r="HNG29" s="170"/>
      <c r="HNI29" s="170"/>
      <c r="HNK29" s="170"/>
      <c r="HNM29" s="170"/>
      <c r="HNO29" s="170"/>
      <c r="HNQ29" s="170"/>
      <c r="HNS29" s="170"/>
      <c r="HNU29" s="170"/>
      <c r="HNW29" s="170"/>
      <c r="HNY29" s="170"/>
      <c r="HOA29" s="170"/>
      <c r="HOC29" s="170"/>
      <c r="HOE29" s="170"/>
      <c r="HOG29" s="170"/>
      <c r="HOI29" s="170"/>
      <c r="HOK29" s="170"/>
      <c r="HOM29" s="170"/>
      <c r="HOO29" s="170"/>
      <c r="HOQ29" s="170"/>
      <c r="HOS29" s="170"/>
      <c r="HOU29" s="170"/>
      <c r="HOW29" s="170"/>
      <c r="HOY29" s="170"/>
      <c r="HPA29" s="170"/>
      <c r="HPC29" s="170"/>
      <c r="HPE29" s="170"/>
      <c r="HPG29" s="170"/>
      <c r="HPI29" s="170"/>
      <c r="HPK29" s="170"/>
      <c r="HPM29" s="170"/>
      <c r="HPO29" s="170"/>
      <c r="HPQ29" s="170"/>
      <c r="HPS29" s="170"/>
      <c r="HPU29" s="170"/>
      <c r="HPW29" s="170"/>
      <c r="HPY29" s="170"/>
      <c r="HQA29" s="170"/>
      <c r="HQC29" s="170"/>
      <c r="HQE29" s="170"/>
      <c r="HQG29" s="170"/>
      <c r="HQI29" s="170"/>
      <c r="HQK29" s="170"/>
      <c r="HQM29" s="170"/>
      <c r="HQO29" s="170"/>
      <c r="HQQ29" s="170"/>
      <c r="HQS29" s="170"/>
      <c r="HQU29" s="170"/>
      <c r="HQW29" s="170"/>
      <c r="HQY29" s="170"/>
      <c r="HRA29" s="170"/>
      <c r="HRC29" s="170"/>
      <c r="HRE29" s="170"/>
      <c r="HRG29" s="170"/>
      <c r="HRI29" s="170"/>
      <c r="HRK29" s="170"/>
      <c r="HRM29" s="170"/>
      <c r="HRO29" s="170"/>
      <c r="HRQ29" s="170"/>
      <c r="HRS29" s="170"/>
      <c r="HRU29" s="170"/>
      <c r="HRW29" s="170"/>
      <c r="HRY29" s="170"/>
      <c r="HSA29" s="170"/>
      <c r="HSC29" s="170"/>
      <c r="HSE29" s="170"/>
      <c r="HSG29" s="170"/>
      <c r="HSI29" s="170"/>
      <c r="HSK29" s="170"/>
      <c r="HSM29" s="170"/>
      <c r="HSO29" s="170"/>
      <c r="HSQ29" s="170"/>
      <c r="HSS29" s="170"/>
      <c r="HSU29" s="170"/>
      <c r="HSW29" s="170"/>
      <c r="HSY29" s="170"/>
      <c r="HTA29" s="170"/>
      <c r="HTC29" s="170"/>
      <c r="HTE29" s="170"/>
      <c r="HTG29" s="170"/>
      <c r="HTI29" s="170"/>
      <c r="HTK29" s="170"/>
      <c r="HTM29" s="170"/>
      <c r="HTO29" s="170"/>
      <c r="HTQ29" s="170"/>
      <c r="HTS29" s="170"/>
      <c r="HTU29" s="170"/>
      <c r="HTW29" s="170"/>
      <c r="HTY29" s="170"/>
      <c r="HUA29" s="170"/>
      <c r="HUC29" s="170"/>
      <c r="HUE29" s="170"/>
      <c r="HUG29" s="170"/>
      <c r="HUI29" s="170"/>
      <c r="HUK29" s="170"/>
      <c r="HUM29" s="170"/>
      <c r="HUO29" s="170"/>
      <c r="HUQ29" s="170"/>
      <c r="HUS29" s="170"/>
      <c r="HUU29" s="170"/>
      <c r="HUW29" s="170"/>
      <c r="HUY29" s="170"/>
      <c r="HVA29" s="170"/>
      <c r="HVC29" s="170"/>
      <c r="HVE29" s="170"/>
      <c r="HVG29" s="170"/>
      <c r="HVI29" s="170"/>
      <c r="HVK29" s="170"/>
      <c r="HVM29" s="170"/>
      <c r="HVO29" s="170"/>
      <c r="HVQ29" s="170"/>
      <c r="HVS29" s="170"/>
      <c r="HVU29" s="170"/>
      <c r="HVW29" s="170"/>
      <c r="HVY29" s="170"/>
      <c r="HWA29" s="170"/>
      <c r="HWC29" s="170"/>
      <c r="HWE29" s="170"/>
      <c r="HWG29" s="170"/>
      <c r="HWI29" s="170"/>
      <c r="HWK29" s="170"/>
      <c r="HWM29" s="170"/>
      <c r="HWO29" s="170"/>
      <c r="HWQ29" s="170"/>
      <c r="HWS29" s="170"/>
      <c r="HWU29" s="170"/>
      <c r="HWW29" s="170"/>
      <c r="HWY29" s="170"/>
      <c r="HXA29" s="170"/>
      <c r="HXC29" s="170"/>
      <c r="HXE29" s="170"/>
      <c r="HXG29" s="170"/>
      <c r="HXI29" s="170"/>
      <c r="HXK29" s="170"/>
      <c r="HXM29" s="170"/>
      <c r="HXO29" s="170"/>
      <c r="HXQ29" s="170"/>
      <c r="HXS29" s="170"/>
      <c r="HXU29" s="170"/>
      <c r="HXW29" s="170"/>
      <c r="HXY29" s="170"/>
      <c r="HYA29" s="170"/>
      <c r="HYC29" s="170"/>
      <c r="HYE29" s="170"/>
      <c r="HYG29" s="170"/>
      <c r="HYI29" s="170"/>
      <c r="HYK29" s="170"/>
      <c r="HYM29" s="170"/>
      <c r="HYO29" s="170"/>
      <c r="HYQ29" s="170"/>
      <c r="HYS29" s="170"/>
      <c r="HYU29" s="170"/>
      <c r="HYW29" s="170"/>
      <c r="HYY29" s="170"/>
      <c r="HZA29" s="170"/>
      <c r="HZC29" s="170"/>
      <c r="HZE29" s="170"/>
      <c r="HZG29" s="170"/>
      <c r="HZI29" s="170"/>
      <c r="HZK29" s="170"/>
      <c r="HZM29" s="170"/>
      <c r="HZO29" s="170"/>
      <c r="HZQ29" s="170"/>
      <c r="HZS29" s="170"/>
      <c r="HZU29" s="170"/>
      <c r="HZW29" s="170"/>
      <c r="HZY29" s="170"/>
      <c r="IAA29" s="170"/>
      <c r="IAC29" s="170"/>
      <c r="IAE29" s="170"/>
      <c r="IAG29" s="170"/>
      <c r="IAI29" s="170"/>
      <c r="IAK29" s="170"/>
      <c r="IAM29" s="170"/>
      <c r="IAO29" s="170"/>
      <c r="IAQ29" s="170"/>
      <c r="IAS29" s="170"/>
      <c r="IAU29" s="170"/>
      <c r="IAW29" s="170"/>
      <c r="IAY29" s="170"/>
      <c r="IBA29" s="170"/>
      <c r="IBC29" s="170"/>
      <c r="IBE29" s="170"/>
      <c r="IBG29" s="170"/>
      <c r="IBI29" s="170"/>
      <c r="IBK29" s="170"/>
      <c r="IBM29" s="170"/>
      <c r="IBO29" s="170"/>
      <c r="IBQ29" s="170"/>
      <c r="IBS29" s="170"/>
      <c r="IBU29" s="170"/>
      <c r="IBW29" s="170"/>
      <c r="IBY29" s="170"/>
      <c r="ICA29" s="170"/>
      <c r="ICC29" s="170"/>
      <c r="ICE29" s="170"/>
      <c r="ICG29" s="170"/>
      <c r="ICI29" s="170"/>
      <c r="ICK29" s="170"/>
      <c r="ICM29" s="170"/>
      <c r="ICO29" s="170"/>
      <c r="ICQ29" s="170"/>
      <c r="ICS29" s="170"/>
      <c r="ICU29" s="170"/>
      <c r="ICW29" s="170"/>
      <c r="ICY29" s="170"/>
      <c r="IDA29" s="170"/>
      <c r="IDC29" s="170"/>
      <c r="IDE29" s="170"/>
      <c r="IDG29" s="170"/>
      <c r="IDI29" s="170"/>
      <c r="IDK29" s="170"/>
      <c r="IDM29" s="170"/>
      <c r="IDO29" s="170"/>
      <c r="IDQ29" s="170"/>
      <c r="IDS29" s="170"/>
      <c r="IDU29" s="170"/>
      <c r="IDW29" s="170"/>
      <c r="IDY29" s="170"/>
      <c r="IEA29" s="170"/>
      <c r="IEC29" s="170"/>
      <c r="IEE29" s="170"/>
      <c r="IEG29" s="170"/>
      <c r="IEI29" s="170"/>
      <c r="IEK29" s="170"/>
      <c r="IEM29" s="170"/>
      <c r="IEO29" s="170"/>
      <c r="IEQ29" s="170"/>
      <c r="IES29" s="170"/>
      <c r="IEU29" s="170"/>
      <c r="IEW29" s="170"/>
      <c r="IEY29" s="170"/>
      <c r="IFA29" s="170"/>
      <c r="IFC29" s="170"/>
      <c r="IFE29" s="170"/>
      <c r="IFG29" s="170"/>
      <c r="IFI29" s="170"/>
      <c r="IFK29" s="170"/>
      <c r="IFM29" s="170"/>
      <c r="IFO29" s="170"/>
      <c r="IFQ29" s="170"/>
      <c r="IFS29" s="170"/>
      <c r="IFU29" s="170"/>
      <c r="IFW29" s="170"/>
      <c r="IFY29" s="170"/>
      <c r="IGA29" s="170"/>
      <c r="IGC29" s="170"/>
      <c r="IGE29" s="170"/>
      <c r="IGG29" s="170"/>
      <c r="IGI29" s="170"/>
      <c r="IGK29" s="170"/>
      <c r="IGM29" s="170"/>
      <c r="IGO29" s="170"/>
      <c r="IGQ29" s="170"/>
      <c r="IGS29" s="170"/>
      <c r="IGU29" s="170"/>
      <c r="IGW29" s="170"/>
      <c r="IGY29" s="170"/>
      <c r="IHA29" s="170"/>
      <c r="IHC29" s="170"/>
      <c r="IHE29" s="170"/>
      <c r="IHG29" s="170"/>
      <c r="IHI29" s="170"/>
      <c r="IHK29" s="170"/>
      <c r="IHM29" s="170"/>
      <c r="IHO29" s="170"/>
      <c r="IHQ29" s="170"/>
      <c r="IHS29" s="170"/>
      <c r="IHU29" s="170"/>
      <c r="IHW29" s="170"/>
      <c r="IHY29" s="170"/>
      <c r="IIA29" s="170"/>
      <c r="IIC29" s="170"/>
      <c r="IIE29" s="170"/>
      <c r="IIG29" s="170"/>
      <c r="III29" s="170"/>
      <c r="IIK29" s="170"/>
      <c r="IIM29" s="170"/>
      <c r="IIO29" s="170"/>
      <c r="IIQ29" s="170"/>
      <c r="IIS29" s="170"/>
      <c r="IIU29" s="170"/>
      <c r="IIW29" s="170"/>
      <c r="IIY29" s="170"/>
      <c r="IJA29" s="170"/>
      <c r="IJC29" s="170"/>
      <c r="IJE29" s="170"/>
      <c r="IJG29" s="170"/>
      <c r="IJI29" s="170"/>
      <c r="IJK29" s="170"/>
      <c r="IJM29" s="170"/>
      <c r="IJO29" s="170"/>
      <c r="IJQ29" s="170"/>
      <c r="IJS29" s="170"/>
      <c r="IJU29" s="170"/>
      <c r="IJW29" s="170"/>
      <c r="IJY29" s="170"/>
      <c r="IKA29" s="170"/>
      <c r="IKC29" s="170"/>
      <c r="IKE29" s="170"/>
      <c r="IKG29" s="170"/>
      <c r="IKI29" s="170"/>
      <c r="IKK29" s="170"/>
      <c r="IKM29" s="170"/>
      <c r="IKO29" s="170"/>
      <c r="IKQ29" s="170"/>
      <c r="IKS29" s="170"/>
      <c r="IKU29" s="170"/>
      <c r="IKW29" s="170"/>
      <c r="IKY29" s="170"/>
      <c r="ILA29" s="170"/>
      <c r="ILC29" s="170"/>
      <c r="ILE29" s="170"/>
      <c r="ILG29" s="170"/>
      <c r="ILI29" s="170"/>
      <c r="ILK29" s="170"/>
      <c r="ILM29" s="170"/>
      <c r="ILO29" s="170"/>
      <c r="ILQ29" s="170"/>
      <c r="ILS29" s="170"/>
      <c r="ILU29" s="170"/>
      <c r="ILW29" s="170"/>
      <c r="ILY29" s="170"/>
      <c r="IMA29" s="170"/>
      <c r="IMC29" s="170"/>
      <c r="IME29" s="170"/>
      <c r="IMG29" s="170"/>
      <c r="IMI29" s="170"/>
      <c r="IMK29" s="170"/>
      <c r="IMM29" s="170"/>
      <c r="IMO29" s="170"/>
      <c r="IMQ29" s="170"/>
      <c r="IMS29" s="170"/>
      <c r="IMU29" s="170"/>
      <c r="IMW29" s="170"/>
      <c r="IMY29" s="170"/>
      <c r="INA29" s="170"/>
      <c r="INC29" s="170"/>
      <c r="INE29" s="170"/>
      <c r="ING29" s="170"/>
      <c r="INI29" s="170"/>
      <c r="INK29" s="170"/>
      <c r="INM29" s="170"/>
      <c r="INO29" s="170"/>
      <c r="INQ29" s="170"/>
      <c r="INS29" s="170"/>
      <c r="INU29" s="170"/>
      <c r="INW29" s="170"/>
      <c r="INY29" s="170"/>
      <c r="IOA29" s="170"/>
      <c r="IOC29" s="170"/>
      <c r="IOE29" s="170"/>
      <c r="IOG29" s="170"/>
      <c r="IOI29" s="170"/>
      <c r="IOK29" s="170"/>
      <c r="IOM29" s="170"/>
      <c r="IOO29" s="170"/>
      <c r="IOQ29" s="170"/>
      <c r="IOS29" s="170"/>
      <c r="IOU29" s="170"/>
      <c r="IOW29" s="170"/>
      <c r="IOY29" s="170"/>
      <c r="IPA29" s="170"/>
      <c r="IPC29" s="170"/>
      <c r="IPE29" s="170"/>
      <c r="IPG29" s="170"/>
      <c r="IPI29" s="170"/>
      <c r="IPK29" s="170"/>
      <c r="IPM29" s="170"/>
      <c r="IPO29" s="170"/>
      <c r="IPQ29" s="170"/>
      <c r="IPS29" s="170"/>
      <c r="IPU29" s="170"/>
      <c r="IPW29" s="170"/>
      <c r="IPY29" s="170"/>
      <c r="IQA29" s="170"/>
      <c r="IQC29" s="170"/>
      <c r="IQE29" s="170"/>
      <c r="IQG29" s="170"/>
      <c r="IQI29" s="170"/>
      <c r="IQK29" s="170"/>
      <c r="IQM29" s="170"/>
      <c r="IQO29" s="170"/>
      <c r="IQQ29" s="170"/>
      <c r="IQS29" s="170"/>
      <c r="IQU29" s="170"/>
      <c r="IQW29" s="170"/>
      <c r="IQY29" s="170"/>
      <c r="IRA29" s="170"/>
      <c r="IRC29" s="170"/>
      <c r="IRE29" s="170"/>
      <c r="IRG29" s="170"/>
      <c r="IRI29" s="170"/>
      <c r="IRK29" s="170"/>
      <c r="IRM29" s="170"/>
      <c r="IRO29" s="170"/>
      <c r="IRQ29" s="170"/>
      <c r="IRS29" s="170"/>
      <c r="IRU29" s="170"/>
      <c r="IRW29" s="170"/>
      <c r="IRY29" s="170"/>
      <c r="ISA29" s="170"/>
      <c r="ISC29" s="170"/>
      <c r="ISE29" s="170"/>
      <c r="ISG29" s="170"/>
      <c r="ISI29" s="170"/>
      <c r="ISK29" s="170"/>
      <c r="ISM29" s="170"/>
      <c r="ISO29" s="170"/>
      <c r="ISQ29" s="170"/>
      <c r="ISS29" s="170"/>
      <c r="ISU29" s="170"/>
      <c r="ISW29" s="170"/>
      <c r="ISY29" s="170"/>
      <c r="ITA29" s="170"/>
      <c r="ITC29" s="170"/>
      <c r="ITE29" s="170"/>
      <c r="ITG29" s="170"/>
      <c r="ITI29" s="170"/>
      <c r="ITK29" s="170"/>
      <c r="ITM29" s="170"/>
      <c r="ITO29" s="170"/>
      <c r="ITQ29" s="170"/>
      <c r="ITS29" s="170"/>
      <c r="ITU29" s="170"/>
      <c r="ITW29" s="170"/>
      <c r="ITY29" s="170"/>
      <c r="IUA29" s="170"/>
      <c r="IUC29" s="170"/>
      <c r="IUE29" s="170"/>
      <c r="IUG29" s="170"/>
      <c r="IUI29" s="170"/>
      <c r="IUK29" s="170"/>
      <c r="IUM29" s="170"/>
      <c r="IUO29" s="170"/>
      <c r="IUQ29" s="170"/>
      <c r="IUS29" s="170"/>
      <c r="IUU29" s="170"/>
      <c r="IUW29" s="170"/>
      <c r="IUY29" s="170"/>
      <c r="IVA29" s="170"/>
      <c r="IVC29" s="170"/>
      <c r="IVE29" s="170"/>
      <c r="IVG29" s="170"/>
      <c r="IVI29" s="170"/>
      <c r="IVK29" s="170"/>
      <c r="IVM29" s="170"/>
      <c r="IVO29" s="170"/>
      <c r="IVQ29" s="170"/>
      <c r="IVS29" s="170"/>
      <c r="IVU29" s="170"/>
      <c r="IVW29" s="170"/>
      <c r="IVY29" s="170"/>
      <c r="IWA29" s="170"/>
      <c r="IWC29" s="170"/>
      <c r="IWE29" s="170"/>
      <c r="IWG29" s="170"/>
      <c r="IWI29" s="170"/>
      <c r="IWK29" s="170"/>
      <c r="IWM29" s="170"/>
      <c r="IWO29" s="170"/>
      <c r="IWQ29" s="170"/>
      <c r="IWS29" s="170"/>
      <c r="IWU29" s="170"/>
      <c r="IWW29" s="170"/>
      <c r="IWY29" s="170"/>
      <c r="IXA29" s="170"/>
      <c r="IXC29" s="170"/>
      <c r="IXE29" s="170"/>
      <c r="IXG29" s="170"/>
      <c r="IXI29" s="170"/>
      <c r="IXK29" s="170"/>
      <c r="IXM29" s="170"/>
      <c r="IXO29" s="170"/>
      <c r="IXQ29" s="170"/>
      <c r="IXS29" s="170"/>
      <c r="IXU29" s="170"/>
      <c r="IXW29" s="170"/>
      <c r="IXY29" s="170"/>
      <c r="IYA29" s="170"/>
      <c r="IYC29" s="170"/>
      <c r="IYE29" s="170"/>
      <c r="IYG29" s="170"/>
      <c r="IYI29" s="170"/>
      <c r="IYK29" s="170"/>
      <c r="IYM29" s="170"/>
      <c r="IYO29" s="170"/>
      <c r="IYQ29" s="170"/>
      <c r="IYS29" s="170"/>
      <c r="IYU29" s="170"/>
      <c r="IYW29" s="170"/>
      <c r="IYY29" s="170"/>
      <c r="IZA29" s="170"/>
      <c r="IZC29" s="170"/>
      <c r="IZE29" s="170"/>
      <c r="IZG29" s="170"/>
      <c r="IZI29" s="170"/>
      <c r="IZK29" s="170"/>
      <c r="IZM29" s="170"/>
      <c r="IZO29" s="170"/>
      <c r="IZQ29" s="170"/>
      <c r="IZS29" s="170"/>
      <c r="IZU29" s="170"/>
      <c r="IZW29" s="170"/>
      <c r="IZY29" s="170"/>
      <c r="JAA29" s="170"/>
      <c r="JAC29" s="170"/>
      <c r="JAE29" s="170"/>
      <c r="JAG29" s="170"/>
      <c r="JAI29" s="170"/>
      <c r="JAK29" s="170"/>
      <c r="JAM29" s="170"/>
      <c r="JAO29" s="170"/>
      <c r="JAQ29" s="170"/>
      <c r="JAS29" s="170"/>
      <c r="JAU29" s="170"/>
      <c r="JAW29" s="170"/>
      <c r="JAY29" s="170"/>
      <c r="JBA29" s="170"/>
      <c r="JBC29" s="170"/>
      <c r="JBE29" s="170"/>
      <c r="JBG29" s="170"/>
      <c r="JBI29" s="170"/>
      <c r="JBK29" s="170"/>
      <c r="JBM29" s="170"/>
      <c r="JBO29" s="170"/>
      <c r="JBQ29" s="170"/>
      <c r="JBS29" s="170"/>
      <c r="JBU29" s="170"/>
      <c r="JBW29" s="170"/>
      <c r="JBY29" s="170"/>
      <c r="JCA29" s="170"/>
      <c r="JCC29" s="170"/>
      <c r="JCE29" s="170"/>
      <c r="JCG29" s="170"/>
      <c r="JCI29" s="170"/>
      <c r="JCK29" s="170"/>
      <c r="JCM29" s="170"/>
      <c r="JCO29" s="170"/>
      <c r="JCQ29" s="170"/>
      <c r="JCS29" s="170"/>
      <c r="JCU29" s="170"/>
      <c r="JCW29" s="170"/>
      <c r="JCY29" s="170"/>
      <c r="JDA29" s="170"/>
      <c r="JDC29" s="170"/>
      <c r="JDE29" s="170"/>
      <c r="JDG29" s="170"/>
      <c r="JDI29" s="170"/>
      <c r="JDK29" s="170"/>
      <c r="JDM29" s="170"/>
      <c r="JDO29" s="170"/>
      <c r="JDQ29" s="170"/>
      <c r="JDS29" s="170"/>
      <c r="JDU29" s="170"/>
      <c r="JDW29" s="170"/>
      <c r="JDY29" s="170"/>
      <c r="JEA29" s="170"/>
      <c r="JEC29" s="170"/>
      <c r="JEE29" s="170"/>
      <c r="JEG29" s="170"/>
      <c r="JEI29" s="170"/>
      <c r="JEK29" s="170"/>
      <c r="JEM29" s="170"/>
      <c r="JEO29" s="170"/>
      <c r="JEQ29" s="170"/>
      <c r="JES29" s="170"/>
      <c r="JEU29" s="170"/>
      <c r="JEW29" s="170"/>
      <c r="JEY29" s="170"/>
      <c r="JFA29" s="170"/>
      <c r="JFC29" s="170"/>
      <c r="JFE29" s="170"/>
      <c r="JFG29" s="170"/>
      <c r="JFI29" s="170"/>
      <c r="JFK29" s="170"/>
      <c r="JFM29" s="170"/>
      <c r="JFO29" s="170"/>
      <c r="JFQ29" s="170"/>
      <c r="JFS29" s="170"/>
      <c r="JFU29" s="170"/>
      <c r="JFW29" s="170"/>
      <c r="JFY29" s="170"/>
      <c r="JGA29" s="170"/>
      <c r="JGC29" s="170"/>
      <c r="JGE29" s="170"/>
      <c r="JGG29" s="170"/>
      <c r="JGI29" s="170"/>
      <c r="JGK29" s="170"/>
      <c r="JGM29" s="170"/>
      <c r="JGO29" s="170"/>
      <c r="JGQ29" s="170"/>
      <c r="JGS29" s="170"/>
      <c r="JGU29" s="170"/>
      <c r="JGW29" s="170"/>
      <c r="JGY29" s="170"/>
      <c r="JHA29" s="170"/>
      <c r="JHC29" s="170"/>
      <c r="JHE29" s="170"/>
      <c r="JHG29" s="170"/>
      <c r="JHI29" s="170"/>
      <c r="JHK29" s="170"/>
      <c r="JHM29" s="170"/>
      <c r="JHO29" s="170"/>
      <c r="JHQ29" s="170"/>
      <c r="JHS29" s="170"/>
      <c r="JHU29" s="170"/>
      <c r="JHW29" s="170"/>
      <c r="JHY29" s="170"/>
      <c r="JIA29" s="170"/>
      <c r="JIC29" s="170"/>
      <c r="JIE29" s="170"/>
      <c r="JIG29" s="170"/>
      <c r="JII29" s="170"/>
      <c r="JIK29" s="170"/>
      <c r="JIM29" s="170"/>
      <c r="JIO29" s="170"/>
      <c r="JIQ29" s="170"/>
      <c r="JIS29" s="170"/>
      <c r="JIU29" s="170"/>
      <c r="JIW29" s="170"/>
      <c r="JIY29" s="170"/>
      <c r="JJA29" s="170"/>
      <c r="JJC29" s="170"/>
      <c r="JJE29" s="170"/>
      <c r="JJG29" s="170"/>
      <c r="JJI29" s="170"/>
      <c r="JJK29" s="170"/>
      <c r="JJM29" s="170"/>
      <c r="JJO29" s="170"/>
      <c r="JJQ29" s="170"/>
      <c r="JJS29" s="170"/>
      <c r="JJU29" s="170"/>
      <c r="JJW29" s="170"/>
      <c r="JJY29" s="170"/>
      <c r="JKA29" s="170"/>
      <c r="JKC29" s="170"/>
      <c r="JKE29" s="170"/>
      <c r="JKG29" s="170"/>
      <c r="JKI29" s="170"/>
      <c r="JKK29" s="170"/>
      <c r="JKM29" s="170"/>
      <c r="JKO29" s="170"/>
      <c r="JKQ29" s="170"/>
      <c r="JKS29" s="170"/>
      <c r="JKU29" s="170"/>
      <c r="JKW29" s="170"/>
      <c r="JKY29" s="170"/>
      <c r="JLA29" s="170"/>
      <c r="JLC29" s="170"/>
      <c r="JLE29" s="170"/>
      <c r="JLG29" s="170"/>
      <c r="JLI29" s="170"/>
      <c r="JLK29" s="170"/>
      <c r="JLM29" s="170"/>
      <c r="JLO29" s="170"/>
      <c r="JLQ29" s="170"/>
      <c r="JLS29" s="170"/>
      <c r="JLU29" s="170"/>
      <c r="JLW29" s="170"/>
      <c r="JLY29" s="170"/>
      <c r="JMA29" s="170"/>
      <c r="JMC29" s="170"/>
      <c r="JME29" s="170"/>
      <c r="JMG29" s="170"/>
      <c r="JMI29" s="170"/>
      <c r="JMK29" s="170"/>
      <c r="JMM29" s="170"/>
      <c r="JMO29" s="170"/>
      <c r="JMQ29" s="170"/>
      <c r="JMS29" s="170"/>
      <c r="JMU29" s="170"/>
      <c r="JMW29" s="170"/>
      <c r="JMY29" s="170"/>
      <c r="JNA29" s="170"/>
      <c r="JNC29" s="170"/>
      <c r="JNE29" s="170"/>
      <c r="JNG29" s="170"/>
      <c r="JNI29" s="170"/>
      <c r="JNK29" s="170"/>
      <c r="JNM29" s="170"/>
      <c r="JNO29" s="170"/>
      <c r="JNQ29" s="170"/>
      <c r="JNS29" s="170"/>
      <c r="JNU29" s="170"/>
      <c r="JNW29" s="170"/>
      <c r="JNY29" s="170"/>
      <c r="JOA29" s="170"/>
      <c r="JOC29" s="170"/>
      <c r="JOE29" s="170"/>
      <c r="JOG29" s="170"/>
      <c r="JOI29" s="170"/>
      <c r="JOK29" s="170"/>
      <c r="JOM29" s="170"/>
      <c r="JOO29" s="170"/>
      <c r="JOQ29" s="170"/>
      <c r="JOS29" s="170"/>
      <c r="JOU29" s="170"/>
      <c r="JOW29" s="170"/>
      <c r="JOY29" s="170"/>
      <c r="JPA29" s="170"/>
      <c r="JPC29" s="170"/>
      <c r="JPE29" s="170"/>
      <c r="JPG29" s="170"/>
      <c r="JPI29" s="170"/>
      <c r="JPK29" s="170"/>
      <c r="JPM29" s="170"/>
      <c r="JPO29" s="170"/>
      <c r="JPQ29" s="170"/>
      <c r="JPS29" s="170"/>
      <c r="JPU29" s="170"/>
      <c r="JPW29" s="170"/>
      <c r="JPY29" s="170"/>
      <c r="JQA29" s="170"/>
      <c r="JQC29" s="170"/>
      <c r="JQE29" s="170"/>
      <c r="JQG29" s="170"/>
      <c r="JQI29" s="170"/>
      <c r="JQK29" s="170"/>
      <c r="JQM29" s="170"/>
      <c r="JQO29" s="170"/>
      <c r="JQQ29" s="170"/>
      <c r="JQS29" s="170"/>
      <c r="JQU29" s="170"/>
      <c r="JQW29" s="170"/>
      <c r="JQY29" s="170"/>
      <c r="JRA29" s="170"/>
      <c r="JRC29" s="170"/>
      <c r="JRE29" s="170"/>
      <c r="JRG29" s="170"/>
      <c r="JRI29" s="170"/>
      <c r="JRK29" s="170"/>
      <c r="JRM29" s="170"/>
      <c r="JRO29" s="170"/>
      <c r="JRQ29" s="170"/>
      <c r="JRS29" s="170"/>
      <c r="JRU29" s="170"/>
      <c r="JRW29" s="170"/>
      <c r="JRY29" s="170"/>
      <c r="JSA29" s="170"/>
      <c r="JSC29" s="170"/>
      <c r="JSE29" s="170"/>
      <c r="JSG29" s="170"/>
      <c r="JSI29" s="170"/>
      <c r="JSK29" s="170"/>
      <c r="JSM29" s="170"/>
      <c r="JSO29" s="170"/>
      <c r="JSQ29" s="170"/>
      <c r="JSS29" s="170"/>
      <c r="JSU29" s="170"/>
      <c r="JSW29" s="170"/>
      <c r="JSY29" s="170"/>
      <c r="JTA29" s="170"/>
      <c r="JTC29" s="170"/>
      <c r="JTE29" s="170"/>
      <c r="JTG29" s="170"/>
      <c r="JTI29" s="170"/>
      <c r="JTK29" s="170"/>
      <c r="JTM29" s="170"/>
      <c r="JTO29" s="170"/>
      <c r="JTQ29" s="170"/>
      <c r="JTS29" s="170"/>
      <c r="JTU29" s="170"/>
      <c r="JTW29" s="170"/>
      <c r="JTY29" s="170"/>
      <c r="JUA29" s="170"/>
      <c r="JUC29" s="170"/>
      <c r="JUE29" s="170"/>
      <c r="JUG29" s="170"/>
      <c r="JUI29" s="170"/>
      <c r="JUK29" s="170"/>
      <c r="JUM29" s="170"/>
      <c r="JUO29" s="170"/>
      <c r="JUQ29" s="170"/>
      <c r="JUS29" s="170"/>
      <c r="JUU29" s="170"/>
      <c r="JUW29" s="170"/>
      <c r="JUY29" s="170"/>
      <c r="JVA29" s="170"/>
      <c r="JVC29" s="170"/>
      <c r="JVE29" s="170"/>
      <c r="JVG29" s="170"/>
      <c r="JVI29" s="170"/>
      <c r="JVK29" s="170"/>
      <c r="JVM29" s="170"/>
      <c r="JVO29" s="170"/>
      <c r="JVQ29" s="170"/>
      <c r="JVS29" s="170"/>
      <c r="JVU29" s="170"/>
      <c r="JVW29" s="170"/>
      <c r="JVY29" s="170"/>
      <c r="JWA29" s="170"/>
      <c r="JWC29" s="170"/>
      <c r="JWE29" s="170"/>
      <c r="JWG29" s="170"/>
      <c r="JWI29" s="170"/>
      <c r="JWK29" s="170"/>
      <c r="JWM29" s="170"/>
      <c r="JWO29" s="170"/>
      <c r="JWQ29" s="170"/>
      <c r="JWS29" s="170"/>
      <c r="JWU29" s="170"/>
      <c r="JWW29" s="170"/>
      <c r="JWY29" s="170"/>
      <c r="JXA29" s="170"/>
      <c r="JXC29" s="170"/>
      <c r="JXE29" s="170"/>
      <c r="JXG29" s="170"/>
      <c r="JXI29" s="170"/>
      <c r="JXK29" s="170"/>
      <c r="JXM29" s="170"/>
      <c r="JXO29" s="170"/>
      <c r="JXQ29" s="170"/>
      <c r="JXS29" s="170"/>
      <c r="JXU29" s="170"/>
      <c r="JXW29" s="170"/>
      <c r="JXY29" s="170"/>
      <c r="JYA29" s="170"/>
      <c r="JYC29" s="170"/>
      <c r="JYE29" s="170"/>
      <c r="JYG29" s="170"/>
      <c r="JYI29" s="170"/>
      <c r="JYK29" s="170"/>
      <c r="JYM29" s="170"/>
      <c r="JYO29" s="170"/>
      <c r="JYQ29" s="170"/>
      <c r="JYS29" s="170"/>
      <c r="JYU29" s="170"/>
      <c r="JYW29" s="170"/>
      <c r="JYY29" s="170"/>
      <c r="JZA29" s="170"/>
      <c r="JZC29" s="170"/>
      <c r="JZE29" s="170"/>
      <c r="JZG29" s="170"/>
      <c r="JZI29" s="170"/>
      <c r="JZK29" s="170"/>
      <c r="JZM29" s="170"/>
      <c r="JZO29" s="170"/>
      <c r="JZQ29" s="170"/>
      <c r="JZS29" s="170"/>
      <c r="JZU29" s="170"/>
      <c r="JZW29" s="170"/>
      <c r="JZY29" s="170"/>
      <c r="KAA29" s="170"/>
      <c r="KAC29" s="170"/>
      <c r="KAE29" s="170"/>
      <c r="KAG29" s="170"/>
      <c r="KAI29" s="170"/>
      <c r="KAK29" s="170"/>
      <c r="KAM29" s="170"/>
      <c r="KAO29" s="170"/>
      <c r="KAQ29" s="170"/>
      <c r="KAS29" s="170"/>
      <c r="KAU29" s="170"/>
      <c r="KAW29" s="170"/>
      <c r="KAY29" s="170"/>
      <c r="KBA29" s="170"/>
      <c r="KBC29" s="170"/>
      <c r="KBE29" s="170"/>
      <c r="KBG29" s="170"/>
      <c r="KBI29" s="170"/>
      <c r="KBK29" s="170"/>
      <c r="KBM29" s="170"/>
      <c r="KBO29" s="170"/>
      <c r="KBQ29" s="170"/>
      <c r="KBS29" s="170"/>
      <c r="KBU29" s="170"/>
      <c r="KBW29" s="170"/>
      <c r="KBY29" s="170"/>
      <c r="KCA29" s="170"/>
      <c r="KCC29" s="170"/>
      <c r="KCE29" s="170"/>
      <c r="KCG29" s="170"/>
      <c r="KCI29" s="170"/>
      <c r="KCK29" s="170"/>
      <c r="KCM29" s="170"/>
      <c r="KCO29" s="170"/>
      <c r="KCQ29" s="170"/>
      <c r="KCS29" s="170"/>
      <c r="KCU29" s="170"/>
      <c r="KCW29" s="170"/>
      <c r="KCY29" s="170"/>
      <c r="KDA29" s="170"/>
      <c r="KDC29" s="170"/>
      <c r="KDE29" s="170"/>
      <c r="KDG29" s="170"/>
      <c r="KDI29" s="170"/>
      <c r="KDK29" s="170"/>
      <c r="KDM29" s="170"/>
      <c r="KDO29" s="170"/>
      <c r="KDQ29" s="170"/>
      <c r="KDS29" s="170"/>
      <c r="KDU29" s="170"/>
      <c r="KDW29" s="170"/>
      <c r="KDY29" s="170"/>
      <c r="KEA29" s="170"/>
      <c r="KEC29" s="170"/>
      <c r="KEE29" s="170"/>
      <c r="KEG29" s="170"/>
      <c r="KEI29" s="170"/>
      <c r="KEK29" s="170"/>
      <c r="KEM29" s="170"/>
      <c r="KEO29" s="170"/>
      <c r="KEQ29" s="170"/>
      <c r="KES29" s="170"/>
      <c r="KEU29" s="170"/>
      <c r="KEW29" s="170"/>
      <c r="KEY29" s="170"/>
      <c r="KFA29" s="170"/>
      <c r="KFC29" s="170"/>
      <c r="KFE29" s="170"/>
      <c r="KFG29" s="170"/>
      <c r="KFI29" s="170"/>
      <c r="KFK29" s="170"/>
      <c r="KFM29" s="170"/>
      <c r="KFO29" s="170"/>
      <c r="KFQ29" s="170"/>
      <c r="KFS29" s="170"/>
      <c r="KFU29" s="170"/>
      <c r="KFW29" s="170"/>
      <c r="KFY29" s="170"/>
      <c r="KGA29" s="170"/>
      <c r="KGC29" s="170"/>
      <c r="KGE29" s="170"/>
      <c r="KGG29" s="170"/>
      <c r="KGI29" s="170"/>
      <c r="KGK29" s="170"/>
      <c r="KGM29" s="170"/>
      <c r="KGO29" s="170"/>
      <c r="KGQ29" s="170"/>
      <c r="KGS29" s="170"/>
      <c r="KGU29" s="170"/>
      <c r="KGW29" s="170"/>
      <c r="KGY29" s="170"/>
      <c r="KHA29" s="170"/>
      <c r="KHC29" s="170"/>
      <c r="KHE29" s="170"/>
      <c r="KHG29" s="170"/>
      <c r="KHI29" s="170"/>
      <c r="KHK29" s="170"/>
      <c r="KHM29" s="170"/>
      <c r="KHO29" s="170"/>
      <c r="KHQ29" s="170"/>
      <c r="KHS29" s="170"/>
      <c r="KHU29" s="170"/>
      <c r="KHW29" s="170"/>
      <c r="KHY29" s="170"/>
      <c r="KIA29" s="170"/>
      <c r="KIC29" s="170"/>
      <c r="KIE29" s="170"/>
      <c r="KIG29" s="170"/>
      <c r="KII29" s="170"/>
      <c r="KIK29" s="170"/>
      <c r="KIM29" s="170"/>
      <c r="KIO29" s="170"/>
      <c r="KIQ29" s="170"/>
      <c r="KIS29" s="170"/>
      <c r="KIU29" s="170"/>
      <c r="KIW29" s="170"/>
      <c r="KIY29" s="170"/>
      <c r="KJA29" s="170"/>
      <c r="KJC29" s="170"/>
      <c r="KJE29" s="170"/>
      <c r="KJG29" s="170"/>
      <c r="KJI29" s="170"/>
      <c r="KJK29" s="170"/>
      <c r="KJM29" s="170"/>
      <c r="KJO29" s="170"/>
      <c r="KJQ29" s="170"/>
      <c r="KJS29" s="170"/>
      <c r="KJU29" s="170"/>
      <c r="KJW29" s="170"/>
      <c r="KJY29" s="170"/>
      <c r="KKA29" s="170"/>
      <c r="KKC29" s="170"/>
      <c r="KKE29" s="170"/>
      <c r="KKG29" s="170"/>
      <c r="KKI29" s="170"/>
      <c r="KKK29" s="170"/>
      <c r="KKM29" s="170"/>
      <c r="KKO29" s="170"/>
      <c r="KKQ29" s="170"/>
      <c r="KKS29" s="170"/>
      <c r="KKU29" s="170"/>
      <c r="KKW29" s="170"/>
      <c r="KKY29" s="170"/>
      <c r="KLA29" s="170"/>
      <c r="KLC29" s="170"/>
      <c r="KLE29" s="170"/>
      <c r="KLG29" s="170"/>
      <c r="KLI29" s="170"/>
      <c r="KLK29" s="170"/>
      <c r="KLM29" s="170"/>
      <c r="KLO29" s="170"/>
      <c r="KLQ29" s="170"/>
      <c r="KLS29" s="170"/>
      <c r="KLU29" s="170"/>
      <c r="KLW29" s="170"/>
      <c r="KLY29" s="170"/>
      <c r="KMA29" s="170"/>
      <c r="KMC29" s="170"/>
      <c r="KME29" s="170"/>
      <c r="KMG29" s="170"/>
      <c r="KMI29" s="170"/>
      <c r="KMK29" s="170"/>
      <c r="KMM29" s="170"/>
      <c r="KMO29" s="170"/>
      <c r="KMQ29" s="170"/>
      <c r="KMS29" s="170"/>
      <c r="KMU29" s="170"/>
      <c r="KMW29" s="170"/>
      <c r="KMY29" s="170"/>
      <c r="KNA29" s="170"/>
      <c r="KNC29" s="170"/>
      <c r="KNE29" s="170"/>
      <c r="KNG29" s="170"/>
      <c r="KNI29" s="170"/>
      <c r="KNK29" s="170"/>
      <c r="KNM29" s="170"/>
      <c r="KNO29" s="170"/>
      <c r="KNQ29" s="170"/>
      <c r="KNS29" s="170"/>
      <c r="KNU29" s="170"/>
      <c r="KNW29" s="170"/>
      <c r="KNY29" s="170"/>
      <c r="KOA29" s="170"/>
      <c r="KOC29" s="170"/>
      <c r="KOE29" s="170"/>
      <c r="KOG29" s="170"/>
      <c r="KOI29" s="170"/>
      <c r="KOK29" s="170"/>
      <c r="KOM29" s="170"/>
      <c r="KOO29" s="170"/>
      <c r="KOQ29" s="170"/>
      <c r="KOS29" s="170"/>
      <c r="KOU29" s="170"/>
      <c r="KOW29" s="170"/>
      <c r="KOY29" s="170"/>
      <c r="KPA29" s="170"/>
      <c r="KPC29" s="170"/>
      <c r="KPE29" s="170"/>
      <c r="KPG29" s="170"/>
      <c r="KPI29" s="170"/>
      <c r="KPK29" s="170"/>
      <c r="KPM29" s="170"/>
      <c r="KPO29" s="170"/>
      <c r="KPQ29" s="170"/>
      <c r="KPS29" s="170"/>
      <c r="KPU29" s="170"/>
      <c r="KPW29" s="170"/>
      <c r="KPY29" s="170"/>
      <c r="KQA29" s="170"/>
      <c r="KQC29" s="170"/>
      <c r="KQE29" s="170"/>
      <c r="KQG29" s="170"/>
      <c r="KQI29" s="170"/>
      <c r="KQK29" s="170"/>
      <c r="KQM29" s="170"/>
      <c r="KQO29" s="170"/>
      <c r="KQQ29" s="170"/>
      <c r="KQS29" s="170"/>
      <c r="KQU29" s="170"/>
      <c r="KQW29" s="170"/>
      <c r="KQY29" s="170"/>
      <c r="KRA29" s="170"/>
      <c r="KRC29" s="170"/>
      <c r="KRE29" s="170"/>
      <c r="KRG29" s="170"/>
      <c r="KRI29" s="170"/>
      <c r="KRK29" s="170"/>
      <c r="KRM29" s="170"/>
      <c r="KRO29" s="170"/>
      <c r="KRQ29" s="170"/>
      <c r="KRS29" s="170"/>
      <c r="KRU29" s="170"/>
      <c r="KRW29" s="170"/>
      <c r="KRY29" s="170"/>
      <c r="KSA29" s="170"/>
      <c r="KSC29" s="170"/>
      <c r="KSE29" s="170"/>
      <c r="KSG29" s="170"/>
      <c r="KSI29" s="170"/>
      <c r="KSK29" s="170"/>
      <c r="KSM29" s="170"/>
      <c r="KSO29" s="170"/>
      <c r="KSQ29" s="170"/>
      <c r="KSS29" s="170"/>
      <c r="KSU29" s="170"/>
      <c r="KSW29" s="170"/>
      <c r="KSY29" s="170"/>
      <c r="KTA29" s="170"/>
      <c r="KTC29" s="170"/>
      <c r="KTE29" s="170"/>
      <c r="KTG29" s="170"/>
      <c r="KTI29" s="170"/>
      <c r="KTK29" s="170"/>
      <c r="KTM29" s="170"/>
      <c r="KTO29" s="170"/>
      <c r="KTQ29" s="170"/>
      <c r="KTS29" s="170"/>
      <c r="KTU29" s="170"/>
      <c r="KTW29" s="170"/>
      <c r="KTY29" s="170"/>
      <c r="KUA29" s="170"/>
      <c r="KUC29" s="170"/>
      <c r="KUE29" s="170"/>
      <c r="KUG29" s="170"/>
      <c r="KUI29" s="170"/>
      <c r="KUK29" s="170"/>
      <c r="KUM29" s="170"/>
      <c r="KUO29" s="170"/>
      <c r="KUQ29" s="170"/>
      <c r="KUS29" s="170"/>
      <c r="KUU29" s="170"/>
      <c r="KUW29" s="170"/>
      <c r="KUY29" s="170"/>
      <c r="KVA29" s="170"/>
      <c r="KVC29" s="170"/>
      <c r="KVE29" s="170"/>
      <c r="KVG29" s="170"/>
      <c r="KVI29" s="170"/>
      <c r="KVK29" s="170"/>
      <c r="KVM29" s="170"/>
      <c r="KVO29" s="170"/>
      <c r="KVQ29" s="170"/>
      <c r="KVS29" s="170"/>
      <c r="KVU29" s="170"/>
      <c r="KVW29" s="170"/>
      <c r="KVY29" s="170"/>
      <c r="KWA29" s="170"/>
      <c r="KWC29" s="170"/>
      <c r="KWE29" s="170"/>
      <c r="KWG29" s="170"/>
      <c r="KWI29" s="170"/>
      <c r="KWK29" s="170"/>
      <c r="KWM29" s="170"/>
      <c r="KWO29" s="170"/>
      <c r="KWQ29" s="170"/>
      <c r="KWS29" s="170"/>
      <c r="KWU29" s="170"/>
      <c r="KWW29" s="170"/>
      <c r="KWY29" s="170"/>
      <c r="KXA29" s="170"/>
      <c r="KXC29" s="170"/>
      <c r="KXE29" s="170"/>
      <c r="KXG29" s="170"/>
      <c r="KXI29" s="170"/>
      <c r="KXK29" s="170"/>
      <c r="KXM29" s="170"/>
      <c r="KXO29" s="170"/>
      <c r="KXQ29" s="170"/>
      <c r="KXS29" s="170"/>
      <c r="KXU29" s="170"/>
      <c r="KXW29" s="170"/>
      <c r="KXY29" s="170"/>
      <c r="KYA29" s="170"/>
      <c r="KYC29" s="170"/>
      <c r="KYE29" s="170"/>
      <c r="KYG29" s="170"/>
      <c r="KYI29" s="170"/>
      <c r="KYK29" s="170"/>
      <c r="KYM29" s="170"/>
      <c r="KYO29" s="170"/>
      <c r="KYQ29" s="170"/>
      <c r="KYS29" s="170"/>
      <c r="KYU29" s="170"/>
      <c r="KYW29" s="170"/>
      <c r="KYY29" s="170"/>
      <c r="KZA29" s="170"/>
      <c r="KZC29" s="170"/>
      <c r="KZE29" s="170"/>
      <c r="KZG29" s="170"/>
      <c r="KZI29" s="170"/>
      <c r="KZK29" s="170"/>
      <c r="KZM29" s="170"/>
      <c r="KZO29" s="170"/>
      <c r="KZQ29" s="170"/>
      <c r="KZS29" s="170"/>
      <c r="KZU29" s="170"/>
      <c r="KZW29" s="170"/>
      <c r="KZY29" s="170"/>
      <c r="LAA29" s="170"/>
      <c r="LAC29" s="170"/>
      <c r="LAE29" s="170"/>
      <c r="LAG29" s="170"/>
      <c r="LAI29" s="170"/>
      <c r="LAK29" s="170"/>
      <c r="LAM29" s="170"/>
      <c r="LAO29" s="170"/>
      <c r="LAQ29" s="170"/>
      <c r="LAS29" s="170"/>
      <c r="LAU29" s="170"/>
      <c r="LAW29" s="170"/>
      <c r="LAY29" s="170"/>
      <c r="LBA29" s="170"/>
      <c r="LBC29" s="170"/>
      <c r="LBE29" s="170"/>
      <c r="LBG29" s="170"/>
      <c r="LBI29" s="170"/>
      <c r="LBK29" s="170"/>
      <c r="LBM29" s="170"/>
      <c r="LBO29" s="170"/>
      <c r="LBQ29" s="170"/>
      <c r="LBS29" s="170"/>
      <c r="LBU29" s="170"/>
      <c r="LBW29" s="170"/>
      <c r="LBY29" s="170"/>
      <c r="LCA29" s="170"/>
      <c r="LCC29" s="170"/>
      <c r="LCE29" s="170"/>
      <c r="LCG29" s="170"/>
      <c r="LCI29" s="170"/>
      <c r="LCK29" s="170"/>
      <c r="LCM29" s="170"/>
      <c r="LCO29" s="170"/>
      <c r="LCQ29" s="170"/>
      <c r="LCS29" s="170"/>
      <c r="LCU29" s="170"/>
      <c r="LCW29" s="170"/>
      <c r="LCY29" s="170"/>
      <c r="LDA29" s="170"/>
      <c r="LDC29" s="170"/>
      <c r="LDE29" s="170"/>
      <c r="LDG29" s="170"/>
      <c r="LDI29" s="170"/>
      <c r="LDK29" s="170"/>
      <c r="LDM29" s="170"/>
      <c r="LDO29" s="170"/>
      <c r="LDQ29" s="170"/>
      <c r="LDS29" s="170"/>
      <c r="LDU29" s="170"/>
      <c r="LDW29" s="170"/>
      <c r="LDY29" s="170"/>
      <c r="LEA29" s="170"/>
      <c r="LEC29" s="170"/>
      <c r="LEE29" s="170"/>
      <c r="LEG29" s="170"/>
      <c r="LEI29" s="170"/>
      <c r="LEK29" s="170"/>
      <c r="LEM29" s="170"/>
      <c r="LEO29" s="170"/>
      <c r="LEQ29" s="170"/>
      <c r="LES29" s="170"/>
      <c r="LEU29" s="170"/>
      <c r="LEW29" s="170"/>
      <c r="LEY29" s="170"/>
      <c r="LFA29" s="170"/>
      <c r="LFC29" s="170"/>
      <c r="LFE29" s="170"/>
      <c r="LFG29" s="170"/>
      <c r="LFI29" s="170"/>
      <c r="LFK29" s="170"/>
      <c r="LFM29" s="170"/>
      <c r="LFO29" s="170"/>
      <c r="LFQ29" s="170"/>
      <c r="LFS29" s="170"/>
      <c r="LFU29" s="170"/>
      <c r="LFW29" s="170"/>
      <c r="LFY29" s="170"/>
      <c r="LGA29" s="170"/>
      <c r="LGC29" s="170"/>
      <c r="LGE29" s="170"/>
      <c r="LGG29" s="170"/>
      <c r="LGI29" s="170"/>
      <c r="LGK29" s="170"/>
      <c r="LGM29" s="170"/>
      <c r="LGO29" s="170"/>
      <c r="LGQ29" s="170"/>
      <c r="LGS29" s="170"/>
      <c r="LGU29" s="170"/>
      <c r="LGW29" s="170"/>
      <c r="LGY29" s="170"/>
      <c r="LHA29" s="170"/>
      <c r="LHC29" s="170"/>
      <c r="LHE29" s="170"/>
      <c r="LHG29" s="170"/>
      <c r="LHI29" s="170"/>
      <c r="LHK29" s="170"/>
      <c r="LHM29" s="170"/>
      <c r="LHO29" s="170"/>
      <c r="LHQ29" s="170"/>
      <c r="LHS29" s="170"/>
      <c r="LHU29" s="170"/>
      <c r="LHW29" s="170"/>
      <c r="LHY29" s="170"/>
      <c r="LIA29" s="170"/>
      <c r="LIC29" s="170"/>
      <c r="LIE29" s="170"/>
      <c r="LIG29" s="170"/>
      <c r="LII29" s="170"/>
      <c r="LIK29" s="170"/>
      <c r="LIM29" s="170"/>
      <c r="LIO29" s="170"/>
      <c r="LIQ29" s="170"/>
      <c r="LIS29" s="170"/>
      <c r="LIU29" s="170"/>
      <c r="LIW29" s="170"/>
      <c r="LIY29" s="170"/>
      <c r="LJA29" s="170"/>
      <c r="LJC29" s="170"/>
      <c r="LJE29" s="170"/>
      <c r="LJG29" s="170"/>
      <c r="LJI29" s="170"/>
      <c r="LJK29" s="170"/>
      <c r="LJM29" s="170"/>
      <c r="LJO29" s="170"/>
      <c r="LJQ29" s="170"/>
      <c r="LJS29" s="170"/>
      <c r="LJU29" s="170"/>
      <c r="LJW29" s="170"/>
      <c r="LJY29" s="170"/>
      <c r="LKA29" s="170"/>
      <c r="LKC29" s="170"/>
      <c r="LKE29" s="170"/>
      <c r="LKG29" s="170"/>
      <c r="LKI29" s="170"/>
      <c r="LKK29" s="170"/>
      <c r="LKM29" s="170"/>
      <c r="LKO29" s="170"/>
      <c r="LKQ29" s="170"/>
      <c r="LKS29" s="170"/>
      <c r="LKU29" s="170"/>
      <c r="LKW29" s="170"/>
      <c r="LKY29" s="170"/>
      <c r="LLA29" s="170"/>
      <c r="LLC29" s="170"/>
      <c r="LLE29" s="170"/>
      <c r="LLG29" s="170"/>
      <c r="LLI29" s="170"/>
      <c r="LLK29" s="170"/>
      <c r="LLM29" s="170"/>
      <c r="LLO29" s="170"/>
      <c r="LLQ29" s="170"/>
      <c r="LLS29" s="170"/>
      <c r="LLU29" s="170"/>
      <c r="LLW29" s="170"/>
      <c r="LLY29" s="170"/>
      <c r="LMA29" s="170"/>
      <c r="LMC29" s="170"/>
      <c r="LME29" s="170"/>
      <c r="LMG29" s="170"/>
      <c r="LMI29" s="170"/>
      <c r="LMK29" s="170"/>
      <c r="LMM29" s="170"/>
      <c r="LMO29" s="170"/>
      <c r="LMQ29" s="170"/>
      <c r="LMS29" s="170"/>
      <c r="LMU29" s="170"/>
      <c r="LMW29" s="170"/>
      <c r="LMY29" s="170"/>
      <c r="LNA29" s="170"/>
      <c r="LNC29" s="170"/>
      <c r="LNE29" s="170"/>
      <c r="LNG29" s="170"/>
      <c r="LNI29" s="170"/>
      <c r="LNK29" s="170"/>
      <c r="LNM29" s="170"/>
      <c r="LNO29" s="170"/>
      <c r="LNQ29" s="170"/>
      <c r="LNS29" s="170"/>
      <c r="LNU29" s="170"/>
      <c r="LNW29" s="170"/>
      <c r="LNY29" s="170"/>
      <c r="LOA29" s="170"/>
      <c r="LOC29" s="170"/>
      <c r="LOE29" s="170"/>
      <c r="LOG29" s="170"/>
      <c r="LOI29" s="170"/>
      <c r="LOK29" s="170"/>
      <c r="LOM29" s="170"/>
      <c r="LOO29" s="170"/>
      <c r="LOQ29" s="170"/>
      <c r="LOS29" s="170"/>
      <c r="LOU29" s="170"/>
      <c r="LOW29" s="170"/>
      <c r="LOY29" s="170"/>
      <c r="LPA29" s="170"/>
      <c r="LPC29" s="170"/>
      <c r="LPE29" s="170"/>
      <c r="LPG29" s="170"/>
      <c r="LPI29" s="170"/>
      <c r="LPK29" s="170"/>
      <c r="LPM29" s="170"/>
      <c r="LPO29" s="170"/>
      <c r="LPQ29" s="170"/>
      <c r="LPS29" s="170"/>
      <c r="LPU29" s="170"/>
      <c r="LPW29" s="170"/>
      <c r="LPY29" s="170"/>
      <c r="LQA29" s="170"/>
      <c r="LQC29" s="170"/>
      <c r="LQE29" s="170"/>
      <c r="LQG29" s="170"/>
      <c r="LQI29" s="170"/>
      <c r="LQK29" s="170"/>
      <c r="LQM29" s="170"/>
      <c r="LQO29" s="170"/>
      <c r="LQQ29" s="170"/>
      <c r="LQS29" s="170"/>
      <c r="LQU29" s="170"/>
      <c r="LQW29" s="170"/>
      <c r="LQY29" s="170"/>
      <c r="LRA29" s="170"/>
      <c r="LRC29" s="170"/>
      <c r="LRE29" s="170"/>
      <c r="LRG29" s="170"/>
      <c r="LRI29" s="170"/>
      <c r="LRK29" s="170"/>
      <c r="LRM29" s="170"/>
      <c r="LRO29" s="170"/>
      <c r="LRQ29" s="170"/>
      <c r="LRS29" s="170"/>
      <c r="LRU29" s="170"/>
      <c r="LRW29" s="170"/>
      <c r="LRY29" s="170"/>
      <c r="LSA29" s="170"/>
      <c r="LSC29" s="170"/>
      <c r="LSE29" s="170"/>
      <c r="LSG29" s="170"/>
      <c r="LSI29" s="170"/>
      <c r="LSK29" s="170"/>
      <c r="LSM29" s="170"/>
      <c r="LSO29" s="170"/>
      <c r="LSQ29" s="170"/>
      <c r="LSS29" s="170"/>
      <c r="LSU29" s="170"/>
      <c r="LSW29" s="170"/>
      <c r="LSY29" s="170"/>
      <c r="LTA29" s="170"/>
      <c r="LTC29" s="170"/>
      <c r="LTE29" s="170"/>
      <c r="LTG29" s="170"/>
      <c r="LTI29" s="170"/>
      <c r="LTK29" s="170"/>
      <c r="LTM29" s="170"/>
      <c r="LTO29" s="170"/>
      <c r="LTQ29" s="170"/>
      <c r="LTS29" s="170"/>
      <c r="LTU29" s="170"/>
      <c r="LTW29" s="170"/>
      <c r="LTY29" s="170"/>
      <c r="LUA29" s="170"/>
      <c r="LUC29" s="170"/>
      <c r="LUE29" s="170"/>
      <c r="LUG29" s="170"/>
      <c r="LUI29" s="170"/>
      <c r="LUK29" s="170"/>
      <c r="LUM29" s="170"/>
      <c r="LUO29" s="170"/>
      <c r="LUQ29" s="170"/>
      <c r="LUS29" s="170"/>
      <c r="LUU29" s="170"/>
      <c r="LUW29" s="170"/>
      <c r="LUY29" s="170"/>
      <c r="LVA29" s="170"/>
      <c r="LVC29" s="170"/>
      <c r="LVE29" s="170"/>
      <c r="LVG29" s="170"/>
      <c r="LVI29" s="170"/>
      <c r="LVK29" s="170"/>
      <c r="LVM29" s="170"/>
      <c r="LVO29" s="170"/>
      <c r="LVQ29" s="170"/>
      <c r="LVS29" s="170"/>
      <c r="LVU29" s="170"/>
      <c r="LVW29" s="170"/>
      <c r="LVY29" s="170"/>
      <c r="LWA29" s="170"/>
      <c r="LWC29" s="170"/>
      <c r="LWE29" s="170"/>
      <c r="LWG29" s="170"/>
      <c r="LWI29" s="170"/>
      <c r="LWK29" s="170"/>
      <c r="LWM29" s="170"/>
      <c r="LWO29" s="170"/>
      <c r="LWQ29" s="170"/>
      <c r="LWS29" s="170"/>
      <c r="LWU29" s="170"/>
      <c r="LWW29" s="170"/>
      <c r="LWY29" s="170"/>
      <c r="LXA29" s="170"/>
      <c r="LXC29" s="170"/>
      <c r="LXE29" s="170"/>
      <c r="LXG29" s="170"/>
      <c r="LXI29" s="170"/>
      <c r="LXK29" s="170"/>
      <c r="LXM29" s="170"/>
      <c r="LXO29" s="170"/>
      <c r="LXQ29" s="170"/>
      <c r="LXS29" s="170"/>
      <c r="LXU29" s="170"/>
      <c r="LXW29" s="170"/>
      <c r="LXY29" s="170"/>
      <c r="LYA29" s="170"/>
      <c r="LYC29" s="170"/>
      <c r="LYE29" s="170"/>
      <c r="LYG29" s="170"/>
      <c r="LYI29" s="170"/>
      <c r="LYK29" s="170"/>
      <c r="LYM29" s="170"/>
      <c r="LYO29" s="170"/>
      <c r="LYQ29" s="170"/>
      <c r="LYS29" s="170"/>
      <c r="LYU29" s="170"/>
      <c r="LYW29" s="170"/>
      <c r="LYY29" s="170"/>
      <c r="LZA29" s="170"/>
      <c r="LZC29" s="170"/>
      <c r="LZE29" s="170"/>
      <c r="LZG29" s="170"/>
      <c r="LZI29" s="170"/>
      <c r="LZK29" s="170"/>
      <c r="LZM29" s="170"/>
      <c r="LZO29" s="170"/>
      <c r="LZQ29" s="170"/>
      <c r="LZS29" s="170"/>
      <c r="LZU29" s="170"/>
      <c r="LZW29" s="170"/>
      <c r="LZY29" s="170"/>
      <c r="MAA29" s="170"/>
      <c r="MAC29" s="170"/>
      <c r="MAE29" s="170"/>
      <c r="MAG29" s="170"/>
      <c r="MAI29" s="170"/>
      <c r="MAK29" s="170"/>
      <c r="MAM29" s="170"/>
      <c r="MAO29" s="170"/>
      <c r="MAQ29" s="170"/>
      <c r="MAS29" s="170"/>
      <c r="MAU29" s="170"/>
      <c r="MAW29" s="170"/>
      <c r="MAY29" s="170"/>
      <c r="MBA29" s="170"/>
      <c r="MBC29" s="170"/>
      <c r="MBE29" s="170"/>
      <c r="MBG29" s="170"/>
      <c r="MBI29" s="170"/>
      <c r="MBK29" s="170"/>
      <c r="MBM29" s="170"/>
      <c r="MBO29" s="170"/>
      <c r="MBQ29" s="170"/>
      <c r="MBS29" s="170"/>
      <c r="MBU29" s="170"/>
      <c r="MBW29" s="170"/>
      <c r="MBY29" s="170"/>
      <c r="MCA29" s="170"/>
      <c r="MCC29" s="170"/>
      <c r="MCE29" s="170"/>
      <c r="MCG29" s="170"/>
      <c r="MCI29" s="170"/>
      <c r="MCK29" s="170"/>
      <c r="MCM29" s="170"/>
      <c r="MCO29" s="170"/>
      <c r="MCQ29" s="170"/>
      <c r="MCS29" s="170"/>
      <c r="MCU29" s="170"/>
      <c r="MCW29" s="170"/>
      <c r="MCY29" s="170"/>
      <c r="MDA29" s="170"/>
      <c r="MDC29" s="170"/>
      <c r="MDE29" s="170"/>
      <c r="MDG29" s="170"/>
      <c r="MDI29" s="170"/>
      <c r="MDK29" s="170"/>
      <c r="MDM29" s="170"/>
      <c r="MDO29" s="170"/>
      <c r="MDQ29" s="170"/>
      <c r="MDS29" s="170"/>
      <c r="MDU29" s="170"/>
      <c r="MDW29" s="170"/>
      <c r="MDY29" s="170"/>
      <c r="MEA29" s="170"/>
      <c r="MEC29" s="170"/>
      <c r="MEE29" s="170"/>
      <c r="MEG29" s="170"/>
      <c r="MEI29" s="170"/>
      <c r="MEK29" s="170"/>
      <c r="MEM29" s="170"/>
      <c r="MEO29" s="170"/>
      <c r="MEQ29" s="170"/>
      <c r="MES29" s="170"/>
      <c r="MEU29" s="170"/>
      <c r="MEW29" s="170"/>
      <c r="MEY29" s="170"/>
      <c r="MFA29" s="170"/>
      <c r="MFC29" s="170"/>
      <c r="MFE29" s="170"/>
      <c r="MFG29" s="170"/>
      <c r="MFI29" s="170"/>
      <c r="MFK29" s="170"/>
      <c r="MFM29" s="170"/>
      <c r="MFO29" s="170"/>
      <c r="MFQ29" s="170"/>
      <c r="MFS29" s="170"/>
      <c r="MFU29" s="170"/>
      <c r="MFW29" s="170"/>
      <c r="MFY29" s="170"/>
      <c r="MGA29" s="170"/>
      <c r="MGC29" s="170"/>
      <c r="MGE29" s="170"/>
      <c r="MGG29" s="170"/>
      <c r="MGI29" s="170"/>
      <c r="MGK29" s="170"/>
      <c r="MGM29" s="170"/>
      <c r="MGO29" s="170"/>
      <c r="MGQ29" s="170"/>
      <c r="MGS29" s="170"/>
      <c r="MGU29" s="170"/>
      <c r="MGW29" s="170"/>
      <c r="MGY29" s="170"/>
      <c r="MHA29" s="170"/>
      <c r="MHC29" s="170"/>
      <c r="MHE29" s="170"/>
      <c r="MHG29" s="170"/>
      <c r="MHI29" s="170"/>
      <c r="MHK29" s="170"/>
      <c r="MHM29" s="170"/>
      <c r="MHO29" s="170"/>
      <c r="MHQ29" s="170"/>
      <c r="MHS29" s="170"/>
      <c r="MHU29" s="170"/>
      <c r="MHW29" s="170"/>
      <c r="MHY29" s="170"/>
      <c r="MIA29" s="170"/>
      <c r="MIC29" s="170"/>
      <c r="MIE29" s="170"/>
      <c r="MIG29" s="170"/>
      <c r="MII29" s="170"/>
      <c r="MIK29" s="170"/>
      <c r="MIM29" s="170"/>
      <c r="MIO29" s="170"/>
      <c r="MIQ29" s="170"/>
      <c r="MIS29" s="170"/>
      <c r="MIU29" s="170"/>
      <c r="MIW29" s="170"/>
      <c r="MIY29" s="170"/>
      <c r="MJA29" s="170"/>
      <c r="MJC29" s="170"/>
      <c r="MJE29" s="170"/>
      <c r="MJG29" s="170"/>
      <c r="MJI29" s="170"/>
      <c r="MJK29" s="170"/>
      <c r="MJM29" s="170"/>
      <c r="MJO29" s="170"/>
      <c r="MJQ29" s="170"/>
      <c r="MJS29" s="170"/>
      <c r="MJU29" s="170"/>
      <c r="MJW29" s="170"/>
      <c r="MJY29" s="170"/>
      <c r="MKA29" s="170"/>
      <c r="MKC29" s="170"/>
      <c r="MKE29" s="170"/>
      <c r="MKG29" s="170"/>
      <c r="MKI29" s="170"/>
      <c r="MKK29" s="170"/>
      <c r="MKM29" s="170"/>
      <c r="MKO29" s="170"/>
      <c r="MKQ29" s="170"/>
      <c r="MKS29" s="170"/>
      <c r="MKU29" s="170"/>
      <c r="MKW29" s="170"/>
      <c r="MKY29" s="170"/>
      <c r="MLA29" s="170"/>
      <c r="MLC29" s="170"/>
      <c r="MLE29" s="170"/>
      <c r="MLG29" s="170"/>
      <c r="MLI29" s="170"/>
      <c r="MLK29" s="170"/>
      <c r="MLM29" s="170"/>
      <c r="MLO29" s="170"/>
      <c r="MLQ29" s="170"/>
      <c r="MLS29" s="170"/>
      <c r="MLU29" s="170"/>
      <c r="MLW29" s="170"/>
      <c r="MLY29" s="170"/>
      <c r="MMA29" s="170"/>
      <c r="MMC29" s="170"/>
      <c r="MME29" s="170"/>
      <c r="MMG29" s="170"/>
      <c r="MMI29" s="170"/>
      <c r="MMK29" s="170"/>
      <c r="MMM29" s="170"/>
      <c r="MMO29" s="170"/>
      <c r="MMQ29" s="170"/>
      <c r="MMS29" s="170"/>
      <c r="MMU29" s="170"/>
      <c r="MMW29" s="170"/>
      <c r="MMY29" s="170"/>
      <c r="MNA29" s="170"/>
      <c r="MNC29" s="170"/>
      <c r="MNE29" s="170"/>
      <c r="MNG29" s="170"/>
      <c r="MNI29" s="170"/>
      <c r="MNK29" s="170"/>
      <c r="MNM29" s="170"/>
      <c r="MNO29" s="170"/>
      <c r="MNQ29" s="170"/>
      <c r="MNS29" s="170"/>
      <c r="MNU29" s="170"/>
      <c r="MNW29" s="170"/>
      <c r="MNY29" s="170"/>
      <c r="MOA29" s="170"/>
      <c r="MOC29" s="170"/>
      <c r="MOE29" s="170"/>
      <c r="MOG29" s="170"/>
      <c r="MOI29" s="170"/>
      <c r="MOK29" s="170"/>
      <c r="MOM29" s="170"/>
      <c r="MOO29" s="170"/>
      <c r="MOQ29" s="170"/>
      <c r="MOS29" s="170"/>
      <c r="MOU29" s="170"/>
      <c r="MOW29" s="170"/>
      <c r="MOY29" s="170"/>
      <c r="MPA29" s="170"/>
      <c r="MPC29" s="170"/>
      <c r="MPE29" s="170"/>
      <c r="MPG29" s="170"/>
      <c r="MPI29" s="170"/>
      <c r="MPK29" s="170"/>
      <c r="MPM29" s="170"/>
      <c r="MPO29" s="170"/>
      <c r="MPQ29" s="170"/>
      <c r="MPS29" s="170"/>
      <c r="MPU29" s="170"/>
      <c r="MPW29" s="170"/>
      <c r="MPY29" s="170"/>
      <c r="MQA29" s="170"/>
      <c r="MQC29" s="170"/>
      <c r="MQE29" s="170"/>
      <c r="MQG29" s="170"/>
      <c r="MQI29" s="170"/>
      <c r="MQK29" s="170"/>
      <c r="MQM29" s="170"/>
      <c r="MQO29" s="170"/>
      <c r="MQQ29" s="170"/>
      <c r="MQS29" s="170"/>
      <c r="MQU29" s="170"/>
      <c r="MQW29" s="170"/>
      <c r="MQY29" s="170"/>
      <c r="MRA29" s="170"/>
      <c r="MRC29" s="170"/>
      <c r="MRE29" s="170"/>
      <c r="MRG29" s="170"/>
      <c r="MRI29" s="170"/>
      <c r="MRK29" s="170"/>
      <c r="MRM29" s="170"/>
      <c r="MRO29" s="170"/>
      <c r="MRQ29" s="170"/>
      <c r="MRS29" s="170"/>
      <c r="MRU29" s="170"/>
      <c r="MRW29" s="170"/>
      <c r="MRY29" s="170"/>
      <c r="MSA29" s="170"/>
      <c r="MSC29" s="170"/>
      <c r="MSE29" s="170"/>
      <c r="MSG29" s="170"/>
      <c r="MSI29" s="170"/>
      <c r="MSK29" s="170"/>
      <c r="MSM29" s="170"/>
      <c r="MSO29" s="170"/>
      <c r="MSQ29" s="170"/>
      <c r="MSS29" s="170"/>
      <c r="MSU29" s="170"/>
      <c r="MSW29" s="170"/>
      <c r="MSY29" s="170"/>
      <c r="MTA29" s="170"/>
      <c r="MTC29" s="170"/>
      <c r="MTE29" s="170"/>
      <c r="MTG29" s="170"/>
      <c r="MTI29" s="170"/>
      <c r="MTK29" s="170"/>
      <c r="MTM29" s="170"/>
      <c r="MTO29" s="170"/>
      <c r="MTQ29" s="170"/>
      <c r="MTS29" s="170"/>
      <c r="MTU29" s="170"/>
      <c r="MTW29" s="170"/>
      <c r="MTY29" s="170"/>
      <c r="MUA29" s="170"/>
      <c r="MUC29" s="170"/>
      <c r="MUE29" s="170"/>
      <c r="MUG29" s="170"/>
      <c r="MUI29" s="170"/>
      <c r="MUK29" s="170"/>
      <c r="MUM29" s="170"/>
      <c r="MUO29" s="170"/>
      <c r="MUQ29" s="170"/>
      <c r="MUS29" s="170"/>
      <c r="MUU29" s="170"/>
      <c r="MUW29" s="170"/>
      <c r="MUY29" s="170"/>
      <c r="MVA29" s="170"/>
      <c r="MVC29" s="170"/>
      <c r="MVE29" s="170"/>
      <c r="MVG29" s="170"/>
      <c r="MVI29" s="170"/>
      <c r="MVK29" s="170"/>
      <c r="MVM29" s="170"/>
      <c r="MVO29" s="170"/>
      <c r="MVQ29" s="170"/>
      <c r="MVS29" s="170"/>
      <c r="MVU29" s="170"/>
      <c r="MVW29" s="170"/>
      <c r="MVY29" s="170"/>
      <c r="MWA29" s="170"/>
      <c r="MWC29" s="170"/>
      <c r="MWE29" s="170"/>
      <c r="MWG29" s="170"/>
      <c r="MWI29" s="170"/>
      <c r="MWK29" s="170"/>
      <c r="MWM29" s="170"/>
      <c r="MWO29" s="170"/>
      <c r="MWQ29" s="170"/>
      <c r="MWS29" s="170"/>
      <c r="MWU29" s="170"/>
      <c r="MWW29" s="170"/>
      <c r="MWY29" s="170"/>
      <c r="MXA29" s="170"/>
      <c r="MXC29" s="170"/>
      <c r="MXE29" s="170"/>
      <c r="MXG29" s="170"/>
      <c r="MXI29" s="170"/>
      <c r="MXK29" s="170"/>
      <c r="MXM29" s="170"/>
      <c r="MXO29" s="170"/>
      <c r="MXQ29" s="170"/>
      <c r="MXS29" s="170"/>
      <c r="MXU29" s="170"/>
      <c r="MXW29" s="170"/>
      <c r="MXY29" s="170"/>
      <c r="MYA29" s="170"/>
      <c r="MYC29" s="170"/>
      <c r="MYE29" s="170"/>
      <c r="MYG29" s="170"/>
      <c r="MYI29" s="170"/>
      <c r="MYK29" s="170"/>
      <c r="MYM29" s="170"/>
      <c r="MYO29" s="170"/>
      <c r="MYQ29" s="170"/>
      <c r="MYS29" s="170"/>
      <c r="MYU29" s="170"/>
      <c r="MYW29" s="170"/>
      <c r="MYY29" s="170"/>
      <c r="MZA29" s="170"/>
      <c r="MZC29" s="170"/>
      <c r="MZE29" s="170"/>
      <c r="MZG29" s="170"/>
      <c r="MZI29" s="170"/>
      <c r="MZK29" s="170"/>
      <c r="MZM29" s="170"/>
      <c r="MZO29" s="170"/>
      <c r="MZQ29" s="170"/>
      <c r="MZS29" s="170"/>
      <c r="MZU29" s="170"/>
      <c r="MZW29" s="170"/>
      <c r="MZY29" s="170"/>
      <c r="NAA29" s="170"/>
      <c r="NAC29" s="170"/>
      <c r="NAE29" s="170"/>
      <c r="NAG29" s="170"/>
      <c r="NAI29" s="170"/>
      <c r="NAK29" s="170"/>
      <c r="NAM29" s="170"/>
      <c r="NAO29" s="170"/>
      <c r="NAQ29" s="170"/>
      <c r="NAS29" s="170"/>
      <c r="NAU29" s="170"/>
      <c r="NAW29" s="170"/>
      <c r="NAY29" s="170"/>
      <c r="NBA29" s="170"/>
      <c r="NBC29" s="170"/>
      <c r="NBE29" s="170"/>
      <c r="NBG29" s="170"/>
      <c r="NBI29" s="170"/>
      <c r="NBK29" s="170"/>
      <c r="NBM29" s="170"/>
      <c r="NBO29" s="170"/>
      <c r="NBQ29" s="170"/>
      <c r="NBS29" s="170"/>
      <c r="NBU29" s="170"/>
      <c r="NBW29" s="170"/>
      <c r="NBY29" s="170"/>
      <c r="NCA29" s="170"/>
      <c r="NCC29" s="170"/>
      <c r="NCE29" s="170"/>
      <c r="NCG29" s="170"/>
      <c r="NCI29" s="170"/>
      <c r="NCK29" s="170"/>
      <c r="NCM29" s="170"/>
      <c r="NCO29" s="170"/>
      <c r="NCQ29" s="170"/>
      <c r="NCS29" s="170"/>
      <c r="NCU29" s="170"/>
      <c r="NCW29" s="170"/>
      <c r="NCY29" s="170"/>
      <c r="NDA29" s="170"/>
      <c r="NDC29" s="170"/>
      <c r="NDE29" s="170"/>
      <c r="NDG29" s="170"/>
      <c r="NDI29" s="170"/>
      <c r="NDK29" s="170"/>
      <c r="NDM29" s="170"/>
      <c r="NDO29" s="170"/>
      <c r="NDQ29" s="170"/>
      <c r="NDS29" s="170"/>
      <c r="NDU29" s="170"/>
      <c r="NDW29" s="170"/>
      <c r="NDY29" s="170"/>
      <c r="NEA29" s="170"/>
      <c r="NEC29" s="170"/>
      <c r="NEE29" s="170"/>
      <c r="NEG29" s="170"/>
      <c r="NEI29" s="170"/>
      <c r="NEK29" s="170"/>
      <c r="NEM29" s="170"/>
      <c r="NEO29" s="170"/>
      <c r="NEQ29" s="170"/>
      <c r="NES29" s="170"/>
      <c r="NEU29" s="170"/>
      <c r="NEW29" s="170"/>
      <c r="NEY29" s="170"/>
      <c r="NFA29" s="170"/>
      <c r="NFC29" s="170"/>
      <c r="NFE29" s="170"/>
      <c r="NFG29" s="170"/>
      <c r="NFI29" s="170"/>
      <c r="NFK29" s="170"/>
      <c r="NFM29" s="170"/>
      <c r="NFO29" s="170"/>
      <c r="NFQ29" s="170"/>
      <c r="NFS29" s="170"/>
      <c r="NFU29" s="170"/>
      <c r="NFW29" s="170"/>
      <c r="NFY29" s="170"/>
      <c r="NGA29" s="170"/>
      <c r="NGC29" s="170"/>
      <c r="NGE29" s="170"/>
      <c r="NGG29" s="170"/>
      <c r="NGI29" s="170"/>
      <c r="NGK29" s="170"/>
      <c r="NGM29" s="170"/>
      <c r="NGO29" s="170"/>
      <c r="NGQ29" s="170"/>
      <c r="NGS29" s="170"/>
      <c r="NGU29" s="170"/>
      <c r="NGW29" s="170"/>
      <c r="NGY29" s="170"/>
      <c r="NHA29" s="170"/>
      <c r="NHC29" s="170"/>
      <c r="NHE29" s="170"/>
      <c r="NHG29" s="170"/>
      <c r="NHI29" s="170"/>
      <c r="NHK29" s="170"/>
      <c r="NHM29" s="170"/>
      <c r="NHO29" s="170"/>
      <c r="NHQ29" s="170"/>
      <c r="NHS29" s="170"/>
      <c r="NHU29" s="170"/>
      <c r="NHW29" s="170"/>
      <c r="NHY29" s="170"/>
      <c r="NIA29" s="170"/>
      <c r="NIC29" s="170"/>
      <c r="NIE29" s="170"/>
      <c r="NIG29" s="170"/>
      <c r="NII29" s="170"/>
      <c r="NIK29" s="170"/>
      <c r="NIM29" s="170"/>
      <c r="NIO29" s="170"/>
      <c r="NIQ29" s="170"/>
      <c r="NIS29" s="170"/>
      <c r="NIU29" s="170"/>
      <c r="NIW29" s="170"/>
      <c r="NIY29" s="170"/>
      <c r="NJA29" s="170"/>
      <c r="NJC29" s="170"/>
      <c r="NJE29" s="170"/>
      <c r="NJG29" s="170"/>
      <c r="NJI29" s="170"/>
      <c r="NJK29" s="170"/>
      <c r="NJM29" s="170"/>
      <c r="NJO29" s="170"/>
      <c r="NJQ29" s="170"/>
      <c r="NJS29" s="170"/>
      <c r="NJU29" s="170"/>
      <c r="NJW29" s="170"/>
      <c r="NJY29" s="170"/>
      <c r="NKA29" s="170"/>
      <c r="NKC29" s="170"/>
      <c r="NKE29" s="170"/>
      <c r="NKG29" s="170"/>
      <c r="NKI29" s="170"/>
      <c r="NKK29" s="170"/>
      <c r="NKM29" s="170"/>
      <c r="NKO29" s="170"/>
      <c r="NKQ29" s="170"/>
      <c r="NKS29" s="170"/>
      <c r="NKU29" s="170"/>
      <c r="NKW29" s="170"/>
      <c r="NKY29" s="170"/>
      <c r="NLA29" s="170"/>
      <c r="NLC29" s="170"/>
      <c r="NLE29" s="170"/>
      <c r="NLG29" s="170"/>
      <c r="NLI29" s="170"/>
      <c r="NLK29" s="170"/>
      <c r="NLM29" s="170"/>
      <c r="NLO29" s="170"/>
      <c r="NLQ29" s="170"/>
      <c r="NLS29" s="170"/>
      <c r="NLU29" s="170"/>
      <c r="NLW29" s="170"/>
      <c r="NLY29" s="170"/>
      <c r="NMA29" s="170"/>
      <c r="NMC29" s="170"/>
      <c r="NME29" s="170"/>
      <c r="NMG29" s="170"/>
      <c r="NMI29" s="170"/>
      <c r="NMK29" s="170"/>
      <c r="NMM29" s="170"/>
      <c r="NMO29" s="170"/>
      <c r="NMQ29" s="170"/>
      <c r="NMS29" s="170"/>
      <c r="NMU29" s="170"/>
      <c r="NMW29" s="170"/>
      <c r="NMY29" s="170"/>
      <c r="NNA29" s="170"/>
      <c r="NNC29" s="170"/>
      <c r="NNE29" s="170"/>
      <c r="NNG29" s="170"/>
      <c r="NNI29" s="170"/>
      <c r="NNK29" s="170"/>
      <c r="NNM29" s="170"/>
      <c r="NNO29" s="170"/>
      <c r="NNQ29" s="170"/>
      <c r="NNS29" s="170"/>
      <c r="NNU29" s="170"/>
      <c r="NNW29" s="170"/>
      <c r="NNY29" s="170"/>
      <c r="NOA29" s="170"/>
      <c r="NOC29" s="170"/>
      <c r="NOE29" s="170"/>
      <c r="NOG29" s="170"/>
      <c r="NOI29" s="170"/>
      <c r="NOK29" s="170"/>
      <c r="NOM29" s="170"/>
      <c r="NOO29" s="170"/>
      <c r="NOQ29" s="170"/>
      <c r="NOS29" s="170"/>
      <c r="NOU29" s="170"/>
      <c r="NOW29" s="170"/>
      <c r="NOY29" s="170"/>
      <c r="NPA29" s="170"/>
      <c r="NPC29" s="170"/>
      <c r="NPE29" s="170"/>
      <c r="NPG29" s="170"/>
      <c r="NPI29" s="170"/>
      <c r="NPK29" s="170"/>
      <c r="NPM29" s="170"/>
      <c r="NPO29" s="170"/>
      <c r="NPQ29" s="170"/>
      <c r="NPS29" s="170"/>
      <c r="NPU29" s="170"/>
      <c r="NPW29" s="170"/>
      <c r="NPY29" s="170"/>
      <c r="NQA29" s="170"/>
      <c r="NQC29" s="170"/>
      <c r="NQE29" s="170"/>
      <c r="NQG29" s="170"/>
      <c r="NQI29" s="170"/>
      <c r="NQK29" s="170"/>
      <c r="NQM29" s="170"/>
      <c r="NQO29" s="170"/>
      <c r="NQQ29" s="170"/>
      <c r="NQS29" s="170"/>
      <c r="NQU29" s="170"/>
      <c r="NQW29" s="170"/>
      <c r="NQY29" s="170"/>
      <c r="NRA29" s="170"/>
      <c r="NRC29" s="170"/>
      <c r="NRE29" s="170"/>
      <c r="NRG29" s="170"/>
      <c r="NRI29" s="170"/>
      <c r="NRK29" s="170"/>
      <c r="NRM29" s="170"/>
      <c r="NRO29" s="170"/>
      <c r="NRQ29" s="170"/>
      <c r="NRS29" s="170"/>
      <c r="NRU29" s="170"/>
      <c r="NRW29" s="170"/>
      <c r="NRY29" s="170"/>
      <c r="NSA29" s="170"/>
      <c r="NSC29" s="170"/>
      <c r="NSE29" s="170"/>
      <c r="NSG29" s="170"/>
      <c r="NSI29" s="170"/>
      <c r="NSK29" s="170"/>
      <c r="NSM29" s="170"/>
      <c r="NSO29" s="170"/>
      <c r="NSQ29" s="170"/>
      <c r="NSS29" s="170"/>
      <c r="NSU29" s="170"/>
      <c r="NSW29" s="170"/>
      <c r="NSY29" s="170"/>
      <c r="NTA29" s="170"/>
      <c r="NTC29" s="170"/>
      <c r="NTE29" s="170"/>
      <c r="NTG29" s="170"/>
      <c r="NTI29" s="170"/>
      <c r="NTK29" s="170"/>
      <c r="NTM29" s="170"/>
      <c r="NTO29" s="170"/>
      <c r="NTQ29" s="170"/>
      <c r="NTS29" s="170"/>
      <c r="NTU29" s="170"/>
      <c r="NTW29" s="170"/>
      <c r="NTY29" s="170"/>
      <c r="NUA29" s="170"/>
      <c r="NUC29" s="170"/>
      <c r="NUE29" s="170"/>
      <c r="NUG29" s="170"/>
      <c r="NUI29" s="170"/>
      <c r="NUK29" s="170"/>
      <c r="NUM29" s="170"/>
      <c r="NUO29" s="170"/>
      <c r="NUQ29" s="170"/>
      <c r="NUS29" s="170"/>
      <c r="NUU29" s="170"/>
      <c r="NUW29" s="170"/>
      <c r="NUY29" s="170"/>
      <c r="NVA29" s="170"/>
      <c r="NVC29" s="170"/>
      <c r="NVE29" s="170"/>
      <c r="NVG29" s="170"/>
      <c r="NVI29" s="170"/>
      <c r="NVK29" s="170"/>
      <c r="NVM29" s="170"/>
      <c r="NVO29" s="170"/>
      <c r="NVQ29" s="170"/>
      <c r="NVS29" s="170"/>
      <c r="NVU29" s="170"/>
      <c r="NVW29" s="170"/>
      <c r="NVY29" s="170"/>
      <c r="NWA29" s="170"/>
      <c r="NWC29" s="170"/>
      <c r="NWE29" s="170"/>
      <c r="NWG29" s="170"/>
      <c r="NWI29" s="170"/>
      <c r="NWK29" s="170"/>
      <c r="NWM29" s="170"/>
      <c r="NWO29" s="170"/>
      <c r="NWQ29" s="170"/>
      <c r="NWS29" s="170"/>
      <c r="NWU29" s="170"/>
      <c r="NWW29" s="170"/>
      <c r="NWY29" s="170"/>
      <c r="NXA29" s="170"/>
      <c r="NXC29" s="170"/>
      <c r="NXE29" s="170"/>
      <c r="NXG29" s="170"/>
      <c r="NXI29" s="170"/>
      <c r="NXK29" s="170"/>
      <c r="NXM29" s="170"/>
      <c r="NXO29" s="170"/>
      <c r="NXQ29" s="170"/>
      <c r="NXS29" s="170"/>
      <c r="NXU29" s="170"/>
      <c r="NXW29" s="170"/>
      <c r="NXY29" s="170"/>
      <c r="NYA29" s="170"/>
      <c r="NYC29" s="170"/>
      <c r="NYE29" s="170"/>
      <c r="NYG29" s="170"/>
      <c r="NYI29" s="170"/>
      <c r="NYK29" s="170"/>
      <c r="NYM29" s="170"/>
      <c r="NYO29" s="170"/>
      <c r="NYQ29" s="170"/>
      <c r="NYS29" s="170"/>
      <c r="NYU29" s="170"/>
      <c r="NYW29" s="170"/>
      <c r="NYY29" s="170"/>
      <c r="NZA29" s="170"/>
      <c r="NZC29" s="170"/>
      <c r="NZE29" s="170"/>
      <c r="NZG29" s="170"/>
      <c r="NZI29" s="170"/>
      <c r="NZK29" s="170"/>
      <c r="NZM29" s="170"/>
      <c r="NZO29" s="170"/>
      <c r="NZQ29" s="170"/>
      <c r="NZS29" s="170"/>
      <c r="NZU29" s="170"/>
      <c r="NZW29" s="170"/>
      <c r="NZY29" s="170"/>
      <c r="OAA29" s="170"/>
      <c r="OAC29" s="170"/>
      <c r="OAE29" s="170"/>
      <c r="OAG29" s="170"/>
      <c r="OAI29" s="170"/>
      <c r="OAK29" s="170"/>
      <c r="OAM29" s="170"/>
      <c r="OAO29" s="170"/>
      <c r="OAQ29" s="170"/>
      <c r="OAS29" s="170"/>
      <c r="OAU29" s="170"/>
      <c r="OAW29" s="170"/>
      <c r="OAY29" s="170"/>
      <c r="OBA29" s="170"/>
      <c r="OBC29" s="170"/>
      <c r="OBE29" s="170"/>
      <c r="OBG29" s="170"/>
      <c r="OBI29" s="170"/>
      <c r="OBK29" s="170"/>
      <c r="OBM29" s="170"/>
      <c r="OBO29" s="170"/>
      <c r="OBQ29" s="170"/>
      <c r="OBS29" s="170"/>
      <c r="OBU29" s="170"/>
      <c r="OBW29" s="170"/>
      <c r="OBY29" s="170"/>
      <c r="OCA29" s="170"/>
      <c r="OCC29" s="170"/>
      <c r="OCE29" s="170"/>
      <c r="OCG29" s="170"/>
      <c r="OCI29" s="170"/>
      <c r="OCK29" s="170"/>
      <c r="OCM29" s="170"/>
      <c r="OCO29" s="170"/>
      <c r="OCQ29" s="170"/>
      <c r="OCS29" s="170"/>
      <c r="OCU29" s="170"/>
      <c r="OCW29" s="170"/>
      <c r="OCY29" s="170"/>
      <c r="ODA29" s="170"/>
      <c r="ODC29" s="170"/>
      <c r="ODE29" s="170"/>
      <c r="ODG29" s="170"/>
      <c r="ODI29" s="170"/>
      <c r="ODK29" s="170"/>
      <c r="ODM29" s="170"/>
      <c r="ODO29" s="170"/>
      <c r="ODQ29" s="170"/>
      <c r="ODS29" s="170"/>
      <c r="ODU29" s="170"/>
      <c r="ODW29" s="170"/>
      <c r="ODY29" s="170"/>
      <c r="OEA29" s="170"/>
      <c r="OEC29" s="170"/>
      <c r="OEE29" s="170"/>
      <c r="OEG29" s="170"/>
      <c r="OEI29" s="170"/>
      <c r="OEK29" s="170"/>
      <c r="OEM29" s="170"/>
      <c r="OEO29" s="170"/>
      <c r="OEQ29" s="170"/>
      <c r="OES29" s="170"/>
      <c r="OEU29" s="170"/>
      <c r="OEW29" s="170"/>
      <c r="OEY29" s="170"/>
      <c r="OFA29" s="170"/>
      <c r="OFC29" s="170"/>
      <c r="OFE29" s="170"/>
      <c r="OFG29" s="170"/>
      <c r="OFI29" s="170"/>
      <c r="OFK29" s="170"/>
      <c r="OFM29" s="170"/>
      <c r="OFO29" s="170"/>
      <c r="OFQ29" s="170"/>
      <c r="OFS29" s="170"/>
      <c r="OFU29" s="170"/>
      <c r="OFW29" s="170"/>
      <c r="OFY29" s="170"/>
      <c r="OGA29" s="170"/>
      <c r="OGC29" s="170"/>
      <c r="OGE29" s="170"/>
      <c r="OGG29" s="170"/>
      <c r="OGI29" s="170"/>
      <c r="OGK29" s="170"/>
      <c r="OGM29" s="170"/>
      <c r="OGO29" s="170"/>
      <c r="OGQ29" s="170"/>
      <c r="OGS29" s="170"/>
      <c r="OGU29" s="170"/>
      <c r="OGW29" s="170"/>
      <c r="OGY29" s="170"/>
      <c r="OHA29" s="170"/>
      <c r="OHC29" s="170"/>
      <c r="OHE29" s="170"/>
      <c r="OHG29" s="170"/>
      <c r="OHI29" s="170"/>
      <c r="OHK29" s="170"/>
      <c r="OHM29" s="170"/>
      <c r="OHO29" s="170"/>
      <c r="OHQ29" s="170"/>
      <c r="OHS29" s="170"/>
      <c r="OHU29" s="170"/>
      <c r="OHW29" s="170"/>
      <c r="OHY29" s="170"/>
      <c r="OIA29" s="170"/>
      <c r="OIC29" s="170"/>
      <c r="OIE29" s="170"/>
      <c r="OIG29" s="170"/>
      <c r="OII29" s="170"/>
      <c r="OIK29" s="170"/>
      <c r="OIM29" s="170"/>
      <c r="OIO29" s="170"/>
      <c r="OIQ29" s="170"/>
      <c r="OIS29" s="170"/>
      <c r="OIU29" s="170"/>
      <c r="OIW29" s="170"/>
      <c r="OIY29" s="170"/>
      <c r="OJA29" s="170"/>
      <c r="OJC29" s="170"/>
      <c r="OJE29" s="170"/>
      <c r="OJG29" s="170"/>
      <c r="OJI29" s="170"/>
      <c r="OJK29" s="170"/>
      <c r="OJM29" s="170"/>
      <c r="OJO29" s="170"/>
      <c r="OJQ29" s="170"/>
      <c r="OJS29" s="170"/>
      <c r="OJU29" s="170"/>
      <c r="OJW29" s="170"/>
      <c r="OJY29" s="170"/>
      <c r="OKA29" s="170"/>
      <c r="OKC29" s="170"/>
      <c r="OKE29" s="170"/>
      <c r="OKG29" s="170"/>
      <c r="OKI29" s="170"/>
      <c r="OKK29" s="170"/>
      <c r="OKM29" s="170"/>
      <c r="OKO29" s="170"/>
      <c r="OKQ29" s="170"/>
      <c r="OKS29" s="170"/>
      <c r="OKU29" s="170"/>
      <c r="OKW29" s="170"/>
      <c r="OKY29" s="170"/>
      <c r="OLA29" s="170"/>
      <c r="OLC29" s="170"/>
      <c r="OLE29" s="170"/>
      <c r="OLG29" s="170"/>
      <c r="OLI29" s="170"/>
      <c r="OLK29" s="170"/>
      <c r="OLM29" s="170"/>
      <c r="OLO29" s="170"/>
      <c r="OLQ29" s="170"/>
      <c r="OLS29" s="170"/>
      <c r="OLU29" s="170"/>
      <c r="OLW29" s="170"/>
      <c r="OLY29" s="170"/>
      <c r="OMA29" s="170"/>
      <c r="OMC29" s="170"/>
      <c r="OME29" s="170"/>
      <c r="OMG29" s="170"/>
      <c r="OMI29" s="170"/>
      <c r="OMK29" s="170"/>
      <c r="OMM29" s="170"/>
      <c r="OMO29" s="170"/>
      <c r="OMQ29" s="170"/>
      <c r="OMS29" s="170"/>
      <c r="OMU29" s="170"/>
      <c r="OMW29" s="170"/>
      <c r="OMY29" s="170"/>
      <c r="ONA29" s="170"/>
      <c r="ONC29" s="170"/>
      <c r="ONE29" s="170"/>
      <c r="ONG29" s="170"/>
      <c r="ONI29" s="170"/>
      <c r="ONK29" s="170"/>
      <c r="ONM29" s="170"/>
      <c r="ONO29" s="170"/>
      <c r="ONQ29" s="170"/>
      <c r="ONS29" s="170"/>
      <c r="ONU29" s="170"/>
      <c r="ONW29" s="170"/>
      <c r="ONY29" s="170"/>
      <c r="OOA29" s="170"/>
      <c r="OOC29" s="170"/>
      <c r="OOE29" s="170"/>
      <c r="OOG29" s="170"/>
      <c r="OOI29" s="170"/>
      <c r="OOK29" s="170"/>
      <c r="OOM29" s="170"/>
      <c r="OOO29" s="170"/>
      <c r="OOQ29" s="170"/>
      <c r="OOS29" s="170"/>
      <c r="OOU29" s="170"/>
      <c r="OOW29" s="170"/>
      <c r="OOY29" s="170"/>
      <c r="OPA29" s="170"/>
      <c r="OPC29" s="170"/>
      <c r="OPE29" s="170"/>
      <c r="OPG29" s="170"/>
      <c r="OPI29" s="170"/>
      <c r="OPK29" s="170"/>
      <c r="OPM29" s="170"/>
      <c r="OPO29" s="170"/>
      <c r="OPQ29" s="170"/>
      <c r="OPS29" s="170"/>
      <c r="OPU29" s="170"/>
      <c r="OPW29" s="170"/>
      <c r="OPY29" s="170"/>
      <c r="OQA29" s="170"/>
      <c r="OQC29" s="170"/>
      <c r="OQE29" s="170"/>
      <c r="OQG29" s="170"/>
      <c r="OQI29" s="170"/>
      <c r="OQK29" s="170"/>
      <c r="OQM29" s="170"/>
      <c r="OQO29" s="170"/>
      <c r="OQQ29" s="170"/>
      <c r="OQS29" s="170"/>
      <c r="OQU29" s="170"/>
      <c r="OQW29" s="170"/>
      <c r="OQY29" s="170"/>
      <c r="ORA29" s="170"/>
      <c r="ORC29" s="170"/>
      <c r="ORE29" s="170"/>
      <c r="ORG29" s="170"/>
      <c r="ORI29" s="170"/>
      <c r="ORK29" s="170"/>
      <c r="ORM29" s="170"/>
      <c r="ORO29" s="170"/>
      <c r="ORQ29" s="170"/>
      <c r="ORS29" s="170"/>
      <c r="ORU29" s="170"/>
      <c r="ORW29" s="170"/>
      <c r="ORY29" s="170"/>
      <c r="OSA29" s="170"/>
      <c r="OSC29" s="170"/>
      <c r="OSE29" s="170"/>
      <c r="OSG29" s="170"/>
      <c r="OSI29" s="170"/>
      <c r="OSK29" s="170"/>
      <c r="OSM29" s="170"/>
      <c r="OSO29" s="170"/>
      <c r="OSQ29" s="170"/>
      <c r="OSS29" s="170"/>
      <c r="OSU29" s="170"/>
      <c r="OSW29" s="170"/>
      <c r="OSY29" s="170"/>
      <c r="OTA29" s="170"/>
      <c r="OTC29" s="170"/>
      <c r="OTE29" s="170"/>
      <c r="OTG29" s="170"/>
      <c r="OTI29" s="170"/>
      <c r="OTK29" s="170"/>
      <c r="OTM29" s="170"/>
      <c r="OTO29" s="170"/>
      <c r="OTQ29" s="170"/>
      <c r="OTS29" s="170"/>
      <c r="OTU29" s="170"/>
      <c r="OTW29" s="170"/>
      <c r="OTY29" s="170"/>
      <c r="OUA29" s="170"/>
      <c r="OUC29" s="170"/>
      <c r="OUE29" s="170"/>
      <c r="OUG29" s="170"/>
      <c r="OUI29" s="170"/>
      <c r="OUK29" s="170"/>
      <c r="OUM29" s="170"/>
      <c r="OUO29" s="170"/>
      <c r="OUQ29" s="170"/>
      <c r="OUS29" s="170"/>
      <c r="OUU29" s="170"/>
      <c r="OUW29" s="170"/>
      <c r="OUY29" s="170"/>
      <c r="OVA29" s="170"/>
      <c r="OVC29" s="170"/>
      <c r="OVE29" s="170"/>
      <c r="OVG29" s="170"/>
      <c r="OVI29" s="170"/>
      <c r="OVK29" s="170"/>
      <c r="OVM29" s="170"/>
      <c r="OVO29" s="170"/>
      <c r="OVQ29" s="170"/>
      <c r="OVS29" s="170"/>
      <c r="OVU29" s="170"/>
      <c r="OVW29" s="170"/>
      <c r="OVY29" s="170"/>
      <c r="OWA29" s="170"/>
      <c r="OWC29" s="170"/>
      <c r="OWE29" s="170"/>
      <c r="OWG29" s="170"/>
      <c r="OWI29" s="170"/>
      <c r="OWK29" s="170"/>
      <c r="OWM29" s="170"/>
      <c r="OWO29" s="170"/>
      <c r="OWQ29" s="170"/>
      <c r="OWS29" s="170"/>
      <c r="OWU29" s="170"/>
      <c r="OWW29" s="170"/>
      <c r="OWY29" s="170"/>
      <c r="OXA29" s="170"/>
      <c r="OXC29" s="170"/>
      <c r="OXE29" s="170"/>
      <c r="OXG29" s="170"/>
      <c r="OXI29" s="170"/>
      <c r="OXK29" s="170"/>
      <c r="OXM29" s="170"/>
      <c r="OXO29" s="170"/>
      <c r="OXQ29" s="170"/>
      <c r="OXS29" s="170"/>
      <c r="OXU29" s="170"/>
      <c r="OXW29" s="170"/>
      <c r="OXY29" s="170"/>
      <c r="OYA29" s="170"/>
      <c r="OYC29" s="170"/>
      <c r="OYE29" s="170"/>
      <c r="OYG29" s="170"/>
      <c r="OYI29" s="170"/>
      <c r="OYK29" s="170"/>
      <c r="OYM29" s="170"/>
      <c r="OYO29" s="170"/>
      <c r="OYQ29" s="170"/>
      <c r="OYS29" s="170"/>
      <c r="OYU29" s="170"/>
      <c r="OYW29" s="170"/>
      <c r="OYY29" s="170"/>
      <c r="OZA29" s="170"/>
      <c r="OZC29" s="170"/>
      <c r="OZE29" s="170"/>
      <c r="OZG29" s="170"/>
      <c r="OZI29" s="170"/>
      <c r="OZK29" s="170"/>
      <c r="OZM29" s="170"/>
      <c r="OZO29" s="170"/>
      <c r="OZQ29" s="170"/>
      <c r="OZS29" s="170"/>
      <c r="OZU29" s="170"/>
      <c r="OZW29" s="170"/>
      <c r="OZY29" s="170"/>
      <c r="PAA29" s="170"/>
      <c r="PAC29" s="170"/>
      <c r="PAE29" s="170"/>
      <c r="PAG29" s="170"/>
      <c r="PAI29" s="170"/>
      <c r="PAK29" s="170"/>
      <c r="PAM29" s="170"/>
      <c r="PAO29" s="170"/>
      <c r="PAQ29" s="170"/>
      <c r="PAS29" s="170"/>
      <c r="PAU29" s="170"/>
      <c r="PAW29" s="170"/>
      <c r="PAY29" s="170"/>
      <c r="PBA29" s="170"/>
      <c r="PBC29" s="170"/>
      <c r="PBE29" s="170"/>
      <c r="PBG29" s="170"/>
      <c r="PBI29" s="170"/>
      <c r="PBK29" s="170"/>
      <c r="PBM29" s="170"/>
      <c r="PBO29" s="170"/>
      <c r="PBQ29" s="170"/>
      <c r="PBS29" s="170"/>
      <c r="PBU29" s="170"/>
      <c r="PBW29" s="170"/>
      <c r="PBY29" s="170"/>
      <c r="PCA29" s="170"/>
      <c r="PCC29" s="170"/>
      <c r="PCE29" s="170"/>
      <c r="PCG29" s="170"/>
      <c r="PCI29" s="170"/>
      <c r="PCK29" s="170"/>
      <c r="PCM29" s="170"/>
      <c r="PCO29" s="170"/>
      <c r="PCQ29" s="170"/>
      <c r="PCS29" s="170"/>
      <c r="PCU29" s="170"/>
      <c r="PCW29" s="170"/>
      <c r="PCY29" s="170"/>
      <c r="PDA29" s="170"/>
      <c r="PDC29" s="170"/>
      <c r="PDE29" s="170"/>
      <c r="PDG29" s="170"/>
      <c r="PDI29" s="170"/>
      <c r="PDK29" s="170"/>
      <c r="PDM29" s="170"/>
      <c r="PDO29" s="170"/>
      <c r="PDQ29" s="170"/>
      <c r="PDS29" s="170"/>
      <c r="PDU29" s="170"/>
      <c r="PDW29" s="170"/>
      <c r="PDY29" s="170"/>
      <c r="PEA29" s="170"/>
      <c r="PEC29" s="170"/>
      <c r="PEE29" s="170"/>
      <c r="PEG29" s="170"/>
      <c r="PEI29" s="170"/>
      <c r="PEK29" s="170"/>
      <c r="PEM29" s="170"/>
      <c r="PEO29" s="170"/>
      <c r="PEQ29" s="170"/>
      <c r="PES29" s="170"/>
      <c r="PEU29" s="170"/>
      <c r="PEW29" s="170"/>
      <c r="PEY29" s="170"/>
      <c r="PFA29" s="170"/>
      <c r="PFC29" s="170"/>
      <c r="PFE29" s="170"/>
      <c r="PFG29" s="170"/>
      <c r="PFI29" s="170"/>
      <c r="PFK29" s="170"/>
      <c r="PFM29" s="170"/>
      <c r="PFO29" s="170"/>
      <c r="PFQ29" s="170"/>
      <c r="PFS29" s="170"/>
      <c r="PFU29" s="170"/>
      <c r="PFW29" s="170"/>
      <c r="PFY29" s="170"/>
      <c r="PGA29" s="170"/>
      <c r="PGC29" s="170"/>
      <c r="PGE29" s="170"/>
      <c r="PGG29" s="170"/>
      <c r="PGI29" s="170"/>
      <c r="PGK29" s="170"/>
      <c r="PGM29" s="170"/>
      <c r="PGO29" s="170"/>
      <c r="PGQ29" s="170"/>
      <c r="PGS29" s="170"/>
      <c r="PGU29" s="170"/>
      <c r="PGW29" s="170"/>
      <c r="PGY29" s="170"/>
      <c r="PHA29" s="170"/>
      <c r="PHC29" s="170"/>
      <c r="PHE29" s="170"/>
      <c r="PHG29" s="170"/>
      <c r="PHI29" s="170"/>
      <c r="PHK29" s="170"/>
      <c r="PHM29" s="170"/>
      <c r="PHO29" s="170"/>
      <c r="PHQ29" s="170"/>
      <c r="PHS29" s="170"/>
      <c r="PHU29" s="170"/>
      <c r="PHW29" s="170"/>
      <c r="PHY29" s="170"/>
      <c r="PIA29" s="170"/>
      <c r="PIC29" s="170"/>
      <c r="PIE29" s="170"/>
      <c r="PIG29" s="170"/>
      <c r="PII29" s="170"/>
      <c r="PIK29" s="170"/>
      <c r="PIM29" s="170"/>
      <c r="PIO29" s="170"/>
      <c r="PIQ29" s="170"/>
      <c r="PIS29" s="170"/>
      <c r="PIU29" s="170"/>
      <c r="PIW29" s="170"/>
      <c r="PIY29" s="170"/>
      <c r="PJA29" s="170"/>
      <c r="PJC29" s="170"/>
      <c r="PJE29" s="170"/>
      <c r="PJG29" s="170"/>
      <c r="PJI29" s="170"/>
      <c r="PJK29" s="170"/>
      <c r="PJM29" s="170"/>
      <c r="PJO29" s="170"/>
      <c r="PJQ29" s="170"/>
      <c r="PJS29" s="170"/>
      <c r="PJU29" s="170"/>
      <c r="PJW29" s="170"/>
      <c r="PJY29" s="170"/>
      <c r="PKA29" s="170"/>
      <c r="PKC29" s="170"/>
      <c r="PKE29" s="170"/>
      <c r="PKG29" s="170"/>
      <c r="PKI29" s="170"/>
      <c r="PKK29" s="170"/>
      <c r="PKM29" s="170"/>
      <c r="PKO29" s="170"/>
      <c r="PKQ29" s="170"/>
      <c r="PKS29" s="170"/>
      <c r="PKU29" s="170"/>
      <c r="PKW29" s="170"/>
      <c r="PKY29" s="170"/>
      <c r="PLA29" s="170"/>
      <c r="PLC29" s="170"/>
      <c r="PLE29" s="170"/>
      <c r="PLG29" s="170"/>
      <c r="PLI29" s="170"/>
      <c r="PLK29" s="170"/>
      <c r="PLM29" s="170"/>
      <c r="PLO29" s="170"/>
      <c r="PLQ29" s="170"/>
      <c r="PLS29" s="170"/>
      <c r="PLU29" s="170"/>
      <c r="PLW29" s="170"/>
      <c r="PLY29" s="170"/>
      <c r="PMA29" s="170"/>
      <c r="PMC29" s="170"/>
      <c r="PME29" s="170"/>
      <c r="PMG29" s="170"/>
      <c r="PMI29" s="170"/>
      <c r="PMK29" s="170"/>
      <c r="PMM29" s="170"/>
      <c r="PMO29" s="170"/>
      <c r="PMQ29" s="170"/>
      <c r="PMS29" s="170"/>
      <c r="PMU29" s="170"/>
      <c r="PMW29" s="170"/>
      <c r="PMY29" s="170"/>
      <c r="PNA29" s="170"/>
      <c r="PNC29" s="170"/>
      <c r="PNE29" s="170"/>
      <c r="PNG29" s="170"/>
      <c r="PNI29" s="170"/>
      <c r="PNK29" s="170"/>
      <c r="PNM29" s="170"/>
      <c r="PNO29" s="170"/>
      <c r="PNQ29" s="170"/>
      <c r="PNS29" s="170"/>
      <c r="PNU29" s="170"/>
      <c r="PNW29" s="170"/>
      <c r="PNY29" s="170"/>
      <c r="POA29" s="170"/>
      <c r="POC29" s="170"/>
      <c r="POE29" s="170"/>
      <c r="POG29" s="170"/>
      <c r="POI29" s="170"/>
      <c r="POK29" s="170"/>
      <c r="POM29" s="170"/>
      <c r="POO29" s="170"/>
      <c r="POQ29" s="170"/>
      <c r="POS29" s="170"/>
      <c r="POU29" s="170"/>
      <c r="POW29" s="170"/>
      <c r="POY29" s="170"/>
      <c r="PPA29" s="170"/>
      <c r="PPC29" s="170"/>
      <c r="PPE29" s="170"/>
      <c r="PPG29" s="170"/>
      <c r="PPI29" s="170"/>
      <c r="PPK29" s="170"/>
      <c r="PPM29" s="170"/>
      <c r="PPO29" s="170"/>
      <c r="PPQ29" s="170"/>
      <c r="PPS29" s="170"/>
      <c r="PPU29" s="170"/>
      <c r="PPW29" s="170"/>
      <c r="PPY29" s="170"/>
      <c r="PQA29" s="170"/>
      <c r="PQC29" s="170"/>
      <c r="PQE29" s="170"/>
      <c r="PQG29" s="170"/>
      <c r="PQI29" s="170"/>
      <c r="PQK29" s="170"/>
      <c r="PQM29" s="170"/>
      <c r="PQO29" s="170"/>
      <c r="PQQ29" s="170"/>
      <c r="PQS29" s="170"/>
      <c r="PQU29" s="170"/>
      <c r="PQW29" s="170"/>
      <c r="PQY29" s="170"/>
      <c r="PRA29" s="170"/>
      <c r="PRC29" s="170"/>
      <c r="PRE29" s="170"/>
      <c r="PRG29" s="170"/>
      <c r="PRI29" s="170"/>
      <c r="PRK29" s="170"/>
      <c r="PRM29" s="170"/>
      <c r="PRO29" s="170"/>
      <c r="PRQ29" s="170"/>
      <c r="PRS29" s="170"/>
      <c r="PRU29" s="170"/>
      <c r="PRW29" s="170"/>
      <c r="PRY29" s="170"/>
      <c r="PSA29" s="170"/>
      <c r="PSC29" s="170"/>
      <c r="PSE29" s="170"/>
      <c r="PSG29" s="170"/>
      <c r="PSI29" s="170"/>
      <c r="PSK29" s="170"/>
      <c r="PSM29" s="170"/>
      <c r="PSO29" s="170"/>
      <c r="PSQ29" s="170"/>
      <c r="PSS29" s="170"/>
      <c r="PSU29" s="170"/>
      <c r="PSW29" s="170"/>
      <c r="PSY29" s="170"/>
      <c r="PTA29" s="170"/>
      <c r="PTC29" s="170"/>
      <c r="PTE29" s="170"/>
      <c r="PTG29" s="170"/>
      <c r="PTI29" s="170"/>
      <c r="PTK29" s="170"/>
      <c r="PTM29" s="170"/>
      <c r="PTO29" s="170"/>
      <c r="PTQ29" s="170"/>
      <c r="PTS29" s="170"/>
      <c r="PTU29" s="170"/>
      <c r="PTW29" s="170"/>
      <c r="PTY29" s="170"/>
      <c r="PUA29" s="170"/>
      <c r="PUC29" s="170"/>
      <c r="PUE29" s="170"/>
      <c r="PUG29" s="170"/>
      <c r="PUI29" s="170"/>
      <c r="PUK29" s="170"/>
      <c r="PUM29" s="170"/>
      <c r="PUO29" s="170"/>
      <c r="PUQ29" s="170"/>
      <c r="PUS29" s="170"/>
      <c r="PUU29" s="170"/>
      <c r="PUW29" s="170"/>
      <c r="PUY29" s="170"/>
      <c r="PVA29" s="170"/>
      <c r="PVC29" s="170"/>
      <c r="PVE29" s="170"/>
      <c r="PVG29" s="170"/>
      <c r="PVI29" s="170"/>
      <c r="PVK29" s="170"/>
      <c r="PVM29" s="170"/>
      <c r="PVO29" s="170"/>
      <c r="PVQ29" s="170"/>
      <c r="PVS29" s="170"/>
      <c r="PVU29" s="170"/>
      <c r="PVW29" s="170"/>
      <c r="PVY29" s="170"/>
      <c r="PWA29" s="170"/>
      <c r="PWC29" s="170"/>
      <c r="PWE29" s="170"/>
      <c r="PWG29" s="170"/>
      <c r="PWI29" s="170"/>
      <c r="PWK29" s="170"/>
      <c r="PWM29" s="170"/>
      <c r="PWO29" s="170"/>
      <c r="PWQ29" s="170"/>
      <c r="PWS29" s="170"/>
      <c r="PWU29" s="170"/>
      <c r="PWW29" s="170"/>
      <c r="PWY29" s="170"/>
      <c r="PXA29" s="170"/>
      <c r="PXC29" s="170"/>
      <c r="PXE29" s="170"/>
      <c r="PXG29" s="170"/>
      <c r="PXI29" s="170"/>
      <c r="PXK29" s="170"/>
      <c r="PXM29" s="170"/>
      <c r="PXO29" s="170"/>
      <c r="PXQ29" s="170"/>
      <c r="PXS29" s="170"/>
      <c r="PXU29" s="170"/>
      <c r="PXW29" s="170"/>
      <c r="PXY29" s="170"/>
      <c r="PYA29" s="170"/>
      <c r="PYC29" s="170"/>
      <c r="PYE29" s="170"/>
      <c r="PYG29" s="170"/>
      <c r="PYI29" s="170"/>
      <c r="PYK29" s="170"/>
      <c r="PYM29" s="170"/>
      <c r="PYO29" s="170"/>
      <c r="PYQ29" s="170"/>
      <c r="PYS29" s="170"/>
      <c r="PYU29" s="170"/>
      <c r="PYW29" s="170"/>
      <c r="PYY29" s="170"/>
      <c r="PZA29" s="170"/>
      <c r="PZC29" s="170"/>
      <c r="PZE29" s="170"/>
      <c r="PZG29" s="170"/>
      <c r="PZI29" s="170"/>
      <c r="PZK29" s="170"/>
      <c r="PZM29" s="170"/>
      <c r="PZO29" s="170"/>
      <c r="PZQ29" s="170"/>
      <c r="PZS29" s="170"/>
      <c r="PZU29" s="170"/>
      <c r="PZW29" s="170"/>
      <c r="PZY29" s="170"/>
      <c r="QAA29" s="170"/>
      <c r="QAC29" s="170"/>
      <c r="QAE29" s="170"/>
      <c r="QAG29" s="170"/>
      <c r="QAI29" s="170"/>
      <c r="QAK29" s="170"/>
      <c r="QAM29" s="170"/>
      <c r="QAO29" s="170"/>
      <c r="QAQ29" s="170"/>
      <c r="QAS29" s="170"/>
      <c r="QAU29" s="170"/>
      <c r="QAW29" s="170"/>
      <c r="QAY29" s="170"/>
      <c r="QBA29" s="170"/>
      <c r="QBC29" s="170"/>
      <c r="QBE29" s="170"/>
      <c r="QBG29" s="170"/>
      <c r="QBI29" s="170"/>
      <c r="QBK29" s="170"/>
      <c r="QBM29" s="170"/>
      <c r="QBO29" s="170"/>
      <c r="QBQ29" s="170"/>
      <c r="QBS29" s="170"/>
      <c r="QBU29" s="170"/>
      <c r="QBW29" s="170"/>
      <c r="QBY29" s="170"/>
      <c r="QCA29" s="170"/>
      <c r="QCC29" s="170"/>
      <c r="QCE29" s="170"/>
      <c r="QCG29" s="170"/>
      <c r="QCI29" s="170"/>
      <c r="QCK29" s="170"/>
      <c r="QCM29" s="170"/>
      <c r="QCO29" s="170"/>
      <c r="QCQ29" s="170"/>
      <c r="QCS29" s="170"/>
      <c r="QCU29" s="170"/>
      <c r="QCW29" s="170"/>
      <c r="QCY29" s="170"/>
      <c r="QDA29" s="170"/>
      <c r="QDC29" s="170"/>
      <c r="QDE29" s="170"/>
      <c r="QDG29" s="170"/>
      <c r="QDI29" s="170"/>
      <c r="QDK29" s="170"/>
      <c r="QDM29" s="170"/>
      <c r="QDO29" s="170"/>
      <c r="QDQ29" s="170"/>
      <c r="QDS29" s="170"/>
      <c r="QDU29" s="170"/>
      <c r="QDW29" s="170"/>
      <c r="QDY29" s="170"/>
      <c r="QEA29" s="170"/>
      <c r="QEC29" s="170"/>
      <c r="QEE29" s="170"/>
      <c r="QEG29" s="170"/>
      <c r="QEI29" s="170"/>
      <c r="QEK29" s="170"/>
      <c r="QEM29" s="170"/>
      <c r="QEO29" s="170"/>
      <c r="QEQ29" s="170"/>
      <c r="QES29" s="170"/>
      <c r="QEU29" s="170"/>
      <c r="QEW29" s="170"/>
      <c r="QEY29" s="170"/>
      <c r="QFA29" s="170"/>
      <c r="QFC29" s="170"/>
      <c r="QFE29" s="170"/>
      <c r="QFG29" s="170"/>
      <c r="QFI29" s="170"/>
      <c r="QFK29" s="170"/>
      <c r="QFM29" s="170"/>
      <c r="QFO29" s="170"/>
      <c r="QFQ29" s="170"/>
      <c r="QFS29" s="170"/>
      <c r="QFU29" s="170"/>
      <c r="QFW29" s="170"/>
      <c r="QFY29" s="170"/>
      <c r="QGA29" s="170"/>
      <c r="QGC29" s="170"/>
      <c r="QGE29" s="170"/>
      <c r="QGG29" s="170"/>
      <c r="QGI29" s="170"/>
      <c r="QGK29" s="170"/>
      <c r="QGM29" s="170"/>
      <c r="QGO29" s="170"/>
      <c r="QGQ29" s="170"/>
      <c r="QGS29" s="170"/>
      <c r="QGU29" s="170"/>
      <c r="QGW29" s="170"/>
      <c r="QGY29" s="170"/>
      <c r="QHA29" s="170"/>
      <c r="QHC29" s="170"/>
      <c r="QHE29" s="170"/>
      <c r="QHG29" s="170"/>
      <c r="QHI29" s="170"/>
      <c r="QHK29" s="170"/>
      <c r="QHM29" s="170"/>
      <c r="QHO29" s="170"/>
      <c r="QHQ29" s="170"/>
      <c r="QHS29" s="170"/>
      <c r="QHU29" s="170"/>
      <c r="QHW29" s="170"/>
      <c r="QHY29" s="170"/>
      <c r="QIA29" s="170"/>
      <c r="QIC29" s="170"/>
      <c r="QIE29" s="170"/>
      <c r="QIG29" s="170"/>
      <c r="QII29" s="170"/>
      <c r="QIK29" s="170"/>
      <c r="QIM29" s="170"/>
      <c r="QIO29" s="170"/>
      <c r="QIQ29" s="170"/>
      <c r="QIS29" s="170"/>
      <c r="QIU29" s="170"/>
      <c r="QIW29" s="170"/>
      <c r="QIY29" s="170"/>
      <c r="QJA29" s="170"/>
      <c r="QJC29" s="170"/>
      <c r="QJE29" s="170"/>
      <c r="QJG29" s="170"/>
      <c r="QJI29" s="170"/>
      <c r="QJK29" s="170"/>
      <c r="QJM29" s="170"/>
      <c r="QJO29" s="170"/>
      <c r="QJQ29" s="170"/>
      <c r="QJS29" s="170"/>
      <c r="QJU29" s="170"/>
      <c r="QJW29" s="170"/>
      <c r="QJY29" s="170"/>
      <c r="QKA29" s="170"/>
      <c r="QKC29" s="170"/>
      <c r="QKE29" s="170"/>
      <c r="QKG29" s="170"/>
      <c r="QKI29" s="170"/>
      <c r="QKK29" s="170"/>
      <c r="QKM29" s="170"/>
      <c r="QKO29" s="170"/>
      <c r="QKQ29" s="170"/>
      <c r="QKS29" s="170"/>
      <c r="QKU29" s="170"/>
      <c r="QKW29" s="170"/>
      <c r="QKY29" s="170"/>
      <c r="QLA29" s="170"/>
      <c r="QLC29" s="170"/>
      <c r="QLE29" s="170"/>
      <c r="QLG29" s="170"/>
      <c r="QLI29" s="170"/>
      <c r="QLK29" s="170"/>
      <c r="QLM29" s="170"/>
      <c r="QLO29" s="170"/>
      <c r="QLQ29" s="170"/>
      <c r="QLS29" s="170"/>
      <c r="QLU29" s="170"/>
      <c r="QLW29" s="170"/>
      <c r="QLY29" s="170"/>
      <c r="QMA29" s="170"/>
      <c r="QMC29" s="170"/>
      <c r="QME29" s="170"/>
      <c r="QMG29" s="170"/>
      <c r="QMI29" s="170"/>
      <c r="QMK29" s="170"/>
      <c r="QMM29" s="170"/>
      <c r="QMO29" s="170"/>
      <c r="QMQ29" s="170"/>
      <c r="QMS29" s="170"/>
      <c r="QMU29" s="170"/>
      <c r="QMW29" s="170"/>
      <c r="QMY29" s="170"/>
      <c r="QNA29" s="170"/>
      <c r="QNC29" s="170"/>
      <c r="QNE29" s="170"/>
      <c r="QNG29" s="170"/>
      <c r="QNI29" s="170"/>
      <c r="QNK29" s="170"/>
      <c r="QNM29" s="170"/>
      <c r="QNO29" s="170"/>
      <c r="QNQ29" s="170"/>
      <c r="QNS29" s="170"/>
      <c r="QNU29" s="170"/>
      <c r="QNW29" s="170"/>
      <c r="QNY29" s="170"/>
      <c r="QOA29" s="170"/>
      <c r="QOC29" s="170"/>
      <c r="QOE29" s="170"/>
      <c r="QOG29" s="170"/>
      <c r="QOI29" s="170"/>
      <c r="QOK29" s="170"/>
      <c r="QOM29" s="170"/>
      <c r="QOO29" s="170"/>
      <c r="QOQ29" s="170"/>
      <c r="QOS29" s="170"/>
      <c r="QOU29" s="170"/>
      <c r="QOW29" s="170"/>
      <c r="QOY29" s="170"/>
      <c r="QPA29" s="170"/>
      <c r="QPC29" s="170"/>
      <c r="QPE29" s="170"/>
      <c r="QPG29" s="170"/>
      <c r="QPI29" s="170"/>
      <c r="QPK29" s="170"/>
      <c r="QPM29" s="170"/>
      <c r="QPO29" s="170"/>
      <c r="QPQ29" s="170"/>
      <c r="QPS29" s="170"/>
      <c r="QPU29" s="170"/>
      <c r="QPW29" s="170"/>
      <c r="QPY29" s="170"/>
      <c r="QQA29" s="170"/>
      <c r="QQC29" s="170"/>
      <c r="QQE29" s="170"/>
      <c r="QQG29" s="170"/>
      <c r="QQI29" s="170"/>
      <c r="QQK29" s="170"/>
      <c r="QQM29" s="170"/>
      <c r="QQO29" s="170"/>
      <c r="QQQ29" s="170"/>
      <c r="QQS29" s="170"/>
      <c r="QQU29" s="170"/>
      <c r="QQW29" s="170"/>
      <c r="QQY29" s="170"/>
      <c r="QRA29" s="170"/>
      <c r="QRC29" s="170"/>
      <c r="QRE29" s="170"/>
      <c r="QRG29" s="170"/>
      <c r="QRI29" s="170"/>
      <c r="QRK29" s="170"/>
      <c r="QRM29" s="170"/>
      <c r="QRO29" s="170"/>
      <c r="QRQ29" s="170"/>
      <c r="QRS29" s="170"/>
      <c r="QRU29" s="170"/>
      <c r="QRW29" s="170"/>
      <c r="QRY29" s="170"/>
      <c r="QSA29" s="170"/>
      <c r="QSC29" s="170"/>
      <c r="QSE29" s="170"/>
      <c r="QSG29" s="170"/>
      <c r="QSI29" s="170"/>
      <c r="QSK29" s="170"/>
      <c r="QSM29" s="170"/>
      <c r="QSO29" s="170"/>
      <c r="QSQ29" s="170"/>
      <c r="QSS29" s="170"/>
      <c r="QSU29" s="170"/>
      <c r="QSW29" s="170"/>
      <c r="QSY29" s="170"/>
      <c r="QTA29" s="170"/>
      <c r="QTC29" s="170"/>
      <c r="QTE29" s="170"/>
      <c r="QTG29" s="170"/>
      <c r="QTI29" s="170"/>
      <c r="QTK29" s="170"/>
      <c r="QTM29" s="170"/>
      <c r="QTO29" s="170"/>
      <c r="QTQ29" s="170"/>
      <c r="QTS29" s="170"/>
      <c r="QTU29" s="170"/>
      <c r="QTW29" s="170"/>
      <c r="QTY29" s="170"/>
      <c r="QUA29" s="170"/>
      <c r="QUC29" s="170"/>
      <c r="QUE29" s="170"/>
      <c r="QUG29" s="170"/>
      <c r="QUI29" s="170"/>
      <c r="QUK29" s="170"/>
      <c r="QUM29" s="170"/>
      <c r="QUO29" s="170"/>
      <c r="QUQ29" s="170"/>
      <c r="QUS29" s="170"/>
      <c r="QUU29" s="170"/>
      <c r="QUW29" s="170"/>
      <c r="QUY29" s="170"/>
      <c r="QVA29" s="170"/>
      <c r="QVC29" s="170"/>
      <c r="QVE29" s="170"/>
      <c r="QVG29" s="170"/>
      <c r="QVI29" s="170"/>
      <c r="QVK29" s="170"/>
      <c r="QVM29" s="170"/>
      <c r="QVO29" s="170"/>
      <c r="QVQ29" s="170"/>
      <c r="QVS29" s="170"/>
      <c r="QVU29" s="170"/>
      <c r="QVW29" s="170"/>
      <c r="QVY29" s="170"/>
      <c r="QWA29" s="170"/>
      <c r="QWC29" s="170"/>
      <c r="QWE29" s="170"/>
      <c r="QWG29" s="170"/>
      <c r="QWI29" s="170"/>
      <c r="QWK29" s="170"/>
      <c r="QWM29" s="170"/>
      <c r="QWO29" s="170"/>
      <c r="QWQ29" s="170"/>
      <c r="QWS29" s="170"/>
      <c r="QWU29" s="170"/>
      <c r="QWW29" s="170"/>
      <c r="QWY29" s="170"/>
      <c r="QXA29" s="170"/>
      <c r="QXC29" s="170"/>
      <c r="QXE29" s="170"/>
      <c r="QXG29" s="170"/>
      <c r="QXI29" s="170"/>
      <c r="QXK29" s="170"/>
      <c r="QXM29" s="170"/>
      <c r="QXO29" s="170"/>
      <c r="QXQ29" s="170"/>
      <c r="QXS29" s="170"/>
      <c r="QXU29" s="170"/>
      <c r="QXW29" s="170"/>
      <c r="QXY29" s="170"/>
      <c r="QYA29" s="170"/>
      <c r="QYC29" s="170"/>
      <c r="QYE29" s="170"/>
      <c r="QYG29" s="170"/>
      <c r="QYI29" s="170"/>
      <c r="QYK29" s="170"/>
      <c r="QYM29" s="170"/>
      <c r="QYO29" s="170"/>
      <c r="QYQ29" s="170"/>
      <c r="QYS29" s="170"/>
      <c r="QYU29" s="170"/>
      <c r="QYW29" s="170"/>
      <c r="QYY29" s="170"/>
      <c r="QZA29" s="170"/>
      <c r="QZC29" s="170"/>
      <c r="QZE29" s="170"/>
      <c r="QZG29" s="170"/>
      <c r="QZI29" s="170"/>
      <c r="QZK29" s="170"/>
      <c r="QZM29" s="170"/>
      <c r="QZO29" s="170"/>
      <c r="QZQ29" s="170"/>
      <c r="QZS29" s="170"/>
      <c r="QZU29" s="170"/>
      <c r="QZW29" s="170"/>
      <c r="QZY29" s="170"/>
      <c r="RAA29" s="170"/>
      <c r="RAC29" s="170"/>
      <c r="RAE29" s="170"/>
      <c r="RAG29" s="170"/>
      <c r="RAI29" s="170"/>
      <c r="RAK29" s="170"/>
      <c r="RAM29" s="170"/>
      <c r="RAO29" s="170"/>
      <c r="RAQ29" s="170"/>
      <c r="RAS29" s="170"/>
      <c r="RAU29" s="170"/>
      <c r="RAW29" s="170"/>
      <c r="RAY29" s="170"/>
      <c r="RBA29" s="170"/>
      <c r="RBC29" s="170"/>
      <c r="RBE29" s="170"/>
      <c r="RBG29" s="170"/>
      <c r="RBI29" s="170"/>
      <c r="RBK29" s="170"/>
      <c r="RBM29" s="170"/>
      <c r="RBO29" s="170"/>
      <c r="RBQ29" s="170"/>
      <c r="RBS29" s="170"/>
      <c r="RBU29" s="170"/>
      <c r="RBW29" s="170"/>
      <c r="RBY29" s="170"/>
      <c r="RCA29" s="170"/>
      <c r="RCC29" s="170"/>
      <c r="RCE29" s="170"/>
      <c r="RCG29" s="170"/>
      <c r="RCI29" s="170"/>
      <c r="RCK29" s="170"/>
      <c r="RCM29" s="170"/>
      <c r="RCO29" s="170"/>
      <c r="RCQ29" s="170"/>
      <c r="RCS29" s="170"/>
      <c r="RCU29" s="170"/>
      <c r="RCW29" s="170"/>
      <c r="RCY29" s="170"/>
      <c r="RDA29" s="170"/>
      <c r="RDC29" s="170"/>
      <c r="RDE29" s="170"/>
      <c r="RDG29" s="170"/>
      <c r="RDI29" s="170"/>
      <c r="RDK29" s="170"/>
      <c r="RDM29" s="170"/>
      <c r="RDO29" s="170"/>
      <c r="RDQ29" s="170"/>
      <c r="RDS29" s="170"/>
      <c r="RDU29" s="170"/>
      <c r="RDW29" s="170"/>
      <c r="RDY29" s="170"/>
      <c r="REA29" s="170"/>
      <c r="REC29" s="170"/>
      <c r="REE29" s="170"/>
      <c r="REG29" s="170"/>
      <c r="REI29" s="170"/>
      <c r="REK29" s="170"/>
      <c r="REM29" s="170"/>
      <c r="REO29" s="170"/>
      <c r="REQ29" s="170"/>
      <c r="RES29" s="170"/>
      <c r="REU29" s="170"/>
      <c r="REW29" s="170"/>
      <c r="REY29" s="170"/>
      <c r="RFA29" s="170"/>
      <c r="RFC29" s="170"/>
      <c r="RFE29" s="170"/>
      <c r="RFG29" s="170"/>
      <c r="RFI29" s="170"/>
      <c r="RFK29" s="170"/>
      <c r="RFM29" s="170"/>
      <c r="RFO29" s="170"/>
      <c r="RFQ29" s="170"/>
      <c r="RFS29" s="170"/>
      <c r="RFU29" s="170"/>
      <c r="RFW29" s="170"/>
      <c r="RFY29" s="170"/>
      <c r="RGA29" s="170"/>
      <c r="RGC29" s="170"/>
      <c r="RGE29" s="170"/>
      <c r="RGG29" s="170"/>
      <c r="RGI29" s="170"/>
      <c r="RGK29" s="170"/>
      <c r="RGM29" s="170"/>
      <c r="RGO29" s="170"/>
      <c r="RGQ29" s="170"/>
      <c r="RGS29" s="170"/>
      <c r="RGU29" s="170"/>
      <c r="RGW29" s="170"/>
      <c r="RGY29" s="170"/>
      <c r="RHA29" s="170"/>
      <c r="RHC29" s="170"/>
      <c r="RHE29" s="170"/>
      <c r="RHG29" s="170"/>
      <c r="RHI29" s="170"/>
      <c r="RHK29" s="170"/>
      <c r="RHM29" s="170"/>
      <c r="RHO29" s="170"/>
      <c r="RHQ29" s="170"/>
      <c r="RHS29" s="170"/>
      <c r="RHU29" s="170"/>
      <c r="RHW29" s="170"/>
      <c r="RHY29" s="170"/>
      <c r="RIA29" s="170"/>
      <c r="RIC29" s="170"/>
      <c r="RIE29" s="170"/>
      <c r="RIG29" s="170"/>
      <c r="RII29" s="170"/>
      <c r="RIK29" s="170"/>
      <c r="RIM29" s="170"/>
      <c r="RIO29" s="170"/>
      <c r="RIQ29" s="170"/>
      <c r="RIS29" s="170"/>
      <c r="RIU29" s="170"/>
      <c r="RIW29" s="170"/>
      <c r="RIY29" s="170"/>
      <c r="RJA29" s="170"/>
      <c r="RJC29" s="170"/>
      <c r="RJE29" s="170"/>
      <c r="RJG29" s="170"/>
      <c r="RJI29" s="170"/>
      <c r="RJK29" s="170"/>
      <c r="RJM29" s="170"/>
      <c r="RJO29" s="170"/>
      <c r="RJQ29" s="170"/>
      <c r="RJS29" s="170"/>
      <c r="RJU29" s="170"/>
      <c r="RJW29" s="170"/>
      <c r="RJY29" s="170"/>
      <c r="RKA29" s="170"/>
      <c r="RKC29" s="170"/>
      <c r="RKE29" s="170"/>
      <c r="RKG29" s="170"/>
      <c r="RKI29" s="170"/>
      <c r="RKK29" s="170"/>
      <c r="RKM29" s="170"/>
      <c r="RKO29" s="170"/>
      <c r="RKQ29" s="170"/>
      <c r="RKS29" s="170"/>
      <c r="RKU29" s="170"/>
      <c r="RKW29" s="170"/>
      <c r="RKY29" s="170"/>
      <c r="RLA29" s="170"/>
      <c r="RLC29" s="170"/>
      <c r="RLE29" s="170"/>
      <c r="RLG29" s="170"/>
      <c r="RLI29" s="170"/>
      <c r="RLK29" s="170"/>
      <c r="RLM29" s="170"/>
      <c r="RLO29" s="170"/>
      <c r="RLQ29" s="170"/>
      <c r="RLS29" s="170"/>
      <c r="RLU29" s="170"/>
      <c r="RLW29" s="170"/>
      <c r="RLY29" s="170"/>
      <c r="RMA29" s="170"/>
      <c r="RMC29" s="170"/>
      <c r="RME29" s="170"/>
      <c r="RMG29" s="170"/>
      <c r="RMI29" s="170"/>
      <c r="RMK29" s="170"/>
      <c r="RMM29" s="170"/>
      <c r="RMO29" s="170"/>
      <c r="RMQ29" s="170"/>
      <c r="RMS29" s="170"/>
      <c r="RMU29" s="170"/>
      <c r="RMW29" s="170"/>
      <c r="RMY29" s="170"/>
      <c r="RNA29" s="170"/>
      <c r="RNC29" s="170"/>
      <c r="RNE29" s="170"/>
      <c r="RNG29" s="170"/>
      <c r="RNI29" s="170"/>
      <c r="RNK29" s="170"/>
      <c r="RNM29" s="170"/>
      <c r="RNO29" s="170"/>
      <c r="RNQ29" s="170"/>
      <c r="RNS29" s="170"/>
      <c r="RNU29" s="170"/>
      <c r="RNW29" s="170"/>
      <c r="RNY29" s="170"/>
      <c r="ROA29" s="170"/>
      <c r="ROC29" s="170"/>
      <c r="ROE29" s="170"/>
      <c r="ROG29" s="170"/>
      <c r="ROI29" s="170"/>
      <c r="ROK29" s="170"/>
      <c r="ROM29" s="170"/>
      <c r="ROO29" s="170"/>
      <c r="ROQ29" s="170"/>
      <c r="ROS29" s="170"/>
      <c r="ROU29" s="170"/>
      <c r="ROW29" s="170"/>
      <c r="ROY29" s="170"/>
      <c r="RPA29" s="170"/>
      <c r="RPC29" s="170"/>
      <c r="RPE29" s="170"/>
      <c r="RPG29" s="170"/>
      <c r="RPI29" s="170"/>
      <c r="RPK29" s="170"/>
      <c r="RPM29" s="170"/>
      <c r="RPO29" s="170"/>
      <c r="RPQ29" s="170"/>
      <c r="RPS29" s="170"/>
      <c r="RPU29" s="170"/>
      <c r="RPW29" s="170"/>
      <c r="RPY29" s="170"/>
      <c r="RQA29" s="170"/>
      <c r="RQC29" s="170"/>
      <c r="RQE29" s="170"/>
      <c r="RQG29" s="170"/>
      <c r="RQI29" s="170"/>
      <c r="RQK29" s="170"/>
      <c r="RQM29" s="170"/>
      <c r="RQO29" s="170"/>
      <c r="RQQ29" s="170"/>
      <c r="RQS29" s="170"/>
      <c r="RQU29" s="170"/>
      <c r="RQW29" s="170"/>
      <c r="RQY29" s="170"/>
      <c r="RRA29" s="170"/>
      <c r="RRC29" s="170"/>
      <c r="RRE29" s="170"/>
      <c r="RRG29" s="170"/>
      <c r="RRI29" s="170"/>
      <c r="RRK29" s="170"/>
      <c r="RRM29" s="170"/>
      <c r="RRO29" s="170"/>
      <c r="RRQ29" s="170"/>
      <c r="RRS29" s="170"/>
      <c r="RRU29" s="170"/>
      <c r="RRW29" s="170"/>
      <c r="RRY29" s="170"/>
      <c r="RSA29" s="170"/>
      <c r="RSC29" s="170"/>
      <c r="RSE29" s="170"/>
      <c r="RSG29" s="170"/>
      <c r="RSI29" s="170"/>
      <c r="RSK29" s="170"/>
      <c r="RSM29" s="170"/>
      <c r="RSO29" s="170"/>
      <c r="RSQ29" s="170"/>
      <c r="RSS29" s="170"/>
      <c r="RSU29" s="170"/>
      <c r="RSW29" s="170"/>
      <c r="RSY29" s="170"/>
      <c r="RTA29" s="170"/>
      <c r="RTC29" s="170"/>
      <c r="RTE29" s="170"/>
      <c r="RTG29" s="170"/>
      <c r="RTI29" s="170"/>
      <c r="RTK29" s="170"/>
      <c r="RTM29" s="170"/>
      <c r="RTO29" s="170"/>
      <c r="RTQ29" s="170"/>
      <c r="RTS29" s="170"/>
      <c r="RTU29" s="170"/>
      <c r="RTW29" s="170"/>
      <c r="RTY29" s="170"/>
      <c r="RUA29" s="170"/>
      <c r="RUC29" s="170"/>
      <c r="RUE29" s="170"/>
      <c r="RUG29" s="170"/>
      <c r="RUI29" s="170"/>
      <c r="RUK29" s="170"/>
      <c r="RUM29" s="170"/>
      <c r="RUO29" s="170"/>
      <c r="RUQ29" s="170"/>
      <c r="RUS29" s="170"/>
      <c r="RUU29" s="170"/>
      <c r="RUW29" s="170"/>
      <c r="RUY29" s="170"/>
      <c r="RVA29" s="170"/>
      <c r="RVC29" s="170"/>
      <c r="RVE29" s="170"/>
      <c r="RVG29" s="170"/>
      <c r="RVI29" s="170"/>
      <c r="RVK29" s="170"/>
      <c r="RVM29" s="170"/>
      <c r="RVO29" s="170"/>
      <c r="RVQ29" s="170"/>
      <c r="RVS29" s="170"/>
      <c r="RVU29" s="170"/>
      <c r="RVW29" s="170"/>
      <c r="RVY29" s="170"/>
      <c r="RWA29" s="170"/>
      <c r="RWC29" s="170"/>
      <c r="RWE29" s="170"/>
      <c r="RWG29" s="170"/>
      <c r="RWI29" s="170"/>
      <c r="RWK29" s="170"/>
      <c r="RWM29" s="170"/>
      <c r="RWO29" s="170"/>
      <c r="RWQ29" s="170"/>
      <c r="RWS29" s="170"/>
      <c r="RWU29" s="170"/>
      <c r="RWW29" s="170"/>
      <c r="RWY29" s="170"/>
      <c r="RXA29" s="170"/>
      <c r="RXC29" s="170"/>
      <c r="RXE29" s="170"/>
      <c r="RXG29" s="170"/>
      <c r="RXI29" s="170"/>
      <c r="RXK29" s="170"/>
      <c r="RXM29" s="170"/>
      <c r="RXO29" s="170"/>
      <c r="RXQ29" s="170"/>
      <c r="RXS29" s="170"/>
      <c r="RXU29" s="170"/>
      <c r="RXW29" s="170"/>
      <c r="RXY29" s="170"/>
      <c r="RYA29" s="170"/>
      <c r="RYC29" s="170"/>
      <c r="RYE29" s="170"/>
      <c r="RYG29" s="170"/>
      <c r="RYI29" s="170"/>
      <c r="RYK29" s="170"/>
      <c r="RYM29" s="170"/>
      <c r="RYO29" s="170"/>
      <c r="RYQ29" s="170"/>
      <c r="RYS29" s="170"/>
      <c r="RYU29" s="170"/>
      <c r="RYW29" s="170"/>
      <c r="RYY29" s="170"/>
      <c r="RZA29" s="170"/>
      <c r="RZC29" s="170"/>
      <c r="RZE29" s="170"/>
      <c r="RZG29" s="170"/>
      <c r="RZI29" s="170"/>
      <c r="RZK29" s="170"/>
      <c r="RZM29" s="170"/>
      <c r="RZO29" s="170"/>
      <c r="RZQ29" s="170"/>
      <c r="RZS29" s="170"/>
      <c r="RZU29" s="170"/>
      <c r="RZW29" s="170"/>
      <c r="RZY29" s="170"/>
      <c r="SAA29" s="170"/>
      <c r="SAC29" s="170"/>
      <c r="SAE29" s="170"/>
      <c r="SAG29" s="170"/>
      <c r="SAI29" s="170"/>
      <c r="SAK29" s="170"/>
      <c r="SAM29" s="170"/>
      <c r="SAO29" s="170"/>
      <c r="SAQ29" s="170"/>
      <c r="SAS29" s="170"/>
      <c r="SAU29" s="170"/>
      <c r="SAW29" s="170"/>
      <c r="SAY29" s="170"/>
      <c r="SBA29" s="170"/>
      <c r="SBC29" s="170"/>
      <c r="SBE29" s="170"/>
      <c r="SBG29" s="170"/>
      <c r="SBI29" s="170"/>
      <c r="SBK29" s="170"/>
      <c r="SBM29" s="170"/>
      <c r="SBO29" s="170"/>
      <c r="SBQ29" s="170"/>
      <c r="SBS29" s="170"/>
      <c r="SBU29" s="170"/>
      <c r="SBW29" s="170"/>
      <c r="SBY29" s="170"/>
      <c r="SCA29" s="170"/>
      <c r="SCC29" s="170"/>
      <c r="SCE29" s="170"/>
      <c r="SCG29" s="170"/>
      <c r="SCI29" s="170"/>
      <c r="SCK29" s="170"/>
      <c r="SCM29" s="170"/>
      <c r="SCO29" s="170"/>
      <c r="SCQ29" s="170"/>
      <c r="SCS29" s="170"/>
      <c r="SCU29" s="170"/>
      <c r="SCW29" s="170"/>
      <c r="SCY29" s="170"/>
      <c r="SDA29" s="170"/>
      <c r="SDC29" s="170"/>
      <c r="SDE29" s="170"/>
      <c r="SDG29" s="170"/>
      <c r="SDI29" s="170"/>
      <c r="SDK29" s="170"/>
      <c r="SDM29" s="170"/>
      <c r="SDO29" s="170"/>
      <c r="SDQ29" s="170"/>
      <c r="SDS29" s="170"/>
      <c r="SDU29" s="170"/>
      <c r="SDW29" s="170"/>
      <c r="SDY29" s="170"/>
      <c r="SEA29" s="170"/>
      <c r="SEC29" s="170"/>
      <c r="SEE29" s="170"/>
      <c r="SEG29" s="170"/>
      <c r="SEI29" s="170"/>
      <c r="SEK29" s="170"/>
      <c r="SEM29" s="170"/>
      <c r="SEO29" s="170"/>
      <c r="SEQ29" s="170"/>
      <c r="SES29" s="170"/>
      <c r="SEU29" s="170"/>
      <c r="SEW29" s="170"/>
      <c r="SEY29" s="170"/>
      <c r="SFA29" s="170"/>
      <c r="SFC29" s="170"/>
      <c r="SFE29" s="170"/>
      <c r="SFG29" s="170"/>
      <c r="SFI29" s="170"/>
      <c r="SFK29" s="170"/>
      <c r="SFM29" s="170"/>
      <c r="SFO29" s="170"/>
      <c r="SFQ29" s="170"/>
      <c r="SFS29" s="170"/>
      <c r="SFU29" s="170"/>
      <c r="SFW29" s="170"/>
      <c r="SFY29" s="170"/>
      <c r="SGA29" s="170"/>
      <c r="SGC29" s="170"/>
      <c r="SGE29" s="170"/>
      <c r="SGG29" s="170"/>
      <c r="SGI29" s="170"/>
      <c r="SGK29" s="170"/>
      <c r="SGM29" s="170"/>
      <c r="SGO29" s="170"/>
      <c r="SGQ29" s="170"/>
      <c r="SGS29" s="170"/>
      <c r="SGU29" s="170"/>
      <c r="SGW29" s="170"/>
      <c r="SGY29" s="170"/>
      <c r="SHA29" s="170"/>
      <c r="SHC29" s="170"/>
      <c r="SHE29" s="170"/>
      <c r="SHG29" s="170"/>
      <c r="SHI29" s="170"/>
      <c r="SHK29" s="170"/>
      <c r="SHM29" s="170"/>
      <c r="SHO29" s="170"/>
      <c r="SHQ29" s="170"/>
      <c r="SHS29" s="170"/>
      <c r="SHU29" s="170"/>
      <c r="SHW29" s="170"/>
      <c r="SHY29" s="170"/>
      <c r="SIA29" s="170"/>
      <c r="SIC29" s="170"/>
      <c r="SIE29" s="170"/>
      <c r="SIG29" s="170"/>
      <c r="SII29" s="170"/>
      <c r="SIK29" s="170"/>
      <c r="SIM29" s="170"/>
      <c r="SIO29" s="170"/>
      <c r="SIQ29" s="170"/>
      <c r="SIS29" s="170"/>
      <c r="SIU29" s="170"/>
      <c r="SIW29" s="170"/>
      <c r="SIY29" s="170"/>
      <c r="SJA29" s="170"/>
      <c r="SJC29" s="170"/>
      <c r="SJE29" s="170"/>
      <c r="SJG29" s="170"/>
      <c r="SJI29" s="170"/>
      <c r="SJK29" s="170"/>
      <c r="SJM29" s="170"/>
      <c r="SJO29" s="170"/>
      <c r="SJQ29" s="170"/>
      <c r="SJS29" s="170"/>
      <c r="SJU29" s="170"/>
      <c r="SJW29" s="170"/>
      <c r="SJY29" s="170"/>
      <c r="SKA29" s="170"/>
      <c r="SKC29" s="170"/>
      <c r="SKE29" s="170"/>
      <c r="SKG29" s="170"/>
      <c r="SKI29" s="170"/>
      <c r="SKK29" s="170"/>
      <c r="SKM29" s="170"/>
      <c r="SKO29" s="170"/>
      <c r="SKQ29" s="170"/>
      <c r="SKS29" s="170"/>
      <c r="SKU29" s="170"/>
      <c r="SKW29" s="170"/>
      <c r="SKY29" s="170"/>
      <c r="SLA29" s="170"/>
      <c r="SLC29" s="170"/>
      <c r="SLE29" s="170"/>
      <c r="SLG29" s="170"/>
      <c r="SLI29" s="170"/>
      <c r="SLK29" s="170"/>
      <c r="SLM29" s="170"/>
      <c r="SLO29" s="170"/>
      <c r="SLQ29" s="170"/>
      <c r="SLS29" s="170"/>
      <c r="SLU29" s="170"/>
      <c r="SLW29" s="170"/>
      <c r="SLY29" s="170"/>
      <c r="SMA29" s="170"/>
      <c r="SMC29" s="170"/>
      <c r="SME29" s="170"/>
      <c r="SMG29" s="170"/>
      <c r="SMI29" s="170"/>
      <c r="SMK29" s="170"/>
      <c r="SMM29" s="170"/>
      <c r="SMO29" s="170"/>
      <c r="SMQ29" s="170"/>
      <c r="SMS29" s="170"/>
      <c r="SMU29" s="170"/>
      <c r="SMW29" s="170"/>
      <c r="SMY29" s="170"/>
      <c r="SNA29" s="170"/>
      <c r="SNC29" s="170"/>
      <c r="SNE29" s="170"/>
      <c r="SNG29" s="170"/>
      <c r="SNI29" s="170"/>
      <c r="SNK29" s="170"/>
      <c r="SNM29" s="170"/>
      <c r="SNO29" s="170"/>
      <c r="SNQ29" s="170"/>
      <c r="SNS29" s="170"/>
      <c r="SNU29" s="170"/>
      <c r="SNW29" s="170"/>
      <c r="SNY29" s="170"/>
      <c r="SOA29" s="170"/>
      <c r="SOC29" s="170"/>
      <c r="SOE29" s="170"/>
      <c r="SOG29" s="170"/>
      <c r="SOI29" s="170"/>
      <c r="SOK29" s="170"/>
      <c r="SOM29" s="170"/>
      <c r="SOO29" s="170"/>
      <c r="SOQ29" s="170"/>
      <c r="SOS29" s="170"/>
      <c r="SOU29" s="170"/>
      <c r="SOW29" s="170"/>
      <c r="SOY29" s="170"/>
      <c r="SPA29" s="170"/>
      <c r="SPC29" s="170"/>
      <c r="SPE29" s="170"/>
      <c r="SPG29" s="170"/>
      <c r="SPI29" s="170"/>
      <c r="SPK29" s="170"/>
      <c r="SPM29" s="170"/>
      <c r="SPO29" s="170"/>
      <c r="SPQ29" s="170"/>
      <c r="SPS29" s="170"/>
      <c r="SPU29" s="170"/>
      <c r="SPW29" s="170"/>
      <c r="SPY29" s="170"/>
      <c r="SQA29" s="170"/>
      <c r="SQC29" s="170"/>
      <c r="SQE29" s="170"/>
      <c r="SQG29" s="170"/>
      <c r="SQI29" s="170"/>
      <c r="SQK29" s="170"/>
      <c r="SQM29" s="170"/>
      <c r="SQO29" s="170"/>
      <c r="SQQ29" s="170"/>
      <c r="SQS29" s="170"/>
      <c r="SQU29" s="170"/>
      <c r="SQW29" s="170"/>
      <c r="SQY29" s="170"/>
      <c r="SRA29" s="170"/>
      <c r="SRC29" s="170"/>
      <c r="SRE29" s="170"/>
      <c r="SRG29" s="170"/>
      <c r="SRI29" s="170"/>
      <c r="SRK29" s="170"/>
      <c r="SRM29" s="170"/>
      <c r="SRO29" s="170"/>
      <c r="SRQ29" s="170"/>
      <c r="SRS29" s="170"/>
      <c r="SRU29" s="170"/>
      <c r="SRW29" s="170"/>
      <c r="SRY29" s="170"/>
      <c r="SSA29" s="170"/>
      <c r="SSC29" s="170"/>
      <c r="SSE29" s="170"/>
      <c r="SSG29" s="170"/>
      <c r="SSI29" s="170"/>
      <c r="SSK29" s="170"/>
      <c r="SSM29" s="170"/>
      <c r="SSO29" s="170"/>
      <c r="SSQ29" s="170"/>
      <c r="SSS29" s="170"/>
      <c r="SSU29" s="170"/>
      <c r="SSW29" s="170"/>
      <c r="SSY29" s="170"/>
      <c r="STA29" s="170"/>
      <c r="STC29" s="170"/>
      <c r="STE29" s="170"/>
      <c r="STG29" s="170"/>
      <c r="STI29" s="170"/>
      <c r="STK29" s="170"/>
      <c r="STM29" s="170"/>
      <c r="STO29" s="170"/>
      <c r="STQ29" s="170"/>
      <c r="STS29" s="170"/>
      <c r="STU29" s="170"/>
      <c r="STW29" s="170"/>
      <c r="STY29" s="170"/>
      <c r="SUA29" s="170"/>
      <c r="SUC29" s="170"/>
      <c r="SUE29" s="170"/>
      <c r="SUG29" s="170"/>
      <c r="SUI29" s="170"/>
      <c r="SUK29" s="170"/>
      <c r="SUM29" s="170"/>
      <c r="SUO29" s="170"/>
      <c r="SUQ29" s="170"/>
      <c r="SUS29" s="170"/>
      <c r="SUU29" s="170"/>
      <c r="SUW29" s="170"/>
      <c r="SUY29" s="170"/>
      <c r="SVA29" s="170"/>
      <c r="SVC29" s="170"/>
      <c r="SVE29" s="170"/>
      <c r="SVG29" s="170"/>
      <c r="SVI29" s="170"/>
      <c r="SVK29" s="170"/>
      <c r="SVM29" s="170"/>
      <c r="SVO29" s="170"/>
      <c r="SVQ29" s="170"/>
      <c r="SVS29" s="170"/>
      <c r="SVU29" s="170"/>
      <c r="SVW29" s="170"/>
      <c r="SVY29" s="170"/>
      <c r="SWA29" s="170"/>
      <c r="SWC29" s="170"/>
      <c r="SWE29" s="170"/>
      <c r="SWG29" s="170"/>
      <c r="SWI29" s="170"/>
      <c r="SWK29" s="170"/>
      <c r="SWM29" s="170"/>
      <c r="SWO29" s="170"/>
      <c r="SWQ29" s="170"/>
      <c r="SWS29" s="170"/>
      <c r="SWU29" s="170"/>
      <c r="SWW29" s="170"/>
      <c r="SWY29" s="170"/>
      <c r="SXA29" s="170"/>
      <c r="SXC29" s="170"/>
      <c r="SXE29" s="170"/>
      <c r="SXG29" s="170"/>
      <c r="SXI29" s="170"/>
      <c r="SXK29" s="170"/>
      <c r="SXM29" s="170"/>
      <c r="SXO29" s="170"/>
      <c r="SXQ29" s="170"/>
      <c r="SXS29" s="170"/>
      <c r="SXU29" s="170"/>
      <c r="SXW29" s="170"/>
      <c r="SXY29" s="170"/>
      <c r="SYA29" s="170"/>
      <c r="SYC29" s="170"/>
      <c r="SYE29" s="170"/>
      <c r="SYG29" s="170"/>
      <c r="SYI29" s="170"/>
      <c r="SYK29" s="170"/>
      <c r="SYM29" s="170"/>
      <c r="SYO29" s="170"/>
      <c r="SYQ29" s="170"/>
      <c r="SYS29" s="170"/>
      <c r="SYU29" s="170"/>
      <c r="SYW29" s="170"/>
      <c r="SYY29" s="170"/>
      <c r="SZA29" s="170"/>
      <c r="SZC29" s="170"/>
      <c r="SZE29" s="170"/>
      <c r="SZG29" s="170"/>
      <c r="SZI29" s="170"/>
      <c r="SZK29" s="170"/>
      <c r="SZM29" s="170"/>
      <c r="SZO29" s="170"/>
      <c r="SZQ29" s="170"/>
      <c r="SZS29" s="170"/>
      <c r="SZU29" s="170"/>
      <c r="SZW29" s="170"/>
      <c r="SZY29" s="170"/>
      <c r="TAA29" s="170"/>
      <c r="TAC29" s="170"/>
      <c r="TAE29" s="170"/>
      <c r="TAG29" s="170"/>
      <c r="TAI29" s="170"/>
      <c r="TAK29" s="170"/>
      <c r="TAM29" s="170"/>
      <c r="TAO29" s="170"/>
      <c r="TAQ29" s="170"/>
      <c r="TAS29" s="170"/>
      <c r="TAU29" s="170"/>
      <c r="TAW29" s="170"/>
      <c r="TAY29" s="170"/>
      <c r="TBA29" s="170"/>
      <c r="TBC29" s="170"/>
      <c r="TBE29" s="170"/>
      <c r="TBG29" s="170"/>
      <c r="TBI29" s="170"/>
      <c r="TBK29" s="170"/>
      <c r="TBM29" s="170"/>
      <c r="TBO29" s="170"/>
      <c r="TBQ29" s="170"/>
      <c r="TBS29" s="170"/>
      <c r="TBU29" s="170"/>
      <c r="TBW29" s="170"/>
      <c r="TBY29" s="170"/>
      <c r="TCA29" s="170"/>
      <c r="TCC29" s="170"/>
      <c r="TCE29" s="170"/>
      <c r="TCG29" s="170"/>
      <c r="TCI29" s="170"/>
      <c r="TCK29" s="170"/>
      <c r="TCM29" s="170"/>
      <c r="TCO29" s="170"/>
      <c r="TCQ29" s="170"/>
      <c r="TCS29" s="170"/>
      <c r="TCU29" s="170"/>
      <c r="TCW29" s="170"/>
      <c r="TCY29" s="170"/>
      <c r="TDA29" s="170"/>
      <c r="TDC29" s="170"/>
      <c r="TDE29" s="170"/>
      <c r="TDG29" s="170"/>
      <c r="TDI29" s="170"/>
      <c r="TDK29" s="170"/>
      <c r="TDM29" s="170"/>
      <c r="TDO29" s="170"/>
      <c r="TDQ29" s="170"/>
      <c r="TDS29" s="170"/>
      <c r="TDU29" s="170"/>
      <c r="TDW29" s="170"/>
      <c r="TDY29" s="170"/>
      <c r="TEA29" s="170"/>
      <c r="TEC29" s="170"/>
      <c r="TEE29" s="170"/>
      <c r="TEG29" s="170"/>
      <c r="TEI29" s="170"/>
      <c r="TEK29" s="170"/>
      <c r="TEM29" s="170"/>
      <c r="TEO29" s="170"/>
      <c r="TEQ29" s="170"/>
      <c r="TES29" s="170"/>
      <c r="TEU29" s="170"/>
      <c r="TEW29" s="170"/>
      <c r="TEY29" s="170"/>
      <c r="TFA29" s="170"/>
      <c r="TFC29" s="170"/>
      <c r="TFE29" s="170"/>
      <c r="TFG29" s="170"/>
      <c r="TFI29" s="170"/>
      <c r="TFK29" s="170"/>
      <c r="TFM29" s="170"/>
      <c r="TFO29" s="170"/>
      <c r="TFQ29" s="170"/>
      <c r="TFS29" s="170"/>
      <c r="TFU29" s="170"/>
      <c r="TFW29" s="170"/>
      <c r="TFY29" s="170"/>
      <c r="TGA29" s="170"/>
      <c r="TGC29" s="170"/>
      <c r="TGE29" s="170"/>
      <c r="TGG29" s="170"/>
      <c r="TGI29" s="170"/>
      <c r="TGK29" s="170"/>
      <c r="TGM29" s="170"/>
      <c r="TGO29" s="170"/>
      <c r="TGQ29" s="170"/>
      <c r="TGS29" s="170"/>
      <c r="TGU29" s="170"/>
      <c r="TGW29" s="170"/>
      <c r="TGY29" s="170"/>
      <c r="THA29" s="170"/>
      <c r="THC29" s="170"/>
      <c r="THE29" s="170"/>
      <c r="THG29" s="170"/>
      <c r="THI29" s="170"/>
      <c r="THK29" s="170"/>
      <c r="THM29" s="170"/>
      <c r="THO29" s="170"/>
      <c r="THQ29" s="170"/>
      <c r="THS29" s="170"/>
      <c r="THU29" s="170"/>
      <c r="THW29" s="170"/>
      <c r="THY29" s="170"/>
      <c r="TIA29" s="170"/>
      <c r="TIC29" s="170"/>
      <c r="TIE29" s="170"/>
      <c r="TIG29" s="170"/>
      <c r="TII29" s="170"/>
      <c r="TIK29" s="170"/>
      <c r="TIM29" s="170"/>
      <c r="TIO29" s="170"/>
      <c r="TIQ29" s="170"/>
      <c r="TIS29" s="170"/>
      <c r="TIU29" s="170"/>
      <c r="TIW29" s="170"/>
      <c r="TIY29" s="170"/>
      <c r="TJA29" s="170"/>
      <c r="TJC29" s="170"/>
      <c r="TJE29" s="170"/>
      <c r="TJG29" s="170"/>
      <c r="TJI29" s="170"/>
      <c r="TJK29" s="170"/>
      <c r="TJM29" s="170"/>
      <c r="TJO29" s="170"/>
      <c r="TJQ29" s="170"/>
      <c r="TJS29" s="170"/>
      <c r="TJU29" s="170"/>
      <c r="TJW29" s="170"/>
      <c r="TJY29" s="170"/>
      <c r="TKA29" s="170"/>
      <c r="TKC29" s="170"/>
      <c r="TKE29" s="170"/>
      <c r="TKG29" s="170"/>
      <c r="TKI29" s="170"/>
      <c r="TKK29" s="170"/>
      <c r="TKM29" s="170"/>
      <c r="TKO29" s="170"/>
      <c r="TKQ29" s="170"/>
      <c r="TKS29" s="170"/>
      <c r="TKU29" s="170"/>
      <c r="TKW29" s="170"/>
      <c r="TKY29" s="170"/>
      <c r="TLA29" s="170"/>
      <c r="TLC29" s="170"/>
      <c r="TLE29" s="170"/>
      <c r="TLG29" s="170"/>
      <c r="TLI29" s="170"/>
      <c r="TLK29" s="170"/>
      <c r="TLM29" s="170"/>
      <c r="TLO29" s="170"/>
      <c r="TLQ29" s="170"/>
      <c r="TLS29" s="170"/>
      <c r="TLU29" s="170"/>
      <c r="TLW29" s="170"/>
      <c r="TLY29" s="170"/>
      <c r="TMA29" s="170"/>
      <c r="TMC29" s="170"/>
      <c r="TME29" s="170"/>
      <c r="TMG29" s="170"/>
      <c r="TMI29" s="170"/>
      <c r="TMK29" s="170"/>
      <c r="TMM29" s="170"/>
      <c r="TMO29" s="170"/>
      <c r="TMQ29" s="170"/>
      <c r="TMS29" s="170"/>
      <c r="TMU29" s="170"/>
      <c r="TMW29" s="170"/>
      <c r="TMY29" s="170"/>
      <c r="TNA29" s="170"/>
      <c r="TNC29" s="170"/>
      <c r="TNE29" s="170"/>
      <c r="TNG29" s="170"/>
      <c r="TNI29" s="170"/>
      <c r="TNK29" s="170"/>
      <c r="TNM29" s="170"/>
      <c r="TNO29" s="170"/>
      <c r="TNQ29" s="170"/>
      <c r="TNS29" s="170"/>
      <c r="TNU29" s="170"/>
      <c r="TNW29" s="170"/>
      <c r="TNY29" s="170"/>
      <c r="TOA29" s="170"/>
      <c r="TOC29" s="170"/>
      <c r="TOE29" s="170"/>
      <c r="TOG29" s="170"/>
      <c r="TOI29" s="170"/>
      <c r="TOK29" s="170"/>
      <c r="TOM29" s="170"/>
      <c r="TOO29" s="170"/>
      <c r="TOQ29" s="170"/>
      <c r="TOS29" s="170"/>
      <c r="TOU29" s="170"/>
      <c r="TOW29" s="170"/>
      <c r="TOY29" s="170"/>
      <c r="TPA29" s="170"/>
      <c r="TPC29" s="170"/>
      <c r="TPE29" s="170"/>
      <c r="TPG29" s="170"/>
      <c r="TPI29" s="170"/>
      <c r="TPK29" s="170"/>
      <c r="TPM29" s="170"/>
      <c r="TPO29" s="170"/>
      <c r="TPQ29" s="170"/>
      <c r="TPS29" s="170"/>
      <c r="TPU29" s="170"/>
      <c r="TPW29" s="170"/>
      <c r="TPY29" s="170"/>
      <c r="TQA29" s="170"/>
      <c r="TQC29" s="170"/>
      <c r="TQE29" s="170"/>
      <c r="TQG29" s="170"/>
      <c r="TQI29" s="170"/>
      <c r="TQK29" s="170"/>
      <c r="TQM29" s="170"/>
      <c r="TQO29" s="170"/>
      <c r="TQQ29" s="170"/>
      <c r="TQS29" s="170"/>
      <c r="TQU29" s="170"/>
      <c r="TQW29" s="170"/>
      <c r="TQY29" s="170"/>
      <c r="TRA29" s="170"/>
      <c r="TRC29" s="170"/>
      <c r="TRE29" s="170"/>
      <c r="TRG29" s="170"/>
      <c r="TRI29" s="170"/>
      <c r="TRK29" s="170"/>
      <c r="TRM29" s="170"/>
      <c r="TRO29" s="170"/>
      <c r="TRQ29" s="170"/>
      <c r="TRS29" s="170"/>
      <c r="TRU29" s="170"/>
      <c r="TRW29" s="170"/>
      <c r="TRY29" s="170"/>
      <c r="TSA29" s="170"/>
      <c r="TSC29" s="170"/>
      <c r="TSE29" s="170"/>
      <c r="TSG29" s="170"/>
      <c r="TSI29" s="170"/>
      <c r="TSK29" s="170"/>
      <c r="TSM29" s="170"/>
      <c r="TSO29" s="170"/>
      <c r="TSQ29" s="170"/>
      <c r="TSS29" s="170"/>
      <c r="TSU29" s="170"/>
      <c r="TSW29" s="170"/>
      <c r="TSY29" s="170"/>
      <c r="TTA29" s="170"/>
      <c r="TTC29" s="170"/>
      <c r="TTE29" s="170"/>
      <c r="TTG29" s="170"/>
      <c r="TTI29" s="170"/>
      <c r="TTK29" s="170"/>
      <c r="TTM29" s="170"/>
      <c r="TTO29" s="170"/>
      <c r="TTQ29" s="170"/>
      <c r="TTS29" s="170"/>
      <c r="TTU29" s="170"/>
      <c r="TTW29" s="170"/>
      <c r="TTY29" s="170"/>
      <c r="TUA29" s="170"/>
      <c r="TUC29" s="170"/>
      <c r="TUE29" s="170"/>
      <c r="TUG29" s="170"/>
      <c r="TUI29" s="170"/>
      <c r="TUK29" s="170"/>
      <c r="TUM29" s="170"/>
      <c r="TUO29" s="170"/>
      <c r="TUQ29" s="170"/>
      <c r="TUS29" s="170"/>
      <c r="TUU29" s="170"/>
      <c r="TUW29" s="170"/>
      <c r="TUY29" s="170"/>
      <c r="TVA29" s="170"/>
      <c r="TVC29" s="170"/>
      <c r="TVE29" s="170"/>
      <c r="TVG29" s="170"/>
      <c r="TVI29" s="170"/>
      <c r="TVK29" s="170"/>
      <c r="TVM29" s="170"/>
      <c r="TVO29" s="170"/>
      <c r="TVQ29" s="170"/>
      <c r="TVS29" s="170"/>
      <c r="TVU29" s="170"/>
      <c r="TVW29" s="170"/>
      <c r="TVY29" s="170"/>
      <c r="TWA29" s="170"/>
      <c r="TWC29" s="170"/>
      <c r="TWE29" s="170"/>
      <c r="TWG29" s="170"/>
      <c r="TWI29" s="170"/>
      <c r="TWK29" s="170"/>
      <c r="TWM29" s="170"/>
      <c r="TWO29" s="170"/>
      <c r="TWQ29" s="170"/>
      <c r="TWS29" s="170"/>
      <c r="TWU29" s="170"/>
      <c r="TWW29" s="170"/>
      <c r="TWY29" s="170"/>
      <c r="TXA29" s="170"/>
      <c r="TXC29" s="170"/>
      <c r="TXE29" s="170"/>
      <c r="TXG29" s="170"/>
      <c r="TXI29" s="170"/>
      <c r="TXK29" s="170"/>
      <c r="TXM29" s="170"/>
      <c r="TXO29" s="170"/>
      <c r="TXQ29" s="170"/>
      <c r="TXS29" s="170"/>
      <c r="TXU29" s="170"/>
      <c r="TXW29" s="170"/>
      <c r="TXY29" s="170"/>
      <c r="TYA29" s="170"/>
      <c r="TYC29" s="170"/>
      <c r="TYE29" s="170"/>
      <c r="TYG29" s="170"/>
      <c r="TYI29" s="170"/>
      <c r="TYK29" s="170"/>
      <c r="TYM29" s="170"/>
      <c r="TYO29" s="170"/>
      <c r="TYQ29" s="170"/>
      <c r="TYS29" s="170"/>
      <c r="TYU29" s="170"/>
      <c r="TYW29" s="170"/>
      <c r="TYY29" s="170"/>
      <c r="TZA29" s="170"/>
      <c r="TZC29" s="170"/>
      <c r="TZE29" s="170"/>
      <c r="TZG29" s="170"/>
      <c r="TZI29" s="170"/>
      <c r="TZK29" s="170"/>
      <c r="TZM29" s="170"/>
      <c r="TZO29" s="170"/>
      <c r="TZQ29" s="170"/>
      <c r="TZS29" s="170"/>
      <c r="TZU29" s="170"/>
      <c r="TZW29" s="170"/>
      <c r="TZY29" s="170"/>
      <c r="UAA29" s="170"/>
      <c r="UAC29" s="170"/>
      <c r="UAE29" s="170"/>
      <c r="UAG29" s="170"/>
      <c r="UAI29" s="170"/>
      <c r="UAK29" s="170"/>
      <c r="UAM29" s="170"/>
      <c r="UAO29" s="170"/>
      <c r="UAQ29" s="170"/>
      <c r="UAS29" s="170"/>
      <c r="UAU29" s="170"/>
      <c r="UAW29" s="170"/>
      <c r="UAY29" s="170"/>
      <c r="UBA29" s="170"/>
      <c r="UBC29" s="170"/>
      <c r="UBE29" s="170"/>
      <c r="UBG29" s="170"/>
      <c r="UBI29" s="170"/>
      <c r="UBK29" s="170"/>
      <c r="UBM29" s="170"/>
      <c r="UBO29" s="170"/>
      <c r="UBQ29" s="170"/>
      <c r="UBS29" s="170"/>
      <c r="UBU29" s="170"/>
      <c r="UBW29" s="170"/>
      <c r="UBY29" s="170"/>
      <c r="UCA29" s="170"/>
      <c r="UCC29" s="170"/>
      <c r="UCE29" s="170"/>
      <c r="UCG29" s="170"/>
      <c r="UCI29" s="170"/>
      <c r="UCK29" s="170"/>
      <c r="UCM29" s="170"/>
      <c r="UCO29" s="170"/>
      <c r="UCQ29" s="170"/>
      <c r="UCS29" s="170"/>
      <c r="UCU29" s="170"/>
      <c r="UCW29" s="170"/>
      <c r="UCY29" s="170"/>
      <c r="UDA29" s="170"/>
      <c r="UDC29" s="170"/>
      <c r="UDE29" s="170"/>
      <c r="UDG29" s="170"/>
      <c r="UDI29" s="170"/>
      <c r="UDK29" s="170"/>
      <c r="UDM29" s="170"/>
      <c r="UDO29" s="170"/>
      <c r="UDQ29" s="170"/>
      <c r="UDS29" s="170"/>
      <c r="UDU29" s="170"/>
      <c r="UDW29" s="170"/>
      <c r="UDY29" s="170"/>
      <c r="UEA29" s="170"/>
      <c r="UEC29" s="170"/>
      <c r="UEE29" s="170"/>
      <c r="UEG29" s="170"/>
      <c r="UEI29" s="170"/>
      <c r="UEK29" s="170"/>
      <c r="UEM29" s="170"/>
      <c r="UEO29" s="170"/>
      <c r="UEQ29" s="170"/>
      <c r="UES29" s="170"/>
      <c r="UEU29" s="170"/>
      <c r="UEW29" s="170"/>
      <c r="UEY29" s="170"/>
      <c r="UFA29" s="170"/>
      <c r="UFC29" s="170"/>
      <c r="UFE29" s="170"/>
      <c r="UFG29" s="170"/>
      <c r="UFI29" s="170"/>
      <c r="UFK29" s="170"/>
      <c r="UFM29" s="170"/>
      <c r="UFO29" s="170"/>
      <c r="UFQ29" s="170"/>
      <c r="UFS29" s="170"/>
      <c r="UFU29" s="170"/>
      <c r="UFW29" s="170"/>
      <c r="UFY29" s="170"/>
      <c r="UGA29" s="170"/>
      <c r="UGC29" s="170"/>
      <c r="UGE29" s="170"/>
      <c r="UGG29" s="170"/>
      <c r="UGI29" s="170"/>
      <c r="UGK29" s="170"/>
      <c r="UGM29" s="170"/>
      <c r="UGO29" s="170"/>
      <c r="UGQ29" s="170"/>
      <c r="UGS29" s="170"/>
      <c r="UGU29" s="170"/>
      <c r="UGW29" s="170"/>
      <c r="UGY29" s="170"/>
      <c r="UHA29" s="170"/>
      <c r="UHC29" s="170"/>
      <c r="UHE29" s="170"/>
      <c r="UHG29" s="170"/>
      <c r="UHI29" s="170"/>
      <c r="UHK29" s="170"/>
      <c r="UHM29" s="170"/>
      <c r="UHO29" s="170"/>
      <c r="UHQ29" s="170"/>
      <c r="UHS29" s="170"/>
      <c r="UHU29" s="170"/>
      <c r="UHW29" s="170"/>
      <c r="UHY29" s="170"/>
      <c r="UIA29" s="170"/>
      <c r="UIC29" s="170"/>
      <c r="UIE29" s="170"/>
      <c r="UIG29" s="170"/>
      <c r="UII29" s="170"/>
      <c r="UIK29" s="170"/>
      <c r="UIM29" s="170"/>
      <c r="UIO29" s="170"/>
      <c r="UIQ29" s="170"/>
      <c r="UIS29" s="170"/>
      <c r="UIU29" s="170"/>
      <c r="UIW29" s="170"/>
      <c r="UIY29" s="170"/>
      <c r="UJA29" s="170"/>
      <c r="UJC29" s="170"/>
      <c r="UJE29" s="170"/>
      <c r="UJG29" s="170"/>
      <c r="UJI29" s="170"/>
      <c r="UJK29" s="170"/>
      <c r="UJM29" s="170"/>
      <c r="UJO29" s="170"/>
      <c r="UJQ29" s="170"/>
      <c r="UJS29" s="170"/>
      <c r="UJU29" s="170"/>
      <c r="UJW29" s="170"/>
      <c r="UJY29" s="170"/>
      <c r="UKA29" s="170"/>
      <c r="UKC29" s="170"/>
      <c r="UKE29" s="170"/>
      <c r="UKG29" s="170"/>
      <c r="UKI29" s="170"/>
      <c r="UKK29" s="170"/>
      <c r="UKM29" s="170"/>
      <c r="UKO29" s="170"/>
      <c r="UKQ29" s="170"/>
      <c r="UKS29" s="170"/>
      <c r="UKU29" s="170"/>
      <c r="UKW29" s="170"/>
      <c r="UKY29" s="170"/>
      <c r="ULA29" s="170"/>
      <c r="ULC29" s="170"/>
      <c r="ULE29" s="170"/>
      <c r="ULG29" s="170"/>
      <c r="ULI29" s="170"/>
      <c r="ULK29" s="170"/>
      <c r="ULM29" s="170"/>
      <c r="ULO29" s="170"/>
      <c r="ULQ29" s="170"/>
      <c r="ULS29" s="170"/>
      <c r="ULU29" s="170"/>
      <c r="ULW29" s="170"/>
      <c r="ULY29" s="170"/>
      <c r="UMA29" s="170"/>
      <c r="UMC29" s="170"/>
      <c r="UME29" s="170"/>
      <c r="UMG29" s="170"/>
      <c r="UMI29" s="170"/>
      <c r="UMK29" s="170"/>
      <c r="UMM29" s="170"/>
      <c r="UMO29" s="170"/>
      <c r="UMQ29" s="170"/>
      <c r="UMS29" s="170"/>
      <c r="UMU29" s="170"/>
      <c r="UMW29" s="170"/>
      <c r="UMY29" s="170"/>
      <c r="UNA29" s="170"/>
      <c r="UNC29" s="170"/>
      <c r="UNE29" s="170"/>
      <c r="UNG29" s="170"/>
      <c r="UNI29" s="170"/>
      <c r="UNK29" s="170"/>
      <c r="UNM29" s="170"/>
      <c r="UNO29" s="170"/>
      <c r="UNQ29" s="170"/>
      <c r="UNS29" s="170"/>
      <c r="UNU29" s="170"/>
      <c r="UNW29" s="170"/>
      <c r="UNY29" s="170"/>
      <c r="UOA29" s="170"/>
      <c r="UOC29" s="170"/>
      <c r="UOE29" s="170"/>
      <c r="UOG29" s="170"/>
      <c r="UOI29" s="170"/>
      <c r="UOK29" s="170"/>
      <c r="UOM29" s="170"/>
      <c r="UOO29" s="170"/>
      <c r="UOQ29" s="170"/>
      <c r="UOS29" s="170"/>
      <c r="UOU29" s="170"/>
      <c r="UOW29" s="170"/>
      <c r="UOY29" s="170"/>
      <c r="UPA29" s="170"/>
      <c r="UPC29" s="170"/>
      <c r="UPE29" s="170"/>
      <c r="UPG29" s="170"/>
      <c r="UPI29" s="170"/>
      <c r="UPK29" s="170"/>
      <c r="UPM29" s="170"/>
      <c r="UPO29" s="170"/>
      <c r="UPQ29" s="170"/>
      <c r="UPS29" s="170"/>
      <c r="UPU29" s="170"/>
      <c r="UPW29" s="170"/>
      <c r="UPY29" s="170"/>
      <c r="UQA29" s="170"/>
      <c r="UQC29" s="170"/>
      <c r="UQE29" s="170"/>
      <c r="UQG29" s="170"/>
      <c r="UQI29" s="170"/>
      <c r="UQK29" s="170"/>
      <c r="UQM29" s="170"/>
      <c r="UQO29" s="170"/>
      <c r="UQQ29" s="170"/>
      <c r="UQS29" s="170"/>
      <c r="UQU29" s="170"/>
      <c r="UQW29" s="170"/>
      <c r="UQY29" s="170"/>
      <c r="URA29" s="170"/>
      <c r="URC29" s="170"/>
      <c r="URE29" s="170"/>
      <c r="URG29" s="170"/>
      <c r="URI29" s="170"/>
      <c r="URK29" s="170"/>
      <c r="URM29" s="170"/>
      <c r="URO29" s="170"/>
      <c r="URQ29" s="170"/>
      <c r="URS29" s="170"/>
      <c r="URU29" s="170"/>
      <c r="URW29" s="170"/>
      <c r="URY29" s="170"/>
      <c r="USA29" s="170"/>
      <c r="USC29" s="170"/>
      <c r="USE29" s="170"/>
      <c r="USG29" s="170"/>
      <c r="USI29" s="170"/>
      <c r="USK29" s="170"/>
      <c r="USM29" s="170"/>
      <c r="USO29" s="170"/>
      <c r="USQ29" s="170"/>
      <c r="USS29" s="170"/>
      <c r="USU29" s="170"/>
      <c r="USW29" s="170"/>
      <c r="USY29" s="170"/>
      <c r="UTA29" s="170"/>
      <c r="UTC29" s="170"/>
      <c r="UTE29" s="170"/>
      <c r="UTG29" s="170"/>
      <c r="UTI29" s="170"/>
      <c r="UTK29" s="170"/>
      <c r="UTM29" s="170"/>
      <c r="UTO29" s="170"/>
      <c r="UTQ29" s="170"/>
      <c r="UTS29" s="170"/>
      <c r="UTU29" s="170"/>
      <c r="UTW29" s="170"/>
      <c r="UTY29" s="170"/>
      <c r="UUA29" s="170"/>
      <c r="UUC29" s="170"/>
      <c r="UUE29" s="170"/>
      <c r="UUG29" s="170"/>
      <c r="UUI29" s="170"/>
      <c r="UUK29" s="170"/>
      <c r="UUM29" s="170"/>
      <c r="UUO29" s="170"/>
      <c r="UUQ29" s="170"/>
      <c r="UUS29" s="170"/>
      <c r="UUU29" s="170"/>
      <c r="UUW29" s="170"/>
      <c r="UUY29" s="170"/>
      <c r="UVA29" s="170"/>
      <c r="UVC29" s="170"/>
      <c r="UVE29" s="170"/>
      <c r="UVG29" s="170"/>
      <c r="UVI29" s="170"/>
      <c r="UVK29" s="170"/>
      <c r="UVM29" s="170"/>
      <c r="UVO29" s="170"/>
      <c r="UVQ29" s="170"/>
      <c r="UVS29" s="170"/>
      <c r="UVU29" s="170"/>
      <c r="UVW29" s="170"/>
      <c r="UVY29" s="170"/>
      <c r="UWA29" s="170"/>
      <c r="UWC29" s="170"/>
      <c r="UWE29" s="170"/>
      <c r="UWG29" s="170"/>
      <c r="UWI29" s="170"/>
      <c r="UWK29" s="170"/>
      <c r="UWM29" s="170"/>
      <c r="UWO29" s="170"/>
      <c r="UWQ29" s="170"/>
      <c r="UWS29" s="170"/>
      <c r="UWU29" s="170"/>
      <c r="UWW29" s="170"/>
      <c r="UWY29" s="170"/>
      <c r="UXA29" s="170"/>
      <c r="UXC29" s="170"/>
      <c r="UXE29" s="170"/>
      <c r="UXG29" s="170"/>
      <c r="UXI29" s="170"/>
      <c r="UXK29" s="170"/>
      <c r="UXM29" s="170"/>
      <c r="UXO29" s="170"/>
      <c r="UXQ29" s="170"/>
      <c r="UXS29" s="170"/>
      <c r="UXU29" s="170"/>
      <c r="UXW29" s="170"/>
      <c r="UXY29" s="170"/>
      <c r="UYA29" s="170"/>
      <c r="UYC29" s="170"/>
      <c r="UYE29" s="170"/>
      <c r="UYG29" s="170"/>
      <c r="UYI29" s="170"/>
      <c r="UYK29" s="170"/>
      <c r="UYM29" s="170"/>
      <c r="UYO29" s="170"/>
      <c r="UYQ29" s="170"/>
      <c r="UYS29" s="170"/>
      <c r="UYU29" s="170"/>
      <c r="UYW29" s="170"/>
      <c r="UYY29" s="170"/>
      <c r="UZA29" s="170"/>
      <c r="UZC29" s="170"/>
      <c r="UZE29" s="170"/>
      <c r="UZG29" s="170"/>
      <c r="UZI29" s="170"/>
      <c r="UZK29" s="170"/>
      <c r="UZM29" s="170"/>
      <c r="UZO29" s="170"/>
      <c r="UZQ29" s="170"/>
      <c r="UZS29" s="170"/>
      <c r="UZU29" s="170"/>
      <c r="UZW29" s="170"/>
      <c r="UZY29" s="170"/>
      <c r="VAA29" s="170"/>
      <c r="VAC29" s="170"/>
      <c r="VAE29" s="170"/>
      <c r="VAG29" s="170"/>
      <c r="VAI29" s="170"/>
      <c r="VAK29" s="170"/>
      <c r="VAM29" s="170"/>
      <c r="VAO29" s="170"/>
      <c r="VAQ29" s="170"/>
      <c r="VAS29" s="170"/>
      <c r="VAU29" s="170"/>
      <c r="VAW29" s="170"/>
      <c r="VAY29" s="170"/>
      <c r="VBA29" s="170"/>
      <c r="VBC29" s="170"/>
      <c r="VBE29" s="170"/>
      <c r="VBG29" s="170"/>
      <c r="VBI29" s="170"/>
      <c r="VBK29" s="170"/>
      <c r="VBM29" s="170"/>
      <c r="VBO29" s="170"/>
      <c r="VBQ29" s="170"/>
      <c r="VBS29" s="170"/>
      <c r="VBU29" s="170"/>
      <c r="VBW29" s="170"/>
      <c r="VBY29" s="170"/>
      <c r="VCA29" s="170"/>
      <c r="VCC29" s="170"/>
      <c r="VCE29" s="170"/>
      <c r="VCG29" s="170"/>
      <c r="VCI29" s="170"/>
      <c r="VCK29" s="170"/>
      <c r="VCM29" s="170"/>
      <c r="VCO29" s="170"/>
      <c r="VCQ29" s="170"/>
      <c r="VCS29" s="170"/>
      <c r="VCU29" s="170"/>
      <c r="VCW29" s="170"/>
      <c r="VCY29" s="170"/>
      <c r="VDA29" s="170"/>
      <c r="VDC29" s="170"/>
      <c r="VDE29" s="170"/>
      <c r="VDG29" s="170"/>
      <c r="VDI29" s="170"/>
      <c r="VDK29" s="170"/>
      <c r="VDM29" s="170"/>
      <c r="VDO29" s="170"/>
      <c r="VDQ29" s="170"/>
      <c r="VDS29" s="170"/>
      <c r="VDU29" s="170"/>
      <c r="VDW29" s="170"/>
      <c r="VDY29" s="170"/>
      <c r="VEA29" s="170"/>
      <c r="VEC29" s="170"/>
      <c r="VEE29" s="170"/>
      <c r="VEG29" s="170"/>
      <c r="VEI29" s="170"/>
      <c r="VEK29" s="170"/>
      <c r="VEM29" s="170"/>
      <c r="VEO29" s="170"/>
      <c r="VEQ29" s="170"/>
      <c r="VES29" s="170"/>
      <c r="VEU29" s="170"/>
      <c r="VEW29" s="170"/>
      <c r="VEY29" s="170"/>
      <c r="VFA29" s="170"/>
      <c r="VFC29" s="170"/>
      <c r="VFE29" s="170"/>
      <c r="VFG29" s="170"/>
      <c r="VFI29" s="170"/>
      <c r="VFK29" s="170"/>
      <c r="VFM29" s="170"/>
      <c r="VFO29" s="170"/>
      <c r="VFQ29" s="170"/>
      <c r="VFS29" s="170"/>
      <c r="VFU29" s="170"/>
      <c r="VFW29" s="170"/>
      <c r="VFY29" s="170"/>
      <c r="VGA29" s="170"/>
      <c r="VGC29" s="170"/>
      <c r="VGE29" s="170"/>
      <c r="VGG29" s="170"/>
      <c r="VGI29" s="170"/>
      <c r="VGK29" s="170"/>
      <c r="VGM29" s="170"/>
      <c r="VGO29" s="170"/>
      <c r="VGQ29" s="170"/>
      <c r="VGS29" s="170"/>
      <c r="VGU29" s="170"/>
      <c r="VGW29" s="170"/>
      <c r="VGY29" s="170"/>
      <c r="VHA29" s="170"/>
      <c r="VHC29" s="170"/>
      <c r="VHE29" s="170"/>
      <c r="VHG29" s="170"/>
      <c r="VHI29" s="170"/>
      <c r="VHK29" s="170"/>
      <c r="VHM29" s="170"/>
      <c r="VHO29" s="170"/>
      <c r="VHQ29" s="170"/>
      <c r="VHS29" s="170"/>
      <c r="VHU29" s="170"/>
      <c r="VHW29" s="170"/>
      <c r="VHY29" s="170"/>
      <c r="VIA29" s="170"/>
      <c r="VIC29" s="170"/>
      <c r="VIE29" s="170"/>
      <c r="VIG29" s="170"/>
      <c r="VII29" s="170"/>
      <c r="VIK29" s="170"/>
      <c r="VIM29" s="170"/>
      <c r="VIO29" s="170"/>
      <c r="VIQ29" s="170"/>
      <c r="VIS29" s="170"/>
      <c r="VIU29" s="170"/>
      <c r="VIW29" s="170"/>
      <c r="VIY29" s="170"/>
      <c r="VJA29" s="170"/>
      <c r="VJC29" s="170"/>
      <c r="VJE29" s="170"/>
      <c r="VJG29" s="170"/>
      <c r="VJI29" s="170"/>
      <c r="VJK29" s="170"/>
      <c r="VJM29" s="170"/>
      <c r="VJO29" s="170"/>
      <c r="VJQ29" s="170"/>
      <c r="VJS29" s="170"/>
      <c r="VJU29" s="170"/>
      <c r="VJW29" s="170"/>
      <c r="VJY29" s="170"/>
      <c r="VKA29" s="170"/>
      <c r="VKC29" s="170"/>
      <c r="VKE29" s="170"/>
      <c r="VKG29" s="170"/>
      <c r="VKI29" s="170"/>
      <c r="VKK29" s="170"/>
      <c r="VKM29" s="170"/>
      <c r="VKO29" s="170"/>
      <c r="VKQ29" s="170"/>
      <c r="VKS29" s="170"/>
      <c r="VKU29" s="170"/>
      <c r="VKW29" s="170"/>
      <c r="VKY29" s="170"/>
      <c r="VLA29" s="170"/>
      <c r="VLC29" s="170"/>
      <c r="VLE29" s="170"/>
      <c r="VLG29" s="170"/>
      <c r="VLI29" s="170"/>
      <c r="VLK29" s="170"/>
      <c r="VLM29" s="170"/>
      <c r="VLO29" s="170"/>
      <c r="VLQ29" s="170"/>
      <c r="VLS29" s="170"/>
      <c r="VLU29" s="170"/>
      <c r="VLW29" s="170"/>
      <c r="VLY29" s="170"/>
      <c r="VMA29" s="170"/>
      <c r="VMC29" s="170"/>
      <c r="VME29" s="170"/>
      <c r="VMG29" s="170"/>
      <c r="VMI29" s="170"/>
      <c r="VMK29" s="170"/>
      <c r="VMM29" s="170"/>
      <c r="VMO29" s="170"/>
      <c r="VMQ29" s="170"/>
      <c r="VMS29" s="170"/>
      <c r="VMU29" s="170"/>
      <c r="VMW29" s="170"/>
      <c r="VMY29" s="170"/>
      <c r="VNA29" s="170"/>
      <c r="VNC29" s="170"/>
      <c r="VNE29" s="170"/>
      <c r="VNG29" s="170"/>
      <c r="VNI29" s="170"/>
      <c r="VNK29" s="170"/>
      <c r="VNM29" s="170"/>
      <c r="VNO29" s="170"/>
      <c r="VNQ29" s="170"/>
      <c r="VNS29" s="170"/>
      <c r="VNU29" s="170"/>
      <c r="VNW29" s="170"/>
      <c r="VNY29" s="170"/>
      <c r="VOA29" s="170"/>
      <c r="VOC29" s="170"/>
      <c r="VOE29" s="170"/>
      <c r="VOG29" s="170"/>
      <c r="VOI29" s="170"/>
      <c r="VOK29" s="170"/>
      <c r="VOM29" s="170"/>
      <c r="VOO29" s="170"/>
      <c r="VOQ29" s="170"/>
      <c r="VOS29" s="170"/>
      <c r="VOU29" s="170"/>
      <c r="VOW29" s="170"/>
      <c r="VOY29" s="170"/>
      <c r="VPA29" s="170"/>
      <c r="VPC29" s="170"/>
      <c r="VPE29" s="170"/>
      <c r="VPG29" s="170"/>
      <c r="VPI29" s="170"/>
      <c r="VPK29" s="170"/>
      <c r="VPM29" s="170"/>
      <c r="VPO29" s="170"/>
      <c r="VPQ29" s="170"/>
      <c r="VPS29" s="170"/>
      <c r="VPU29" s="170"/>
      <c r="VPW29" s="170"/>
      <c r="VPY29" s="170"/>
      <c r="VQA29" s="170"/>
      <c r="VQC29" s="170"/>
      <c r="VQE29" s="170"/>
      <c r="VQG29" s="170"/>
      <c r="VQI29" s="170"/>
      <c r="VQK29" s="170"/>
      <c r="VQM29" s="170"/>
      <c r="VQO29" s="170"/>
      <c r="VQQ29" s="170"/>
      <c r="VQS29" s="170"/>
      <c r="VQU29" s="170"/>
      <c r="VQW29" s="170"/>
      <c r="VQY29" s="170"/>
      <c r="VRA29" s="170"/>
      <c r="VRC29" s="170"/>
      <c r="VRE29" s="170"/>
      <c r="VRG29" s="170"/>
      <c r="VRI29" s="170"/>
      <c r="VRK29" s="170"/>
      <c r="VRM29" s="170"/>
      <c r="VRO29" s="170"/>
      <c r="VRQ29" s="170"/>
      <c r="VRS29" s="170"/>
      <c r="VRU29" s="170"/>
      <c r="VRW29" s="170"/>
      <c r="VRY29" s="170"/>
      <c r="VSA29" s="170"/>
      <c r="VSC29" s="170"/>
      <c r="VSE29" s="170"/>
      <c r="VSG29" s="170"/>
      <c r="VSI29" s="170"/>
      <c r="VSK29" s="170"/>
      <c r="VSM29" s="170"/>
      <c r="VSO29" s="170"/>
      <c r="VSQ29" s="170"/>
      <c r="VSS29" s="170"/>
      <c r="VSU29" s="170"/>
      <c r="VSW29" s="170"/>
      <c r="VSY29" s="170"/>
      <c r="VTA29" s="170"/>
      <c r="VTC29" s="170"/>
      <c r="VTE29" s="170"/>
      <c r="VTG29" s="170"/>
      <c r="VTI29" s="170"/>
      <c r="VTK29" s="170"/>
      <c r="VTM29" s="170"/>
      <c r="VTO29" s="170"/>
      <c r="VTQ29" s="170"/>
      <c r="VTS29" s="170"/>
      <c r="VTU29" s="170"/>
      <c r="VTW29" s="170"/>
      <c r="VTY29" s="170"/>
      <c r="VUA29" s="170"/>
      <c r="VUC29" s="170"/>
      <c r="VUE29" s="170"/>
      <c r="VUG29" s="170"/>
      <c r="VUI29" s="170"/>
      <c r="VUK29" s="170"/>
      <c r="VUM29" s="170"/>
      <c r="VUO29" s="170"/>
      <c r="VUQ29" s="170"/>
      <c r="VUS29" s="170"/>
      <c r="VUU29" s="170"/>
      <c r="VUW29" s="170"/>
      <c r="VUY29" s="170"/>
      <c r="VVA29" s="170"/>
      <c r="VVC29" s="170"/>
      <c r="VVE29" s="170"/>
      <c r="VVG29" s="170"/>
      <c r="VVI29" s="170"/>
      <c r="VVK29" s="170"/>
      <c r="VVM29" s="170"/>
      <c r="VVO29" s="170"/>
      <c r="VVQ29" s="170"/>
      <c r="VVS29" s="170"/>
      <c r="VVU29" s="170"/>
      <c r="VVW29" s="170"/>
      <c r="VVY29" s="170"/>
      <c r="VWA29" s="170"/>
      <c r="VWC29" s="170"/>
      <c r="VWE29" s="170"/>
      <c r="VWG29" s="170"/>
      <c r="VWI29" s="170"/>
      <c r="VWK29" s="170"/>
      <c r="VWM29" s="170"/>
      <c r="VWO29" s="170"/>
      <c r="VWQ29" s="170"/>
      <c r="VWS29" s="170"/>
      <c r="VWU29" s="170"/>
      <c r="VWW29" s="170"/>
      <c r="VWY29" s="170"/>
      <c r="VXA29" s="170"/>
      <c r="VXC29" s="170"/>
      <c r="VXE29" s="170"/>
      <c r="VXG29" s="170"/>
      <c r="VXI29" s="170"/>
      <c r="VXK29" s="170"/>
      <c r="VXM29" s="170"/>
      <c r="VXO29" s="170"/>
      <c r="VXQ29" s="170"/>
      <c r="VXS29" s="170"/>
      <c r="VXU29" s="170"/>
      <c r="VXW29" s="170"/>
      <c r="VXY29" s="170"/>
      <c r="VYA29" s="170"/>
      <c r="VYC29" s="170"/>
      <c r="VYE29" s="170"/>
      <c r="VYG29" s="170"/>
      <c r="VYI29" s="170"/>
      <c r="VYK29" s="170"/>
      <c r="VYM29" s="170"/>
      <c r="VYO29" s="170"/>
      <c r="VYQ29" s="170"/>
      <c r="VYS29" s="170"/>
      <c r="VYU29" s="170"/>
      <c r="VYW29" s="170"/>
      <c r="VYY29" s="170"/>
      <c r="VZA29" s="170"/>
      <c r="VZC29" s="170"/>
      <c r="VZE29" s="170"/>
      <c r="VZG29" s="170"/>
      <c r="VZI29" s="170"/>
      <c r="VZK29" s="170"/>
      <c r="VZM29" s="170"/>
      <c r="VZO29" s="170"/>
      <c r="VZQ29" s="170"/>
      <c r="VZS29" s="170"/>
      <c r="VZU29" s="170"/>
      <c r="VZW29" s="170"/>
      <c r="VZY29" s="170"/>
      <c r="WAA29" s="170"/>
      <c r="WAC29" s="170"/>
      <c r="WAE29" s="170"/>
      <c r="WAG29" s="170"/>
      <c r="WAI29" s="170"/>
      <c r="WAK29" s="170"/>
      <c r="WAM29" s="170"/>
      <c r="WAO29" s="170"/>
      <c r="WAQ29" s="170"/>
      <c r="WAS29" s="170"/>
      <c r="WAU29" s="170"/>
      <c r="WAW29" s="170"/>
      <c r="WAY29" s="170"/>
      <c r="WBA29" s="170"/>
      <c r="WBC29" s="170"/>
      <c r="WBE29" s="170"/>
      <c r="WBG29" s="170"/>
      <c r="WBI29" s="170"/>
      <c r="WBK29" s="170"/>
      <c r="WBM29" s="170"/>
      <c r="WBO29" s="170"/>
      <c r="WBQ29" s="170"/>
      <c r="WBS29" s="170"/>
      <c r="WBU29" s="170"/>
      <c r="WBW29" s="170"/>
      <c r="WBY29" s="170"/>
      <c r="WCA29" s="170"/>
      <c r="WCC29" s="170"/>
      <c r="WCE29" s="170"/>
      <c r="WCG29" s="170"/>
      <c r="WCI29" s="170"/>
      <c r="WCK29" s="170"/>
      <c r="WCM29" s="170"/>
      <c r="WCO29" s="170"/>
      <c r="WCQ29" s="170"/>
      <c r="WCS29" s="170"/>
      <c r="WCU29" s="170"/>
      <c r="WCW29" s="170"/>
      <c r="WCY29" s="170"/>
      <c r="WDA29" s="170"/>
      <c r="WDC29" s="170"/>
      <c r="WDE29" s="170"/>
      <c r="WDG29" s="170"/>
      <c r="WDI29" s="170"/>
      <c r="WDK29" s="170"/>
      <c r="WDM29" s="170"/>
      <c r="WDO29" s="170"/>
      <c r="WDQ29" s="170"/>
      <c r="WDS29" s="170"/>
      <c r="WDU29" s="170"/>
      <c r="WDW29" s="170"/>
      <c r="WDY29" s="170"/>
      <c r="WEA29" s="170"/>
      <c r="WEC29" s="170"/>
      <c r="WEE29" s="170"/>
      <c r="WEG29" s="170"/>
      <c r="WEI29" s="170"/>
      <c r="WEK29" s="170"/>
      <c r="WEM29" s="170"/>
      <c r="WEO29" s="170"/>
      <c r="WEQ29" s="170"/>
      <c r="WES29" s="170"/>
      <c r="WEU29" s="170"/>
      <c r="WEW29" s="170"/>
      <c r="WEY29" s="170"/>
      <c r="WFA29" s="170"/>
      <c r="WFC29" s="170"/>
      <c r="WFE29" s="170"/>
      <c r="WFG29" s="170"/>
      <c r="WFI29" s="170"/>
      <c r="WFK29" s="170"/>
      <c r="WFM29" s="170"/>
      <c r="WFO29" s="170"/>
      <c r="WFQ29" s="170"/>
      <c r="WFS29" s="170"/>
      <c r="WFU29" s="170"/>
      <c r="WFW29" s="170"/>
      <c r="WFY29" s="170"/>
      <c r="WGA29" s="170"/>
      <c r="WGC29" s="170"/>
      <c r="WGE29" s="170"/>
      <c r="WGG29" s="170"/>
      <c r="WGI29" s="170"/>
      <c r="WGK29" s="170"/>
      <c r="WGM29" s="170"/>
      <c r="WGO29" s="170"/>
      <c r="WGQ29" s="170"/>
      <c r="WGS29" s="170"/>
      <c r="WGU29" s="170"/>
      <c r="WGW29" s="170"/>
      <c r="WGY29" s="170"/>
      <c r="WHA29" s="170"/>
      <c r="WHC29" s="170"/>
      <c r="WHE29" s="170"/>
      <c r="WHG29" s="170"/>
      <c r="WHI29" s="170"/>
      <c r="WHK29" s="170"/>
      <c r="WHM29" s="170"/>
      <c r="WHO29" s="170"/>
      <c r="WHQ29" s="170"/>
      <c r="WHS29" s="170"/>
      <c r="WHU29" s="170"/>
      <c r="WHW29" s="170"/>
      <c r="WHY29" s="170"/>
      <c r="WIA29" s="170"/>
      <c r="WIC29" s="170"/>
      <c r="WIE29" s="170"/>
      <c r="WIG29" s="170"/>
      <c r="WII29" s="170"/>
      <c r="WIK29" s="170"/>
      <c r="WIM29" s="170"/>
      <c r="WIO29" s="170"/>
      <c r="WIQ29" s="170"/>
      <c r="WIS29" s="170"/>
      <c r="WIU29" s="170"/>
      <c r="WIW29" s="170"/>
      <c r="WIY29" s="170"/>
      <c r="WJA29" s="170"/>
      <c r="WJC29" s="170"/>
      <c r="WJE29" s="170"/>
      <c r="WJG29" s="170"/>
      <c r="WJI29" s="170"/>
      <c r="WJK29" s="170"/>
      <c r="WJM29" s="170"/>
      <c r="WJO29" s="170"/>
      <c r="WJQ29" s="170"/>
      <c r="WJS29" s="170"/>
      <c r="WJU29" s="170"/>
      <c r="WJW29" s="170"/>
      <c r="WJY29" s="170"/>
      <c r="WKA29" s="170"/>
      <c r="WKC29" s="170"/>
      <c r="WKE29" s="170"/>
      <c r="WKG29" s="170"/>
      <c r="WKI29" s="170"/>
      <c r="WKK29" s="170"/>
      <c r="WKM29" s="170"/>
      <c r="WKO29" s="170"/>
      <c r="WKQ29" s="170"/>
      <c r="WKS29" s="170"/>
      <c r="WKU29" s="170"/>
      <c r="WKW29" s="170"/>
      <c r="WKY29" s="170"/>
      <c r="WLA29" s="170"/>
      <c r="WLC29" s="170"/>
      <c r="WLE29" s="170"/>
      <c r="WLG29" s="170"/>
      <c r="WLI29" s="170"/>
      <c r="WLK29" s="170"/>
      <c r="WLM29" s="170"/>
      <c r="WLO29" s="170"/>
      <c r="WLQ29" s="170"/>
      <c r="WLS29" s="170"/>
      <c r="WLU29" s="170"/>
      <c r="WLW29" s="170"/>
      <c r="WLY29" s="170"/>
      <c r="WMA29" s="170"/>
      <c r="WMC29" s="170"/>
      <c r="WME29" s="170"/>
      <c r="WMG29" s="170"/>
      <c r="WMI29" s="170"/>
      <c r="WMK29" s="170"/>
      <c r="WMM29" s="170"/>
      <c r="WMO29" s="170"/>
      <c r="WMQ29" s="170"/>
      <c r="WMS29" s="170"/>
      <c r="WMU29" s="170"/>
      <c r="WMW29" s="170"/>
      <c r="WMY29" s="170"/>
      <c r="WNA29" s="170"/>
      <c r="WNC29" s="170"/>
      <c r="WNE29" s="170"/>
      <c r="WNG29" s="170"/>
      <c r="WNI29" s="170"/>
      <c r="WNK29" s="170"/>
      <c r="WNM29" s="170"/>
      <c r="WNO29" s="170"/>
      <c r="WNQ29" s="170"/>
      <c r="WNS29" s="170"/>
      <c r="WNU29" s="170"/>
      <c r="WNW29" s="170"/>
      <c r="WNY29" s="170"/>
      <c r="WOA29" s="170"/>
      <c r="WOC29" s="170"/>
      <c r="WOE29" s="170"/>
      <c r="WOG29" s="170"/>
      <c r="WOI29" s="170"/>
      <c r="WOK29" s="170"/>
      <c r="WOM29" s="170"/>
      <c r="WOO29" s="170"/>
      <c r="WOQ29" s="170"/>
      <c r="WOS29" s="170"/>
      <c r="WOU29" s="170"/>
      <c r="WOW29" s="170"/>
      <c r="WOY29" s="170"/>
      <c r="WPA29" s="170"/>
      <c r="WPC29" s="170"/>
      <c r="WPE29" s="170"/>
      <c r="WPG29" s="170"/>
      <c r="WPI29" s="170"/>
      <c r="WPK29" s="170"/>
      <c r="WPM29" s="170"/>
      <c r="WPO29" s="170"/>
      <c r="WPQ29" s="170"/>
      <c r="WPS29" s="170"/>
      <c r="WPU29" s="170"/>
      <c r="WPW29" s="170"/>
      <c r="WPY29" s="170"/>
      <c r="WQA29" s="170"/>
      <c r="WQC29" s="170"/>
      <c r="WQE29" s="170"/>
      <c r="WQG29" s="170"/>
      <c r="WQI29" s="170"/>
      <c r="WQK29" s="170"/>
      <c r="WQM29" s="170"/>
      <c r="WQO29" s="170"/>
      <c r="WQQ29" s="170"/>
      <c r="WQS29" s="170"/>
      <c r="WQU29" s="170"/>
      <c r="WQW29" s="170"/>
      <c r="WQY29" s="170"/>
      <c r="WRA29" s="170"/>
      <c r="WRC29" s="170"/>
      <c r="WRE29" s="170"/>
      <c r="WRG29" s="170"/>
      <c r="WRI29" s="170"/>
      <c r="WRK29" s="170"/>
      <c r="WRM29" s="170"/>
      <c r="WRO29" s="170"/>
      <c r="WRQ29" s="170"/>
      <c r="WRS29" s="170"/>
      <c r="WRU29" s="170"/>
      <c r="WRW29" s="170"/>
      <c r="WRY29" s="170"/>
      <c r="WSA29" s="170"/>
      <c r="WSC29" s="170"/>
      <c r="WSE29" s="170"/>
      <c r="WSG29" s="170"/>
      <c r="WSI29" s="170"/>
      <c r="WSK29" s="170"/>
      <c r="WSM29" s="170"/>
      <c r="WSO29" s="170"/>
      <c r="WSQ29" s="170"/>
      <c r="WSS29" s="170"/>
      <c r="WSU29" s="170"/>
      <c r="WSW29" s="170"/>
      <c r="WSY29" s="170"/>
      <c r="WTA29" s="170"/>
      <c r="WTC29" s="170"/>
      <c r="WTE29" s="170"/>
      <c r="WTG29" s="170"/>
      <c r="WTI29" s="170"/>
      <c r="WTK29" s="170"/>
      <c r="WTM29" s="170"/>
      <c r="WTO29" s="170"/>
      <c r="WTQ29" s="170"/>
      <c r="WTS29" s="170"/>
      <c r="WTU29" s="170"/>
      <c r="WTW29" s="170"/>
      <c r="WTY29" s="170"/>
      <c r="WUA29" s="170"/>
      <c r="WUC29" s="170"/>
      <c r="WUE29" s="170"/>
      <c r="WUG29" s="170"/>
      <c r="WUI29" s="170"/>
      <c r="WUK29" s="170"/>
      <c r="WUM29" s="170"/>
      <c r="WUO29" s="170"/>
      <c r="WUQ29" s="170"/>
      <c r="WUS29" s="170"/>
      <c r="WUU29" s="170"/>
      <c r="WUW29" s="170"/>
      <c r="WUY29" s="170"/>
      <c r="WVA29" s="170"/>
      <c r="WVC29" s="170"/>
      <c r="WVE29" s="170"/>
      <c r="WVG29" s="170"/>
      <c r="WVI29" s="170"/>
      <c r="WVK29" s="170"/>
      <c r="WVM29" s="170"/>
      <c r="WVO29" s="170"/>
      <c r="WVQ29" s="170"/>
      <c r="WVS29" s="170"/>
      <c r="WVU29" s="170"/>
      <c r="WVW29" s="170"/>
      <c r="WVY29" s="170"/>
      <c r="WWA29" s="170"/>
      <c r="WWC29" s="170"/>
      <c r="WWE29" s="170"/>
      <c r="WWG29" s="170"/>
      <c r="WWI29" s="170"/>
      <c r="WWK29" s="170"/>
      <c r="WWM29" s="170"/>
      <c r="WWO29" s="170"/>
      <c r="WWQ29" s="170"/>
      <c r="WWS29" s="170"/>
      <c r="WWU29" s="170"/>
      <c r="WWW29" s="170"/>
      <c r="WWY29" s="170"/>
      <c r="WXA29" s="170"/>
      <c r="WXC29" s="170"/>
      <c r="WXE29" s="170"/>
      <c r="WXG29" s="170"/>
      <c r="WXI29" s="170"/>
      <c r="WXK29" s="170"/>
      <c r="WXM29" s="170"/>
      <c r="WXO29" s="170"/>
      <c r="WXQ29" s="170"/>
      <c r="WXS29" s="170"/>
      <c r="WXU29" s="170"/>
      <c r="WXW29" s="170"/>
      <c r="WXY29" s="170"/>
      <c r="WYA29" s="170"/>
      <c r="WYC29" s="170"/>
      <c r="WYE29" s="170"/>
      <c r="WYG29" s="170"/>
      <c r="WYI29" s="170"/>
      <c r="WYK29" s="170"/>
      <c r="WYM29" s="170"/>
      <c r="WYO29" s="170"/>
      <c r="WYQ29" s="170"/>
      <c r="WYS29" s="170"/>
      <c r="WYU29" s="170"/>
      <c r="WYW29" s="170"/>
      <c r="WYY29" s="170"/>
      <c r="WZA29" s="170"/>
      <c r="WZC29" s="170"/>
      <c r="WZE29" s="170"/>
      <c r="WZG29" s="170"/>
      <c r="WZI29" s="170"/>
      <c r="WZK29" s="170"/>
      <c r="WZM29" s="170"/>
      <c r="WZO29" s="170"/>
      <c r="WZQ29" s="170"/>
      <c r="WZS29" s="170"/>
      <c r="WZU29" s="170"/>
      <c r="WZW29" s="170"/>
      <c r="WZY29" s="170"/>
      <c r="XAA29" s="170"/>
      <c r="XAC29" s="170"/>
      <c r="XAE29" s="170"/>
      <c r="XAG29" s="170"/>
      <c r="XAI29" s="170"/>
      <c r="XAK29" s="170"/>
      <c r="XAM29" s="170"/>
      <c r="XAO29" s="170"/>
      <c r="XAQ29" s="170"/>
      <c r="XAS29" s="170"/>
      <c r="XAU29" s="170"/>
      <c r="XAW29" s="170"/>
      <c r="XAY29" s="170"/>
      <c r="XBA29" s="170"/>
      <c r="XBC29" s="170"/>
      <c r="XBE29" s="170"/>
      <c r="XBG29" s="170"/>
      <c r="XBI29" s="170"/>
      <c r="XBK29" s="170"/>
      <c r="XBM29" s="170"/>
      <c r="XBO29" s="170"/>
      <c r="XBQ29" s="170"/>
      <c r="XBS29" s="170"/>
      <c r="XBU29" s="170"/>
      <c r="XBW29" s="170"/>
      <c r="XBY29" s="170"/>
      <c r="XCA29" s="170"/>
      <c r="XCC29" s="170"/>
      <c r="XCE29" s="170"/>
      <c r="XCG29" s="170"/>
      <c r="XCI29" s="170"/>
      <c r="XCK29" s="170"/>
      <c r="XCM29" s="170"/>
      <c r="XCO29" s="170"/>
      <c r="XCQ29" s="170"/>
      <c r="XCS29" s="170"/>
      <c r="XCU29" s="170"/>
      <c r="XCW29" s="170"/>
      <c r="XCY29" s="170"/>
      <c r="XDA29" s="170"/>
      <c r="XDC29" s="170"/>
      <c r="XDE29" s="170"/>
      <c r="XDG29" s="170"/>
      <c r="XDI29" s="170"/>
      <c r="XDK29" s="170"/>
      <c r="XDM29" s="170"/>
      <c r="XDO29" s="170"/>
      <c r="XDQ29" s="170"/>
      <c r="XDS29" s="170"/>
      <c r="XDU29" s="170"/>
      <c r="XDW29" s="170"/>
      <c r="XDY29" s="170"/>
      <c r="XEA29" s="170"/>
      <c r="XEC29" s="170"/>
      <c r="XEE29" s="170"/>
      <c r="XEG29" s="170"/>
      <c r="XEI29" s="170"/>
      <c r="XEK29" s="170"/>
      <c r="XEM29" s="170"/>
      <c r="XEO29" s="170"/>
      <c r="XEQ29" s="170"/>
      <c r="XES29" s="170"/>
      <c r="XEU29" s="170"/>
      <c r="XEW29" s="170"/>
      <c r="XEY29" s="170"/>
      <c r="XFA29" s="170"/>
    </row>
    <row r="30" spans="1:16382" s="111" customFormat="1" ht="12.75" hidden="1" customHeight="1" thickBot="1" x14ac:dyDescent="0.25">
      <c r="A30" s="170">
        <v>19</v>
      </c>
      <c r="C30" s="170"/>
      <c r="E30" s="170" t="str">
        <f>IF(B30=0,"",IF(C30&gt;9999,"",ROUND('General Variables'!$B$4*VLOOKUP(B30,Operations!$A$2:$U$79,10,FALSE)/VLOOKUP(B30,Operations!$A$2:$U$79,9,FALSE)*C30,2)))</f>
        <v/>
      </c>
      <c r="F30" s="111">
        <f>IF(B30=0,0,IF(C30&gt;9999,"",ROUND(IF(VLOOKUP(B30,Operations!$A$2:$U$79,12,FALSE)=0,VLOOKUP(B30,Operations!$A$2:$U$79,13,FALSE)*'General Variables'!$B$8,VLOOKUP(B30,Operations!$A$2:$U$79,12,FALSE)*'General Variables'!$B$7)/VLOOKUP(B30,Operations!$A$2:$U$79,9,FALSE)*C30,2)))</f>
        <v>0</v>
      </c>
      <c r="G30" s="170">
        <f>IF(B30=0,0,IF(C30&gt;9999,"",ROUND(VLOOKUP(VLOOKUP(B30,Operations!$A$2:$U$79,11,FALSE),PowerUnits[],10,FALSE)/VLOOKUP(B30,Operations!$A$2:$U$79,9,FALSE)*C30,2)))</f>
        <v>0</v>
      </c>
      <c r="H30" s="111" t="str">
        <f>IF(B30=0,"",IF(C30&gt;9999,"",ROUND(VLOOKUP($B30,Operations!$A$2:$U$79,15,FALSE)*C30,2)))</f>
        <v/>
      </c>
      <c r="I30" s="170">
        <f>IF(B30=0,0,IF(C30&gt;9999,"",ROUND(VLOOKUP(VLOOKUP(B30,Operations!$A$2:$U$79,11,FALSE),PowerUnits[],16,FALSE)/VLOOKUP(B30,Operations!$A$2:$U$79,9,FALSE)*C30,2)))</f>
        <v>0</v>
      </c>
      <c r="J30" s="111" t="str">
        <f>IF(B30=0,"",IF(C30&gt;9999,"",ROUND(VLOOKUP($B30,Operations!$A$2:$U$79,21,FALSE)*$C30,2)))</f>
        <v/>
      </c>
      <c r="K30" s="170">
        <f t="shared" si="0"/>
        <v>0</v>
      </c>
      <c r="M30" s="170"/>
      <c r="O30" s="170"/>
      <c r="Q30" s="170"/>
      <c r="S30" s="170"/>
      <c r="U30" s="170"/>
      <c r="W30" s="170"/>
      <c r="Y30" s="170"/>
      <c r="AA30" s="170"/>
      <c r="AC30" s="170"/>
      <c r="AE30" s="170"/>
      <c r="AG30" s="170"/>
      <c r="AI30" s="170"/>
      <c r="AK30" s="170"/>
      <c r="AM30" s="170"/>
      <c r="AO30" s="170"/>
      <c r="AQ30" s="170"/>
      <c r="AS30" s="170"/>
      <c r="AU30" s="170"/>
      <c r="AW30" s="170"/>
      <c r="AY30" s="170"/>
      <c r="BA30" s="170"/>
      <c r="BC30" s="170"/>
      <c r="BE30" s="170"/>
      <c r="BG30" s="170"/>
      <c r="BI30" s="170"/>
      <c r="BK30" s="170"/>
      <c r="BM30" s="170"/>
      <c r="BO30" s="170"/>
      <c r="BQ30" s="170"/>
      <c r="BS30" s="170"/>
      <c r="BU30" s="170"/>
      <c r="BW30" s="170"/>
      <c r="BY30" s="170"/>
      <c r="CA30" s="170"/>
      <c r="CC30" s="170"/>
      <c r="CE30" s="170"/>
      <c r="CG30" s="170"/>
      <c r="CI30" s="170"/>
      <c r="CK30" s="170"/>
      <c r="CM30" s="170"/>
      <c r="CO30" s="170"/>
      <c r="CQ30" s="170"/>
      <c r="CS30" s="170"/>
      <c r="CU30" s="170"/>
      <c r="CW30" s="170"/>
      <c r="CY30" s="170"/>
      <c r="DA30" s="170"/>
      <c r="DC30" s="170"/>
      <c r="DE30" s="170"/>
      <c r="DG30" s="170"/>
      <c r="DI30" s="170"/>
      <c r="DK30" s="170"/>
      <c r="DM30" s="170"/>
      <c r="DO30" s="170"/>
      <c r="DQ30" s="170"/>
      <c r="DS30" s="170"/>
      <c r="DU30" s="170"/>
      <c r="DW30" s="170"/>
      <c r="DY30" s="170"/>
      <c r="EA30" s="170"/>
      <c r="EC30" s="170"/>
      <c r="EE30" s="170"/>
      <c r="EG30" s="170"/>
      <c r="EI30" s="170"/>
      <c r="EK30" s="170"/>
      <c r="EM30" s="170"/>
      <c r="EO30" s="170"/>
      <c r="EQ30" s="170"/>
      <c r="ES30" s="170"/>
      <c r="EU30" s="170"/>
      <c r="EW30" s="170"/>
      <c r="EY30" s="170"/>
      <c r="FA30" s="170"/>
      <c r="FC30" s="170"/>
      <c r="FE30" s="170"/>
      <c r="FG30" s="170"/>
      <c r="FI30" s="170"/>
      <c r="FK30" s="170"/>
      <c r="FM30" s="170"/>
      <c r="FO30" s="170"/>
      <c r="FQ30" s="170"/>
      <c r="FS30" s="170"/>
      <c r="FU30" s="170"/>
      <c r="FW30" s="170"/>
      <c r="FY30" s="170"/>
      <c r="GA30" s="170"/>
      <c r="GC30" s="170"/>
      <c r="GE30" s="170"/>
      <c r="GG30" s="170"/>
      <c r="GI30" s="170"/>
      <c r="GK30" s="170"/>
      <c r="GM30" s="170"/>
      <c r="GO30" s="170"/>
      <c r="GQ30" s="170"/>
      <c r="GS30" s="170"/>
      <c r="GU30" s="170"/>
      <c r="GW30" s="170"/>
      <c r="GY30" s="170"/>
      <c r="HA30" s="170"/>
      <c r="HC30" s="170"/>
      <c r="HE30" s="170"/>
      <c r="HG30" s="170"/>
      <c r="HI30" s="170"/>
      <c r="HK30" s="170"/>
      <c r="HM30" s="170"/>
      <c r="HO30" s="170"/>
      <c r="HQ30" s="170"/>
      <c r="HS30" s="170"/>
      <c r="HU30" s="170"/>
      <c r="HW30" s="170"/>
      <c r="HY30" s="170"/>
      <c r="IA30" s="170"/>
      <c r="IC30" s="170"/>
      <c r="IE30" s="170"/>
      <c r="IG30" s="170"/>
      <c r="II30" s="170"/>
      <c r="IK30" s="170"/>
      <c r="IM30" s="170"/>
      <c r="IO30" s="170"/>
      <c r="IQ30" s="170"/>
      <c r="IS30" s="170"/>
      <c r="IU30" s="170"/>
      <c r="IW30" s="170"/>
      <c r="IY30" s="170"/>
      <c r="JA30" s="170"/>
      <c r="JC30" s="170"/>
      <c r="JE30" s="170"/>
      <c r="JG30" s="170"/>
      <c r="JI30" s="170"/>
      <c r="JK30" s="170"/>
      <c r="JM30" s="170"/>
      <c r="JO30" s="170"/>
      <c r="JQ30" s="170"/>
      <c r="JS30" s="170"/>
      <c r="JU30" s="170"/>
      <c r="JW30" s="170"/>
      <c r="JY30" s="170"/>
      <c r="KA30" s="170"/>
      <c r="KC30" s="170"/>
      <c r="KE30" s="170"/>
      <c r="KG30" s="170"/>
      <c r="KI30" s="170"/>
      <c r="KK30" s="170"/>
      <c r="KM30" s="170"/>
      <c r="KO30" s="170"/>
      <c r="KQ30" s="170"/>
      <c r="KS30" s="170"/>
      <c r="KU30" s="170"/>
      <c r="KW30" s="170"/>
      <c r="KY30" s="170"/>
      <c r="LA30" s="170"/>
      <c r="LC30" s="170"/>
      <c r="LE30" s="170"/>
      <c r="LG30" s="170"/>
      <c r="LI30" s="170"/>
      <c r="LK30" s="170"/>
      <c r="LM30" s="170"/>
      <c r="LO30" s="170"/>
      <c r="LQ30" s="170"/>
      <c r="LS30" s="170"/>
      <c r="LU30" s="170"/>
      <c r="LW30" s="170"/>
      <c r="LY30" s="170"/>
      <c r="MA30" s="170"/>
      <c r="MC30" s="170"/>
      <c r="ME30" s="170"/>
      <c r="MG30" s="170"/>
      <c r="MI30" s="170"/>
      <c r="MK30" s="170"/>
      <c r="MM30" s="170"/>
      <c r="MO30" s="170"/>
      <c r="MQ30" s="170"/>
      <c r="MS30" s="170"/>
      <c r="MU30" s="170"/>
      <c r="MW30" s="170"/>
      <c r="MY30" s="170"/>
      <c r="NA30" s="170"/>
      <c r="NC30" s="170"/>
      <c r="NE30" s="170"/>
      <c r="NG30" s="170"/>
      <c r="NI30" s="170"/>
      <c r="NK30" s="170"/>
      <c r="NM30" s="170"/>
      <c r="NO30" s="170"/>
      <c r="NQ30" s="170"/>
      <c r="NS30" s="170"/>
      <c r="NU30" s="170"/>
      <c r="NW30" s="170"/>
      <c r="NY30" s="170"/>
      <c r="OA30" s="170"/>
      <c r="OC30" s="170"/>
      <c r="OE30" s="170"/>
      <c r="OG30" s="170"/>
      <c r="OI30" s="170"/>
      <c r="OK30" s="170"/>
      <c r="OM30" s="170"/>
      <c r="OO30" s="170"/>
      <c r="OQ30" s="170"/>
      <c r="OS30" s="170"/>
      <c r="OU30" s="170"/>
      <c r="OW30" s="170"/>
      <c r="OY30" s="170"/>
      <c r="PA30" s="170"/>
      <c r="PC30" s="170"/>
      <c r="PE30" s="170"/>
      <c r="PG30" s="170"/>
      <c r="PI30" s="170"/>
      <c r="PK30" s="170"/>
      <c r="PM30" s="170"/>
      <c r="PO30" s="170"/>
      <c r="PQ30" s="170"/>
      <c r="PS30" s="170"/>
      <c r="PU30" s="170"/>
      <c r="PW30" s="170"/>
      <c r="PY30" s="170"/>
      <c r="QA30" s="170"/>
      <c r="QC30" s="170"/>
      <c r="QE30" s="170"/>
      <c r="QG30" s="170"/>
      <c r="QI30" s="170"/>
      <c r="QK30" s="170"/>
      <c r="QM30" s="170"/>
      <c r="QO30" s="170"/>
      <c r="QQ30" s="170"/>
      <c r="QS30" s="170"/>
      <c r="QU30" s="170"/>
      <c r="QW30" s="170"/>
      <c r="QY30" s="170"/>
      <c r="RA30" s="170"/>
      <c r="RC30" s="170"/>
      <c r="RE30" s="170"/>
      <c r="RG30" s="170"/>
      <c r="RI30" s="170"/>
      <c r="RK30" s="170"/>
      <c r="RM30" s="170"/>
      <c r="RO30" s="170"/>
      <c r="RQ30" s="170"/>
      <c r="RS30" s="170"/>
      <c r="RU30" s="170"/>
      <c r="RW30" s="170"/>
      <c r="RY30" s="170"/>
      <c r="SA30" s="170"/>
      <c r="SC30" s="170"/>
      <c r="SE30" s="170"/>
      <c r="SG30" s="170"/>
      <c r="SI30" s="170"/>
      <c r="SK30" s="170"/>
      <c r="SM30" s="170"/>
      <c r="SO30" s="170"/>
      <c r="SQ30" s="170"/>
      <c r="SS30" s="170"/>
      <c r="SU30" s="170"/>
      <c r="SW30" s="170"/>
      <c r="SY30" s="170"/>
      <c r="TA30" s="170"/>
      <c r="TC30" s="170"/>
      <c r="TE30" s="170"/>
      <c r="TG30" s="170"/>
      <c r="TI30" s="170"/>
      <c r="TK30" s="170"/>
      <c r="TM30" s="170"/>
      <c r="TO30" s="170"/>
      <c r="TQ30" s="170"/>
      <c r="TS30" s="170"/>
      <c r="TU30" s="170"/>
      <c r="TW30" s="170"/>
      <c r="TY30" s="170"/>
      <c r="UA30" s="170"/>
      <c r="UC30" s="170"/>
      <c r="UE30" s="170"/>
      <c r="UG30" s="170"/>
      <c r="UI30" s="170"/>
      <c r="UK30" s="170"/>
      <c r="UM30" s="170"/>
      <c r="UO30" s="170"/>
      <c r="UQ30" s="170"/>
      <c r="US30" s="170"/>
      <c r="UU30" s="170"/>
      <c r="UW30" s="170"/>
      <c r="UY30" s="170"/>
      <c r="VA30" s="170"/>
      <c r="VC30" s="170"/>
      <c r="VE30" s="170"/>
      <c r="VG30" s="170"/>
      <c r="VI30" s="170"/>
      <c r="VK30" s="170"/>
      <c r="VM30" s="170"/>
      <c r="VO30" s="170"/>
      <c r="VQ30" s="170"/>
      <c r="VS30" s="170"/>
      <c r="VU30" s="170"/>
      <c r="VW30" s="170"/>
      <c r="VY30" s="170"/>
      <c r="WA30" s="170"/>
      <c r="WC30" s="170"/>
      <c r="WE30" s="170"/>
      <c r="WG30" s="170"/>
      <c r="WI30" s="170"/>
      <c r="WK30" s="170"/>
      <c r="WM30" s="170"/>
      <c r="WO30" s="170"/>
      <c r="WQ30" s="170"/>
      <c r="WS30" s="170"/>
      <c r="WU30" s="170"/>
      <c r="WW30" s="170"/>
      <c r="WY30" s="170"/>
      <c r="XA30" s="170"/>
      <c r="XC30" s="170"/>
      <c r="XE30" s="170"/>
      <c r="XG30" s="170"/>
      <c r="XI30" s="170"/>
      <c r="XK30" s="170"/>
      <c r="XM30" s="170"/>
      <c r="XO30" s="170"/>
      <c r="XQ30" s="170"/>
      <c r="XS30" s="170"/>
      <c r="XU30" s="170"/>
      <c r="XW30" s="170"/>
      <c r="XY30" s="170"/>
      <c r="YA30" s="170"/>
      <c r="YC30" s="170"/>
      <c r="YE30" s="170"/>
      <c r="YG30" s="170"/>
      <c r="YI30" s="170"/>
      <c r="YK30" s="170"/>
      <c r="YM30" s="170"/>
      <c r="YO30" s="170"/>
      <c r="YQ30" s="170"/>
      <c r="YS30" s="170"/>
      <c r="YU30" s="170"/>
      <c r="YW30" s="170"/>
      <c r="YY30" s="170"/>
      <c r="ZA30" s="170"/>
      <c r="ZC30" s="170"/>
      <c r="ZE30" s="170"/>
      <c r="ZG30" s="170"/>
      <c r="ZI30" s="170"/>
      <c r="ZK30" s="170"/>
      <c r="ZM30" s="170"/>
      <c r="ZO30" s="170"/>
      <c r="ZQ30" s="170"/>
      <c r="ZS30" s="170"/>
      <c r="ZU30" s="170"/>
      <c r="ZW30" s="170"/>
      <c r="ZY30" s="170"/>
      <c r="AAA30" s="170"/>
      <c r="AAC30" s="170"/>
      <c r="AAE30" s="170"/>
      <c r="AAG30" s="170"/>
      <c r="AAI30" s="170"/>
      <c r="AAK30" s="170"/>
      <c r="AAM30" s="170"/>
      <c r="AAO30" s="170"/>
      <c r="AAQ30" s="170"/>
      <c r="AAS30" s="170"/>
      <c r="AAU30" s="170"/>
      <c r="AAW30" s="170"/>
      <c r="AAY30" s="170"/>
      <c r="ABA30" s="170"/>
      <c r="ABC30" s="170"/>
      <c r="ABE30" s="170"/>
      <c r="ABG30" s="170"/>
      <c r="ABI30" s="170"/>
      <c r="ABK30" s="170"/>
      <c r="ABM30" s="170"/>
      <c r="ABO30" s="170"/>
      <c r="ABQ30" s="170"/>
      <c r="ABS30" s="170"/>
      <c r="ABU30" s="170"/>
      <c r="ABW30" s="170"/>
      <c r="ABY30" s="170"/>
      <c r="ACA30" s="170"/>
      <c r="ACC30" s="170"/>
      <c r="ACE30" s="170"/>
      <c r="ACG30" s="170"/>
      <c r="ACI30" s="170"/>
      <c r="ACK30" s="170"/>
      <c r="ACM30" s="170"/>
      <c r="ACO30" s="170"/>
      <c r="ACQ30" s="170"/>
      <c r="ACS30" s="170"/>
      <c r="ACU30" s="170"/>
      <c r="ACW30" s="170"/>
      <c r="ACY30" s="170"/>
      <c r="ADA30" s="170"/>
      <c r="ADC30" s="170"/>
      <c r="ADE30" s="170"/>
      <c r="ADG30" s="170"/>
      <c r="ADI30" s="170"/>
      <c r="ADK30" s="170"/>
      <c r="ADM30" s="170"/>
      <c r="ADO30" s="170"/>
      <c r="ADQ30" s="170"/>
      <c r="ADS30" s="170"/>
      <c r="ADU30" s="170"/>
      <c r="ADW30" s="170"/>
      <c r="ADY30" s="170"/>
      <c r="AEA30" s="170"/>
      <c r="AEC30" s="170"/>
      <c r="AEE30" s="170"/>
      <c r="AEG30" s="170"/>
      <c r="AEI30" s="170"/>
      <c r="AEK30" s="170"/>
      <c r="AEM30" s="170"/>
      <c r="AEO30" s="170"/>
      <c r="AEQ30" s="170"/>
      <c r="AES30" s="170"/>
      <c r="AEU30" s="170"/>
      <c r="AEW30" s="170"/>
      <c r="AEY30" s="170"/>
      <c r="AFA30" s="170"/>
      <c r="AFC30" s="170"/>
      <c r="AFE30" s="170"/>
      <c r="AFG30" s="170"/>
      <c r="AFI30" s="170"/>
      <c r="AFK30" s="170"/>
      <c r="AFM30" s="170"/>
      <c r="AFO30" s="170"/>
      <c r="AFQ30" s="170"/>
      <c r="AFS30" s="170"/>
      <c r="AFU30" s="170"/>
      <c r="AFW30" s="170"/>
      <c r="AFY30" s="170"/>
      <c r="AGA30" s="170"/>
      <c r="AGC30" s="170"/>
      <c r="AGE30" s="170"/>
      <c r="AGG30" s="170"/>
      <c r="AGI30" s="170"/>
      <c r="AGK30" s="170"/>
      <c r="AGM30" s="170"/>
      <c r="AGO30" s="170"/>
      <c r="AGQ30" s="170"/>
      <c r="AGS30" s="170"/>
      <c r="AGU30" s="170"/>
      <c r="AGW30" s="170"/>
      <c r="AGY30" s="170"/>
      <c r="AHA30" s="170"/>
      <c r="AHC30" s="170"/>
      <c r="AHE30" s="170"/>
      <c r="AHG30" s="170"/>
      <c r="AHI30" s="170"/>
      <c r="AHK30" s="170"/>
      <c r="AHM30" s="170"/>
      <c r="AHO30" s="170"/>
      <c r="AHQ30" s="170"/>
      <c r="AHS30" s="170"/>
      <c r="AHU30" s="170"/>
      <c r="AHW30" s="170"/>
      <c r="AHY30" s="170"/>
      <c r="AIA30" s="170"/>
      <c r="AIC30" s="170"/>
      <c r="AIE30" s="170"/>
      <c r="AIG30" s="170"/>
      <c r="AII30" s="170"/>
      <c r="AIK30" s="170"/>
      <c r="AIM30" s="170"/>
      <c r="AIO30" s="170"/>
      <c r="AIQ30" s="170"/>
      <c r="AIS30" s="170"/>
      <c r="AIU30" s="170"/>
      <c r="AIW30" s="170"/>
      <c r="AIY30" s="170"/>
      <c r="AJA30" s="170"/>
      <c r="AJC30" s="170"/>
      <c r="AJE30" s="170"/>
      <c r="AJG30" s="170"/>
      <c r="AJI30" s="170"/>
      <c r="AJK30" s="170"/>
      <c r="AJM30" s="170"/>
      <c r="AJO30" s="170"/>
      <c r="AJQ30" s="170"/>
      <c r="AJS30" s="170"/>
      <c r="AJU30" s="170"/>
      <c r="AJW30" s="170"/>
      <c r="AJY30" s="170"/>
      <c r="AKA30" s="170"/>
      <c r="AKC30" s="170"/>
      <c r="AKE30" s="170"/>
      <c r="AKG30" s="170"/>
      <c r="AKI30" s="170"/>
      <c r="AKK30" s="170"/>
      <c r="AKM30" s="170"/>
      <c r="AKO30" s="170"/>
      <c r="AKQ30" s="170"/>
      <c r="AKS30" s="170"/>
      <c r="AKU30" s="170"/>
      <c r="AKW30" s="170"/>
      <c r="AKY30" s="170"/>
      <c r="ALA30" s="170"/>
      <c r="ALC30" s="170"/>
      <c r="ALE30" s="170"/>
      <c r="ALG30" s="170"/>
      <c r="ALI30" s="170"/>
      <c r="ALK30" s="170"/>
      <c r="ALM30" s="170"/>
      <c r="ALO30" s="170"/>
      <c r="ALQ30" s="170"/>
      <c r="ALS30" s="170"/>
      <c r="ALU30" s="170"/>
      <c r="ALW30" s="170"/>
      <c r="ALY30" s="170"/>
      <c r="AMA30" s="170"/>
      <c r="AMC30" s="170"/>
      <c r="AME30" s="170"/>
      <c r="AMG30" s="170"/>
      <c r="AMI30" s="170"/>
      <c r="AMK30" s="170"/>
      <c r="AMM30" s="170"/>
      <c r="AMO30" s="170"/>
      <c r="AMQ30" s="170"/>
      <c r="AMS30" s="170"/>
      <c r="AMU30" s="170"/>
      <c r="AMW30" s="170"/>
      <c r="AMY30" s="170"/>
      <c r="ANA30" s="170"/>
      <c r="ANC30" s="170"/>
      <c r="ANE30" s="170"/>
      <c r="ANG30" s="170"/>
      <c r="ANI30" s="170"/>
      <c r="ANK30" s="170"/>
      <c r="ANM30" s="170"/>
      <c r="ANO30" s="170"/>
      <c r="ANQ30" s="170"/>
      <c r="ANS30" s="170"/>
      <c r="ANU30" s="170"/>
      <c r="ANW30" s="170"/>
      <c r="ANY30" s="170"/>
      <c r="AOA30" s="170"/>
      <c r="AOC30" s="170"/>
      <c r="AOE30" s="170"/>
      <c r="AOG30" s="170"/>
      <c r="AOI30" s="170"/>
      <c r="AOK30" s="170"/>
      <c r="AOM30" s="170"/>
      <c r="AOO30" s="170"/>
      <c r="AOQ30" s="170"/>
      <c r="AOS30" s="170"/>
      <c r="AOU30" s="170"/>
      <c r="AOW30" s="170"/>
      <c r="AOY30" s="170"/>
      <c r="APA30" s="170"/>
      <c r="APC30" s="170"/>
      <c r="APE30" s="170"/>
      <c r="APG30" s="170"/>
      <c r="API30" s="170"/>
      <c r="APK30" s="170"/>
      <c r="APM30" s="170"/>
      <c r="APO30" s="170"/>
      <c r="APQ30" s="170"/>
      <c r="APS30" s="170"/>
      <c r="APU30" s="170"/>
      <c r="APW30" s="170"/>
      <c r="APY30" s="170"/>
      <c r="AQA30" s="170"/>
      <c r="AQC30" s="170"/>
      <c r="AQE30" s="170"/>
      <c r="AQG30" s="170"/>
      <c r="AQI30" s="170"/>
      <c r="AQK30" s="170"/>
      <c r="AQM30" s="170"/>
      <c r="AQO30" s="170"/>
      <c r="AQQ30" s="170"/>
      <c r="AQS30" s="170"/>
      <c r="AQU30" s="170"/>
      <c r="AQW30" s="170"/>
      <c r="AQY30" s="170"/>
      <c r="ARA30" s="170"/>
      <c r="ARC30" s="170"/>
      <c r="ARE30" s="170"/>
      <c r="ARG30" s="170"/>
      <c r="ARI30" s="170"/>
      <c r="ARK30" s="170"/>
      <c r="ARM30" s="170"/>
      <c r="ARO30" s="170"/>
      <c r="ARQ30" s="170"/>
      <c r="ARS30" s="170"/>
      <c r="ARU30" s="170"/>
      <c r="ARW30" s="170"/>
      <c r="ARY30" s="170"/>
      <c r="ASA30" s="170"/>
      <c r="ASC30" s="170"/>
      <c r="ASE30" s="170"/>
      <c r="ASG30" s="170"/>
      <c r="ASI30" s="170"/>
      <c r="ASK30" s="170"/>
      <c r="ASM30" s="170"/>
      <c r="ASO30" s="170"/>
      <c r="ASQ30" s="170"/>
      <c r="ASS30" s="170"/>
      <c r="ASU30" s="170"/>
      <c r="ASW30" s="170"/>
      <c r="ASY30" s="170"/>
      <c r="ATA30" s="170"/>
      <c r="ATC30" s="170"/>
      <c r="ATE30" s="170"/>
      <c r="ATG30" s="170"/>
      <c r="ATI30" s="170"/>
      <c r="ATK30" s="170"/>
      <c r="ATM30" s="170"/>
      <c r="ATO30" s="170"/>
      <c r="ATQ30" s="170"/>
      <c r="ATS30" s="170"/>
      <c r="ATU30" s="170"/>
      <c r="ATW30" s="170"/>
      <c r="ATY30" s="170"/>
      <c r="AUA30" s="170"/>
      <c r="AUC30" s="170"/>
      <c r="AUE30" s="170"/>
      <c r="AUG30" s="170"/>
      <c r="AUI30" s="170"/>
      <c r="AUK30" s="170"/>
      <c r="AUM30" s="170"/>
      <c r="AUO30" s="170"/>
      <c r="AUQ30" s="170"/>
      <c r="AUS30" s="170"/>
      <c r="AUU30" s="170"/>
      <c r="AUW30" s="170"/>
      <c r="AUY30" s="170"/>
      <c r="AVA30" s="170"/>
      <c r="AVC30" s="170"/>
      <c r="AVE30" s="170"/>
      <c r="AVG30" s="170"/>
      <c r="AVI30" s="170"/>
      <c r="AVK30" s="170"/>
      <c r="AVM30" s="170"/>
      <c r="AVO30" s="170"/>
      <c r="AVQ30" s="170"/>
      <c r="AVS30" s="170"/>
      <c r="AVU30" s="170"/>
      <c r="AVW30" s="170"/>
      <c r="AVY30" s="170"/>
      <c r="AWA30" s="170"/>
      <c r="AWC30" s="170"/>
      <c r="AWE30" s="170"/>
      <c r="AWG30" s="170"/>
      <c r="AWI30" s="170"/>
      <c r="AWK30" s="170"/>
      <c r="AWM30" s="170"/>
      <c r="AWO30" s="170"/>
      <c r="AWQ30" s="170"/>
      <c r="AWS30" s="170"/>
      <c r="AWU30" s="170"/>
      <c r="AWW30" s="170"/>
      <c r="AWY30" s="170"/>
      <c r="AXA30" s="170"/>
      <c r="AXC30" s="170"/>
      <c r="AXE30" s="170"/>
      <c r="AXG30" s="170"/>
      <c r="AXI30" s="170"/>
      <c r="AXK30" s="170"/>
      <c r="AXM30" s="170"/>
      <c r="AXO30" s="170"/>
      <c r="AXQ30" s="170"/>
      <c r="AXS30" s="170"/>
      <c r="AXU30" s="170"/>
      <c r="AXW30" s="170"/>
      <c r="AXY30" s="170"/>
      <c r="AYA30" s="170"/>
      <c r="AYC30" s="170"/>
      <c r="AYE30" s="170"/>
      <c r="AYG30" s="170"/>
      <c r="AYI30" s="170"/>
      <c r="AYK30" s="170"/>
      <c r="AYM30" s="170"/>
      <c r="AYO30" s="170"/>
      <c r="AYQ30" s="170"/>
      <c r="AYS30" s="170"/>
      <c r="AYU30" s="170"/>
      <c r="AYW30" s="170"/>
      <c r="AYY30" s="170"/>
      <c r="AZA30" s="170"/>
      <c r="AZC30" s="170"/>
      <c r="AZE30" s="170"/>
      <c r="AZG30" s="170"/>
      <c r="AZI30" s="170"/>
      <c r="AZK30" s="170"/>
      <c r="AZM30" s="170"/>
      <c r="AZO30" s="170"/>
      <c r="AZQ30" s="170"/>
      <c r="AZS30" s="170"/>
      <c r="AZU30" s="170"/>
      <c r="AZW30" s="170"/>
      <c r="AZY30" s="170"/>
      <c r="BAA30" s="170"/>
      <c r="BAC30" s="170"/>
      <c r="BAE30" s="170"/>
      <c r="BAG30" s="170"/>
      <c r="BAI30" s="170"/>
      <c r="BAK30" s="170"/>
      <c r="BAM30" s="170"/>
      <c r="BAO30" s="170"/>
      <c r="BAQ30" s="170"/>
      <c r="BAS30" s="170"/>
      <c r="BAU30" s="170"/>
      <c r="BAW30" s="170"/>
      <c r="BAY30" s="170"/>
      <c r="BBA30" s="170"/>
      <c r="BBC30" s="170"/>
      <c r="BBE30" s="170"/>
      <c r="BBG30" s="170"/>
      <c r="BBI30" s="170"/>
      <c r="BBK30" s="170"/>
      <c r="BBM30" s="170"/>
      <c r="BBO30" s="170"/>
      <c r="BBQ30" s="170"/>
      <c r="BBS30" s="170"/>
      <c r="BBU30" s="170"/>
      <c r="BBW30" s="170"/>
      <c r="BBY30" s="170"/>
      <c r="BCA30" s="170"/>
      <c r="BCC30" s="170"/>
      <c r="BCE30" s="170"/>
      <c r="BCG30" s="170"/>
      <c r="BCI30" s="170"/>
      <c r="BCK30" s="170"/>
      <c r="BCM30" s="170"/>
      <c r="BCO30" s="170"/>
      <c r="BCQ30" s="170"/>
      <c r="BCS30" s="170"/>
      <c r="BCU30" s="170"/>
      <c r="BCW30" s="170"/>
      <c r="BCY30" s="170"/>
      <c r="BDA30" s="170"/>
      <c r="BDC30" s="170"/>
      <c r="BDE30" s="170"/>
      <c r="BDG30" s="170"/>
      <c r="BDI30" s="170"/>
      <c r="BDK30" s="170"/>
      <c r="BDM30" s="170"/>
      <c r="BDO30" s="170"/>
      <c r="BDQ30" s="170"/>
      <c r="BDS30" s="170"/>
      <c r="BDU30" s="170"/>
      <c r="BDW30" s="170"/>
      <c r="BDY30" s="170"/>
      <c r="BEA30" s="170"/>
      <c r="BEC30" s="170"/>
      <c r="BEE30" s="170"/>
      <c r="BEG30" s="170"/>
      <c r="BEI30" s="170"/>
      <c r="BEK30" s="170"/>
      <c r="BEM30" s="170"/>
      <c r="BEO30" s="170"/>
      <c r="BEQ30" s="170"/>
      <c r="BES30" s="170"/>
      <c r="BEU30" s="170"/>
      <c r="BEW30" s="170"/>
      <c r="BEY30" s="170"/>
      <c r="BFA30" s="170"/>
      <c r="BFC30" s="170"/>
      <c r="BFE30" s="170"/>
      <c r="BFG30" s="170"/>
      <c r="BFI30" s="170"/>
      <c r="BFK30" s="170"/>
      <c r="BFM30" s="170"/>
      <c r="BFO30" s="170"/>
      <c r="BFQ30" s="170"/>
      <c r="BFS30" s="170"/>
      <c r="BFU30" s="170"/>
      <c r="BFW30" s="170"/>
      <c r="BFY30" s="170"/>
      <c r="BGA30" s="170"/>
      <c r="BGC30" s="170"/>
      <c r="BGE30" s="170"/>
      <c r="BGG30" s="170"/>
      <c r="BGI30" s="170"/>
      <c r="BGK30" s="170"/>
      <c r="BGM30" s="170"/>
      <c r="BGO30" s="170"/>
      <c r="BGQ30" s="170"/>
      <c r="BGS30" s="170"/>
      <c r="BGU30" s="170"/>
      <c r="BGW30" s="170"/>
      <c r="BGY30" s="170"/>
      <c r="BHA30" s="170"/>
      <c r="BHC30" s="170"/>
      <c r="BHE30" s="170"/>
      <c r="BHG30" s="170"/>
      <c r="BHI30" s="170"/>
      <c r="BHK30" s="170"/>
      <c r="BHM30" s="170"/>
      <c r="BHO30" s="170"/>
      <c r="BHQ30" s="170"/>
      <c r="BHS30" s="170"/>
      <c r="BHU30" s="170"/>
      <c r="BHW30" s="170"/>
      <c r="BHY30" s="170"/>
      <c r="BIA30" s="170"/>
      <c r="BIC30" s="170"/>
      <c r="BIE30" s="170"/>
      <c r="BIG30" s="170"/>
      <c r="BII30" s="170"/>
      <c r="BIK30" s="170"/>
      <c r="BIM30" s="170"/>
      <c r="BIO30" s="170"/>
      <c r="BIQ30" s="170"/>
      <c r="BIS30" s="170"/>
      <c r="BIU30" s="170"/>
      <c r="BIW30" s="170"/>
      <c r="BIY30" s="170"/>
      <c r="BJA30" s="170"/>
      <c r="BJC30" s="170"/>
      <c r="BJE30" s="170"/>
      <c r="BJG30" s="170"/>
      <c r="BJI30" s="170"/>
      <c r="BJK30" s="170"/>
      <c r="BJM30" s="170"/>
      <c r="BJO30" s="170"/>
      <c r="BJQ30" s="170"/>
      <c r="BJS30" s="170"/>
      <c r="BJU30" s="170"/>
      <c r="BJW30" s="170"/>
      <c r="BJY30" s="170"/>
      <c r="BKA30" s="170"/>
      <c r="BKC30" s="170"/>
      <c r="BKE30" s="170"/>
      <c r="BKG30" s="170"/>
      <c r="BKI30" s="170"/>
      <c r="BKK30" s="170"/>
      <c r="BKM30" s="170"/>
      <c r="BKO30" s="170"/>
      <c r="BKQ30" s="170"/>
      <c r="BKS30" s="170"/>
      <c r="BKU30" s="170"/>
      <c r="BKW30" s="170"/>
      <c r="BKY30" s="170"/>
      <c r="BLA30" s="170"/>
      <c r="BLC30" s="170"/>
      <c r="BLE30" s="170"/>
      <c r="BLG30" s="170"/>
      <c r="BLI30" s="170"/>
      <c r="BLK30" s="170"/>
      <c r="BLM30" s="170"/>
      <c r="BLO30" s="170"/>
      <c r="BLQ30" s="170"/>
      <c r="BLS30" s="170"/>
      <c r="BLU30" s="170"/>
      <c r="BLW30" s="170"/>
      <c r="BLY30" s="170"/>
      <c r="BMA30" s="170"/>
      <c r="BMC30" s="170"/>
      <c r="BME30" s="170"/>
      <c r="BMG30" s="170"/>
      <c r="BMI30" s="170"/>
      <c r="BMK30" s="170"/>
      <c r="BMM30" s="170"/>
      <c r="BMO30" s="170"/>
      <c r="BMQ30" s="170"/>
      <c r="BMS30" s="170"/>
      <c r="BMU30" s="170"/>
      <c r="BMW30" s="170"/>
      <c r="BMY30" s="170"/>
      <c r="BNA30" s="170"/>
      <c r="BNC30" s="170"/>
      <c r="BNE30" s="170"/>
      <c r="BNG30" s="170"/>
      <c r="BNI30" s="170"/>
      <c r="BNK30" s="170"/>
      <c r="BNM30" s="170"/>
      <c r="BNO30" s="170"/>
      <c r="BNQ30" s="170"/>
      <c r="BNS30" s="170"/>
      <c r="BNU30" s="170"/>
      <c r="BNW30" s="170"/>
      <c r="BNY30" s="170"/>
      <c r="BOA30" s="170"/>
      <c r="BOC30" s="170"/>
      <c r="BOE30" s="170"/>
      <c r="BOG30" s="170"/>
      <c r="BOI30" s="170"/>
      <c r="BOK30" s="170"/>
      <c r="BOM30" s="170"/>
      <c r="BOO30" s="170"/>
      <c r="BOQ30" s="170"/>
      <c r="BOS30" s="170"/>
      <c r="BOU30" s="170"/>
      <c r="BOW30" s="170"/>
      <c r="BOY30" s="170"/>
      <c r="BPA30" s="170"/>
      <c r="BPC30" s="170"/>
      <c r="BPE30" s="170"/>
      <c r="BPG30" s="170"/>
      <c r="BPI30" s="170"/>
      <c r="BPK30" s="170"/>
      <c r="BPM30" s="170"/>
      <c r="BPO30" s="170"/>
      <c r="BPQ30" s="170"/>
      <c r="BPS30" s="170"/>
      <c r="BPU30" s="170"/>
      <c r="BPW30" s="170"/>
      <c r="BPY30" s="170"/>
      <c r="BQA30" s="170"/>
      <c r="BQC30" s="170"/>
      <c r="BQE30" s="170"/>
      <c r="BQG30" s="170"/>
      <c r="BQI30" s="170"/>
      <c r="BQK30" s="170"/>
      <c r="BQM30" s="170"/>
      <c r="BQO30" s="170"/>
      <c r="BQQ30" s="170"/>
      <c r="BQS30" s="170"/>
      <c r="BQU30" s="170"/>
      <c r="BQW30" s="170"/>
      <c r="BQY30" s="170"/>
      <c r="BRA30" s="170"/>
      <c r="BRC30" s="170"/>
      <c r="BRE30" s="170"/>
      <c r="BRG30" s="170"/>
      <c r="BRI30" s="170"/>
      <c r="BRK30" s="170"/>
      <c r="BRM30" s="170"/>
      <c r="BRO30" s="170"/>
      <c r="BRQ30" s="170"/>
      <c r="BRS30" s="170"/>
      <c r="BRU30" s="170"/>
      <c r="BRW30" s="170"/>
      <c r="BRY30" s="170"/>
      <c r="BSA30" s="170"/>
      <c r="BSC30" s="170"/>
      <c r="BSE30" s="170"/>
      <c r="BSG30" s="170"/>
      <c r="BSI30" s="170"/>
      <c r="BSK30" s="170"/>
      <c r="BSM30" s="170"/>
      <c r="BSO30" s="170"/>
      <c r="BSQ30" s="170"/>
      <c r="BSS30" s="170"/>
      <c r="BSU30" s="170"/>
      <c r="BSW30" s="170"/>
      <c r="BSY30" s="170"/>
      <c r="BTA30" s="170"/>
      <c r="BTC30" s="170"/>
      <c r="BTE30" s="170"/>
      <c r="BTG30" s="170"/>
      <c r="BTI30" s="170"/>
      <c r="BTK30" s="170"/>
      <c r="BTM30" s="170"/>
      <c r="BTO30" s="170"/>
      <c r="BTQ30" s="170"/>
      <c r="BTS30" s="170"/>
      <c r="BTU30" s="170"/>
      <c r="BTW30" s="170"/>
      <c r="BTY30" s="170"/>
      <c r="BUA30" s="170"/>
      <c r="BUC30" s="170"/>
      <c r="BUE30" s="170"/>
      <c r="BUG30" s="170"/>
      <c r="BUI30" s="170"/>
      <c r="BUK30" s="170"/>
      <c r="BUM30" s="170"/>
      <c r="BUO30" s="170"/>
      <c r="BUQ30" s="170"/>
      <c r="BUS30" s="170"/>
      <c r="BUU30" s="170"/>
      <c r="BUW30" s="170"/>
      <c r="BUY30" s="170"/>
      <c r="BVA30" s="170"/>
      <c r="BVC30" s="170"/>
      <c r="BVE30" s="170"/>
      <c r="BVG30" s="170"/>
      <c r="BVI30" s="170"/>
      <c r="BVK30" s="170"/>
      <c r="BVM30" s="170"/>
      <c r="BVO30" s="170"/>
      <c r="BVQ30" s="170"/>
      <c r="BVS30" s="170"/>
      <c r="BVU30" s="170"/>
      <c r="BVW30" s="170"/>
      <c r="BVY30" s="170"/>
      <c r="BWA30" s="170"/>
      <c r="BWC30" s="170"/>
      <c r="BWE30" s="170"/>
      <c r="BWG30" s="170"/>
      <c r="BWI30" s="170"/>
      <c r="BWK30" s="170"/>
      <c r="BWM30" s="170"/>
      <c r="BWO30" s="170"/>
      <c r="BWQ30" s="170"/>
      <c r="BWS30" s="170"/>
      <c r="BWU30" s="170"/>
      <c r="BWW30" s="170"/>
      <c r="BWY30" s="170"/>
      <c r="BXA30" s="170"/>
      <c r="BXC30" s="170"/>
      <c r="BXE30" s="170"/>
      <c r="BXG30" s="170"/>
      <c r="BXI30" s="170"/>
      <c r="BXK30" s="170"/>
      <c r="BXM30" s="170"/>
      <c r="BXO30" s="170"/>
      <c r="BXQ30" s="170"/>
      <c r="BXS30" s="170"/>
      <c r="BXU30" s="170"/>
      <c r="BXW30" s="170"/>
      <c r="BXY30" s="170"/>
      <c r="BYA30" s="170"/>
      <c r="BYC30" s="170"/>
      <c r="BYE30" s="170"/>
      <c r="BYG30" s="170"/>
      <c r="BYI30" s="170"/>
      <c r="BYK30" s="170"/>
      <c r="BYM30" s="170"/>
      <c r="BYO30" s="170"/>
      <c r="BYQ30" s="170"/>
      <c r="BYS30" s="170"/>
      <c r="BYU30" s="170"/>
      <c r="BYW30" s="170"/>
      <c r="BYY30" s="170"/>
      <c r="BZA30" s="170"/>
      <c r="BZC30" s="170"/>
      <c r="BZE30" s="170"/>
      <c r="BZG30" s="170"/>
      <c r="BZI30" s="170"/>
      <c r="BZK30" s="170"/>
      <c r="BZM30" s="170"/>
      <c r="BZO30" s="170"/>
      <c r="BZQ30" s="170"/>
      <c r="BZS30" s="170"/>
      <c r="BZU30" s="170"/>
      <c r="BZW30" s="170"/>
      <c r="BZY30" s="170"/>
      <c r="CAA30" s="170"/>
      <c r="CAC30" s="170"/>
      <c r="CAE30" s="170"/>
      <c r="CAG30" s="170"/>
      <c r="CAI30" s="170"/>
      <c r="CAK30" s="170"/>
      <c r="CAM30" s="170"/>
      <c r="CAO30" s="170"/>
      <c r="CAQ30" s="170"/>
      <c r="CAS30" s="170"/>
      <c r="CAU30" s="170"/>
      <c r="CAW30" s="170"/>
      <c r="CAY30" s="170"/>
      <c r="CBA30" s="170"/>
      <c r="CBC30" s="170"/>
      <c r="CBE30" s="170"/>
      <c r="CBG30" s="170"/>
      <c r="CBI30" s="170"/>
      <c r="CBK30" s="170"/>
      <c r="CBM30" s="170"/>
      <c r="CBO30" s="170"/>
      <c r="CBQ30" s="170"/>
      <c r="CBS30" s="170"/>
      <c r="CBU30" s="170"/>
      <c r="CBW30" s="170"/>
      <c r="CBY30" s="170"/>
      <c r="CCA30" s="170"/>
      <c r="CCC30" s="170"/>
      <c r="CCE30" s="170"/>
      <c r="CCG30" s="170"/>
      <c r="CCI30" s="170"/>
      <c r="CCK30" s="170"/>
      <c r="CCM30" s="170"/>
      <c r="CCO30" s="170"/>
      <c r="CCQ30" s="170"/>
      <c r="CCS30" s="170"/>
      <c r="CCU30" s="170"/>
      <c r="CCW30" s="170"/>
      <c r="CCY30" s="170"/>
      <c r="CDA30" s="170"/>
      <c r="CDC30" s="170"/>
      <c r="CDE30" s="170"/>
      <c r="CDG30" s="170"/>
      <c r="CDI30" s="170"/>
      <c r="CDK30" s="170"/>
      <c r="CDM30" s="170"/>
      <c r="CDO30" s="170"/>
      <c r="CDQ30" s="170"/>
      <c r="CDS30" s="170"/>
      <c r="CDU30" s="170"/>
      <c r="CDW30" s="170"/>
      <c r="CDY30" s="170"/>
      <c r="CEA30" s="170"/>
      <c r="CEC30" s="170"/>
      <c r="CEE30" s="170"/>
      <c r="CEG30" s="170"/>
      <c r="CEI30" s="170"/>
      <c r="CEK30" s="170"/>
      <c r="CEM30" s="170"/>
      <c r="CEO30" s="170"/>
      <c r="CEQ30" s="170"/>
      <c r="CES30" s="170"/>
      <c r="CEU30" s="170"/>
      <c r="CEW30" s="170"/>
      <c r="CEY30" s="170"/>
      <c r="CFA30" s="170"/>
      <c r="CFC30" s="170"/>
      <c r="CFE30" s="170"/>
      <c r="CFG30" s="170"/>
      <c r="CFI30" s="170"/>
      <c r="CFK30" s="170"/>
      <c r="CFM30" s="170"/>
      <c r="CFO30" s="170"/>
      <c r="CFQ30" s="170"/>
      <c r="CFS30" s="170"/>
      <c r="CFU30" s="170"/>
      <c r="CFW30" s="170"/>
      <c r="CFY30" s="170"/>
      <c r="CGA30" s="170"/>
      <c r="CGC30" s="170"/>
      <c r="CGE30" s="170"/>
      <c r="CGG30" s="170"/>
      <c r="CGI30" s="170"/>
      <c r="CGK30" s="170"/>
      <c r="CGM30" s="170"/>
      <c r="CGO30" s="170"/>
      <c r="CGQ30" s="170"/>
      <c r="CGS30" s="170"/>
      <c r="CGU30" s="170"/>
      <c r="CGW30" s="170"/>
      <c r="CGY30" s="170"/>
      <c r="CHA30" s="170"/>
      <c r="CHC30" s="170"/>
      <c r="CHE30" s="170"/>
      <c r="CHG30" s="170"/>
      <c r="CHI30" s="170"/>
      <c r="CHK30" s="170"/>
      <c r="CHM30" s="170"/>
      <c r="CHO30" s="170"/>
      <c r="CHQ30" s="170"/>
      <c r="CHS30" s="170"/>
      <c r="CHU30" s="170"/>
      <c r="CHW30" s="170"/>
      <c r="CHY30" s="170"/>
      <c r="CIA30" s="170"/>
      <c r="CIC30" s="170"/>
      <c r="CIE30" s="170"/>
      <c r="CIG30" s="170"/>
      <c r="CII30" s="170"/>
      <c r="CIK30" s="170"/>
      <c r="CIM30" s="170"/>
      <c r="CIO30" s="170"/>
      <c r="CIQ30" s="170"/>
      <c r="CIS30" s="170"/>
      <c r="CIU30" s="170"/>
      <c r="CIW30" s="170"/>
      <c r="CIY30" s="170"/>
      <c r="CJA30" s="170"/>
      <c r="CJC30" s="170"/>
      <c r="CJE30" s="170"/>
      <c r="CJG30" s="170"/>
      <c r="CJI30" s="170"/>
      <c r="CJK30" s="170"/>
      <c r="CJM30" s="170"/>
      <c r="CJO30" s="170"/>
      <c r="CJQ30" s="170"/>
      <c r="CJS30" s="170"/>
      <c r="CJU30" s="170"/>
      <c r="CJW30" s="170"/>
      <c r="CJY30" s="170"/>
      <c r="CKA30" s="170"/>
      <c r="CKC30" s="170"/>
      <c r="CKE30" s="170"/>
      <c r="CKG30" s="170"/>
      <c r="CKI30" s="170"/>
      <c r="CKK30" s="170"/>
      <c r="CKM30" s="170"/>
      <c r="CKO30" s="170"/>
      <c r="CKQ30" s="170"/>
      <c r="CKS30" s="170"/>
      <c r="CKU30" s="170"/>
      <c r="CKW30" s="170"/>
      <c r="CKY30" s="170"/>
      <c r="CLA30" s="170"/>
      <c r="CLC30" s="170"/>
      <c r="CLE30" s="170"/>
      <c r="CLG30" s="170"/>
      <c r="CLI30" s="170"/>
      <c r="CLK30" s="170"/>
      <c r="CLM30" s="170"/>
      <c r="CLO30" s="170"/>
      <c r="CLQ30" s="170"/>
      <c r="CLS30" s="170"/>
      <c r="CLU30" s="170"/>
      <c r="CLW30" s="170"/>
      <c r="CLY30" s="170"/>
      <c r="CMA30" s="170"/>
      <c r="CMC30" s="170"/>
      <c r="CME30" s="170"/>
      <c r="CMG30" s="170"/>
      <c r="CMI30" s="170"/>
      <c r="CMK30" s="170"/>
      <c r="CMM30" s="170"/>
      <c r="CMO30" s="170"/>
      <c r="CMQ30" s="170"/>
      <c r="CMS30" s="170"/>
      <c r="CMU30" s="170"/>
      <c r="CMW30" s="170"/>
      <c r="CMY30" s="170"/>
      <c r="CNA30" s="170"/>
      <c r="CNC30" s="170"/>
      <c r="CNE30" s="170"/>
      <c r="CNG30" s="170"/>
      <c r="CNI30" s="170"/>
      <c r="CNK30" s="170"/>
      <c r="CNM30" s="170"/>
      <c r="CNO30" s="170"/>
      <c r="CNQ30" s="170"/>
      <c r="CNS30" s="170"/>
      <c r="CNU30" s="170"/>
      <c r="CNW30" s="170"/>
      <c r="CNY30" s="170"/>
      <c r="COA30" s="170"/>
      <c r="COC30" s="170"/>
      <c r="COE30" s="170"/>
      <c r="COG30" s="170"/>
      <c r="COI30" s="170"/>
      <c r="COK30" s="170"/>
      <c r="COM30" s="170"/>
      <c r="COO30" s="170"/>
      <c r="COQ30" s="170"/>
      <c r="COS30" s="170"/>
      <c r="COU30" s="170"/>
      <c r="COW30" s="170"/>
      <c r="COY30" s="170"/>
      <c r="CPA30" s="170"/>
      <c r="CPC30" s="170"/>
      <c r="CPE30" s="170"/>
      <c r="CPG30" s="170"/>
      <c r="CPI30" s="170"/>
      <c r="CPK30" s="170"/>
      <c r="CPM30" s="170"/>
      <c r="CPO30" s="170"/>
      <c r="CPQ30" s="170"/>
      <c r="CPS30" s="170"/>
      <c r="CPU30" s="170"/>
      <c r="CPW30" s="170"/>
      <c r="CPY30" s="170"/>
      <c r="CQA30" s="170"/>
      <c r="CQC30" s="170"/>
      <c r="CQE30" s="170"/>
      <c r="CQG30" s="170"/>
      <c r="CQI30" s="170"/>
      <c r="CQK30" s="170"/>
      <c r="CQM30" s="170"/>
      <c r="CQO30" s="170"/>
      <c r="CQQ30" s="170"/>
      <c r="CQS30" s="170"/>
      <c r="CQU30" s="170"/>
      <c r="CQW30" s="170"/>
      <c r="CQY30" s="170"/>
      <c r="CRA30" s="170"/>
      <c r="CRC30" s="170"/>
      <c r="CRE30" s="170"/>
      <c r="CRG30" s="170"/>
      <c r="CRI30" s="170"/>
      <c r="CRK30" s="170"/>
      <c r="CRM30" s="170"/>
      <c r="CRO30" s="170"/>
      <c r="CRQ30" s="170"/>
      <c r="CRS30" s="170"/>
      <c r="CRU30" s="170"/>
      <c r="CRW30" s="170"/>
      <c r="CRY30" s="170"/>
      <c r="CSA30" s="170"/>
      <c r="CSC30" s="170"/>
      <c r="CSE30" s="170"/>
      <c r="CSG30" s="170"/>
      <c r="CSI30" s="170"/>
      <c r="CSK30" s="170"/>
      <c r="CSM30" s="170"/>
      <c r="CSO30" s="170"/>
      <c r="CSQ30" s="170"/>
      <c r="CSS30" s="170"/>
      <c r="CSU30" s="170"/>
      <c r="CSW30" s="170"/>
      <c r="CSY30" s="170"/>
      <c r="CTA30" s="170"/>
      <c r="CTC30" s="170"/>
      <c r="CTE30" s="170"/>
      <c r="CTG30" s="170"/>
      <c r="CTI30" s="170"/>
      <c r="CTK30" s="170"/>
      <c r="CTM30" s="170"/>
      <c r="CTO30" s="170"/>
      <c r="CTQ30" s="170"/>
      <c r="CTS30" s="170"/>
      <c r="CTU30" s="170"/>
      <c r="CTW30" s="170"/>
      <c r="CTY30" s="170"/>
      <c r="CUA30" s="170"/>
      <c r="CUC30" s="170"/>
      <c r="CUE30" s="170"/>
      <c r="CUG30" s="170"/>
      <c r="CUI30" s="170"/>
      <c r="CUK30" s="170"/>
      <c r="CUM30" s="170"/>
      <c r="CUO30" s="170"/>
      <c r="CUQ30" s="170"/>
      <c r="CUS30" s="170"/>
      <c r="CUU30" s="170"/>
      <c r="CUW30" s="170"/>
      <c r="CUY30" s="170"/>
      <c r="CVA30" s="170"/>
      <c r="CVC30" s="170"/>
      <c r="CVE30" s="170"/>
      <c r="CVG30" s="170"/>
      <c r="CVI30" s="170"/>
      <c r="CVK30" s="170"/>
      <c r="CVM30" s="170"/>
      <c r="CVO30" s="170"/>
      <c r="CVQ30" s="170"/>
      <c r="CVS30" s="170"/>
      <c r="CVU30" s="170"/>
      <c r="CVW30" s="170"/>
      <c r="CVY30" s="170"/>
      <c r="CWA30" s="170"/>
      <c r="CWC30" s="170"/>
      <c r="CWE30" s="170"/>
      <c r="CWG30" s="170"/>
      <c r="CWI30" s="170"/>
      <c r="CWK30" s="170"/>
      <c r="CWM30" s="170"/>
      <c r="CWO30" s="170"/>
      <c r="CWQ30" s="170"/>
      <c r="CWS30" s="170"/>
      <c r="CWU30" s="170"/>
      <c r="CWW30" s="170"/>
      <c r="CWY30" s="170"/>
      <c r="CXA30" s="170"/>
      <c r="CXC30" s="170"/>
      <c r="CXE30" s="170"/>
      <c r="CXG30" s="170"/>
      <c r="CXI30" s="170"/>
      <c r="CXK30" s="170"/>
      <c r="CXM30" s="170"/>
      <c r="CXO30" s="170"/>
      <c r="CXQ30" s="170"/>
      <c r="CXS30" s="170"/>
      <c r="CXU30" s="170"/>
      <c r="CXW30" s="170"/>
      <c r="CXY30" s="170"/>
      <c r="CYA30" s="170"/>
      <c r="CYC30" s="170"/>
      <c r="CYE30" s="170"/>
      <c r="CYG30" s="170"/>
      <c r="CYI30" s="170"/>
      <c r="CYK30" s="170"/>
      <c r="CYM30" s="170"/>
      <c r="CYO30" s="170"/>
      <c r="CYQ30" s="170"/>
      <c r="CYS30" s="170"/>
      <c r="CYU30" s="170"/>
      <c r="CYW30" s="170"/>
      <c r="CYY30" s="170"/>
      <c r="CZA30" s="170"/>
      <c r="CZC30" s="170"/>
      <c r="CZE30" s="170"/>
      <c r="CZG30" s="170"/>
      <c r="CZI30" s="170"/>
      <c r="CZK30" s="170"/>
      <c r="CZM30" s="170"/>
      <c r="CZO30" s="170"/>
      <c r="CZQ30" s="170"/>
      <c r="CZS30" s="170"/>
      <c r="CZU30" s="170"/>
      <c r="CZW30" s="170"/>
      <c r="CZY30" s="170"/>
      <c r="DAA30" s="170"/>
      <c r="DAC30" s="170"/>
      <c r="DAE30" s="170"/>
      <c r="DAG30" s="170"/>
      <c r="DAI30" s="170"/>
      <c r="DAK30" s="170"/>
      <c r="DAM30" s="170"/>
      <c r="DAO30" s="170"/>
      <c r="DAQ30" s="170"/>
      <c r="DAS30" s="170"/>
      <c r="DAU30" s="170"/>
      <c r="DAW30" s="170"/>
      <c r="DAY30" s="170"/>
      <c r="DBA30" s="170"/>
      <c r="DBC30" s="170"/>
      <c r="DBE30" s="170"/>
      <c r="DBG30" s="170"/>
      <c r="DBI30" s="170"/>
      <c r="DBK30" s="170"/>
      <c r="DBM30" s="170"/>
      <c r="DBO30" s="170"/>
      <c r="DBQ30" s="170"/>
      <c r="DBS30" s="170"/>
      <c r="DBU30" s="170"/>
      <c r="DBW30" s="170"/>
      <c r="DBY30" s="170"/>
      <c r="DCA30" s="170"/>
      <c r="DCC30" s="170"/>
      <c r="DCE30" s="170"/>
      <c r="DCG30" s="170"/>
      <c r="DCI30" s="170"/>
      <c r="DCK30" s="170"/>
      <c r="DCM30" s="170"/>
      <c r="DCO30" s="170"/>
      <c r="DCQ30" s="170"/>
      <c r="DCS30" s="170"/>
      <c r="DCU30" s="170"/>
      <c r="DCW30" s="170"/>
      <c r="DCY30" s="170"/>
      <c r="DDA30" s="170"/>
      <c r="DDC30" s="170"/>
      <c r="DDE30" s="170"/>
      <c r="DDG30" s="170"/>
      <c r="DDI30" s="170"/>
      <c r="DDK30" s="170"/>
      <c r="DDM30" s="170"/>
      <c r="DDO30" s="170"/>
      <c r="DDQ30" s="170"/>
      <c r="DDS30" s="170"/>
      <c r="DDU30" s="170"/>
      <c r="DDW30" s="170"/>
      <c r="DDY30" s="170"/>
      <c r="DEA30" s="170"/>
      <c r="DEC30" s="170"/>
      <c r="DEE30" s="170"/>
      <c r="DEG30" s="170"/>
      <c r="DEI30" s="170"/>
      <c r="DEK30" s="170"/>
      <c r="DEM30" s="170"/>
      <c r="DEO30" s="170"/>
      <c r="DEQ30" s="170"/>
      <c r="DES30" s="170"/>
      <c r="DEU30" s="170"/>
      <c r="DEW30" s="170"/>
      <c r="DEY30" s="170"/>
      <c r="DFA30" s="170"/>
      <c r="DFC30" s="170"/>
      <c r="DFE30" s="170"/>
      <c r="DFG30" s="170"/>
      <c r="DFI30" s="170"/>
      <c r="DFK30" s="170"/>
      <c r="DFM30" s="170"/>
      <c r="DFO30" s="170"/>
      <c r="DFQ30" s="170"/>
      <c r="DFS30" s="170"/>
      <c r="DFU30" s="170"/>
      <c r="DFW30" s="170"/>
      <c r="DFY30" s="170"/>
      <c r="DGA30" s="170"/>
      <c r="DGC30" s="170"/>
      <c r="DGE30" s="170"/>
      <c r="DGG30" s="170"/>
      <c r="DGI30" s="170"/>
      <c r="DGK30" s="170"/>
      <c r="DGM30" s="170"/>
      <c r="DGO30" s="170"/>
      <c r="DGQ30" s="170"/>
      <c r="DGS30" s="170"/>
      <c r="DGU30" s="170"/>
      <c r="DGW30" s="170"/>
      <c r="DGY30" s="170"/>
      <c r="DHA30" s="170"/>
      <c r="DHC30" s="170"/>
      <c r="DHE30" s="170"/>
      <c r="DHG30" s="170"/>
      <c r="DHI30" s="170"/>
      <c r="DHK30" s="170"/>
      <c r="DHM30" s="170"/>
      <c r="DHO30" s="170"/>
      <c r="DHQ30" s="170"/>
      <c r="DHS30" s="170"/>
      <c r="DHU30" s="170"/>
      <c r="DHW30" s="170"/>
      <c r="DHY30" s="170"/>
      <c r="DIA30" s="170"/>
      <c r="DIC30" s="170"/>
      <c r="DIE30" s="170"/>
      <c r="DIG30" s="170"/>
      <c r="DII30" s="170"/>
      <c r="DIK30" s="170"/>
      <c r="DIM30" s="170"/>
      <c r="DIO30" s="170"/>
      <c r="DIQ30" s="170"/>
      <c r="DIS30" s="170"/>
      <c r="DIU30" s="170"/>
      <c r="DIW30" s="170"/>
      <c r="DIY30" s="170"/>
      <c r="DJA30" s="170"/>
      <c r="DJC30" s="170"/>
      <c r="DJE30" s="170"/>
      <c r="DJG30" s="170"/>
      <c r="DJI30" s="170"/>
      <c r="DJK30" s="170"/>
      <c r="DJM30" s="170"/>
      <c r="DJO30" s="170"/>
      <c r="DJQ30" s="170"/>
      <c r="DJS30" s="170"/>
      <c r="DJU30" s="170"/>
      <c r="DJW30" s="170"/>
      <c r="DJY30" s="170"/>
      <c r="DKA30" s="170"/>
      <c r="DKC30" s="170"/>
      <c r="DKE30" s="170"/>
      <c r="DKG30" s="170"/>
      <c r="DKI30" s="170"/>
      <c r="DKK30" s="170"/>
      <c r="DKM30" s="170"/>
      <c r="DKO30" s="170"/>
      <c r="DKQ30" s="170"/>
      <c r="DKS30" s="170"/>
      <c r="DKU30" s="170"/>
      <c r="DKW30" s="170"/>
      <c r="DKY30" s="170"/>
      <c r="DLA30" s="170"/>
      <c r="DLC30" s="170"/>
      <c r="DLE30" s="170"/>
      <c r="DLG30" s="170"/>
      <c r="DLI30" s="170"/>
      <c r="DLK30" s="170"/>
      <c r="DLM30" s="170"/>
      <c r="DLO30" s="170"/>
      <c r="DLQ30" s="170"/>
      <c r="DLS30" s="170"/>
      <c r="DLU30" s="170"/>
      <c r="DLW30" s="170"/>
      <c r="DLY30" s="170"/>
      <c r="DMA30" s="170"/>
      <c r="DMC30" s="170"/>
      <c r="DME30" s="170"/>
      <c r="DMG30" s="170"/>
      <c r="DMI30" s="170"/>
      <c r="DMK30" s="170"/>
      <c r="DMM30" s="170"/>
      <c r="DMO30" s="170"/>
      <c r="DMQ30" s="170"/>
      <c r="DMS30" s="170"/>
      <c r="DMU30" s="170"/>
      <c r="DMW30" s="170"/>
      <c r="DMY30" s="170"/>
      <c r="DNA30" s="170"/>
      <c r="DNC30" s="170"/>
      <c r="DNE30" s="170"/>
      <c r="DNG30" s="170"/>
      <c r="DNI30" s="170"/>
      <c r="DNK30" s="170"/>
      <c r="DNM30" s="170"/>
      <c r="DNO30" s="170"/>
      <c r="DNQ30" s="170"/>
      <c r="DNS30" s="170"/>
      <c r="DNU30" s="170"/>
      <c r="DNW30" s="170"/>
      <c r="DNY30" s="170"/>
      <c r="DOA30" s="170"/>
      <c r="DOC30" s="170"/>
      <c r="DOE30" s="170"/>
      <c r="DOG30" s="170"/>
      <c r="DOI30" s="170"/>
      <c r="DOK30" s="170"/>
      <c r="DOM30" s="170"/>
      <c r="DOO30" s="170"/>
      <c r="DOQ30" s="170"/>
      <c r="DOS30" s="170"/>
      <c r="DOU30" s="170"/>
      <c r="DOW30" s="170"/>
      <c r="DOY30" s="170"/>
      <c r="DPA30" s="170"/>
      <c r="DPC30" s="170"/>
      <c r="DPE30" s="170"/>
      <c r="DPG30" s="170"/>
      <c r="DPI30" s="170"/>
      <c r="DPK30" s="170"/>
      <c r="DPM30" s="170"/>
      <c r="DPO30" s="170"/>
      <c r="DPQ30" s="170"/>
      <c r="DPS30" s="170"/>
      <c r="DPU30" s="170"/>
      <c r="DPW30" s="170"/>
      <c r="DPY30" s="170"/>
      <c r="DQA30" s="170"/>
      <c r="DQC30" s="170"/>
      <c r="DQE30" s="170"/>
      <c r="DQG30" s="170"/>
      <c r="DQI30" s="170"/>
      <c r="DQK30" s="170"/>
      <c r="DQM30" s="170"/>
      <c r="DQO30" s="170"/>
      <c r="DQQ30" s="170"/>
      <c r="DQS30" s="170"/>
      <c r="DQU30" s="170"/>
      <c r="DQW30" s="170"/>
      <c r="DQY30" s="170"/>
      <c r="DRA30" s="170"/>
      <c r="DRC30" s="170"/>
      <c r="DRE30" s="170"/>
      <c r="DRG30" s="170"/>
      <c r="DRI30" s="170"/>
      <c r="DRK30" s="170"/>
      <c r="DRM30" s="170"/>
      <c r="DRO30" s="170"/>
      <c r="DRQ30" s="170"/>
      <c r="DRS30" s="170"/>
      <c r="DRU30" s="170"/>
      <c r="DRW30" s="170"/>
      <c r="DRY30" s="170"/>
      <c r="DSA30" s="170"/>
      <c r="DSC30" s="170"/>
      <c r="DSE30" s="170"/>
      <c r="DSG30" s="170"/>
      <c r="DSI30" s="170"/>
      <c r="DSK30" s="170"/>
      <c r="DSM30" s="170"/>
      <c r="DSO30" s="170"/>
      <c r="DSQ30" s="170"/>
      <c r="DSS30" s="170"/>
      <c r="DSU30" s="170"/>
      <c r="DSW30" s="170"/>
      <c r="DSY30" s="170"/>
      <c r="DTA30" s="170"/>
      <c r="DTC30" s="170"/>
      <c r="DTE30" s="170"/>
      <c r="DTG30" s="170"/>
      <c r="DTI30" s="170"/>
      <c r="DTK30" s="170"/>
      <c r="DTM30" s="170"/>
      <c r="DTO30" s="170"/>
      <c r="DTQ30" s="170"/>
      <c r="DTS30" s="170"/>
      <c r="DTU30" s="170"/>
      <c r="DTW30" s="170"/>
      <c r="DTY30" s="170"/>
      <c r="DUA30" s="170"/>
      <c r="DUC30" s="170"/>
      <c r="DUE30" s="170"/>
      <c r="DUG30" s="170"/>
      <c r="DUI30" s="170"/>
      <c r="DUK30" s="170"/>
      <c r="DUM30" s="170"/>
      <c r="DUO30" s="170"/>
      <c r="DUQ30" s="170"/>
      <c r="DUS30" s="170"/>
      <c r="DUU30" s="170"/>
      <c r="DUW30" s="170"/>
      <c r="DUY30" s="170"/>
      <c r="DVA30" s="170"/>
      <c r="DVC30" s="170"/>
      <c r="DVE30" s="170"/>
      <c r="DVG30" s="170"/>
      <c r="DVI30" s="170"/>
      <c r="DVK30" s="170"/>
      <c r="DVM30" s="170"/>
      <c r="DVO30" s="170"/>
      <c r="DVQ30" s="170"/>
      <c r="DVS30" s="170"/>
      <c r="DVU30" s="170"/>
      <c r="DVW30" s="170"/>
      <c r="DVY30" s="170"/>
      <c r="DWA30" s="170"/>
      <c r="DWC30" s="170"/>
      <c r="DWE30" s="170"/>
      <c r="DWG30" s="170"/>
      <c r="DWI30" s="170"/>
      <c r="DWK30" s="170"/>
      <c r="DWM30" s="170"/>
      <c r="DWO30" s="170"/>
      <c r="DWQ30" s="170"/>
      <c r="DWS30" s="170"/>
      <c r="DWU30" s="170"/>
      <c r="DWW30" s="170"/>
      <c r="DWY30" s="170"/>
      <c r="DXA30" s="170"/>
      <c r="DXC30" s="170"/>
      <c r="DXE30" s="170"/>
      <c r="DXG30" s="170"/>
      <c r="DXI30" s="170"/>
      <c r="DXK30" s="170"/>
      <c r="DXM30" s="170"/>
      <c r="DXO30" s="170"/>
      <c r="DXQ30" s="170"/>
      <c r="DXS30" s="170"/>
      <c r="DXU30" s="170"/>
      <c r="DXW30" s="170"/>
      <c r="DXY30" s="170"/>
      <c r="DYA30" s="170"/>
      <c r="DYC30" s="170"/>
      <c r="DYE30" s="170"/>
      <c r="DYG30" s="170"/>
      <c r="DYI30" s="170"/>
      <c r="DYK30" s="170"/>
      <c r="DYM30" s="170"/>
      <c r="DYO30" s="170"/>
      <c r="DYQ30" s="170"/>
      <c r="DYS30" s="170"/>
      <c r="DYU30" s="170"/>
      <c r="DYW30" s="170"/>
      <c r="DYY30" s="170"/>
      <c r="DZA30" s="170"/>
      <c r="DZC30" s="170"/>
      <c r="DZE30" s="170"/>
      <c r="DZG30" s="170"/>
      <c r="DZI30" s="170"/>
      <c r="DZK30" s="170"/>
      <c r="DZM30" s="170"/>
      <c r="DZO30" s="170"/>
      <c r="DZQ30" s="170"/>
      <c r="DZS30" s="170"/>
      <c r="DZU30" s="170"/>
      <c r="DZW30" s="170"/>
      <c r="DZY30" s="170"/>
      <c r="EAA30" s="170"/>
      <c r="EAC30" s="170"/>
      <c r="EAE30" s="170"/>
      <c r="EAG30" s="170"/>
      <c r="EAI30" s="170"/>
      <c r="EAK30" s="170"/>
      <c r="EAM30" s="170"/>
      <c r="EAO30" s="170"/>
      <c r="EAQ30" s="170"/>
      <c r="EAS30" s="170"/>
      <c r="EAU30" s="170"/>
      <c r="EAW30" s="170"/>
      <c r="EAY30" s="170"/>
      <c r="EBA30" s="170"/>
      <c r="EBC30" s="170"/>
      <c r="EBE30" s="170"/>
      <c r="EBG30" s="170"/>
      <c r="EBI30" s="170"/>
      <c r="EBK30" s="170"/>
      <c r="EBM30" s="170"/>
      <c r="EBO30" s="170"/>
      <c r="EBQ30" s="170"/>
      <c r="EBS30" s="170"/>
      <c r="EBU30" s="170"/>
      <c r="EBW30" s="170"/>
      <c r="EBY30" s="170"/>
      <c r="ECA30" s="170"/>
      <c r="ECC30" s="170"/>
      <c r="ECE30" s="170"/>
      <c r="ECG30" s="170"/>
      <c r="ECI30" s="170"/>
      <c r="ECK30" s="170"/>
      <c r="ECM30" s="170"/>
      <c r="ECO30" s="170"/>
      <c r="ECQ30" s="170"/>
      <c r="ECS30" s="170"/>
      <c r="ECU30" s="170"/>
      <c r="ECW30" s="170"/>
      <c r="ECY30" s="170"/>
      <c r="EDA30" s="170"/>
      <c r="EDC30" s="170"/>
      <c r="EDE30" s="170"/>
      <c r="EDG30" s="170"/>
      <c r="EDI30" s="170"/>
      <c r="EDK30" s="170"/>
      <c r="EDM30" s="170"/>
      <c r="EDO30" s="170"/>
      <c r="EDQ30" s="170"/>
      <c r="EDS30" s="170"/>
      <c r="EDU30" s="170"/>
      <c r="EDW30" s="170"/>
      <c r="EDY30" s="170"/>
      <c r="EEA30" s="170"/>
      <c r="EEC30" s="170"/>
      <c r="EEE30" s="170"/>
      <c r="EEG30" s="170"/>
      <c r="EEI30" s="170"/>
      <c r="EEK30" s="170"/>
      <c r="EEM30" s="170"/>
      <c r="EEO30" s="170"/>
      <c r="EEQ30" s="170"/>
      <c r="EES30" s="170"/>
      <c r="EEU30" s="170"/>
      <c r="EEW30" s="170"/>
      <c r="EEY30" s="170"/>
      <c r="EFA30" s="170"/>
      <c r="EFC30" s="170"/>
      <c r="EFE30" s="170"/>
      <c r="EFG30" s="170"/>
      <c r="EFI30" s="170"/>
      <c r="EFK30" s="170"/>
      <c r="EFM30" s="170"/>
      <c r="EFO30" s="170"/>
      <c r="EFQ30" s="170"/>
      <c r="EFS30" s="170"/>
      <c r="EFU30" s="170"/>
      <c r="EFW30" s="170"/>
      <c r="EFY30" s="170"/>
      <c r="EGA30" s="170"/>
      <c r="EGC30" s="170"/>
      <c r="EGE30" s="170"/>
      <c r="EGG30" s="170"/>
      <c r="EGI30" s="170"/>
      <c r="EGK30" s="170"/>
      <c r="EGM30" s="170"/>
      <c r="EGO30" s="170"/>
      <c r="EGQ30" s="170"/>
      <c r="EGS30" s="170"/>
      <c r="EGU30" s="170"/>
      <c r="EGW30" s="170"/>
      <c r="EGY30" s="170"/>
      <c r="EHA30" s="170"/>
      <c r="EHC30" s="170"/>
      <c r="EHE30" s="170"/>
      <c r="EHG30" s="170"/>
      <c r="EHI30" s="170"/>
      <c r="EHK30" s="170"/>
      <c r="EHM30" s="170"/>
      <c r="EHO30" s="170"/>
      <c r="EHQ30" s="170"/>
      <c r="EHS30" s="170"/>
      <c r="EHU30" s="170"/>
      <c r="EHW30" s="170"/>
      <c r="EHY30" s="170"/>
      <c r="EIA30" s="170"/>
      <c r="EIC30" s="170"/>
      <c r="EIE30" s="170"/>
      <c r="EIG30" s="170"/>
      <c r="EII30" s="170"/>
      <c r="EIK30" s="170"/>
      <c r="EIM30" s="170"/>
      <c r="EIO30" s="170"/>
      <c r="EIQ30" s="170"/>
      <c r="EIS30" s="170"/>
      <c r="EIU30" s="170"/>
      <c r="EIW30" s="170"/>
      <c r="EIY30" s="170"/>
      <c r="EJA30" s="170"/>
      <c r="EJC30" s="170"/>
      <c r="EJE30" s="170"/>
      <c r="EJG30" s="170"/>
      <c r="EJI30" s="170"/>
      <c r="EJK30" s="170"/>
      <c r="EJM30" s="170"/>
      <c r="EJO30" s="170"/>
      <c r="EJQ30" s="170"/>
      <c r="EJS30" s="170"/>
      <c r="EJU30" s="170"/>
      <c r="EJW30" s="170"/>
      <c r="EJY30" s="170"/>
      <c r="EKA30" s="170"/>
      <c r="EKC30" s="170"/>
      <c r="EKE30" s="170"/>
      <c r="EKG30" s="170"/>
      <c r="EKI30" s="170"/>
      <c r="EKK30" s="170"/>
      <c r="EKM30" s="170"/>
      <c r="EKO30" s="170"/>
      <c r="EKQ30" s="170"/>
      <c r="EKS30" s="170"/>
      <c r="EKU30" s="170"/>
      <c r="EKW30" s="170"/>
      <c r="EKY30" s="170"/>
      <c r="ELA30" s="170"/>
      <c r="ELC30" s="170"/>
      <c r="ELE30" s="170"/>
      <c r="ELG30" s="170"/>
      <c r="ELI30" s="170"/>
      <c r="ELK30" s="170"/>
      <c r="ELM30" s="170"/>
      <c r="ELO30" s="170"/>
      <c r="ELQ30" s="170"/>
      <c r="ELS30" s="170"/>
      <c r="ELU30" s="170"/>
      <c r="ELW30" s="170"/>
      <c r="ELY30" s="170"/>
      <c r="EMA30" s="170"/>
      <c r="EMC30" s="170"/>
      <c r="EME30" s="170"/>
      <c r="EMG30" s="170"/>
      <c r="EMI30" s="170"/>
      <c r="EMK30" s="170"/>
      <c r="EMM30" s="170"/>
      <c r="EMO30" s="170"/>
      <c r="EMQ30" s="170"/>
      <c r="EMS30" s="170"/>
      <c r="EMU30" s="170"/>
      <c r="EMW30" s="170"/>
      <c r="EMY30" s="170"/>
      <c r="ENA30" s="170"/>
      <c r="ENC30" s="170"/>
      <c r="ENE30" s="170"/>
      <c r="ENG30" s="170"/>
      <c r="ENI30" s="170"/>
      <c r="ENK30" s="170"/>
      <c r="ENM30" s="170"/>
      <c r="ENO30" s="170"/>
      <c r="ENQ30" s="170"/>
      <c r="ENS30" s="170"/>
      <c r="ENU30" s="170"/>
      <c r="ENW30" s="170"/>
      <c r="ENY30" s="170"/>
      <c r="EOA30" s="170"/>
      <c r="EOC30" s="170"/>
      <c r="EOE30" s="170"/>
      <c r="EOG30" s="170"/>
      <c r="EOI30" s="170"/>
      <c r="EOK30" s="170"/>
      <c r="EOM30" s="170"/>
      <c r="EOO30" s="170"/>
      <c r="EOQ30" s="170"/>
      <c r="EOS30" s="170"/>
      <c r="EOU30" s="170"/>
      <c r="EOW30" s="170"/>
      <c r="EOY30" s="170"/>
      <c r="EPA30" s="170"/>
      <c r="EPC30" s="170"/>
      <c r="EPE30" s="170"/>
      <c r="EPG30" s="170"/>
      <c r="EPI30" s="170"/>
      <c r="EPK30" s="170"/>
      <c r="EPM30" s="170"/>
      <c r="EPO30" s="170"/>
      <c r="EPQ30" s="170"/>
      <c r="EPS30" s="170"/>
      <c r="EPU30" s="170"/>
      <c r="EPW30" s="170"/>
      <c r="EPY30" s="170"/>
      <c r="EQA30" s="170"/>
      <c r="EQC30" s="170"/>
      <c r="EQE30" s="170"/>
      <c r="EQG30" s="170"/>
      <c r="EQI30" s="170"/>
      <c r="EQK30" s="170"/>
      <c r="EQM30" s="170"/>
      <c r="EQO30" s="170"/>
      <c r="EQQ30" s="170"/>
      <c r="EQS30" s="170"/>
      <c r="EQU30" s="170"/>
      <c r="EQW30" s="170"/>
      <c r="EQY30" s="170"/>
      <c r="ERA30" s="170"/>
      <c r="ERC30" s="170"/>
      <c r="ERE30" s="170"/>
      <c r="ERG30" s="170"/>
      <c r="ERI30" s="170"/>
      <c r="ERK30" s="170"/>
      <c r="ERM30" s="170"/>
      <c r="ERO30" s="170"/>
      <c r="ERQ30" s="170"/>
      <c r="ERS30" s="170"/>
      <c r="ERU30" s="170"/>
      <c r="ERW30" s="170"/>
      <c r="ERY30" s="170"/>
      <c r="ESA30" s="170"/>
      <c r="ESC30" s="170"/>
      <c r="ESE30" s="170"/>
      <c r="ESG30" s="170"/>
      <c r="ESI30" s="170"/>
      <c r="ESK30" s="170"/>
      <c r="ESM30" s="170"/>
      <c r="ESO30" s="170"/>
      <c r="ESQ30" s="170"/>
      <c r="ESS30" s="170"/>
      <c r="ESU30" s="170"/>
      <c r="ESW30" s="170"/>
      <c r="ESY30" s="170"/>
      <c r="ETA30" s="170"/>
      <c r="ETC30" s="170"/>
      <c r="ETE30" s="170"/>
      <c r="ETG30" s="170"/>
      <c r="ETI30" s="170"/>
      <c r="ETK30" s="170"/>
      <c r="ETM30" s="170"/>
      <c r="ETO30" s="170"/>
      <c r="ETQ30" s="170"/>
      <c r="ETS30" s="170"/>
      <c r="ETU30" s="170"/>
      <c r="ETW30" s="170"/>
      <c r="ETY30" s="170"/>
      <c r="EUA30" s="170"/>
      <c r="EUC30" s="170"/>
      <c r="EUE30" s="170"/>
      <c r="EUG30" s="170"/>
      <c r="EUI30" s="170"/>
      <c r="EUK30" s="170"/>
      <c r="EUM30" s="170"/>
      <c r="EUO30" s="170"/>
      <c r="EUQ30" s="170"/>
      <c r="EUS30" s="170"/>
      <c r="EUU30" s="170"/>
      <c r="EUW30" s="170"/>
      <c r="EUY30" s="170"/>
      <c r="EVA30" s="170"/>
      <c r="EVC30" s="170"/>
      <c r="EVE30" s="170"/>
      <c r="EVG30" s="170"/>
      <c r="EVI30" s="170"/>
      <c r="EVK30" s="170"/>
      <c r="EVM30" s="170"/>
      <c r="EVO30" s="170"/>
      <c r="EVQ30" s="170"/>
      <c r="EVS30" s="170"/>
      <c r="EVU30" s="170"/>
      <c r="EVW30" s="170"/>
      <c r="EVY30" s="170"/>
      <c r="EWA30" s="170"/>
      <c r="EWC30" s="170"/>
      <c r="EWE30" s="170"/>
      <c r="EWG30" s="170"/>
      <c r="EWI30" s="170"/>
      <c r="EWK30" s="170"/>
      <c r="EWM30" s="170"/>
      <c r="EWO30" s="170"/>
      <c r="EWQ30" s="170"/>
      <c r="EWS30" s="170"/>
      <c r="EWU30" s="170"/>
      <c r="EWW30" s="170"/>
      <c r="EWY30" s="170"/>
      <c r="EXA30" s="170"/>
      <c r="EXC30" s="170"/>
      <c r="EXE30" s="170"/>
      <c r="EXG30" s="170"/>
      <c r="EXI30" s="170"/>
      <c r="EXK30" s="170"/>
      <c r="EXM30" s="170"/>
      <c r="EXO30" s="170"/>
      <c r="EXQ30" s="170"/>
      <c r="EXS30" s="170"/>
      <c r="EXU30" s="170"/>
      <c r="EXW30" s="170"/>
      <c r="EXY30" s="170"/>
      <c r="EYA30" s="170"/>
      <c r="EYC30" s="170"/>
      <c r="EYE30" s="170"/>
      <c r="EYG30" s="170"/>
      <c r="EYI30" s="170"/>
      <c r="EYK30" s="170"/>
      <c r="EYM30" s="170"/>
      <c r="EYO30" s="170"/>
      <c r="EYQ30" s="170"/>
      <c r="EYS30" s="170"/>
      <c r="EYU30" s="170"/>
      <c r="EYW30" s="170"/>
      <c r="EYY30" s="170"/>
      <c r="EZA30" s="170"/>
      <c r="EZC30" s="170"/>
      <c r="EZE30" s="170"/>
      <c r="EZG30" s="170"/>
      <c r="EZI30" s="170"/>
      <c r="EZK30" s="170"/>
      <c r="EZM30" s="170"/>
      <c r="EZO30" s="170"/>
      <c r="EZQ30" s="170"/>
      <c r="EZS30" s="170"/>
      <c r="EZU30" s="170"/>
      <c r="EZW30" s="170"/>
      <c r="EZY30" s="170"/>
      <c r="FAA30" s="170"/>
      <c r="FAC30" s="170"/>
      <c r="FAE30" s="170"/>
      <c r="FAG30" s="170"/>
      <c r="FAI30" s="170"/>
      <c r="FAK30" s="170"/>
      <c r="FAM30" s="170"/>
      <c r="FAO30" s="170"/>
      <c r="FAQ30" s="170"/>
      <c r="FAS30" s="170"/>
      <c r="FAU30" s="170"/>
      <c r="FAW30" s="170"/>
      <c r="FAY30" s="170"/>
      <c r="FBA30" s="170"/>
      <c r="FBC30" s="170"/>
      <c r="FBE30" s="170"/>
      <c r="FBG30" s="170"/>
      <c r="FBI30" s="170"/>
      <c r="FBK30" s="170"/>
      <c r="FBM30" s="170"/>
      <c r="FBO30" s="170"/>
      <c r="FBQ30" s="170"/>
      <c r="FBS30" s="170"/>
      <c r="FBU30" s="170"/>
      <c r="FBW30" s="170"/>
      <c r="FBY30" s="170"/>
      <c r="FCA30" s="170"/>
      <c r="FCC30" s="170"/>
      <c r="FCE30" s="170"/>
      <c r="FCG30" s="170"/>
      <c r="FCI30" s="170"/>
      <c r="FCK30" s="170"/>
      <c r="FCM30" s="170"/>
      <c r="FCO30" s="170"/>
      <c r="FCQ30" s="170"/>
      <c r="FCS30" s="170"/>
      <c r="FCU30" s="170"/>
      <c r="FCW30" s="170"/>
      <c r="FCY30" s="170"/>
      <c r="FDA30" s="170"/>
      <c r="FDC30" s="170"/>
      <c r="FDE30" s="170"/>
      <c r="FDG30" s="170"/>
      <c r="FDI30" s="170"/>
      <c r="FDK30" s="170"/>
      <c r="FDM30" s="170"/>
      <c r="FDO30" s="170"/>
      <c r="FDQ30" s="170"/>
      <c r="FDS30" s="170"/>
      <c r="FDU30" s="170"/>
      <c r="FDW30" s="170"/>
      <c r="FDY30" s="170"/>
      <c r="FEA30" s="170"/>
      <c r="FEC30" s="170"/>
      <c r="FEE30" s="170"/>
      <c r="FEG30" s="170"/>
      <c r="FEI30" s="170"/>
      <c r="FEK30" s="170"/>
      <c r="FEM30" s="170"/>
      <c r="FEO30" s="170"/>
      <c r="FEQ30" s="170"/>
      <c r="FES30" s="170"/>
      <c r="FEU30" s="170"/>
      <c r="FEW30" s="170"/>
      <c r="FEY30" s="170"/>
      <c r="FFA30" s="170"/>
      <c r="FFC30" s="170"/>
      <c r="FFE30" s="170"/>
      <c r="FFG30" s="170"/>
      <c r="FFI30" s="170"/>
      <c r="FFK30" s="170"/>
      <c r="FFM30" s="170"/>
      <c r="FFO30" s="170"/>
      <c r="FFQ30" s="170"/>
      <c r="FFS30" s="170"/>
      <c r="FFU30" s="170"/>
      <c r="FFW30" s="170"/>
      <c r="FFY30" s="170"/>
      <c r="FGA30" s="170"/>
      <c r="FGC30" s="170"/>
      <c r="FGE30" s="170"/>
      <c r="FGG30" s="170"/>
      <c r="FGI30" s="170"/>
      <c r="FGK30" s="170"/>
      <c r="FGM30" s="170"/>
      <c r="FGO30" s="170"/>
      <c r="FGQ30" s="170"/>
      <c r="FGS30" s="170"/>
      <c r="FGU30" s="170"/>
      <c r="FGW30" s="170"/>
      <c r="FGY30" s="170"/>
      <c r="FHA30" s="170"/>
      <c r="FHC30" s="170"/>
      <c r="FHE30" s="170"/>
      <c r="FHG30" s="170"/>
      <c r="FHI30" s="170"/>
      <c r="FHK30" s="170"/>
      <c r="FHM30" s="170"/>
      <c r="FHO30" s="170"/>
      <c r="FHQ30" s="170"/>
      <c r="FHS30" s="170"/>
      <c r="FHU30" s="170"/>
      <c r="FHW30" s="170"/>
      <c r="FHY30" s="170"/>
      <c r="FIA30" s="170"/>
      <c r="FIC30" s="170"/>
      <c r="FIE30" s="170"/>
      <c r="FIG30" s="170"/>
      <c r="FII30" s="170"/>
      <c r="FIK30" s="170"/>
      <c r="FIM30" s="170"/>
      <c r="FIO30" s="170"/>
      <c r="FIQ30" s="170"/>
      <c r="FIS30" s="170"/>
      <c r="FIU30" s="170"/>
      <c r="FIW30" s="170"/>
      <c r="FIY30" s="170"/>
      <c r="FJA30" s="170"/>
      <c r="FJC30" s="170"/>
      <c r="FJE30" s="170"/>
      <c r="FJG30" s="170"/>
      <c r="FJI30" s="170"/>
      <c r="FJK30" s="170"/>
      <c r="FJM30" s="170"/>
      <c r="FJO30" s="170"/>
      <c r="FJQ30" s="170"/>
      <c r="FJS30" s="170"/>
      <c r="FJU30" s="170"/>
      <c r="FJW30" s="170"/>
      <c r="FJY30" s="170"/>
      <c r="FKA30" s="170"/>
      <c r="FKC30" s="170"/>
      <c r="FKE30" s="170"/>
      <c r="FKG30" s="170"/>
      <c r="FKI30" s="170"/>
      <c r="FKK30" s="170"/>
      <c r="FKM30" s="170"/>
      <c r="FKO30" s="170"/>
      <c r="FKQ30" s="170"/>
      <c r="FKS30" s="170"/>
      <c r="FKU30" s="170"/>
      <c r="FKW30" s="170"/>
      <c r="FKY30" s="170"/>
      <c r="FLA30" s="170"/>
      <c r="FLC30" s="170"/>
      <c r="FLE30" s="170"/>
      <c r="FLG30" s="170"/>
      <c r="FLI30" s="170"/>
      <c r="FLK30" s="170"/>
      <c r="FLM30" s="170"/>
      <c r="FLO30" s="170"/>
      <c r="FLQ30" s="170"/>
      <c r="FLS30" s="170"/>
      <c r="FLU30" s="170"/>
      <c r="FLW30" s="170"/>
      <c r="FLY30" s="170"/>
      <c r="FMA30" s="170"/>
      <c r="FMC30" s="170"/>
      <c r="FME30" s="170"/>
      <c r="FMG30" s="170"/>
      <c r="FMI30" s="170"/>
      <c r="FMK30" s="170"/>
      <c r="FMM30" s="170"/>
      <c r="FMO30" s="170"/>
      <c r="FMQ30" s="170"/>
      <c r="FMS30" s="170"/>
      <c r="FMU30" s="170"/>
      <c r="FMW30" s="170"/>
      <c r="FMY30" s="170"/>
      <c r="FNA30" s="170"/>
      <c r="FNC30" s="170"/>
      <c r="FNE30" s="170"/>
      <c r="FNG30" s="170"/>
      <c r="FNI30" s="170"/>
      <c r="FNK30" s="170"/>
      <c r="FNM30" s="170"/>
      <c r="FNO30" s="170"/>
      <c r="FNQ30" s="170"/>
      <c r="FNS30" s="170"/>
      <c r="FNU30" s="170"/>
      <c r="FNW30" s="170"/>
      <c r="FNY30" s="170"/>
      <c r="FOA30" s="170"/>
      <c r="FOC30" s="170"/>
      <c r="FOE30" s="170"/>
      <c r="FOG30" s="170"/>
      <c r="FOI30" s="170"/>
      <c r="FOK30" s="170"/>
      <c r="FOM30" s="170"/>
      <c r="FOO30" s="170"/>
      <c r="FOQ30" s="170"/>
      <c r="FOS30" s="170"/>
      <c r="FOU30" s="170"/>
      <c r="FOW30" s="170"/>
      <c r="FOY30" s="170"/>
      <c r="FPA30" s="170"/>
      <c r="FPC30" s="170"/>
      <c r="FPE30" s="170"/>
      <c r="FPG30" s="170"/>
      <c r="FPI30" s="170"/>
      <c r="FPK30" s="170"/>
      <c r="FPM30" s="170"/>
      <c r="FPO30" s="170"/>
      <c r="FPQ30" s="170"/>
      <c r="FPS30" s="170"/>
      <c r="FPU30" s="170"/>
      <c r="FPW30" s="170"/>
      <c r="FPY30" s="170"/>
      <c r="FQA30" s="170"/>
      <c r="FQC30" s="170"/>
      <c r="FQE30" s="170"/>
      <c r="FQG30" s="170"/>
      <c r="FQI30" s="170"/>
      <c r="FQK30" s="170"/>
      <c r="FQM30" s="170"/>
      <c r="FQO30" s="170"/>
      <c r="FQQ30" s="170"/>
      <c r="FQS30" s="170"/>
      <c r="FQU30" s="170"/>
      <c r="FQW30" s="170"/>
      <c r="FQY30" s="170"/>
      <c r="FRA30" s="170"/>
      <c r="FRC30" s="170"/>
      <c r="FRE30" s="170"/>
      <c r="FRG30" s="170"/>
      <c r="FRI30" s="170"/>
      <c r="FRK30" s="170"/>
      <c r="FRM30" s="170"/>
      <c r="FRO30" s="170"/>
      <c r="FRQ30" s="170"/>
      <c r="FRS30" s="170"/>
      <c r="FRU30" s="170"/>
      <c r="FRW30" s="170"/>
      <c r="FRY30" s="170"/>
      <c r="FSA30" s="170"/>
      <c r="FSC30" s="170"/>
      <c r="FSE30" s="170"/>
      <c r="FSG30" s="170"/>
      <c r="FSI30" s="170"/>
      <c r="FSK30" s="170"/>
      <c r="FSM30" s="170"/>
      <c r="FSO30" s="170"/>
      <c r="FSQ30" s="170"/>
      <c r="FSS30" s="170"/>
      <c r="FSU30" s="170"/>
      <c r="FSW30" s="170"/>
      <c r="FSY30" s="170"/>
      <c r="FTA30" s="170"/>
      <c r="FTC30" s="170"/>
      <c r="FTE30" s="170"/>
      <c r="FTG30" s="170"/>
      <c r="FTI30" s="170"/>
      <c r="FTK30" s="170"/>
      <c r="FTM30" s="170"/>
      <c r="FTO30" s="170"/>
      <c r="FTQ30" s="170"/>
      <c r="FTS30" s="170"/>
      <c r="FTU30" s="170"/>
      <c r="FTW30" s="170"/>
      <c r="FTY30" s="170"/>
      <c r="FUA30" s="170"/>
      <c r="FUC30" s="170"/>
      <c r="FUE30" s="170"/>
      <c r="FUG30" s="170"/>
      <c r="FUI30" s="170"/>
      <c r="FUK30" s="170"/>
      <c r="FUM30" s="170"/>
      <c r="FUO30" s="170"/>
      <c r="FUQ30" s="170"/>
      <c r="FUS30" s="170"/>
      <c r="FUU30" s="170"/>
      <c r="FUW30" s="170"/>
      <c r="FUY30" s="170"/>
      <c r="FVA30" s="170"/>
      <c r="FVC30" s="170"/>
      <c r="FVE30" s="170"/>
      <c r="FVG30" s="170"/>
      <c r="FVI30" s="170"/>
      <c r="FVK30" s="170"/>
      <c r="FVM30" s="170"/>
      <c r="FVO30" s="170"/>
      <c r="FVQ30" s="170"/>
      <c r="FVS30" s="170"/>
      <c r="FVU30" s="170"/>
      <c r="FVW30" s="170"/>
      <c r="FVY30" s="170"/>
      <c r="FWA30" s="170"/>
      <c r="FWC30" s="170"/>
      <c r="FWE30" s="170"/>
      <c r="FWG30" s="170"/>
      <c r="FWI30" s="170"/>
      <c r="FWK30" s="170"/>
      <c r="FWM30" s="170"/>
      <c r="FWO30" s="170"/>
      <c r="FWQ30" s="170"/>
      <c r="FWS30" s="170"/>
      <c r="FWU30" s="170"/>
      <c r="FWW30" s="170"/>
      <c r="FWY30" s="170"/>
      <c r="FXA30" s="170"/>
      <c r="FXC30" s="170"/>
      <c r="FXE30" s="170"/>
      <c r="FXG30" s="170"/>
      <c r="FXI30" s="170"/>
      <c r="FXK30" s="170"/>
      <c r="FXM30" s="170"/>
      <c r="FXO30" s="170"/>
      <c r="FXQ30" s="170"/>
      <c r="FXS30" s="170"/>
      <c r="FXU30" s="170"/>
      <c r="FXW30" s="170"/>
      <c r="FXY30" s="170"/>
      <c r="FYA30" s="170"/>
      <c r="FYC30" s="170"/>
      <c r="FYE30" s="170"/>
      <c r="FYG30" s="170"/>
      <c r="FYI30" s="170"/>
      <c r="FYK30" s="170"/>
      <c r="FYM30" s="170"/>
      <c r="FYO30" s="170"/>
      <c r="FYQ30" s="170"/>
      <c r="FYS30" s="170"/>
      <c r="FYU30" s="170"/>
      <c r="FYW30" s="170"/>
      <c r="FYY30" s="170"/>
      <c r="FZA30" s="170"/>
      <c r="FZC30" s="170"/>
      <c r="FZE30" s="170"/>
      <c r="FZG30" s="170"/>
      <c r="FZI30" s="170"/>
      <c r="FZK30" s="170"/>
      <c r="FZM30" s="170"/>
      <c r="FZO30" s="170"/>
      <c r="FZQ30" s="170"/>
      <c r="FZS30" s="170"/>
      <c r="FZU30" s="170"/>
      <c r="FZW30" s="170"/>
      <c r="FZY30" s="170"/>
      <c r="GAA30" s="170"/>
      <c r="GAC30" s="170"/>
      <c r="GAE30" s="170"/>
      <c r="GAG30" s="170"/>
      <c r="GAI30" s="170"/>
      <c r="GAK30" s="170"/>
      <c r="GAM30" s="170"/>
      <c r="GAO30" s="170"/>
      <c r="GAQ30" s="170"/>
      <c r="GAS30" s="170"/>
      <c r="GAU30" s="170"/>
      <c r="GAW30" s="170"/>
      <c r="GAY30" s="170"/>
      <c r="GBA30" s="170"/>
      <c r="GBC30" s="170"/>
      <c r="GBE30" s="170"/>
      <c r="GBG30" s="170"/>
      <c r="GBI30" s="170"/>
      <c r="GBK30" s="170"/>
      <c r="GBM30" s="170"/>
      <c r="GBO30" s="170"/>
      <c r="GBQ30" s="170"/>
      <c r="GBS30" s="170"/>
      <c r="GBU30" s="170"/>
      <c r="GBW30" s="170"/>
      <c r="GBY30" s="170"/>
      <c r="GCA30" s="170"/>
      <c r="GCC30" s="170"/>
      <c r="GCE30" s="170"/>
      <c r="GCG30" s="170"/>
      <c r="GCI30" s="170"/>
      <c r="GCK30" s="170"/>
      <c r="GCM30" s="170"/>
      <c r="GCO30" s="170"/>
      <c r="GCQ30" s="170"/>
      <c r="GCS30" s="170"/>
      <c r="GCU30" s="170"/>
      <c r="GCW30" s="170"/>
      <c r="GCY30" s="170"/>
      <c r="GDA30" s="170"/>
      <c r="GDC30" s="170"/>
      <c r="GDE30" s="170"/>
      <c r="GDG30" s="170"/>
      <c r="GDI30" s="170"/>
      <c r="GDK30" s="170"/>
      <c r="GDM30" s="170"/>
      <c r="GDO30" s="170"/>
      <c r="GDQ30" s="170"/>
      <c r="GDS30" s="170"/>
      <c r="GDU30" s="170"/>
      <c r="GDW30" s="170"/>
      <c r="GDY30" s="170"/>
      <c r="GEA30" s="170"/>
      <c r="GEC30" s="170"/>
      <c r="GEE30" s="170"/>
      <c r="GEG30" s="170"/>
      <c r="GEI30" s="170"/>
      <c r="GEK30" s="170"/>
      <c r="GEM30" s="170"/>
      <c r="GEO30" s="170"/>
      <c r="GEQ30" s="170"/>
      <c r="GES30" s="170"/>
      <c r="GEU30" s="170"/>
      <c r="GEW30" s="170"/>
      <c r="GEY30" s="170"/>
      <c r="GFA30" s="170"/>
      <c r="GFC30" s="170"/>
      <c r="GFE30" s="170"/>
      <c r="GFG30" s="170"/>
      <c r="GFI30" s="170"/>
      <c r="GFK30" s="170"/>
      <c r="GFM30" s="170"/>
      <c r="GFO30" s="170"/>
      <c r="GFQ30" s="170"/>
      <c r="GFS30" s="170"/>
      <c r="GFU30" s="170"/>
      <c r="GFW30" s="170"/>
      <c r="GFY30" s="170"/>
      <c r="GGA30" s="170"/>
      <c r="GGC30" s="170"/>
      <c r="GGE30" s="170"/>
      <c r="GGG30" s="170"/>
      <c r="GGI30" s="170"/>
      <c r="GGK30" s="170"/>
      <c r="GGM30" s="170"/>
      <c r="GGO30" s="170"/>
      <c r="GGQ30" s="170"/>
      <c r="GGS30" s="170"/>
      <c r="GGU30" s="170"/>
      <c r="GGW30" s="170"/>
      <c r="GGY30" s="170"/>
      <c r="GHA30" s="170"/>
      <c r="GHC30" s="170"/>
      <c r="GHE30" s="170"/>
      <c r="GHG30" s="170"/>
      <c r="GHI30" s="170"/>
      <c r="GHK30" s="170"/>
      <c r="GHM30" s="170"/>
      <c r="GHO30" s="170"/>
      <c r="GHQ30" s="170"/>
      <c r="GHS30" s="170"/>
      <c r="GHU30" s="170"/>
      <c r="GHW30" s="170"/>
      <c r="GHY30" s="170"/>
      <c r="GIA30" s="170"/>
      <c r="GIC30" s="170"/>
      <c r="GIE30" s="170"/>
      <c r="GIG30" s="170"/>
      <c r="GII30" s="170"/>
      <c r="GIK30" s="170"/>
      <c r="GIM30" s="170"/>
      <c r="GIO30" s="170"/>
      <c r="GIQ30" s="170"/>
      <c r="GIS30" s="170"/>
      <c r="GIU30" s="170"/>
      <c r="GIW30" s="170"/>
      <c r="GIY30" s="170"/>
      <c r="GJA30" s="170"/>
      <c r="GJC30" s="170"/>
      <c r="GJE30" s="170"/>
      <c r="GJG30" s="170"/>
      <c r="GJI30" s="170"/>
      <c r="GJK30" s="170"/>
      <c r="GJM30" s="170"/>
      <c r="GJO30" s="170"/>
      <c r="GJQ30" s="170"/>
      <c r="GJS30" s="170"/>
      <c r="GJU30" s="170"/>
      <c r="GJW30" s="170"/>
      <c r="GJY30" s="170"/>
      <c r="GKA30" s="170"/>
      <c r="GKC30" s="170"/>
      <c r="GKE30" s="170"/>
      <c r="GKG30" s="170"/>
      <c r="GKI30" s="170"/>
      <c r="GKK30" s="170"/>
      <c r="GKM30" s="170"/>
      <c r="GKO30" s="170"/>
      <c r="GKQ30" s="170"/>
      <c r="GKS30" s="170"/>
      <c r="GKU30" s="170"/>
      <c r="GKW30" s="170"/>
      <c r="GKY30" s="170"/>
      <c r="GLA30" s="170"/>
      <c r="GLC30" s="170"/>
      <c r="GLE30" s="170"/>
      <c r="GLG30" s="170"/>
      <c r="GLI30" s="170"/>
      <c r="GLK30" s="170"/>
      <c r="GLM30" s="170"/>
      <c r="GLO30" s="170"/>
      <c r="GLQ30" s="170"/>
      <c r="GLS30" s="170"/>
      <c r="GLU30" s="170"/>
      <c r="GLW30" s="170"/>
      <c r="GLY30" s="170"/>
      <c r="GMA30" s="170"/>
      <c r="GMC30" s="170"/>
      <c r="GME30" s="170"/>
      <c r="GMG30" s="170"/>
      <c r="GMI30" s="170"/>
      <c r="GMK30" s="170"/>
      <c r="GMM30" s="170"/>
      <c r="GMO30" s="170"/>
      <c r="GMQ30" s="170"/>
      <c r="GMS30" s="170"/>
      <c r="GMU30" s="170"/>
      <c r="GMW30" s="170"/>
      <c r="GMY30" s="170"/>
      <c r="GNA30" s="170"/>
      <c r="GNC30" s="170"/>
      <c r="GNE30" s="170"/>
      <c r="GNG30" s="170"/>
      <c r="GNI30" s="170"/>
      <c r="GNK30" s="170"/>
      <c r="GNM30" s="170"/>
      <c r="GNO30" s="170"/>
      <c r="GNQ30" s="170"/>
      <c r="GNS30" s="170"/>
      <c r="GNU30" s="170"/>
      <c r="GNW30" s="170"/>
      <c r="GNY30" s="170"/>
      <c r="GOA30" s="170"/>
      <c r="GOC30" s="170"/>
      <c r="GOE30" s="170"/>
      <c r="GOG30" s="170"/>
      <c r="GOI30" s="170"/>
      <c r="GOK30" s="170"/>
      <c r="GOM30" s="170"/>
      <c r="GOO30" s="170"/>
      <c r="GOQ30" s="170"/>
      <c r="GOS30" s="170"/>
      <c r="GOU30" s="170"/>
      <c r="GOW30" s="170"/>
      <c r="GOY30" s="170"/>
      <c r="GPA30" s="170"/>
      <c r="GPC30" s="170"/>
      <c r="GPE30" s="170"/>
      <c r="GPG30" s="170"/>
      <c r="GPI30" s="170"/>
      <c r="GPK30" s="170"/>
      <c r="GPM30" s="170"/>
      <c r="GPO30" s="170"/>
      <c r="GPQ30" s="170"/>
      <c r="GPS30" s="170"/>
      <c r="GPU30" s="170"/>
      <c r="GPW30" s="170"/>
      <c r="GPY30" s="170"/>
      <c r="GQA30" s="170"/>
      <c r="GQC30" s="170"/>
      <c r="GQE30" s="170"/>
      <c r="GQG30" s="170"/>
      <c r="GQI30" s="170"/>
      <c r="GQK30" s="170"/>
      <c r="GQM30" s="170"/>
      <c r="GQO30" s="170"/>
      <c r="GQQ30" s="170"/>
      <c r="GQS30" s="170"/>
      <c r="GQU30" s="170"/>
      <c r="GQW30" s="170"/>
      <c r="GQY30" s="170"/>
      <c r="GRA30" s="170"/>
      <c r="GRC30" s="170"/>
      <c r="GRE30" s="170"/>
      <c r="GRG30" s="170"/>
      <c r="GRI30" s="170"/>
      <c r="GRK30" s="170"/>
      <c r="GRM30" s="170"/>
      <c r="GRO30" s="170"/>
      <c r="GRQ30" s="170"/>
      <c r="GRS30" s="170"/>
      <c r="GRU30" s="170"/>
      <c r="GRW30" s="170"/>
      <c r="GRY30" s="170"/>
      <c r="GSA30" s="170"/>
      <c r="GSC30" s="170"/>
      <c r="GSE30" s="170"/>
      <c r="GSG30" s="170"/>
      <c r="GSI30" s="170"/>
      <c r="GSK30" s="170"/>
      <c r="GSM30" s="170"/>
      <c r="GSO30" s="170"/>
      <c r="GSQ30" s="170"/>
      <c r="GSS30" s="170"/>
      <c r="GSU30" s="170"/>
      <c r="GSW30" s="170"/>
      <c r="GSY30" s="170"/>
      <c r="GTA30" s="170"/>
      <c r="GTC30" s="170"/>
      <c r="GTE30" s="170"/>
      <c r="GTG30" s="170"/>
      <c r="GTI30" s="170"/>
      <c r="GTK30" s="170"/>
      <c r="GTM30" s="170"/>
      <c r="GTO30" s="170"/>
      <c r="GTQ30" s="170"/>
      <c r="GTS30" s="170"/>
      <c r="GTU30" s="170"/>
      <c r="GTW30" s="170"/>
      <c r="GTY30" s="170"/>
      <c r="GUA30" s="170"/>
      <c r="GUC30" s="170"/>
      <c r="GUE30" s="170"/>
      <c r="GUG30" s="170"/>
      <c r="GUI30" s="170"/>
      <c r="GUK30" s="170"/>
      <c r="GUM30" s="170"/>
      <c r="GUO30" s="170"/>
      <c r="GUQ30" s="170"/>
      <c r="GUS30" s="170"/>
      <c r="GUU30" s="170"/>
      <c r="GUW30" s="170"/>
      <c r="GUY30" s="170"/>
      <c r="GVA30" s="170"/>
      <c r="GVC30" s="170"/>
      <c r="GVE30" s="170"/>
      <c r="GVG30" s="170"/>
      <c r="GVI30" s="170"/>
      <c r="GVK30" s="170"/>
      <c r="GVM30" s="170"/>
      <c r="GVO30" s="170"/>
      <c r="GVQ30" s="170"/>
      <c r="GVS30" s="170"/>
      <c r="GVU30" s="170"/>
      <c r="GVW30" s="170"/>
      <c r="GVY30" s="170"/>
      <c r="GWA30" s="170"/>
      <c r="GWC30" s="170"/>
      <c r="GWE30" s="170"/>
      <c r="GWG30" s="170"/>
      <c r="GWI30" s="170"/>
      <c r="GWK30" s="170"/>
      <c r="GWM30" s="170"/>
      <c r="GWO30" s="170"/>
      <c r="GWQ30" s="170"/>
      <c r="GWS30" s="170"/>
      <c r="GWU30" s="170"/>
      <c r="GWW30" s="170"/>
      <c r="GWY30" s="170"/>
      <c r="GXA30" s="170"/>
      <c r="GXC30" s="170"/>
      <c r="GXE30" s="170"/>
      <c r="GXG30" s="170"/>
      <c r="GXI30" s="170"/>
      <c r="GXK30" s="170"/>
      <c r="GXM30" s="170"/>
      <c r="GXO30" s="170"/>
      <c r="GXQ30" s="170"/>
      <c r="GXS30" s="170"/>
      <c r="GXU30" s="170"/>
      <c r="GXW30" s="170"/>
      <c r="GXY30" s="170"/>
      <c r="GYA30" s="170"/>
      <c r="GYC30" s="170"/>
      <c r="GYE30" s="170"/>
      <c r="GYG30" s="170"/>
      <c r="GYI30" s="170"/>
      <c r="GYK30" s="170"/>
      <c r="GYM30" s="170"/>
      <c r="GYO30" s="170"/>
      <c r="GYQ30" s="170"/>
      <c r="GYS30" s="170"/>
      <c r="GYU30" s="170"/>
      <c r="GYW30" s="170"/>
      <c r="GYY30" s="170"/>
      <c r="GZA30" s="170"/>
      <c r="GZC30" s="170"/>
      <c r="GZE30" s="170"/>
      <c r="GZG30" s="170"/>
      <c r="GZI30" s="170"/>
      <c r="GZK30" s="170"/>
      <c r="GZM30" s="170"/>
      <c r="GZO30" s="170"/>
      <c r="GZQ30" s="170"/>
      <c r="GZS30" s="170"/>
      <c r="GZU30" s="170"/>
      <c r="GZW30" s="170"/>
      <c r="GZY30" s="170"/>
      <c r="HAA30" s="170"/>
      <c r="HAC30" s="170"/>
      <c r="HAE30" s="170"/>
      <c r="HAG30" s="170"/>
      <c r="HAI30" s="170"/>
      <c r="HAK30" s="170"/>
      <c r="HAM30" s="170"/>
      <c r="HAO30" s="170"/>
      <c r="HAQ30" s="170"/>
      <c r="HAS30" s="170"/>
      <c r="HAU30" s="170"/>
      <c r="HAW30" s="170"/>
      <c r="HAY30" s="170"/>
      <c r="HBA30" s="170"/>
      <c r="HBC30" s="170"/>
      <c r="HBE30" s="170"/>
      <c r="HBG30" s="170"/>
      <c r="HBI30" s="170"/>
      <c r="HBK30" s="170"/>
      <c r="HBM30" s="170"/>
      <c r="HBO30" s="170"/>
      <c r="HBQ30" s="170"/>
      <c r="HBS30" s="170"/>
      <c r="HBU30" s="170"/>
      <c r="HBW30" s="170"/>
      <c r="HBY30" s="170"/>
      <c r="HCA30" s="170"/>
      <c r="HCC30" s="170"/>
      <c r="HCE30" s="170"/>
      <c r="HCG30" s="170"/>
      <c r="HCI30" s="170"/>
      <c r="HCK30" s="170"/>
      <c r="HCM30" s="170"/>
      <c r="HCO30" s="170"/>
      <c r="HCQ30" s="170"/>
      <c r="HCS30" s="170"/>
      <c r="HCU30" s="170"/>
      <c r="HCW30" s="170"/>
      <c r="HCY30" s="170"/>
      <c r="HDA30" s="170"/>
      <c r="HDC30" s="170"/>
      <c r="HDE30" s="170"/>
      <c r="HDG30" s="170"/>
      <c r="HDI30" s="170"/>
      <c r="HDK30" s="170"/>
      <c r="HDM30" s="170"/>
      <c r="HDO30" s="170"/>
      <c r="HDQ30" s="170"/>
      <c r="HDS30" s="170"/>
      <c r="HDU30" s="170"/>
      <c r="HDW30" s="170"/>
      <c r="HDY30" s="170"/>
      <c r="HEA30" s="170"/>
      <c r="HEC30" s="170"/>
      <c r="HEE30" s="170"/>
      <c r="HEG30" s="170"/>
      <c r="HEI30" s="170"/>
      <c r="HEK30" s="170"/>
      <c r="HEM30" s="170"/>
      <c r="HEO30" s="170"/>
      <c r="HEQ30" s="170"/>
      <c r="HES30" s="170"/>
      <c r="HEU30" s="170"/>
      <c r="HEW30" s="170"/>
      <c r="HEY30" s="170"/>
      <c r="HFA30" s="170"/>
      <c r="HFC30" s="170"/>
      <c r="HFE30" s="170"/>
      <c r="HFG30" s="170"/>
      <c r="HFI30" s="170"/>
      <c r="HFK30" s="170"/>
      <c r="HFM30" s="170"/>
      <c r="HFO30" s="170"/>
      <c r="HFQ30" s="170"/>
      <c r="HFS30" s="170"/>
      <c r="HFU30" s="170"/>
      <c r="HFW30" s="170"/>
      <c r="HFY30" s="170"/>
      <c r="HGA30" s="170"/>
      <c r="HGC30" s="170"/>
      <c r="HGE30" s="170"/>
      <c r="HGG30" s="170"/>
      <c r="HGI30" s="170"/>
      <c r="HGK30" s="170"/>
      <c r="HGM30" s="170"/>
      <c r="HGO30" s="170"/>
      <c r="HGQ30" s="170"/>
      <c r="HGS30" s="170"/>
      <c r="HGU30" s="170"/>
      <c r="HGW30" s="170"/>
      <c r="HGY30" s="170"/>
      <c r="HHA30" s="170"/>
      <c r="HHC30" s="170"/>
      <c r="HHE30" s="170"/>
      <c r="HHG30" s="170"/>
      <c r="HHI30" s="170"/>
      <c r="HHK30" s="170"/>
      <c r="HHM30" s="170"/>
      <c r="HHO30" s="170"/>
      <c r="HHQ30" s="170"/>
      <c r="HHS30" s="170"/>
      <c r="HHU30" s="170"/>
      <c r="HHW30" s="170"/>
      <c r="HHY30" s="170"/>
      <c r="HIA30" s="170"/>
      <c r="HIC30" s="170"/>
      <c r="HIE30" s="170"/>
      <c r="HIG30" s="170"/>
      <c r="HII30" s="170"/>
      <c r="HIK30" s="170"/>
      <c r="HIM30" s="170"/>
      <c r="HIO30" s="170"/>
      <c r="HIQ30" s="170"/>
      <c r="HIS30" s="170"/>
      <c r="HIU30" s="170"/>
      <c r="HIW30" s="170"/>
      <c r="HIY30" s="170"/>
      <c r="HJA30" s="170"/>
      <c r="HJC30" s="170"/>
      <c r="HJE30" s="170"/>
      <c r="HJG30" s="170"/>
      <c r="HJI30" s="170"/>
      <c r="HJK30" s="170"/>
      <c r="HJM30" s="170"/>
      <c r="HJO30" s="170"/>
      <c r="HJQ30" s="170"/>
      <c r="HJS30" s="170"/>
      <c r="HJU30" s="170"/>
      <c r="HJW30" s="170"/>
      <c r="HJY30" s="170"/>
      <c r="HKA30" s="170"/>
      <c r="HKC30" s="170"/>
      <c r="HKE30" s="170"/>
      <c r="HKG30" s="170"/>
      <c r="HKI30" s="170"/>
      <c r="HKK30" s="170"/>
      <c r="HKM30" s="170"/>
      <c r="HKO30" s="170"/>
      <c r="HKQ30" s="170"/>
      <c r="HKS30" s="170"/>
      <c r="HKU30" s="170"/>
      <c r="HKW30" s="170"/>
      <c r="HKY30" s="170"/>
      <c r="HLA30" s="170"/>
      <c r="HLC30" s="170"/>
      <c r="HLE30" s="170"/>
      <c r="HLG30" s="170"/>
      <c r="HLI30" s="170"/>
      <c r="HLK30" s="170"/>
      <c r="HLM30" s="170"/>
      <c r="HLO30" s="170"/>
      <c r="HLQ30" s="170"/>
      <c r="HLS30" s="170"/>
      <c r="HLU30" s="170"/>
      <c r="HLW30" s="170"/>
      <c r="HLY30" s="170"/>
      <c r="HMA30" s="170"/>
      <c r="HMC30" s="170"/>
      <c r="HME30" s="170"/>
      <c r="HMG30" s="170"/>
      <c r="HMI30" s="170"/>
      <c r="HMK30" s="170"/>
      <c r="HMM30" s="170"/>
      <c r="HMO30" s="170"/>
      <c r="HMQ30" s="170"/>
      <c r="HMS30" s="170"/>
      <c r="HMU30" s="170"/>
      <c r="HMW30" s="170"/>
      <c r="HMY30" s="170"/>
      <c r="HNA30" s="170"/>
      <c r="HNC30" s="170"/>
      <c r="HNE30" s="170"/>
      <c r="HNG30" s="170"/>
      <c r="HNI30" s="170"/>
      <c r="HNK30" s="170"/>
      <c r="HNM30" s="170"/>
      <c r="HNO30" s="170"/>
      <c r="HNQ30" s="170"/>
      <c r="HNS30" s="170"/>
      <c r="HNU30" s="170"/>
      <c r="HNW30" s="170"/>
      <c r="HNY30" s="170"/>
      <c r="HOA30" s="170"/>
      <c r="HOC30" s="170"/>
      <c r="HOE30" s="170"/>
      <c r="HOG30" s="170"/>
      <c r="HOI30" s="170"/>
      <c r="HOK30" s="170"/>
      <c r="HOM30" s="170"/>
      <c r="HOO30" s="170"/>
      <c r="HOQ30" s="170"/>
      <c r="HOS30" s="170"/>
      <c r="HOU30" s="170"/>
      <c r="HOW30" s="170"/>
      <c r="HOY30" s="170"/>
      <c r="HPA30" s="170"/>
      <c r="HPC30" s="170"/>
      <c r="HPE30" s="170"/>
      <c r="HPG30" s="170"/>
      <c r="HPI30" s="170"/>
      <c r="HPK30" s="170"/>
      <c r="HPM30" s="170"/>
      <c r="HPO30" s="170"/>
      <c r="HPQ30" s="170"/>
      <c r="HPS30" s="170"/>
      <c r="HPU30" s="170"/>
      <c r="HPW30" s="170"/>
      <c r="HPY30" s="170"/>
      <c r="HQA30" s="170"/>
      <c r="HQC30" s="170"/>
      <c r="HQE30" s="170"/>
      <c r="HQG30" s="170"/>
      <c r="HQI30" s="170"/>
      <c r="HQK30" s="170"/>
      <c r="HQM30" s="170"/>
      <c r="HQO30" s="170"/>
      <c r="HQQ30" s="170"/>
      <c r="HQS30" s="170"/>
      <c r="HQU30" s="170"/>
      <c r="HQW30" s="170"/>
      <c r="HQY30" s="170"/>
      <c r="HRA30" s="170"/>
      <c r="HRC30" s="170"/>
      <c r="HRE30" s="170"/>
      <c r="HRG30" s="170"/>
      <c r="HRI30" s="170"/>
      <c r="HRK30" s="170"/>
      <c r="HRM30" s="170"/>
      <c r="HRO30" s="170"/>
      <c r="HRQ30" s="170"/>
      <c r="HRS30" s="170"/>
      <c r="HRU30" s="170"/>
      <c r="HRW30" s="170"/>
      <c r="HRY30" s="170"/>
      <c r="HSA30" s="170"/>
      <c r="HSC30" s="170"/>
      <c r="HSE30" s="170"/>
      <c r="HSG30" s="170"/>
      <c r="HSI30" s="170"/>
      <c r="HSK30" s="170"/>
      <c r="HSM30" s="170"/>
      <c r="HSO30" s="170"/>
      <c r="HSQ30" s="170"/>
      <c r="HSS30" s="170"/>
      <c r="HSU30" s="170"/>
      <c r="HSW30" s="170"/>
      <c r="HSY30" s="170"/>
      <c r="HTA30" s="170"/>
      <c r="HTC30" s="170"/>
      <c r="HTE30" s="170"/>
      <c r="HTG30" s="170"/>
      <c r="HTI30" s="170"/>
      <c r="HTK30" s="170"/>
      <c r="HTM30" s="170"/>
      <c r="HTO30" s="170"/>
      <c r="HTQ30" s="170"/>
      <c r="HTS30" s="170"/>
      <c r="HTU30" s="170"/>
      <c r="HTW30" s="170"/>
      <c r="HTY30" s="170"/>
      <c r="HUA30" s="170"/>
      <c r="HUC30" s="170"/>
      <c r="HUE30" s="170"/>
      <c r="HUG30" s="170"/>
      <c r="HUI30" s="170"/>
      <c r="HUK30" s="170"/>
      <c r="HUM30" s="170"/>
      <c r="HUO30" s="170"/>
      <c r="HUQ30" s="170"/>
      <c r="HUS30" s="170"/>
      <c r="HUU30" s="170"/>
      <c r="HUW30" s="170"/>
      <c r="HUY30" s="170"/>
      <c r="HVA30" s="170"/>
      <c r="HVC30" s="170"/>
      <c r="HVE30" s="170"/>
      <c r="HVG30" s="170"/>
      <c r="HVI30" s="170"/>
      <c r="HVK30" s="170"/>
      <c r="HVM30" s="170"/>
      <c r="HVO30" s="170"/>
      <c r="HVQ30" s="170"/>
      <c r="HVS30" s="170"/>
      <c r="HVU30" s="170"/>
      <c r="HVW30" s="170"/>
      <c r="HVY30" s="170"/>
      <c r="HWA30" s="170"/>
      <c r="HWC30" s="170"/>
      <c r="HWE30" s="170"/>
      <c r="HWG30" s="170"/>
      <c r="HWI30" s="170"/>
      <c r="HWK30" s="170"/>
      <c r="HWM30" s="170"/>
      <c r="HWO30" s="170"/>
      <c r="HWQ30" s="170"/>
      <c r="HWS30" s="170"/>
      <c r="HWU30" s="170"/>
      <c r="HWW30" s="170"/>
      <c r="HWY30" s="170"/>
      <c r="HXA30" s="170"/>
      <c r="HXC30" s="170"/>
      <c r="HXE30" s="170"/>
      <c r="HXG30" s="170"/>
      <c r="HXI30" s="170"/>
      <c r="HXK30" s="170"/>
      <c r="HXM30" s="170"/>
      <c r="HXO30" s="170"/>
      <c r="HXQ30" s="170"/>
      <c r="HXS30" s="170"/>
      <c r="HXU30" s="170"/>
      <c r="HXW30" s="170"/>
      <c r="HXY30" s="170"/>
      <c r="HYA30" s="170"/>
      <c r="HYC30" s="170"/>
      <c r="HYE30" s="170"/>
      <c r="HYG30" s="170"/>
      <c r="HYI30" s="170"/>
      <c r="HYK30" s="170"/>
      <c r="HYM30" s="170"/>
      <c r="HYO30" s="170"/>
      <c r="HYQ30" s="170"/>
      <c r="HYS30" s="170"/>
      <c r="HYU30" s="170"/>
      <c r="HYW30" s="170"/>
      <c r="HYY30" s="170"/>
      <c r="HZA30" s="170"/>
      <c r="HZC30" s="170"/>
      <c r="HZE30" s="170"/>
      <c r="HZG30" s="170"/>
      <c r="HZI30" s="170"/>
      <c r="HZK30" s="170"/>
      <c r="HZM30" s="170"/>
      <c r="HZO30" s="170"/>
      <c r="HZQ30" s="170"/>
      <c r="HZS30" s="170"/>
      <c r="HZU30" s="170"/>
      <c r="HZW30" s="170"/>
      <c r="HZY30" s="170"/>
      <c r="IAA30" s="170"/>
      <c r="IAC30" s="170"/>
      <c r="IAE30" s="170"/>
      <c r="IAG30" s="170"/>
      <c r="IAI30" s="170"/>
      <c r="IAK30" s="170"/>
      <c r="IAM30" s="170"/>
      <c r="IAO30" s="170"/>
      <c r="IAQ30" s="170"/>
      <c r="IAS30" s="170"/>
      <c r="IAU30" s="170"/>
      <c r="IAW30" s="170"/>
      <c r="IAY30" s="170"/>
      <c r="IBA30" s="170"/>
      <c r="IBC30" s="170"/>
      <c r="IBE30" s="170"/>
      <c r="IBG30" s="170"/>
      <c r="IBI30" s="170"/>
      <c r="IBK30" s="170"/>
      <c r="IBM30" s="170"/>
      <c r="IBO30" s="170"/>
      <c r="IBQ30" s="170"/>
      <c r="IBS30" s="170"/>
      <c r="IBU30" s="170"/>
      <c r="IBW30" s="170"/>
      <c r="IBY30" s="170"/>
      <c r="ICA30" s="170"/>
      <c r="ICC30" s="170"/>
      <c r="ICE30" s="170"/>
      <c r="ICG30" s="170"/>
      <c r="ICI30" s="170"/>
      <c r="ICK30" s="170"/>
      <c r="ICM30" s="170"/>
      <c r="ICO30" s="170"/>
      <c r="ICQ30" s="170"/>
      <c r="ICS30" s="170"/>
      <c r="ICU30" s="170"/>
      <c r="ICW30" s="170"/>
      <c r="ICY30" s="170"/>
      <c r="IDA30" s="170"/>
      <c r="IDC30" s="170"/>
      <c r="IDE30" s="170"/>
      <c r="IDG30" s="170"/>
      <c r="IDI30" s="170"/>
      <c r="IDK30" s="170"/>
      <c r="IDM30" s="170"/>
      <c r="IDO30" s="170"/>
      <c r="IDQ30" s="170"/>
      <c r="IDS30" s="170"/>
      <c r="IDU30" s="170"/>
      <c r="IDW30" s="170"/>
      <c r="IDY30" s="170"/>
      <c r="IEA30" s="170"/>
      <c r="IEC30" s="170"/>
      <c r="IEE30" s="170"/>
      <c r="IEG30" s="170"/>
      <c r="IEI30" s="170"/>
      <c r="IEK30" s="170"/>
      <c r="IEM30" s="170"/>
      <c r="IEO30" s="170"/>
      <c r="IEQ30" s="170"/>
      <c r="IES30" s="170"/>
      <c r="IEU30" s="170"/>
      <c r="IEW30" s="170"/>
      <c r="IEY30" s="170"/>
      <c r="IFA30" s="170"/>
      <c r="IFC30" s="170"/>
      <c r="IFE30" s="170"/>
      <c r="IFG30" s="170"/>
      <c r="IFI30" s="170"/>
      <c r="IFK30" s="170"/>
      <c r="IFM30" s="170"/>
      <c r="IFO30" s="170"/>
      <c r="IFQ30" s="170"/>
      <c r="IFS30" s="170"/>
      <c r="IFU30" s="170"/>
      <c r="IFW30" s="170"/>
      <c r="IFY30" s="170"/>
      <c r="IGA30" s="170"/>
      <c r="IGC30" s="170"/>
      <c r="IGE30" s="170"/>
      <c r="IGG30" s="170"/>
      <c r="IGI30" s="170"/>
      <c r="IGK30" s="170"/>
      <c r="IGM30" s="170"/>
      <c r="IGO30" s="170"/>
      <c r="IGQ30" s="170"/>
      <c r="IGS30" s="170"/>
      <c r="IGU30" s="170"/>
      <c r="IGW30" s="170"/>
      <c r="IGY30" s="170"/>
      <c r="IHA30" s="170"/>
      <c r="IHC30" s="170"/>
      <c r="IHE30" s="170"/>
      <c r="IHG30" s="170"/>
      <c r="IHI30" s="170"/>
      <c r="IHK30" s="170"/>
      <c r="IHM30" s="170"/>
      <c r="IHO30" s="170"/>
      <c r="IHQ30" s="170"/>
      <c r="IHS30" s="170"/>
      <c r="IHU30" s="170"/>
      <c r="IHW30" s="170"/>
      <c r="IHY30" s="170"/>
      <c r="IIA30" s="170"/>
      <c r="IIC30" s="170"/>
      <c r="IIE30" s="170"/>
      <c r="IIG30" s="170"/>
      <c r="III30" s="170"/>
      <c r="IIK30" s="170"/>
      <c r="IIM30" s="170"/>
      <c r="IIO30" s="170"/>
      <c r="IIQ30" s="170"/>
      <c r="IIS30" s="170"/>
      <c r="IIU30" s="170"/>
      <c r="IIW30" s="170"/>
      <c r="IIY30" s="170"/>
      <c r="IJA30" s="170"/>
      <c r="IJC30" s="170"/>
      <c r="IJE30" s="170"/>
      <c r="IJG30" s="170"/>
      <c r="IJI30" s="170"/>
      <c r="IJK30" s="170"/>
      <c r="IJM30" s="170"/>
      <c r="IJO30" s="170"/>
      <c r="IJQ30" s="170"/>
      <c r="IJS30" s="170"/>
      <c r="IJU30" s="170"/>
      <c r="IJW30" s="170"/>
      <c r="IJY30" s="170"/>
      <c r="IKA30" s="170"/>
      <c r="IKC30" s="170"/>
      <c r="IKE30" s="170"/>
      <c r="IKG30" s="170"/>
      <c r="IKI30" s="170"/>
      <c r="IKK30" s="170"/>
      <c r="IKM30" s="170"/>
      <c r="IKO30" s="170"/>
      <c r="IKQ30" s="170"/>
      <c r="IKS30" s="170"/>
      <c r="IKU30" s="170"/>
      <c r="IKW30" s="170"/>
      <c r="IKY30" s="170"/>
      <c r="ILA30" s="170"/>
      <c r="ILC30" s="170"/>
      <c r="ILE30" s="170"/>
      <c r="ILG30" s="170"/>
      <c r="ILI30" s="170"/>
      <c r="ILK30" s="170"/>
      <c r="ILM30" s="170"/>
      <c r="ILO30" s="170"/>
      <c r="ILQ30" s="170"/>
      <c r="ILS30" s="170"/>
      <c r="ILU30" s="170"/>
      <c r="ILW30" s="170"/>
      <c r="ILY30" s="170"/>
      <c r="IMA30" s="170"/>
      <c r="IMC30" s="170"/>
      <c r="IME30" s="170"/>
      <c r="IMG30" s="170"/>
      <c r="IMI30" s="170"/>
      <c r="IMK30" s="170"/>
      <c r="IMM30" s="170"/>
      <c r="IMO30" s="170"/>
      <c r="IMQ30" s="170"/>
      <c r="IMS30" s="170"/>
      <c r="IMU30" s="170"/>
      <c r="IMW30" s="170"/>
      <c r="IMY30" s="170"/>
      <c r="INA30" s="170"/>
      <c r="INC30" s="170"/>
      <c r="INE30" s="170"/>
      <c r="ING30" s="170"/>
      <c r="INI30" s="170"/>
      <c r="INK30" s="170"/>
      <c r="INM30" s="170"/>
      <c r="INO30" s="170"/>
      <c r="INQ30" s="170"/>
      <c r="INS30" s="170"/>
      <c r="INU30" s="170"/>
      <c r="INW30" s="170"/>
      <c r="INY30" s="170"/>
      <c r="IOA30" s="170"/>
      <c r="IOC30" s="170"/>
      <c r="IOE30" s="170"/>
      <c r="IOG30" s="170"/>
      <c r="IOI30" s="170"/>
      <c r="IOK30" s="170"/>
      <c r="IOM30" s="170"/>
      <c r="IOO30" s="170"/>
      <c r="IOQ30" s="170"/>
      <c r="IOS30" s="170"/>
      <c r="IOU30" s="170"/>
      <c r="IOW30" s="170"/>
      <c r="IOY30" s="170"/>
      <c r="IPA30" s="170"/>
      <c r="IPC30" s="170"/>
      <c r="IPE30" s="170"/>
      <c r="IPG30" s="170"/>
      <c r="IPI30" s="170"/>
      <c r="IPK30" s="170"/>
      <c r="IPM30" s="170"/>
      <c r="IPO30" s="170"/>
      <c r="IPQ30" s="170"/>
      <c r="IPS30" s="170"/>
      <c r="IPU30" s="170"/>
      <c r="IPW30" s="170"/>
      <c r="IPY30" s="170"/>
      <c r="IQA30" s="170"/>
      <c r="IQC30" s="170"/>
      <c r="IQE30" s="170"/>
      <c r="IQG30" s="170"/>
      <c r="IQI30" s="170"/>
      <c r="IQK30" s="170"/>
      <c r="IQM30" s="170"/>
      <c r="IQO30" s="170"/>
      <c r="IQQ30" s="170"/>
      <c r="IQS30" s="170"/>
      <c r="IQU30" s="170"/>
      <c r="IQW30" s="170"/>
      <c r="IQY30" s="170"/>
      <c r="IRA30" s="170"/>
      <c r="IRC30" s="170"/>
      <c r="IRE30" s="170"/>
      <c r="IRG30" s="170"/>
      <c r="IRI30" s="170"/>
      <c r="IRK30" s="170"/>
      <c r="IRM30" s="170"/>
      <c r="IRO30" s="170"/>
      <c r="IRQ30" s="170"/>
      <c r="IRS30" s="170"/>
      <c r="IRU30" s="170"/>
      <c r="IRW30" s="170"/>
      <c r="IRY30" s="170"/>
      <c r="ISA30" s="170"/>
      <c r="ISC30" s="170"/>
      <c r="ISE30" s="170"/>
      <c r="ISG30" s="170"/>
      <c r="ISI30" s="170"/>
      <c r="ISK30" s="170"/>
      <c r="ISM30" s="170"/>
      <c r="ISO30" s="170"/>
      <c r="ISQ30" s="170"/>
      <c r="ISS30" s="170"/>
      <c r="ISU30" s="170"/>
      <c r="ISW30" s="170"/>
      <c r="ISY30" s="170"/>
      <c r="ITA30" s="170"/>
      <c r="ITC30" s="170"/>
      <c r="ITE30" s="170"/>
      <c r="ITG30" s="170"/>
      <c r="ITI30" s="170"/>
      <c r="ITK30" s="170"/>
      <c r="ITM30" s="170"/>
      <c r="ITO30" s="170"/>
      <c r="ITQ30" s="170"/>
      <c r="ITS30" s="170"/>
      <c r="ITU30" s="170"/>
      <c r="ITW30" s="170"/>
      <c r="ITY30" s="170"/>
      <c r="IUA30" s="170"/>
      <c r="IUC30" s="170"/>
      <c r="IUE30" s="170"/>
      <c r="IUG30" s="170"/>
      <c r="IUI30" s="170"/>
      <c r="IUK30" s="170"/>
      <c r="IUM30" s="170"/>
      <c r="IUO30" s="170"/>
      <c r="IUQ30" s="170"/>
      <c r="IUS30" s="170"/>
      <c r="IUU30" s="170"/>
      <c r="IUW30" s="170"/>
      <c r="IUY30" s="170"/>
      <c r="IVA30" s="170"/>
      <c r="IVC30" s="170"/>
      <c r="IVE30" s="170"/>
      <c r="IVG30" s="170"/>
      <c r="IVI30" s="170"/>
      <c r="IVK30" s="170"/>
      <c r="IVM30" s="170"/>
      <c r="IVO30" s="170"/>
      <c r="IVQ30" s="170"/>
      <c r="IVS30" s="170"/>
      <c r="IVU30" s="170"/>
      <c r="IVW30" s="170"/>
      <c r="IVY30" s="170"/>
      <c r="IWA30" s="170"/>
      <c r="IWC30" s="170"/>
      <c r="IWE30" s="170"/>
      <c r="IWG30" s="170"/>
      <c r="IWI30" s="170"/>
      <c r="IWK30" s="170"/>
      <c r="IWM30" s="170"/>
      <c r="IWO30" s="170"/>
      <c r="IWQ30" s="170"/>
      <c r="IWS30" s="170"/>
      <c r="IWU30" s="170"/>
      <c r="IWW30" s="170"/>
      <c r="IWY30" s="170"/>
      <c r="IXA30" s="170"/>
      <c r="IXC30" s="170"/>
      <c r="IXE30" s="170"/>
      <c r="IXG30" s="170"/>
      <c r="IXI30" s="170"/>
      <c r="IXK30" s="170"/>
      <c r="IXM30" s="170"/>
      <c r="IXO30" s="170"/>
      <c r="IXQ30" s="170"/>
      <c r="IXS30" s="170"/>
      <c r="IXU30" s="170"/>
      <c r="IXW30" s="170"/>
      <c r="IXY30" s="170"/>
      <c r="IYA30" s="170"/>
      <c r="IYC30" s="170"/>
      <c r="IYE30" s="170"/>
      <c r="IYG30" s="170"/>
      <c r="IYI30" s="170"/>
      <c r="IYK30" s="170"/>
      <c r="IYM30" s="170"/>
      <c r="IYO30" s="170"/>
      <c r="IYQ30" s="170"/>
      <c r="IYS30" s="170"/>
      <c r="IYU30" s="170"/>
      <c r="IYW30" s="170"/>
      <c r="IYY30" s="170"/>
      <c r="IZA30" s="170"/>
      <c r="IZC30" s="170"/>
      <c r="IZE30" s="170"/>
      <c r="IZG30" s="170"/>
      <c r="IZI30" s="170"/>
      <c r="IZK30" s="170"/>
      <c r="IZM30" s="170"/>
      <c r="IZO30" s="170"/>
      <c r="IZQ30" s="170"/>
      <c r="IZS30" s="170"/>
      <c r="IZU30" s="170"/>
      <c r="IZW30" s="170"/>
      <c r="IZY30" s="170"/>
      <c r="JAA30" s="170"/>
      <c r="JAC30" s="170"/>
      <c r="JAE30" s="170"/>
      <c r="JAG30" s="170"/>
      <c r="JAI30" s="170"/>
      <c r="JAK30" s="170"/>
      <c r="JAM30" s="170"/>
      <c r="JAO30" s="170"/>
      <c r="JAQ30" s="170"/>
      <c r="JAS30" s="170"/>
      <c r="JAU30" s="170"/>
      <c r="JAW30" s="170"/>
      <c r="JAY30" s="170"/>
      <c r="JBA30" s="170"/>
      <c r="JBC30" s="170"/>
      <c r="JBE30" s="170"/>
      <c r="JBG30" s="170"/>
      <c r="JBI30" s="170"/>
      <c r="JBK30" s="170"/>
      <c r="JBM30" s="170"/>
      <c r="JBO30" s="170"/>
      <c r="JBQ30" s="170"/>
      <c r="JBS30" s="170"/>
      <c r="JBU30" s="170"/>
      <c r="JBW30" s="170"/>
      <c r="JBY30" s="170"/>
      <c r="JCA30" s="170"/>
      <c r="JCC30" s="170"/>
      <c r="JCE30" s="170"/>
      <c r="JCG30" s="170"/>
      <c r="JCI30" s="170"/>
      <c r="JCK30" s="170"/>
      <c r="JCM30" s="170"/>
      <c r="JCO30" s="170"/>
      <c r="JCQ30" s="170"/>
      <c r="JCS30" s="170"/>
      <c r="JCU30" s="170"/>
      <c r="JCW30" s="170"/>
      <c r="JCY30" s="170"/>
      <c r="JDA30" s="170"/>
      <c r="JDC30" s="170"/>
      <c r="JDE30" s="170"/>
      <c r="JDG30" s="170"/>
      <c r="JDI30" s="170"/>
      <c r="JDK30" s="170"/>
      <c r="JDM30" s="170"/>
      <c r="JDO30" s="170"/>
      <c r="JDQ30" s="170"/>
      <c r="JDS30" s="170"/>
      <c r="JDU30" s="170"/>
      <c r="JDW30" s="170"/>
      <c r="JDY30" s="170"/>
      <c r="JEA30" s="170"/>
      <c r="JEC30" s="170"/>
      <c r="JEE30" s="170"/>
      <c r="JEG30" s="170"/>
      <c r="JEI30" s="170"/>
      <c r="JEK30" s="170"/>
      <c r="JEM30" s="170"/>
      <c r="JEO30" s="170"/>
      <c r="JEQ30" s="170"/>
      <c r="JES30" s="170"/>
      <c r="JEU30" s="170"/>
      <c r="JEW30" s="170"/>
      <c r="JEY30" s="170"/>
      <c r="JFA30" s="170"/>
      <c r="JFC30" s="170"/>
      <c r="JFE30" s="170"/>
      <c r="JFG30" s="170"/>
      <c r="JFI30" s="170"/>
      <c r="JFK30" s="170"/>
      <c r="JFM30" s="170"/>
      <c r="JFO30" s="170"/>
      <c r="JFQ30" s="170"/>
      <c r="JFS30" s="170"/>
      <c r="JFU30" s="170"/>
      <c r="JFW30" s="170"/>
      <c r="JFY30" s="170"/>
      <c r="JGA30" s="170"/>
      <c r="JGC30" s="170"/>
      <c r="JGE30" s="170"/>
      <c r="JGG30" s="170"/>
      <c r="JGI30" s="170"/>
      <c r="JGK30" s="170"/>
      <c r="JGM30" s="170"/>
      <c r="JGO30" s="170"/>
      <c r="JGQ30" s="170"/>
      <c r="JGS30" s="170"/>
      <c r="JGU30" s="170"/>
      <c r="JGW30" s="170"/>
      <c r="JGY30" s="170"/>
      <c r="JHA30" s="170"/>
      <c r="JHC30" s="170"/>
      <c r="JHE30" s="170"/>
      <c r="JHG30" s="170"/>
      <c r="JHI30" s="170"/>
      <c r="JHK30" s="170"/>
      <c r="JHM30" s="170"/>
      <c r="JHO30" s="170"/>
      <c r="JHQ30" s="170"/>
      <c r="JHS30" s="170"/>
      <c r="JHU30" s="170"/>
      <c r="JHW30" s="170"/>
      <c r="JHY30" s="170"/>
      <c r="JIA30" s="170"/>
      <c r="JIC30" s="170"/>
      <c r="JIE30" s="170"/>
      <c r="JIG30" s="170"/>
      <c r="JII30" s="170"/>
      <c r="JIK30" s="170"/>
      <c r="JIM30" s="170"/>
      <c r="JIO30" s="170"/>
      <c r="JIQ30" s="170"/>
      <c r="JIS30" s="170"/>
      <c r="JIU30" s="170"/>
      <c r="JIW30" s="170"/>
      <c r="JIY30" s="170"/>
      <c r="JJA30" s="170"/>
      <c r="JJC30" s="170"/>
      <c r="JJE30" s="170"/>
      <c r="JJG30" s="170"/>
      <c r="JJI30" s="170"/>
      <c r="JJK30" s="170"/>
      <c r="JJM30" s="170"/>
      <c r="JJO30" s="170"/>
      <c r="JJQ30" s="170"/>
      <c r="JJS30" s="170"/>
      <c r="JJU30" s="170"/>
      <c r="JJW30" s="170"/>
      <c r="JJY30" s="170"/>
      <c r="JKA30" s="170"/>
      <c r="JKC30" s="170"/>
      <c r="JKE30" s="170"/>
      <c r="JKG30" s="170"/>
      <c r="JKI30" s="170"/>
      <c r="JKK30" s="170"/>
      <c r="JKM30" s="170"/>
      <c r="JKO30" s="170"/>
      <c r="JKQ30" s="170"/>
      <c r="JKS30" s="170"/>
      <c r="JKU30" s="170"/>
      <c r="JKW30" s="170"/>
      <c r="JKY30" s="170"/>
      <c r="JLA30" s="170"/>
      <c r="JLC30" s="170"/>
      <c r="JLE30" s="170"/>
      <c r="JLG30" s="170"/>
      <c r="JLI30" s="170"/>
      <c r="JLK30" s="170"/>
      <c r="JLM30" s="170"/>
      <c r="JLO30" s="170"/>
      <c r="JLQ30" s="170"/>
      <c r="JLS30" s="170"/>
      <c r="JLU30" s="170"/>
      <c r="JLW30" s="170"/>
      <c r="JLY30" s="170"/>
      <c r="JMA30" s="170"/>
      <c r="JMC30" s="170"/>
      <c r="JME30" s="170"/>
      <c r="JMG30" s="170"/>
      <c r="JMI30" s="170"/>
      <c r="JMK30" s="170"/>
      <c r="JMM30" s="170"/>
      <c r="JMO30" s="170"/>
      <c r="JMQ30" s="170"/>
      <c r="JMS30" s="170"/>
      <c r="JMU30" s="170"/>
      <c r="JMW30" s="170"/>
      <c r="JMY30" s="170"/>
      <c r="JNA30" s="170"/>
      <c r="JNC30" s="170"/>
      <c r="JNE30" s="170"/>
      <c r="JNG30" s="170"/>
      <c r="JNI30" s="170"/>
      <c r="JNK30" s="170"/>
      <c r="JNM30" s="170"/>
      <c r="JNO30" s="170"/>
      <c r="JNQ30" s="170"/>
      <c r="JNS30" s="170"/>
      <c r="JNU30" s="170"/>
      <c r="JNW30" s="170"/>
      <c r="JNY30" s="170"/>
      <c r="JOA30" s="170"/>
      <c r="JOC30" s="170"/>
      <c r="JOE30" s="170"/>
      <c r="JOG30" s="170"/>
      <c r="JOI30" s="170"/>
      <c r="JOK30" s="170"/>
      <c r="JOM30" s="170"/>
      <c r="JOO30" s="170"/>
      <c r="JOQ30" s="170"/>
      <c r="JOS30" s="170"/>
      <c r="JOU30" s="170"/>
      <c r="JOW30" s="170"/>
      <c r="JOY30" s="170"/>
      <c r="JPA30" s="170"/>
      <c r="JPC30" s="170"/>
      <c r="JPE30" s="170"/>
      <c r="JPG30" s="170"/>
      <c r="JPI30" s="170"/>
      <c r="JPK30" s="170"/>
      <c r="JPM30" s="170"/>
      <c r="JPO30" s="170"/>
      <c r="JPQ30" s="170"/>
      <c r="JPS30" s="170"/>
      <c r="JPU30" s="170"/>
      <c r="JPW30" s="170"/>
      <c r="JPY30" s="170"/>
      <c r="JQA30" s="170"/>
      <c r="JQC30" s="170"/>
      <c r="JQE30" s="170"/>
      <c r="JQG30" s="170"/>
      <c r="JQI30" s="170"/>
      <c r="JQK30" s="170"/>
      <c r="JQM30" s="170"/>
      <c r="JQO30" s="170"/>
      <c r="JQQ30" s="170"/>
      <c r="JQS30" s="170"/>
      <c r="JQU30" s="170"/>
      <c r="JQW30" s="170"/>
      <c r="JQY30" s="170"/>
      <c r="JRA30" s="170"/>
      <c r="JRC30" s="170"/>
      <c r="JRE30" s="170"/>
      <c r="JRG30" s="170"/>
      <c r="JRI30" s="170"/>
      <c r="JRK30" s="170"/>
      <c r="JRM30" s="170"/>
      <c r="JRO30" s="170"/>
      <c r="JRQ30" s="170"/>
      <c r="JRS30" s="170"/>
      <c r="JRU30" s="170"/>
      <c r="JRW30" s="170"/>
      <c r="JRY30" s="170"/>
      <c r="JSA30" s="170"/>
      <c r="JSC30" s="170"/>
      <c r="JSE30" s="170"/>
      <c r="JSG30" s="170"/>
      <c r="JSI30" s="170"/>
      <c r="JSK30" s="170"/>
      <c r="JSM30" s="170"/>
      <c r="JSO30" s="170"/>
      <c r="JSQ30" s="170"/>
      <c r="JSS30" s="170"/>
      <c r="JSU30" s="170"/>
      <c r="JSW30" s="170"/>
      <c r="JSY30" s="170"/>
      <c r="JTA30" s="170"/>
      <c r="JTC30" s="170"/>
      <c r="JTE30" s="170"/>
      <c r="JTG30" s="170"/>
      <c r="JTI30" s="170"/>
      <c r="JTK30" s="170"/>
      <c r="JTM30" s="170"/>
      <c r="JTO30" s="170"/>
      <c r="JTQ30" s="170"/>
      <c r="JTS30" s="170"/>
      <c r="JTU30" s="170"/>
      <c r="JTW30" s="170"/>
      <c r="JTY30" s="170"/>
      <c r="JUA30" s="170"/>
      <c r="JUC30" s="170"/>
      <c r="JUE30" s="170"/>
      <c r="JUG30" s="170"/>
      <c r="JUI30" s="170"/>
      <c r="JUK30" s="170"/>
      <c r="JUM30" s="170"/>
      <c r="JUO30" s="170"/>
      <c r="JUQ30" s="170"/>
      <c r="JUS30" s="170"/>
      <c r="JUU30" s="170"/>
      <c r="JUW30" s="170"/>
      <c r="JUY30" s="170"/>
      <c r="JVA30" s="170"/>
      <c r="JVC30" s="170"/>
      <c r="JVE30" s="170"/>
      <c r="JVG30" s="170"/>
      <c r="JVI30" s="170"/>
      <c r="JVK30" s="170"/>
      <c r="JVM30" s="170"/>
      <c r="JVO30" s="170"/>
      <c r="JVQ30" s="170"/>
      <c r="JVS30" s="170"/>
      <c r="JVU30" s="170"/>
      <c r="JVW30" s="170"/>
      <c r="JVY30" s="170"/>
      <c r="JWA30" s="170"/>
      <c r="JWC30" s="170"/>
      <c r="JWE30" s="170"/>
      <c r="JWG30" s="170"/>
      <c r="JWI30" s="170"/>
      <c r="JWK30" s="170"/>
      <c r="JWM30" s="170"/>
      <c r="JWO30" s="170"/>
      <c r="JWQ30" s="170"/>
      <c r="JWS30" s="170"/>
      <c r="JWU30" s="170"/>
      <c r="JWW30" s="170"/>
      <c r="JWY30" s="170"/>
      <c r="JXA30" s="170"/>
      <c r="JXC30" s="170"/>
      <c r="JXE30" s="170"/>
      <c r="JXG30" s="170"/>
      <c r="JXI30" s="170"/>
      <c r="JXK30" s="170"/>
      <c r="JXM30" s="170"/>
      <c r="JXO30" s="170"/>
      <c r="JXQ30" s="170"/>
      <c r="JXS30" s="170"/>
      <c r="JXU30" s="170"/>
      <c r="JXW30" s="170"/>
      <c r="JXY30" s="170"/>
      <c r="JYA30" s="170"/>
      <c r="JYC30" s="170"/>
      <c r="JYE30" s="170"/>
      <c r="JYG30" s="170"/>
      <c r="JYI30" s="170"/>
      <c r="JYK30" s="170"/>
      <c r="JYM30" s="170"/>
      <c r="JYO30" s="170"/>
      <c r="JYQ30" s="170"/>
      <c r="JYS30" s="170"/>
      <c r="JYU30" s="170"/>
      <c r="JYW30" s="170"/>
      <c r="JYY30" s="170"/>
      <c r="JZA30" s="170"/>
      <c r="JZC30" s="170"/>
      <c r="JZE30" s="170"/>
      <c r="JZG30" s="170"/>
      <c r="JZI30" s="170"/>
      <c r="JZK30" s="170"/>
      <c r="JZM30" s="170"/>
      <c r="JZO30" s="170"/>
      <c r="JZQ30" s="170"/>
      <c r="JZS30" s="170"/>
      <c r="JZU30" s="170"/>
      <c r="JZW30" s="170"/>
      <c r="JZY30" s="170"/>
      <c r="KAA30" s="170"/>
      <c r="KAC30" s="170"/>
      <c r="KAE30" s="170"/>
      <c r="KAG30" s="170"/>
      <c r="KAI30" s="170"/>
      <c r="KAK30" s="170"/>
      <c r="KAM30" s="170"/>
      <c r="KAO30" s="170"/>
      <c r="KAQ30" s="170"/>
      <c r="KAS30" s="170"/>
      <c r="KAU30" s="170"/>
      <c r="KAW30" s="170"/>
      <c r="KAY30" s="170"/>
      <c r="KBA30" s="170"/>
      <c r="KBC30" s="170"/>
      <c r="KBE30" s="170"/>
      <c r="KBG30" s="170"/>
      <c r="KBI30" s="170"/>
      <c r="KBK30" s="170"/>
      <c r="KBM30" s="170"/>
      <c r="KBO30" s="170"/>
      <c r="KBQ30" s="170"/>
      <c r="KBS30" s="170"/>
      <c r="KBU30" s="170"/>
      <c r="KBW30" s="170"/>
      <c r="KBY30" s="170"/>
      <c r="KCA30" s="170"/>
      <c r="KCC30" s="170"/>
      <c r="KCE30" s="170"/>
      <c r="KCG30" s="170"/>
      <c r="KCI30" s="170"/>
      <c r="KCK30" s="170"/>
      <c r="KCM30" s="170"/>
      <c r="KCO30" s="170"/>
      <c r="KCQ30" s="170"/>
      <c r="KCS30" s="170"/>
      <c r="KCU30" s="170"/>
      <c r="KCW30" s="170"/>
      <c r="KCY30" s="170"/>
      <c r="KDA30" s="170"/>
      <c r="KDC30" s="170"/>
      <c r="KDE30" s="170"/>
      <c r="KDG30" s="170"/>
      <c r="KDI30" s="170"/>
      <c r="KDK30" s="170"/>
      <c r="KDM30" s="170"/>
      <c r="KDO30" s="170"/>
      <c r="KDQ30" s="170"/>
      <c r="KDS30" s="170"/>
      <c r="KDU30" s="170"/>
      <c r="KDW30" s="170"/>
      <c r="KDY30" s="170"/>
      <c r="KEA30" s="170"/>
      <c r="KEC30" s="170"/>
      <c r="KEE30" s="170"/>
      <c r="KEG30" s="170"/>
      <c r="KEI30" s="170"/>
      <c r="KEK30" s="170"/>
      <c r="KEM30" s="170"/>
      <c r="KEO30" s="170"/>
      <c r="KEQ30" s="170"/>
      <c r="KES30" s="170"/>
      <c r="KEU30" s="170"/>
      <c r="KEW30" s="170"/>
      <c r="KEY30" s="170"/>
      <c r="KFA30" s="170"/>
      <c r="KFC30" s="170"/>
      <c r="KFE30" s="170"/>
      <c r="KFG30" s="170"/>
      <c r="KFI30" s="170"/>
      <c r="KFK30" s="170"/>
      <c r="KFM30" s="170"/>
      <c r="KFO30" s="170"/>
      <c r="KFQ30" s="170"/>
      <c r="KFS30" s="170"/>
      <c r="KFU30" s="170"/>
      <c r="KFW30" s="170"/>
      <c r="KFY30" s="170"/>
      <c r="KGA30" s="170"/>
      <c r="KGC30" s="170"/>
      <c r="KGE30" s="170"/>
      <c r="KGG30" s="170"/>
      <c r="KGI30" s="170"/>
      <c r="KGK30" s="170"/>
      <c r="KGM30" s="170"/>
      <c r="KGO30" s="170"/>
      <c r="KGQ30" s="170"/>
      <c r="KGS30" s="170"/>
      <c r="KGU30" s="170"/>
      <c r="KGW30" s="170"/>
      <c r="KGY30" s="170"/>
      <c r="KHA30" s="170"/>
      <c r="KHC30" s="170"/>
      <c r="KHE30" s="170"/>
      <c r="KHG30" s="170"/>
      <c r="KHI30" s="170"/>
      <c r="KHK30" s="170"/>
      <c r="KHM30" s="170"/>
      <c r="KHO30" s="170"/>
      <c r="KHQ30" s="170"/>
      <c r="KHS30" s="170"/>
      <c r="KHU30" s="170"/>
      <c r="KHW30" s="170"/>
      <c r="KHY30" s="170"/>
      <c r="KIA30" s="170"/>
      <c r="KIC30" s="170"/>
      <c r="KIE30" s="170"/>
      <c r="KIG30" s="170"/>
      <c r="KII30" s="170"/>
      <c r="KIK30" s="170"/>
      <c r="KIM30" s="170"/>
      <c r="KIO30" s="170"/>
      <c r="KIQ30" s="170"/>
      <c r="KIS30" s="170"/>
      <c r="KIU30" s="170"/>
      <c r="KIW30" s="170"/>
      <c r="KIY30" s="170"/>
      <c r="KJA30" s="170"/>
      <c r="KJC30" s="170"/>
      <c r="KJE30" s="170"/>
      <c r="KJG30" s="170"/>
      <c r="KJI30" s="170"/>
      <c r="KJK30" s="170"/>
      <c r="KJM30" s="170"/>
      <c r="KJO30" s="170"/>
      <c r="KJQ30" s="170"/>
      <c r="KJS30" s="170"/>
      <c r="KJU30" s="170"/>
      <c r="KJW30" s="170"/>
      <c r="KJY30" s="170"/>
      <c r="KKA30" s="170"/>
      <c r="KKC30" s="170"/>
      <c r="KKE30" s="170"/>
      <c r="KKG30" s="170"/>
      <c r="KKI30" s="170"/>
      <c r="KKK30" s="170"/>
      <c r="KKM30" s="170"/>
      <c r="KKO30" s="170"/>
      <c r="KKQ30" s="170"/>
      <c r="KKS30" s="170"/>
      <c r="KKU30" s="170"/>
      <c r="KKW30" s="170"/>
      <c r="KKY30" s="170"/>
      <c r="KLA30" s="170"/>
      <c r="KLC30" s="170"/>
      <c r="KLE30" s="170"/>
      <c r="KLG30" s="170"/>
      <c r="KLI30" s="170"/>
      <c r="KLK30" s="170"/>
      <c r="KLM30" s="170"/>
      <c r="KLO30" s="170"/>
      <c r="KLQ30" s="170"/>
      <c r="KLS30" s="170"/>
      <c r="KLU30" s="170"/>
      <c r="KLW30" s="170"/>
      <c r="KLY30" s="170"/>
      <c r="KMA30" s="170"/>
      <c r="KMC30" s="170"/>
      <c r="KME30" s="170"/>
      <c r="KMG30" s="170"/>
      <c r="KMI30" s="170"/>
      <c r="KMK30" s="170"/>
      <c r="KMM30" s="170"/>
      <c r="KMO30" s="170"/>
      <c r="KMQ30" s="170"/>
      <c r="KMS30" s="170"/>
      <c r="KMU30" s="170"/>
      <c r="KMW30" s="170"/>
      <c r="KMY30" s="170"/>
      <c r="KNA30" s="170"/>
      <c r="KNC30" s="170"/>
      <c r="KNE30" s="170"/>
      <c r="KNG30" s="170"/>
      <c r="KNI30" s="170"/>
      <c r="KNK30" s="170"/>
      <c r="KNM30" s="170"/>
      <c r="KNO30" s="170"/>
      <c r="KNQ30" s="170"/>
      <c r="KNS30" s="170"/>
      <c r="KNU30" s="170"/>
      <c r="KNW30" s="170"/>
      <c r="KNY30" s="170"/>
      <c r="KOA30" s="170"/>
      <c r="KOC30" s="170"/>
      <c r="KOE30" s="170"/>
      <c r="KOG30" s="170"/>
      <c r="KOI30" s="170"/>
      <c r="KOK30" s="170"/>
      <c r="KOM30" s="170"/>
      <c r="KOO30" s="170"/>
      <c r="KOQ30" s="170"/>
      <c r="KOS30" s="170"/>
      <c r="KOU30" s="170"/>
      <c r="KOW30" s="170"/>
      <c r="KOY30" s="170"/>
      <c r="KPA30" s="170"/>
      <c r="KPC30" s="170"/>
      <c r="KPE30" s="170"/>
      <c r="KPG30" s="170"/>
      <c r="KPI30" s="170"/>
      <c r="KPK30" s="170"/>
      <c r="KPM30" s="170"/>
      <c r="KPO30" s="170"/>
      <c r="KPQ30" s="170"/>
      <c r="KPS30" s="170"/>
      <c r="KPU30" s="170"/>
      <c r="KPW30" s="170"/>
      <c r="KPY30" s="170"/>
      <c r="KQA30" s="170"/>
      <c r="KQC30" s="170"/>
      <c r="KQE30" s="170"/>
      <c r="KQG30" s="170"/>
      <c r="KQI30" s="170"/>
      <c r="KQK30" s="170"/>
      <c r="KQM30" s="170"/>
      <c r="KQO30" s="170"/>
      <c r="KQQ30" s="170"/>
      <c r="KQS30" s="170"/>
      <c r="KQU30" s="170"/>
      <c r="KQW30" s="170"/>
      <c r="KQY30" s="170"/>
      <c r="KRA30" s="170"/>
      <c r="KRC30" s="170"/>
      <c r="KRE30" s="170"/>
      <c r="KRG30" s="170"/>
      <c r="KRI30" s="170"/>
      <c r="KRK30" s="170"/>
      <c r="KRM30" s="170"/>
      <c r="KRO30" s="170"/>
      <c r="KRQ30" s="170"/>
      <c r="KRS30" s="170"/>
      <c r="KRU30" s="170"/>
      <c r="KRW30" s="170"/>
      <c r="KRY30" s="170"/>
      <c r="KSA30" s="170"/>
      <c r="KSC30" s="170"/>
      <c r="KSE30" s="170"/>
      <c r="KSG30" s="170"/>
      <c r="KSI30" s="170"/>
      <c r="KSK30" s="170"/>
      <c r="KSM30" s="170"/>
      <c r="KSO30" s="170"/>
      <c r="KSQ30" s="170"/>
      <c r="KSS30" s="170"/>
      <c r="KSU30" s="170"/>
      <c r="KSW30" s="170"/>
      <c r="KSY30" s="170"/>
      <c r="KTA30" s="170"/>
      <c r="KTC30" s="170"/>
      <c r="KTE30" s="170"/>
      <c r="KTG30" s="170"/>
      <c r="KTI30" s="170"/>
      <c r="KTK30" s="170"/>
      <c r="KTM30" s="170"/>
      <c r="KTO30" s="170"/>
      <c r="KTQ30" s="170"/>
      <c r="KTS30" s="170"/>
      <c r="KTU30" s="170"/>
      <c r="KTW30" s="170"/>
      <c r="KTY30" s="170"/>
      <c r="KUA30" s="170"/>
      <c r="KUC30" s="170"/>
      <c r="KUE30" s="170"/>
      <c r="KUG30" s="170"/>
      <c r="KUI30" s="170"/>
      <c r="KUK30" s="170"/>
      <c r="KUM30" s="170"/>
      <c r="KUO30" s="170"/>
      <c r="KUQ30" s="170"/>
      <c r="KUS30" s="170"/>
      <c r="KUU30" s="170"/>
      <c r="KUW30" s="170"/>
      <c r="KUY30" s="170"/>
      <c r="KVA30" s="170"/>
      <c r="KVC30" s="170"/>
      <c r="KVE30" s="170"/>
      <c r="KVG30" s="170"/>
      <c r="KVI30" s="170"/>
      <c r="KVK30" s="170"/>
      <c r="KVM30" s="170"/>
      <c r="KVO30" s="170"/>
      <c r="KVQ30" s="170"/>
      <c r="KVS30" s="170"/>
      <c r="KVU30" s="170"/>
      <c r="KVW30" s="170"/>
      <c r="KVY30" s="170"/>
      <c r="KWA30" s="170"/>
      <c r="KWC30" s="170"/>
      <c r="KWE30" s="170"/>
      <c r="KWG30" s="170"/>
      <c r="KWI30" s="170"/>
      <c r="KWK30" s="170"/>
      <c r="KWM30" s="170"/>
      <c r="KWO30" s="170"/>
      <c r="KWQ30" s="170"/>
      <c r="KWS30" s="170"/>
      <c r="KWU30" s="170"/>
      <c r="KWW30" s="170"/>
      <c r="KWY30" s="170"/>
      <c r="KXA30" s="170"/>
      <c r="KXC30" s="170"/>
      <c r="KXE30" s="170"/>
      <c r="KXG30" s="170"/>
      <c r="KXI30" s="170"/>
      <c r="KXK30" s="170"/>
      <c r="KXM30" s="170"/>
      <c r="KXO30" s="170"/>
      <c r="KXQ30" s="170"/>
      <c r="KXS30" s="170"/>
      <c r="KXU30" s="170"/>
      <c r="KXW30" s="170"/>
      <c r="KXY30" s="170"/>
      <c r="KYA30" s="170"/>
      <c r="KYC30" s="170"/>
      <c r="KYE30" s="170"/>
      <c r="KYG30" s="170"/>
      <c r="KYI30" s="170"/>
      <c r="KYK30" s="170"/>
      <c r="KYM30" s="170"/>
      <c r="KYO30" s="170"/>
      <c r="KYQ30" s="170"/>
      <c r="KYS30" s="170"/>
      <c r="KYU30" s="170"/>
      <c r="KYW30" s="170"/>
      <c r="KYY30" s="170"/>
      <c r="KZA30" s="170"/>
      <c r="KZC30" s="170"/>
      <c r="KZE30" s="170"/>
      <c r="KZG30" s="170"/>
      <c r="KZI30" s="170"/>
      <c r="KZK30" s="170"/>
      <c r="KZM30" s="170"/>
      <c r="KZO30" s="170"/>
      <c r="KZQ30" s="170"/>
      <c r="KZS30" s="170"/>
      <c r="KZU30" s="170"/>
      <c r="KZW30" s="170"/>
      <c r="KZY30" s="170"/>
      <c r="LAA30" s="170"/>
      <c r="LAC30" s="170"/>
      <c r="LAE30" s="170"/>
      <c r="LAG30" s="170"/>
      <c r="LAI30" s="170"/>
      <c r="LAK30" s="170"/>
      <c r="LAM30" s="170"/>
      <c r="LAO30" s="170"/>
      <c r="LAQ30" s="170"/>
      <c r="LAS30" s="170"/>
      <c r="LAU30" s="170"/>
      <c r="LAW30" s="170"/>
      <c r="LAY30" s="170"/>
      <c r="LBA30" s="170"/>
      <c r="LBC30" s="170"/>
      <c r="LBE30" s="170"/>
      <c r="LBG30" s="170"/>
      <c r="LBI30" s="170"/>
      <c r="LBK30" s="170"/>
      <c r="LBM30" s="170"/>
      <c r="LBO30" s="170"/>
      <c r="LBQ30" s="170"/>
      <c r="LBS30" s="170"/>
      <c r="LBU30" s="170"/>
      <c r="LBW30" s="170"/>
      <c r="LBY30" s="170"/>
      <c r="LCA30" s="170"/>
      <c r="LCC30" s="170"/>
      <c r="LCE30" s="170"/>
      <c r="LCG30" s="170"/>
      <c r="LCI30" s="170"/>
      <c r="LCK30" s="170"/>
      <c r="LCM30" s="170"/>
      <c r="LCO30" s="170"/>
      <c r="LCQ30" s="170"/>
      <c r="LCS30" s="170"/>
      <c r="LCU30" s="170"/>
      <c r="LCW30" s="170"/>
      <c r="LCY30" s="170"/>
      <c r="LDA30" s="170"/>
      <c r="LDC30" s="170"/>
      <c r="LDE30" s="170"/>
      <c r="LDG30" s="170"/>
      <c r="LDI30" s="170"/>
      <c r="LDK30" s="170"/>
      <c r="LDM30" s="170"/>
      <c r="LDO30" s="170"/>
      <c r="LDQ30" s="170"/>
      <c r="LDS30" s="170"/>
      <c r="LDU30" s="170"/>
      <c r="LDW30" s="170"/>
      <c r="LDY30" s="170"/>
      <c r="LEA30" s="170"/>
      <c r="LEC30" s="170"/>
      <c r="LEE30" s="170"/>
      <c r="LEG30" s="170"/>
      <c r="LEI30" s="170"/>
      <c r="LEK30" s="170"/>
      <c r="LEM30" s="170"/>
      <c r="LEO30" s="170"/>
      <c r="LEQ30" s="170"/>
      <c r="LES30" s="170"/>
      <c r="LEU30" s="170"/>
      <c r="LEW30" s="170"/>
      <c r="LEY30" s="170"/>
      <c r="LFA30" s="170"/>
      <c r="LFC30" s="170"/>
      <c r="LFE30" s="170"/>
      <c r="LFG30" s="170"/>
      <c r="LFI30" s="170"/>
      <c r="LFK30" s="170"/>
      <c r="LFM30" s="170"/>
      <c r="LFO30" s="170"/>
      <c r="LFQ30" s="170"/>
      <c r="LFS30" s="170"/>
      <c r="LFU30" s="170"/>
      <c r="LFW30" s="170"/>
      <c r="LFY30" s="170"/>
      <c r="LGA30" s="170"/>
      <c r="LGC30" s="170"/>
      <c r="LGE30" s="170"/>
      <c r="LGG30" s="170"/>
      <c r="LGI30" s="170"/>
      <c r="LGK30" s="170"/>
      <c r="LGM30" s="170"/>
      <c r="LGO30" s="170"/>
      <c r="LGQ30" s="170"/>
      <c r="LGS30" s="170"/>
      <c r="LGU30" s="170"/>
      <c r="LGW30" s="170"/>
      <c r="LGY30" s="170"/>
      <c r="LHA30" s="170"/>
      <c r="LHC30" s="170"/>
      <c r="LHE30" s="170"/>
      <c r="LHG30" s="170"/>
      <c r="LHI30" s="170"/>
      <c r="LHK30" s="170"/>
      <c r="LHM30" s="170"/>
      <c r="LHO30" s="170"/>
      <c r="LHQ30" s="170"/>
      <c r="LHS30" s="170"/>
      <c r="LHU30" s="170"/>
      <c r="LHW30" s="170"/>
      <c r="LHY30" s="170"/>
      <c r="LIA30" s="170"/>
      <c r="LIC30" s="170"/>
      <c r="LIE30" s="170"/>
      <c r="LIG30" s="170"/>
      <c r="LII30" s="170"/>
      <c r="LIK30" s="170"/>
      <c r="LIM30" s="170"/>
      <c r="LIO30" s="170"/>
      <c r="LIQ30" s="170"/>
      <c r="LIS30" s="170"/>
      <c r="LIU30" s="170"/>
      <c r="LIW30" s="170"/>
      <c r="LIY30" s="170"/>
      <c r="LJA30" s="170"/>
      <c r="LJC30" s="170"/>
      <c r="LJE30" s="170"/>
      <c r="LJG30" s="170"/>
      <c r="LJI30" s="170"/>
      <c r="LJK30" s="170"/>
      <c r="LJM30" s="170"/>
      <c r="LJO30" s="170"/>
      <c r="LJQ30" s="170"/>
      <c r="LJS30" s="170"/>
      <c r="LJU30" s="170"/>
      <c r="LJW30" s="170"/>
      <c r="LJY30" s="170"/>
      <c r="LKA30" s="170"/>
      <c r="LKC30" s="170"/>
      <c r="LKE30" s="170"/>
      <c r="LKG30" s="170"/>
      <c r="LKI30" s="170"/>
      <c r="LKK30" s="170"/>
      <c r="LKM30" s="170"/>
      <c r="LKO30" s="170"/>
      <c r="LKQ30" s="170"/>
      <c r="LKS30" s="170"/>
      <c r="LKU30" s="170"/>
      <c r="LKW30" s="170"/>
      <c r="LKY30" s="170"/>
      <c r="LLA30" s="170"/>
      <c r="LLC30" s="170"/>
      <c r="LLE30" s="170"/>
      <c r="LLG30" s="170"/>
      <c r="LLI30" s="170"/>
      <c r="LLK30" s="170"/>
      <c r="LLM30" s="170"/>
      <c r="LLO30" s="170"/>
      <c r="LLQ30" s="170"/>
      <c r="LLS30" s="170"/>
      <c r="LLU30" s="170"/>
      <c r="LLW30" s="170"/>
      <c r="LLY30" s="170"/>
      <c r="LMA30" s="170"/>
      <c r="LMC30" s="170"/>
      <c r="LME30" s="170"/>
      <c r="LMG30" s="170"/>
      <c r="LMI30" s="170"/>
      <c r="LMK30" s="170"/>
      <c r="LMM30" s="170"/>
      <c r="LMO30" s="170"/>
      <c r="LMQ30" s="170"/>
      <c r="LMS30" s="170"/>
      <c r="LMU30" s="170"/>
      <c r="LMW30" s="170"/>
      <c r="LMY30" s="170"/>
      <c r="LNA30" s="170"/>
      <c r="LNC30" s="170"/>
      <c r="LNE30" s="170"/>
      <c r="LNG30" s="170"/>
      <c r="LNI30" s="170"/>
      <c r="LNK30" s="170"/>
      <c r="LNM30" s="170"/>
      <c r="LNO30" s="170"/>
      <c r="LNQ30" s="170"/>
      <c r="LNS30" s="170"/>
      <c r="LNU30" s="170"/>
      <c r="LNW30" s="170"/>
      <c r="LNY30" s="170"/>
      <c r="LOA30" s="170"/>
      <c r="LOC30" s="170"/>
      <c r="LOE30" s="170"/>
      <c r="LOG30" s="170"/>
      <c r="LOI30" s="170"/>
      <c r="LOK30" s="170"/>
      <c r="LOM30" s="170"/>
      <c r="LOO30" s="170"/>
      <c r="LOQ30" s="170"/>
      <c r="LOS30" s="170"/>
      <c r="LOU30" s="170"/>
      <c r="LOW30" s="170"/>
      <c r="LOY30" s="170"/>
      <c r="LPA30" s="170"/>
      <c r="LPC30" s="170"/>
      <c r="LPE30" s="170"/>
      <c r="LPG30" s="170"/>
      <c r="LPI30" s="170"/>
      <c r="LPK30" s="170"/>
      <c r="LPM30" s="170"/>
      <c r="LPO30" s="170"/>
      <c r="LPQ30" s="170"/>
      <c r="LPS30" s="170"/>
      <c r="LPU30" s="170"/>
      <c r="LPW30" s="170"/>
      <c r="LPY30" s="170"/>
      <c r="LQA30" s="170"/>
      <c r="LQC30" s="170"/>
      <c r="LQE30" s="170"/>
      <c r="LQG30" s="170"/>
      <c r="LQI30" s="170"/>
      <c r="LQK30" s="170"/>
      <c r="LQM30" s="170"/>
      <c r="LQO30" s="170"/>
      <c r="LQQ30" s="170"/>
      <c r="LQS30" s="170"/>
      <c r="LQU30" s="170"/>
      <c r="LQW30" s="170"/>
      <c r="LQY30" s="170"/>
      <c r="LRA30" s="170"/>
      <c r="LRC30" s="170"/>
      <c r="LRE30" s="170"/>
      <c r="LRG30" s="170"/>
      <c r="LRI30" s="170"/>
      <c r="LRK30" s="170"/>
      <c r="LRM30" s="170"/>
      <c r="LRO30" s="170"/>
      <c r="LRQ30" s="170"/>
      <c r="LRS30" s="170"/>
      <c r="LRU30" s="170"/>
      <c r="LRW30" s="170"/>
      <c r="LRY30" s="170"/>
      <c r="LSA30" s="170"/>
      <c r="LSC30" s="170"/>
      <c r="LSE30" s="170"/>
      <c r="LSG30" s="170"/>
      <c r="LSI30" s="170"/>
      <c r="LSK30" s="170"/>
      <c r="LSM30" s="170"/>
      <c r="LSO30" s="170"/>
      <c r="LSQ30" s="170"/>
      <c r="LSS30" s="170"/>
      <c r="LSU30" s="170"/>
      <c r="LSW30" s="170"/>
      <c r="LSY30" s="170"/>
      <c r="LTA30" s="170"/>
      <c r="LTC30" s="170"/>
      <c r="LTE30" s="170"/>
      <c r="LTG30" s="170"/>
      <c r="LTI30" s="170"/>
      <c r="LTK30" s="170"/>
      <c r="LTM30" s="170"/>
      <c r="LTO30" s="170"/>
      <c r="LTQ30" s="170"/>
      <c r="LTS30" s="170"/>
      <c r="LTU30" s="170"/>
      <c r="LTW30" s="170"/>
      <c r="LTY30" s="170"/>
      <c r="LUA30" s="170"/>
      <c r="LUC30" s="170"/>
      <c r="LUE30" s="170"/>
      <c r="LUG30" s="170"/>
      <c r="LUI30" s="170"/>
      <c r="LUK30" s="170"/>
      <c r="LUM30" s="170"/>
      <c r="LUO30" s="170"/>
      <c r="LUQ30" s="170"/>
      <c r="LUS30" s="170"/>
      <c r="LUU30" s="170"/>
      <c r="LUW30" s="170"/>
      <c r="LUY30" s="170"/>
      <c r="LVA30" s="170"/>
      <c r="LVC30" s="170"/>
      <c r="LVE30" s="170"/>
      <c r="LVG30" s="170"/>
      <c r="LVI30" s="170"/>
      <c r="LVK30" s="170"/>
      <c r="LVM30" s="170"/>
      <c r="LVO30" s="170"/>
      <c r="LVQ30" s="170"/>
      <c r="LVS30" s="170"/>
      <c r="LVU30" s="170"/>
      <c r="LVW30" s="170"/>
      <c r="LVY30" s="170"/>
      <c r="LWA30" s="170"/>
      <c r="LWC30" s="170"/>
      <c r="LWE30" s="170"/>
      <c r="LWG30" s="170"/>
      <c r="LWI30" s="170"/>
      <c r="LWK30" s="170"/>
      <c r="LWM30" s="170"/>
      <c r="LWO30" s="170"/>
      <c r="LWQ30" s="170"/>
      <c r="LWS30" s="170"/>
      <c r="LWU30" s="170"/>
      <c r="LWW30" s="170"/>
      <c r="LWY30" s="170"/>
      <c r="LXA30" s="170"/>
      <c r="LXC30" s="170"/>
      <c r="LXE30" s="170"/>
      <c r="LXG30" s="170"/>
      <c r="LXI30" s="170"/>
      <c r="LXK30" s="170"/>
      <c r="LXM30" s="170"/>
      <c r="LXO30" s="170"/>
      <c r="LXQ30" s="170"/>
      <c r="LXS30" s="170"/>
      <c r="LXU30" s="170"/>
      <c r="LXW30" s="170"/>
      <c r="LXY30" s="170"/>
      <c r="LYA30" s="170"/>
      <c r="LYC30" s="170"/>
      <c r="LYE30" s="170"/>
      <c r="LYG30" s="170"/>
      <c r="LYI30" s="170"/>
      <c r="LYK30" s="170"/>
      <c r="LYM30" s="170"/>
      <c r="LYO30" s="170"/>
      <c r="LYQ30" s="170"/>
      <c r="LYS30" s="170"/>
      <c r="LYU30" s="170"/>
      <c r="LYW30" s="170"/>
      <c r="LYY30" s="170"/>
      <c r="LZA30" s="170"/>
      <c r="LZC30" s="170"/>
      <c r="LZE30" s="170"/>
      <c r="LZG30" s="170"/>
      <c r="LZI30" s="170"/>
      <c r="LZK30" s="170"/>
      <c r="LZM30" s="170"/>
      <c r="LZO30" s="170"/>
      <c r="LZQ30" s="170"/>
      <c r="LZS30" s="170"/>
      <c r="LZU30" s="170"/>
      <c r="LZW30" s="170"/>
      <c r="LZY30" s="170"/>
      <c r="MAA30" s="170"/>
      <c r="MAC30" s="170"/>
      <c r="MAE30" s="170"/>
      <c r="MAG30" s="170"/>
      <c r="MAI30" s="170"/>
      <c r="MAK30" s="170"/>
      <c r="MAM30" s="170"/>
      <c r="MAO30" s="170"/>
      <c r="MAQ30" s="170"/>
      <c r="MAS30" s="170"/>
      <c r="MAU30" s="170"/>
      <c r="MAW30" s="170"/>
      <c r="MAY30" s="170"/>
      <c r="MBA30" s="170"/>
      <c r="MBC30" s="170"/>
      <c r="MBE30" s="170"/>
      <c r="MBG30" s="170"/>
      <c r="MBI30" s="170"/>
      <c r="MBK30" s="170"/>
      <c r="MBM30" s="170"/>
      <c r="MBO30" s="170"/>
      <c r="MBQ30" s="170"/>
      <c r="MBS30" s="170"/>
      <c r="MBU30" s="170"/>
      <c r="MBW30" s="170"/>
      <c r="MBY30" s="170"/>
      <c r="MCA30" s="170"/>
      <c r="MCC30" s="170"/>
      <c r="MCE30" s="170"/>
      <c r="MCG30" s="170"/>
      <c r="MCI30" s="170"/>
      <c r="MCK30" s="170"/>
      <c r="MCM30" s="170"/>
      <c r="MCO30" s="170"/>
      <c r="MCQ30" s="170"/>
      <c r="MCS30" s="170"/>
      <c r="MCU30" s="170"/>
      <c r="MCW30" s="170"/>
      <c r="MCY30" s="170"/>
      <c r="MDA30" s="170"/>
      <c r="MDC30" s="170"/>
      <c r="MDE30" s="170"/>
      <c r="MDG30" s="170"/>
      <c r="MDI30" s="170"/>
      <c r="MDK30" s="170"/>
      <c r="MDM30" s="170"/>
      <c r="MDO30" s="170"/>
      <c r="MDQ30" s="170"/>
      <c r="MDS30" s="170"/>
      <c r="MDU30" s="170"/>
      <c r="MDW30" s="170"/>
      <c r="MDY30" s="170"/>
      <c r="MEA30" s="170"/>
      <c r="MEC30" s="170"/>
      <c r="MEE30" s="170"/>
      <c r="MEG30" s="170"/>
      <c r="MEI30" s="170"/>
      <c r="MEK30" s="170"/>
      <c r="MEM30" s="170"/>
      <c r="MEO30" s="170"/>
      <c r="MEQ30" s="170"/>
      <c r="MES30" s="170"/>
      <c r="MEU30" s="170"/>
      <c r="MEW30" s="170"/>
      <c r="MEY30" s="170"/>
      <c r="MFA30" s="170"/>
      <c r="MFC30" s="170"/>
      <c r="MFE30" s="170"/>
      <c r="MFG30" s="170"/>
      <c r="MFI30" s="170"/>
      <c r="MFK30" s="170"/>
      <c r="MFM30" s="170"/>
      <c r="MFO30" s="170"/>
      <c r="MFQ30" s="170"/>
      <c r="MFS30" s="170"/>
      <c r="MFU30" s="170"/>
      <c r="MFW30" s="170"/>
      <c r="MFY30" s="170"/>
      <c r="MGA30" s="170"/>
      <c r="MGC30" s="170"/>
      <c r="MGE30" s="170"/>
      <c r="MGG30" s="170"/>
      <c r="MGI30" s="170"/>
      <c r="MGK30" s="170"/>
      <c r="MGM30" s="170"/>
      <c r="MGO30" s="170"/>
      <c r="MGQ30" s="170"/>
      <c r="MGS30" s="170"/>
      <c r="MGU30" s="170"/>
      <c r="MGW30" s="170"/>
      <c r="MGY30" s="170"/>
      <c r="MHA30" s="170"/>
      <c r="MHC30" s="170"/>
      <c r="MHE30" s="170"/>
      <c r="MHG30" s="170"/>
      <c r="MHI30" s="170"/>
      <c r="MHK30" s="170"/>
      <c r="MHM30" s="170"/>
      <c r="MHO30" s="170"/>
      <c r="MHQ30" s="170"/>
      <c r="MHS30" s="170"/>
      <c r="MHU30" s="170"/>
      <c r="MHW30" s="170"/>
      <c r="MHY30" s="170"/>
      <c r="MIA30" s="170"/>
      <c r="MIC30" s="170"/>
      <c r="MIE30" s="170"/>
      <c r="MIG30" s="170"/>
      <c r="MII30" s="170"/>
      <c r="MIK30" s="170"/>
      <c r="MIM30" s="170"/>
      <c r="MIO30" s="170"/>
      <c r="MIQ30" s="170"/>
      <c r="MIS30" s="170"/>
      <c r="MIU30" s="170"/>
      <c r="MIW30" s="170"/>
      <c r="MIY30" s="170"/>
      <c r="MJA30" s="170"/>
      <c r="MJC30" s="170"/>
      <c r="MJE30" s="170"/>
      <c r="MJG30" s="170"/>
      <c r="MJI30" s="170"/>
      <c r="MJK30" s="170"/>
      <c r="MJM30" s="170"/>
      <c r="MJO30" s="170"/>
      <c r="MJQ30" s="170"/>
      <c r="MJS30" s="170"/>
      <c r="MJU30" s="170"/>
      <c r="MJW30" s="170"/>
      <c r="MJY30" s="170"/>
      <c r="MKA30" s="170"/>
      <c r="MKC30" s="170"/>
      <c r="MKE30" s="170"/>
      <c r="MKG30" s="170"/>
      <c r="MKI30" s="170"/>
      <c r="MKK30" s="170"/>
      <c r="MKM30" s="170"/>
      <c r="MKO30" s="170"/>
      <c r="MKQ30" s="170"/>
      <c r="MKS30" s="170"/>
      <c r="MKU30" s="170"/>
      <c r="MKW30" s="170"/>
      <c r="MKY30" s="170"/>
      <c r="MLA30" s="170"/>
      <c r="MLC30" s="170"/>
      <c r="MLE30" s="170"/>
      <c r="MLG30" s="170"/>
      <c r="MLI30" s="170"/>
      <c r="MLK30" s="170"/>
      <c r="MLM30" s="170"/>
      <c r="MLO30" s="170"/>
      <c r="MLQ30" s="170"/>
      <c r="MLS30" s="170"/>
      <c r="MLU30" s="170"/>
      <c r="MLW30" s="170"/>
      <c r="MLY30" s="170"/>
      <c r="MMA30" s="170"/>
      <c r="MMC30" s="170"/>
      <c r="MME30" s="170"/>
      <c r="MMG30" s="170"/>
      <c r="MMI30" s="170"/>
      <c r="MMK30" s="170"/>
      <c r="MMM30" s="170"/>
      <c r="MMO30" s="170"/>
      <c r="MMQ30" s="170"/>
      <c r="MMS30" s="170"/>
      <c r="MMU30" s="170"/>
      <c r="MMW30" s="170"/>
      <c r="MMY30" s="170"/>
      <c r="MNA30" s="170"/>
      <c r="MNC30" s="170"/>
      <c r="MNE30" s="170"/>
      <c r="MNG30" s="170"/>
      <c r="MNI30" s="170"/>
      <c r="MNK30" s="170"/>
      <c r="MNM30" s="170"/>
      <c r="MNO30" s="170"/>
      <c r="MNQ30" s="170"/>
      <c r="MNS30" s="170"/>
      <c r="MNU30" s="170"/>
      <c r="MNW30" s="170"/>
      <c r="MNY30" s="170"/>
      <c r="MOA30" s="170"/>
      <c r="MOC30" s="170"/>
      <c r="MOE30" s="170"/>
      <c r="MOG30" s="170"/>
      <c r="MOI30" s="170"/>
      <c r="MOK30" s="170"/>
      <c r="MOM30" s="170"/>
      <c r="MOO30" s="170"/>
      <c r="MOQ30" s="170"/>
      <c r="MOS30" s="170"/>
      <c r="MOU30" s="170"/>
      <c r="MOW30" s="170"/>
      <c r="MOY30" s="170"/>
      <c r="MPA30" s="170"/>
      <c r="MPC30" s="170"/>
      <c r="MPE30" s="170"/>
      <c r="MPG30" s="170"/>
      <c r="MPI30" s="170"/>
      <c r="MPK30" s="170"/>
      <c r="MPM30" s="170"/>
      <c r="MPO30" s="170"/>
      <c r="MPQ30" s="170"/>
      <c r="MPS30" s="170"/>
      <c r="MPU30" s="170"/>
      <c r="MPW30" s="170"/>
      <c r="MPY30" s="170"/>
      <c r="MQA30" s="170"/>
      <c r="MQC30" s="170"/>
      <c r="MQE30" s="170"/>
      <c r="MQG30" s="170"/>
      <c r="MQI30" s="170"/>
      <c r="MQK30" s="170"/>
      <c r="MQM30" s="170"/>
      <c r="MQO30" s="170"/>
      <c r="MQQ30" s="170"/>
      <c r="MQS30" s="170"/>
      <c r="MQU30" s="170"/>
      <c r="MQW30" s="170"/>
      <c r="MQY30" s="170"/>
      <c r="MRA30" s="170"/>
      <c r="MRC30" s="170"/>
      <c r="MRE30" s="170"/>
      <c r="MRG30" s="170"/>
      <c r="MRI30" s="170"/>
      <c r="MRK30" s="170"/>
      <c r="MRM30" s="170"/>
      <c r="MRO30" s="170"/>
      <c r="MRQ30" s="170"/>
      <c r="MRS30" s="170"/>
      <c r="MRU30" s="170"/>
      <c r="MRW30" s="170"/>
      <c r="MRY30" s="170"/>
      <c r="MSA30" s="170"/>
      <c r="MSC30" s="170"/>
      <c r="MSE30" s="170"/>
      <c r="MSG30" s="170"/>
      <c r="MSI30" s="170"/>
      <c r="MSK30" s="170"/>
      <c r="MSM30" s="170"/>
      <c r="MSO30" s="170"/>
      <c r="MSQ30" s="170"/>
      <c r="MSS30" s="170"/>
      <c r="MSU30" s="170"/>
      <c r="MSW30" s="170"/>
      <c r="MSY30" s="170"/>
      <c r="MTA30" s="170"/>
      <c r="MTC30" s="170"/>
      <c r="MTE30" s="170"/>
      <c r="MTG30" s="170"/>
      <c r="MTI30" s="170"/>
      <c r="MTK30" s="170"/>
      <c r="MTM30" s="170"/>
      <c r="MTO30" s="170"/>
      <c r="MTQ30" s="170"/>
      <c r="MTS30" s="170"/>
      <c r="MTU30" s="170"/>
      <c r="MTW30" s="170"/>
      <c r="MTY30" s="170"/>
      <c r="MUA30" s="170"/>
      <c r="MUC30" s="170"/>
      <c r="MUE30" s="170"/>
      <c r="MUG30" s="170"/>
      <c r="MUI30" s="170"/>
      <c r="MUK30" s="170"/>
      <c r="MUM30" s="170"/>
      <c r="MUO30" s="170"/>
      <c r="MUQ30" s="170"/>
      <c r="MUS30" s="170"/>
      <c r="MUU30" s="170"/>
      <c r="MUW30" s="170"/>
      <c r="MUY30" s="170"/>
      <c r="MVA30" s="170"/>
      <c r="MVC30" s="170"/>
      <c r="MVE30" s="170"/>
      <c r="MVG30" s="170"/>
      <c r="MVI30" s="170"/>
      <c r="MVK30" s="170"/>
      <c r="MVM30" s="170"/>
      <c r="MVO30" s="170"/>
      <c r="MVQ30" s="170"/>
      <c r="MVS30" s="170"/>
      <c r="MVU30" s="170"/>
      <c r="MVW30" s="170"/>
      <c r="MVY30" s="170"/>
      <c r="MWA30" s="170"/>
      <c r="MWC30" s="170"/>
      <c r="MWE30" s="170"/>
      <c r="MWG30" s="170"/>
      <c r="MWI30" s="170"/>
      <c r="MWK30" s="170"/>
      <c r="MWM30" s="170"/>
      <c r="MWO30" s="170"/>
      <c r="MWQ30" s="170"/>
      <c r="MWS30" s="170"/>
      <c r="MWU30" s="170"/>
      <c r="MWW30" s="170"/>
      <c r="MWY30" s="170"/>
      <c r="MXA30" s="170"/>
      <c r="MXC30" s="170"/>
      <c r="MXE30" s="170"/>
      <c r="MXG30" s="170"/>
      <c r="MXI30" s="170"/>
      <c r="MXK30" s="170"/>
      <c r="MXM30" s="170"/>
      <c r="MXO30" s="170"/>
      <c r="MXQ30" s="170"/>
      <c r="MXS30" s="170"/>
      <c r="MXU30" s="170"/>
      <c r="MXW30" s="170"/>
      <c r="MXY30" s="170"/>
      <c r="MYA30" s="170"/>
      <c r="MYC30" s="170"/>
      <c r="MYE30" s="170"/>
      <c r="MYG30" s="170"/>
      <c r="MYI30" s="170"/>
      <c r="MYK30" s="170"/>
      <c r="MYM30" s="170"/>
      <c r="MYO30" s="170"/>
      <c r="MYQ30" s="170"/>
      <c r="MYS30" s="170"/>
      <c r="MYU30" s="170"/>
      <c r="MYW30" s="170"/>
      <c r="MYY30" s="170"/>
      <c r="MZA30" s="170"/>
      <c r="MZC30" s="170"/>
      <c r="MZE30" s="170"/>
      <c r="MZG30" s="170"/>
      <c r="MZI30" s="170"/>
      <c r="MZK30" s="170"/>
      <c r="MZM30" s="170"/>
      <c r="MZO30" s="170"/>
      <c r="MZQ30" s="170"/>
      <c r="MZS30" s="170"/>
      <c r="MZU30" s="170"/>
      <c r="MZW30" s="170"/>
      <c r="MZY30" s="170"/>
      <c r="NAA30" s="170"/>
      <c r="NAC30" s="170"/>
      <c r="NAE30" s="170"/>
      <c r="NAG30" s="170"/>
      <c r="NAI30" s="170"/>
      <c r="NAK30" s="170"/>
      <c r="NAM30" s="170"/>
      <c r="NAO30" s="170"/>
      <c r="NAQ30" s="170"/>
      <c r="NAS30" s="170"/>
      <c r="NAU30" s="170"/>
      <c r="NAW30" s="170"/>
      <c r="NAY30" s="170"/>
      <c r="NBA30" s="170"/>
      <c r="NBC30" s="170"/>
      <c r="NBE30" s="170"/>
      <c r="NBG30" s="170"/>
      <c r="NBI30" s="170"/>
      <c r="NBK30" s="170"/>
      <c r="NBM30" s="170"/>
      <c r="NBO30" s="170"/>
      <c r="NBQ30" s="170"/>
      <c r="NBS30" s="170"/>
      <c r="NBU30" s="170"/>
      <c r="NBW30" s="170"/>
      <c r="NBY30" s="170"/>
      <c r="NCA30" s="170"/>
      <c r="NCC30" s="170"/>
      <c r="NCE30" s="170"/>
      <c r="NCG30" s="170"/>
      <c r="NCI30" s="170"/>
      <c r="NCK30" s="170"/>
      <c r="NCM30" s="170"/>
      <c r="NCO30" s="170"/>
      <c r="NCQ30" s="170"/>
      <c r="NCS30" s="170"/>
      <c r="NCU30" s="170"/>
      <c r="NCW30" s="170"/>
      <c r="NCY30" s="170"/>
      <c r="NDA30" s="170"/>
      <c r="NDC30" s="170"/>
      <c r="NDE30" s="170"/>
      <c r="NDG30" s="170"/>
      <c r="NDI30" s="170"/>
      <c r="NDK30" s="170"/>
      <c r="NDM30" s="170"/>
      <c r="NDO30" s="170"/>
      <c r="NDQ30" s="170"/>
      <c r="NDS30" s="170"/>
      <c r="NDU30" s="170"/>
      <c r="NDW30" s="170"/>
      <c r="NDY30" s="170"/>
      <c r="NEA30" s="170"/>
      <c r="NEC30" s="170"/>
      <c r="NEE30" s="170"/>
      <c r="NEG30" s="170"/>
      <c r="NEI30" s="170"/>
      <c r="NEK30" s="170"/>
      <c r="NEM30" s="170"/>
      <c r="NEO30" s="170"/>
      <c r="NEQ30" s="170"/>
      <c r="NES30" s="170"/>
      <c r="NEU30" s="170"/>
      <c r="NEW30" s="170"/>
      <c r="NEY30" s="170"/>
      <c r="NFA30" s="170"/>
      <c r="NFC30" s="170"/>
      <c r="NFE30" s="170"/>
      <c r="NFG30" s="170"/>
      <c r="NFI30" s="170"/>
      <c r="NFK30" s="170"/>
      <c r="NFM30" s="170"/>
      <c r="NFO30" s="170"/>
      <c r="NFQ30" s="170"/>
      <c r="NFS30" s="170"/>
      <c r="NFU30" s="170"/>
      <c r="NFW30" s="170"/>
      <c r="NFY30" s="170"/>
      <c r="NGA30" s="170"/>
      <c r="NGC30" s="170"/>
      <c r="NGE30" s="170"/>
      <c r="NGG30" s="170"/>
      <c r="NGI30" s="170"/>
      <c r="NGK30" s="170"/>
      <c r="NGM30" s="170"/>
      <c r="NGO30" s="170"/>
      <c r="NGQ30" s="170"/>
      <c r="NGS30" s="170"/>
      <c r="NGU30" s="170"/>
      <c r="NGW30" s="170"/>
      <c r="NGY30" s="170"/>
      <c r="NHA30" s="170"/>
      <c r="NHC30" s="170"/>
      <c r="NHE30" s="170"/>
      <c r="NHG30" s="170"/>
      <c r="NHI30" s="170"/>
      <c r="NHK30" s="170"/>
      <c r="NHM30" s="170"/>
      <c r="NHO30" s="170"/>
      <c r="NHQ30" s="170"/>
      <c r="NHS30" s="170"/>
      <c r="NHU30" s="170"/>
      <c r="NHW30" s="170"/>
      <c r="NHY30" s="170"/>
      <c r="NIA30" s="170"/>
      <c r="NIC30" s="170"/>
      <c r="NIE30" s="170"/>
      <c r="NIG30" s="170"/>
      <c r="NII30" s="170"/>
      <c r="NIK30" s="170"/>
      <c r="NIM30" s="170"/>
      <c r="NIO30" s="170"/>
      <c r="NIQ30" s="170"/>
      <c r="NIS30" s="170"/>
      <c r="NIU30" s="170"/>
      <c r="NIW30" s="170"/>
      <c r="NIY30" s="170"/>
      <c r="NJA30" s="170"/>
      <c r="NJC30" s="170"/>
      <c r="NJE30" s="170"/>
      <c r="NJG30" s="170"/>
      <c r="NJI30" s="170"/>
      <c r="NJK30" s="170"/>
      <c r="NJM30" s="170"/>
      <c r="NJO30" s="170"/>
      <c r="NJQ30" s="170"/>
      <c r="NJS30" s="170"/>
      <c r="NJU30" s="170"/>
      <c r="NJW30" s="170"/>
      <c r="NJY30" s="170"/>
      <c r="NKA30" s="170"/>
      <c r="NKC30" s="170"/>
      <c r="NKE30" s="170"/>
      <c r="NKG30" s="170"/>
      <c r="NKI30" s="170"/>
      <c r="NKK30" s="170"/>
      <c r="NKM30" s="170"/>
      <c r="NKO30" s="170"/>
      <c r="NKQ30" s="170"/>
      <c r="NKS30" s="170"/>
      <c r="NKU30" s="170"/>
      <c r="NKW30" s="170"/>
      <c r="NKY30" s="170"/>
      <c r="NLA30" s="170"/>
      <c r="NLC30" s="170"/>
      <c r="NLE30" s="170"/>
      <c r="NLG30" s="170"/>
      <c r="NLI30" s="170"/>
      <c r="NLK30" s="170"/>
      <c r="NLM30" s="170"/>
      <c r="NLO30" s="170"/>
      <c r="NLQ30" s="170"/>
      <c r="NLS30" s="170"/>
      <c r="NLU30" s="170"/>
      <c r="NLW30" s="170"/>
      <c r="NLY30" s="170"/>
      <c r="NMA30" s="170"/>
      <c r="NMC30" s="170"/>
      <c r="NME30" s="170"/>
      <c r="NMG30" s="170"/>
      <c r="NMI30" s="170"/>
      <c r="NMK30" s="170"/>
      <c r="NMM30" s="170"/>
      <c r="NMO30" s="170"/>
      <c r="NMQ30" s="170"/>
      <c r="NMS30" s="170"/>
      <c r="NMU30" s="170"/>
      <c r="NMW30" s="170"/>
      <c r="NMY30" s="170"/>
      <c r="NNA30" s="170"/>
      <c r="NNC30" s="170"/>
      <c r="NNE30" s="170"/>
      <c r="NNG30" s="170"/>
      <c r="NNI30" s="170"/>
      <c r="NNK30" s="170"/>
      <c r="NNM30" s="170"/>
      <c r="NNO30" s="170"/>
      <c r="NNQ30" s="170"/>
      <c r="NNS30" s="170"/>
      <c r="NNU30" s="170"/>
      <c r="NNW30" s="170"/>
      <c r="NNY30" s="170"/>
      <c r="NOA30" s="170"/>
      <c r="NOC30" s="170"/>
      <c r="NOE30" s="170"/>
      <c r="NOG30" s="170"/>
      <c r="NOI30" s="170"/>
      <c r="NOK30" s="170"/>
      <c r="NOM30" s="170"/>
      <c r="NOO30" s="170"/>
      <c r="NOQ30" s="170"/>
      <c r="NOS30" s="170"/>
      <c r="NOU30" s="170"/>
      <c r="NOW30" s="170"/>
      <c r="NOY30" s="170"/>
      <c r="NPA30" s="170"/>
      <c r="NPC30" s="170"/>
      <c r="NPE30" s="170"/>
      <c r="NPG30" s="170"/>
      <c r="NPI30" s="170"/>
      <c r="NPK30" s="170"/>
      <c r="NPM30" s="170"/>
      <c r="NPO30" s="170"/>
      <c r="NPQ30" s="170"/>
      <c r="NPS30" s="170"/>
      <c r="NPU30" s="170"/>
      <c r="NPW30" s="170"/>
      <c r="NPY30" s="170"/>
      <c r="NQA30" s="170"/>
      <c r="NQC30" s="170"/>
      <c r="NQE30" s="170"/>
      <c r="NQG30" s="170"/>
      <c r="NQI30" s="170"/>
      <c r="NQK30" s="170"/>
      <c r="NQM30" s="170"/>
      <c r="NQO30" s="170"/>
      <c r="NQQ30" s="170"/>
      <c r="NQS30" s="170"/>
      <c r="NQU30" s="170"/>
      <c r="NQW30" s="170"/>
      <c r="NQY30" s="170"/>
      <c r="NRA30" s="170"/>
      <c r="NRC30" s="170"/>
      <c r="NRE30" s="170"/>
      <c r="NRG30" s="170"/>
      <c r="NRI30" s="170"/>
      <c r="NRK30" s="170"/>
      <c r="NRM30" s="170"/>
      <c r="NRO30" s="170"/>
      <c r="NRQ30" s="170"/>
      <c r="NRS30" s="170"/>
      <c r="NRU30" s="170"/>
      <c r="NRW30" s="170"/>
      <c r="NRY30" s="170"/>
      <c r="NSA30" s="170"/>
      <c r="NSC30" s="170"/>
      <c r="NSE30" s="170"/>
      <c r="NSG30" s="170"/>
      <c r="NSI30" s="170"/>
      <c r="NSK30" s="170"/>
      <c r="NSM30" s="170"/>
      <c r="NSO30" s="170"/>
      <c r="NSQ30" s="170"/>
      <c r="NSS30" s="170"/>
      <c r="NSU30" s="170"/>
      <c r="NSW30" s="170"/>
      <c r="NSY30" s="170"/>
      <c r="NTA30" s="170"/>
      <c r="NTC30" s="170"/>
      <c r="NTE30" s="170"/>
      <c r="NTG30" s="170"/>
      <c r="NTI30" s="170"/>
      <c r="NTK30" s="170"/>
      <c r="NTM30" s="170"/>
      <c r="NTO30" s="170"/>
      <c r="NTQ30" s="170"/>
      <c r="NTS30" s="170"/>
      <c r="NTU30" s="170"/>
      <c r="NTW30" s="170"/>
      <c r="NTY30" s="170"/>
      <c r="NUA30" s="170"/>
      <c r="NUC30" s="170"/>
      <c r="NUE30" s="170"/>
      <c r="NUG30" s="170"/>
      <c r="NUI30" s="170"/>
      <c r="NUK30" s="170"/>
      <c r="NUM30" s="170"/>
      <c r="NUO30" s="170"/>
      <c r="NUQ30" s="170"/>
      <c r="NUS30" s="170"/>
      <c r="NUU30" s="170"/>
      <c r="NUW30" s="170"/>
      <c r="NUY30" s="170"/>
      <c r="NVA30" s="170"/>
      <c r="NVC30" s="170"/>
      <c r="NVE30" s="170"/>
      <c r="NVG30" s="170"/>
      <c r="NVI30" s="170"/>
      <c r="NVK30" s="170"/>
      <c r="NVM30" s="170"/>
      <c r="NVO30" s="170"/>
      <c r="NVQ30" s="170"/>
      <c r="NVS30" s="170"/>
      <c r="NVU30" s="170"/>
      <c r="NVW30" s="170"/>
      <c r="NVY30" s="170"/>
      <c r="NWA30" s="170"/>
      <c r="NWC30" s="170"/>
      <c r="NWE30" s="170"/>
      <c r="NWG30" s="170"/>
      <c r="NWI30" s="170"/>
      <c r="NWK30" s="170"/>
      <c r="NWM30" s="170"/>
      <c r="NWO30" s="170"/>
      <c r="NWQ30" s="170"/>
      <c r="NWS30" s="170"/>
      <c r="NWU30" s="170"/>
      <c r="NWW30" s="170"/>
      <c r="NWY30" s="170"/>
      <c r="NXA30" s="170"/>
      <c r="NXC30" s="170"/>
      <c r="NXE30" s="170"/>
      <c r="NXG30" s="170"/>
      <c r="NXI30" s="170"/>
      <c r="NXK30" s="170"/>
      <c r="NXM30" s="170"/>
      <c r="NXO30" s="170"/>
      <c r="NXQ30" s="170"/>
      <c r="NXS30" s="170"/>
      <c r="NXU30" s="170"/>
      <c r="NXW30" s="170"/>
      <c r="NXY30" s="170"/>
      <c r="NYA30" s="170"/>
      <c r="NYC30" s="170"/>
      <c r="NYE30" s="170"/>
      <c r="NYG30" s="170"/>
      <c r="NYI30" s="170"/>
      <c r="NYK30" s="170"/>
      <c r="NYM30" s="170"/>
      <c r="NYO30" s="170"/>
      <c r="NYQ30" s="170"/>
      <c r="NYS30" s="170"/>
      <c r="NYU30" s="170"/>
      <c r="NYW30" s="170"/>
      <c r="NYY30" s="170"/>
      <c r="NZA30" s="170"/>
      <c r="NZC30" s="170"/>
      <c r="NZE30" s="170"/>
      <c r="NZG30" s="170"/>
      <c r="NZI30" s="170"/>
      <c r="NZK30" s="170"/>
      <c r="NZM30" s="170"/>
      <c r="NZO30" s="170"/>
      <c r="NZQ30" s="170"/>
      <c r="NZS30" s="170"/>
      <c r="NZU30" s="170"/>
      <c r="NZW30" s="170"/>
      <c r="NZY30" s="170"/>
      <c r="OAA30" s="170"/>
      <c r="OAC30" s="170"/>
      <c r="OAE30" s="170"/>
      <c r="OAG30" s="170"/>
      <c r="OAI30" s="170"/>
      <c r="OAK30" s="170"/>
      <c r="OAM30" s="170"/>
      <c r="OAO30" s="170"/>
      <c r="OAQ30" s="170"/>
      <c r="OAS30" s="170"/>
      <c r="OAU30" s="170"/>
      <c r="OAW30" s="170"/>
      <c r="OAY30" s="170"/>
      <c r="OBA30" s="170"/>
      <c r="OBC30" s="170"/>
      <c r="OBE30" s="170"/>
      <c r="OBG30" s="170"/>
      <c r="OBI30" s="170"/>
      <c r="OBK30" s="170"/>
      <c r="OBM30" s="170"/>
      <c r="OBO30" s="170"/>
      <c r="OBQ30" s="170"/>
      <c r="OBS30" s="170"/>
      <c r="OBU30" s="170"/>
      <c r="OBW30" s="170"/>
      <c r="OBY30" s="170"/>
      <c r="OCA30" s="170"/>
      <c r="OCC30" s="170"/>
      <c r="OCE30" s="170"/>
      <c r="OCG30" s="170"/>
      <c r="OCI30" s="170"/>
      <c r="OCK30" s="170"/>
      <c r="OCM30" s="170"/>
      <c r="OCO30" s="170"/>
      <c r="OCQ30" s="170"/>
      <c r="OCS30" s="170"/>
      <c r="OCU30" s="170"/>
      <c r="OCW30" s="170"/>
      <c r="OCY30" s="170"/>
      <c r="ODA30" s="170"/>
      <c r="ODC30" s="170"/>
      <c r="ODE30" s="170"/>
      <c r="ODG30" s="170"/>
      <c r="ODI30" s="170"/>
      <c r="ODK30" s="170"/>
      <c r="ODM30" s="170"/>
      <c r="ODO30" s="170"/>
      <c r="ODQ30" s="170"/>
      <c r="ODS30" s="170"/>
      <c r="ODU30" s="170"/>
      <c r="ODW30" s="170"/>
      <c r="ODY30" s="170"/>
      <c r="OEA30" s="170"/>
      <c r="OEC30" s="170"/>
      <c r="OEE30" s="170"/>
      <c r="OEG30" s="170"/>
      <c r="OEI30" s="170"/>
      <c r="OEK30" s="170"/>
      <c r="OEM30" s="170"/>
      <c r="OEO30" s="170"/>
      <c r="OEQ30" s="170"/>
      <c r="OES30" s="170"/>
      <c r="OEU30" s="170"/>
      <c r="OEW30" s="170"/>
      <c r="OEY30" s="170"/>
      <c r="OFA30" s="170"/>
      <c r="OFC30" s="170"/>
      <c r="OFE30" s="170"/>
      <c r="OFG30" s="170"/>
      <c r="OFI30" s="170"/>
      <c r="OFK30" s="170"/>
      <c r="OFM30" s="170"/>
      <c r="OFO30" s="170"/>
      <c r="OFQ30" s="170"/>
      <c r="OFS30" s="170"/>
      <c r="OFU30" s="170"/>
      <c r="OFW30" s="170"/>
      <c r="OFY30" s="170"/>
      <c r="OGA30" s="170"/>
      <c r="OGC30" s="170"/>
      <c r="OGE30" s="170"/>
      <c r="OGG30" s="170"/>
      <c r="OGI30" s="170"/>
      <c r="OGK30" s="170"/>
      <c r="OGM30" s="170"/>
      <c r="OGO30" s="170"/>
      <c r="OGQ30" s="170"/>
      <c r="OGS30" s="170"/>
      <c r="OGU30" s="170"/>
      <c r="OGW30" s="170"/>
      <c r="OGY30" s="170"/>
      <c r="OHA30" s="170"/>
      <c r="OHC30" s="170"/>
      <c r="OHE30" s="170"/>
      <c r="OHG30" s="170"/>
      <c r="OHI30" s="170"/>
      <c r="OHK30" s="170"/>
      <c r="OHM30" s="170"/>
      <c r="OHO30" s="170"/>
      <c r="OHQ30" s="170"/>
      <c r="OHS30" s="170"/>
      <c r="OHU30" s="170"/>
      <c r="OHW30" s="170"/>
      <c r="OHY30" s="170"/>
      <c r="OIA30" s="170"/>
      <c r="OIC30" s="170"/>
      <c r="OIE30" s="170"/>
      <c r="OIG30" s="170"/>
      <c r="OII30" s="170"/>
      <c r="OIK30" s="170"/>
      <c r="OIM30" s="170"/>
      <c r="OIO30" s="170"/>
      <c r="OIQ30" s="170"/>
      <c r="OIS30" s="170"/>
      <c r="OIU30" s="170"/>
      <c r="OIW30" s="170"/>
      <c r="OIY30" s="170"/>
      <c r="OJA30" s="170"/>
      <c r="OJC30" s="170"/>
      <c r="OJE30" s="170"/>
      <c r="OJG30" s="170"/>
      <c r="OJI30" s="170"/>
      <c r="OJK30" s="170"/>
      <c r="OJM30" s="170"/>
      <c r="OJO30" s="170"/>
      <c r="OJQ30" s="170"/>
      <c r="OJS30" s="170"/>
      <c r="OJU30" s="170"/>
      <c r="OJW30" s="170"/>
      <c r="OJY30" s="170"/>
      <c r="OKA30" s="170"/>
      <c r="OKC30" s="170"/>
      <c r="OKE30" s="170"/>
      <c r="OKG30" s="170"/>
      <c r="OKI30" s="170"/>
      <c r="OKK30" s="170"/>
      <c r="OKM30" s="170"/>
      <c r="OKO30" s="170"/>
      <c r="OKQ30" s="170"/>
      <c r="OKS30" s="170"/>
      <c r="OKU30" s="170"/>
      <c r="OKW30" s="170"/>
      <c r="OKY30" s="170"/>
      <c r="OLA30" s="170"/>
      <c r="OLC30" s="170"/>
      <c r="OLE30" s="170"/>
      <c r="OLG30" s="170"/>
      <c r="OLI30" s="170"/>
      <c r="OLK30" s="170"/>
      <c r="OLM30" s="170"/>
      <c r="OLO30" s="170"/>
      <c r="OLQ30" s="170"/>
      <c r="OLS30" s="170"/>
      <c r="OLU30" s="170"/>
      <c r="OLW30" s="170"/>
      <c r="OLY30" s="170"/>
      <c r="OMA30" s="170"/>
      <c r="OMC30" s="170"/>
      <c r="OME30" s="170"/>
      <c r="OMG30" s="170"/>
      <c r="OMI30" s="170"/>
      <c r="OMK30" s="170"/>
      <c r="OMM30" s="170"/>
      <c r="OMO30" s="170"/>
      <c r="OMQ30" s="170"/>
      <c r="OMS30" s="170"/>
      <c r="OMU30" s="170"/>
      <c r="OMW30" s="170"/>
      <c r="OMY30" s="170"/>
      <c r="ONA30" s="170"/>
      <c r="ONC30" s="170"/>
      <c r="ONE30" s="170"/>
      <c r="ONG30" s="170"/>
      <c r="ONI30" s="170"/>
      <c r="ONK30" s="170"/>
      <c r="ONM30" s="170"/>
      <c r="ONO30" s="170"/>
      <c r="ONQ30" s="170"/>
      <c r="ONS30" s="170"/>
      <c r="ONU30" s="170"/>
      <c r="ONW30" s="170"/>
      <c r="ONY30" s="170"/>
      <c r="OOA30" s="170"/>
      <c r="OOC30" s="170"/>
      <c r="OOE30" s="170"/>
      <c r="OOG30" s="170"/>
      <c r="OOI30" s="170"/>
      <c r="OOK30" s="170"/>
      <c r="OOM30" s="170"/>
      <c r="OOO30" s="170"/>
      <c r="OOQ30" s="170"/>
      <c r="OOS30" s="170"/>
      <c r="OOU30" s="170"/>
      <c r="OOW30" s="170"/>
      <c r="OOY30" s="170"/>
      <c r="OPA30" s="170"/>
      <c r="OPC30" s="170"/>
      <c r="OPE30" s="170"/>
      <c r="OPG30" s="170"/>
      <c r="OPI30" s="170"/>
      <c r="OPK30" s="170"/>
      <c r="OPM30" s="170"/>
      <c r="OPO30" s="170"/>
      <c r="OPQ30" s="170"/>
      <c r="OPS30" s="170"/>
      <c r="OPU30" s="170"/>
      <c r="OPW30" s="170"/>
      <c r="OPY30" s="170"/>
      <c r="OQA30" s="170"/>
      <c r="OQC30" s="170"/>
      <c r="OQE30" s="170"/>
      <c r="OQG30" s="170"/>
      <c r="OQI30" s="170"/>
      <c r="OQK30" s="170"/>
      <c r="OQM30" s="170"/>
      <c r="OQO30" s="170"/>
      <c r="OQQ30" s="170"/>
      <c r="OQS30" s="170"/>
      <c r="OQU30" s="170"/>
      <c r="OQW30" s="170"/>
      <c r="OQY30" s="170"/>
      <c r="ORA30" s="170"/>
      <c r="ORC30" s="170"/>
      <c r="ORE30" s="170"/>
      <c r="ORG30" s="170"/>
      <c r="ORI30" s="170"/>
      <c r="ORK30" s="170"/>
      <c r="ORM30" s="170"/>
      <c r="ORO30" s="170"/>
      <c r="ORQ30" s="170"/>
      <c r="ORS30" s="170"/>
      <c r="ORU30" s="170"/>
      <c r="ORW30" s="170"/>
      <c r="ORY30" s="170"/>
      <c r="OSA30" s="170"/>
      <c r="OSC30" s="170"/>
      <c r="OSE30" s="170"/>
      <c r="OSG30" s="170"/>
      <c r="OSI30" s="170"/>
      <c r="OSK30" s="170"/>
      <c r="OSM30" s="170"/>
      <c r="OSO30" s="170"/>
      <c r="OSQ30" s="170"/>
      <c r="OSS30" s="170"/>
      <c r="OSU30" s="170"/>
      <c r="OSW30" s="170"/>
      <c r="OSY30" s="170"/>
      <c r="OTA30" s="170"/>
      <c r="OTC30" s="170"/>
      <c r="OTE30" s="170"/>
      <c r="OTG30" s="170"/>
      <c r="OTI30" s="170"/>
      <c r="OTK30" s="170"/>
      <c r="OTM30" s="170"/>
      <c r="OTO30" s="170"/>
      <c r="OTQ30" s="170"/>
      <c r="OTS30" s="170"/>
      <c r="OTU30" s="170"/>
      <c r="OTW30" s="170"/>
      <c r="OTY30" s="170"/>
      <c r="OUA30" s="170"/>
      <c r="OUC30" s="170"/>
      <c r="OUE30" s="170"/>
      <c r="OUG30" s="170"/>
      <c r="OUI30" s="170"/>
      <c r="OUK30" s="170"/>
      <c r="OUM30" s="170"/>
      <c r="OUO30" s="170"/>
      <c r="OUQ30" s="170"/>
      <c r="OUS30" s="170"/>
      <c r="OUU30" s="170"/>
      <c r="OUW30" s="170"/>
      <c r="OUY30" s="170"/>
      <c r="OVA30" s="170"/>
      <c r="OVC30" s="170"/>
      <c r="OVE30" s="170"/>
      <c r="OVG30" s="170"/>
      <c r="OVI30" s="170"/>
      <c r="OVK30" s="170"/>
      <c r="OVM30" s="170"/>
      <c r="OVO30" s="170"/>
      <c r="OVQ30" s="170"/>
      <c r="OVS30" s="170"/>
      <c r="OVU30" s="170"/>
      <c r="OVW30" s="170"/>
      <c r="OVY30" s="170"/>
      <c r="OWA30" s="170"/>
      <c r="OWC30" s="170"/>
      <c r="OWE30" s="170"/>
      <c r="OWG30" s="170"/>
      <c r="OWI30" s="170"/>
      <c r="OWK30" s="170"/>
      <c r="OWM30" s="170"/>
      <c r="OWO30" s="170"/>
      <c r="OWQ30" s="170"/>
      <c r="OWS30" s="170"/>
      <c r="OWU30" s="170"/>
      <c r="OWW30" s="170"/>
      <c r="OWY30" s="170"/>
      <c r="OXA30" s="170"/>
      <c r="OXC30" s="170"/>
      <c r="OXE30" s="170"/>
      <c r="OXG30" s="170"/>
      <c r="OXI30" s="170"/>
      <c r="OXK30" s="170"/>
      <c r="OXM30" s="170"/>
      <c r="OXO30" s="170"/>
      <c r="OXQ30" s="170"/>
      <c r="OXS30" s="170"/>
      <c r="OXU30" s="170"/>
      <c r="OXW30" s="170"/>
      <c r="OXY30" s="170"/>
      <c r="OYA30" s="170"/>
      <c r="OYC30" s="170"/>
      <c r="OYE30" s="170"/>
      <c r="OYG30" s="170"/>
      <c r="OYI30" s="170"/>
      <c r="OYK30" s="170"/>
      <c r="OYM30" s="170"/>
      <c r="OYO30" s="170"/>
      <c r="OYQ30" s="170"/>
      <c r="OYS30" s="170"/>
      <c r="OYU30" s="170"/>
      <c r="OYW30" s="170"/>
      <c r="OYY30" s="170"/>
      <c r="OZA30" s="170"/>
      <c r="OZC30" s="170"/>
      <c r="OZE30" s="170"/>
      <c r="OZG30" s="170"/>
      <c r="OZI30" s="170"/>
      <c r="OZK30" s="170"/>
      <c r="OZM30" s="170"/>
      <c r="OZO30" s="170"/>
      <c r="OZQ30" s="170"/>
      <c r="OZS30" s="170"/>
      <c r="OZU30" s="170"/>
      <c r="OZW30" s="170"/>
      <c r="OZY30" s="170"/>
      <c r="PAA30" s="170"/>
      <c r="PAC30" s="170"/>
      <c r="PAE30" s="170"/>
      <c r="PAG30" s="170"/>
      <c r="PAI30" s="170"/>
      <c r="PAK30" s="170"/>
      <c r="PAM30" s="170"/>
      <c r="PAO30" s="170"/>
      <c r="PAQ30" s="170"/>
      <c r="PAS30" s="170"/>
      <c r="PAU30" s="170"/>
      <c r="PAW30" s="170"/>
      <c r="PAY30" s="170"/>
      <c r="PBA30" s="170"/>
      <c r="PBC30" s="170"/>
      <c r="PBE30" s="170"/>
      <c r="PBG30" s="170"/>
      <c r="PBI30" s="170"/>
      <c r="PBK30" s="170"/>
      <c r="PBM30" s="170"/>
      <c r="PBO30" s="170"/>
      <c r="PBQ30" s="170"/>
      <c r="PBS30" s="170"/>
      <c r="PBU30" s="170"/>
      <c r="PBW30" s="170"/>
      <c r="PBY30" s="170"/>
      <c r="PCA30" s="170"/>
      <c r="PCC30" s="170"/>
      <c r="PCE30" s="170"/>
      <c r="PCG30" s="170"/>
      <c r="PCI30" s="170"/>
      <c r="PCK30" s="170"/>
      <c r="PCM30" s="170"/>
      <c r="PCO30" s="170"/>
      <c r="PCQ30" s="170"/>
      <c r="PCS30" s="170"/>
      <c r="PCU30" s="170"/>
      <c r="PCW30" s="170"/>
      <c r="PCY30" s="170"/>
      <c r="PDA30" s="170"/>
      <c r="PDC30" s="170"/>
      <c r="PDE30" s="170"/>
      <c r="PDG30" s="170"/>
      <c r="PDI30" s="170"/>
      <c r="PDK30" s="170"/>
      <c r="PDM30" s="170"/>
      <c r="PDO30" s="170"/>
      <c r="PDQ30" s="170"/>
      <c r="PDS30" s="170"/>
      <c r="PDU30" s="170"/>
      <c r="PDW30" s="170"/>
      <c r="PDY30" s="170"/>
      <c r="PEA30" s="170"/>
      <c r="PEC30" s="170"/>
      <c r="PEE30" s="170"/>
      <c r="PEG30" s="170"/>
      <c r="PEI30" s="170"/>
      <c r="PEK30" s="170"/>
      <c r="PEM30" s="170"/>
      <c r="PEO30" s="170"/>
      <c r="PEQ30" s="170"/>
      <c r="PES30" s="170"/>
      <c r="PEU30" s="170"/>
      <c r="PEW30" s="170"/>
      <c r="PEY30" s="170"/>
      <c r="PFA30" s="170"/>
      <c r="PFC30" s="170"/>
      <c r="PFE30" s="170"/>
      <c r="PFG30" s="170"/>
      <c r="PFI30" s="170"/>
      <c r="PFK30" s="170"/>
      <c r="PFM30" s="170"/>
      <c r="PFO30" s="170"/>
      <c r="PFQ30" s="170"/>
      <c r="PFS30" s="170"/>
      <c r="PFU30" s="170"/>
      <c r="PFW30" s="170"/>
      <c r="PFY30" s="170"/>
      <c r="PGA30" s="170"/>
      <c r="PGC30" s="170"/>
      <c r="PGE30" s="170"/>
      <c r="PGG30" s="170"/>
      <c r="PGI30" s="170"/>
      <c r="PGK30" s="170"/>
      <c r="PGM30" s="170"/>
      <c r="PGO30" s="170"/>
      <c r="PGQ30" s="170"/>
      <c r="PGS30" s="170"/>
      <c r="PGU30" s="170"/>
      <c r="PGW30" s="170"/>
      <c r="PGY30" s="170"/>
      <c r="PHA30" s="170"/>
      <c r="PHC30" s="170"/>
      <c r="PHE30" s="170"/>
      <c r="PHG30" s="170"/>
      <c r="PHI30" s="170"/>
      <c r="PHK30" s="170"/>
      <c r="PHM30" s="170"/>
      <c r="PHO30" s="170"/>
      <c r="PHQ30" s="170"/>
      <c r="PHS30" s="170"/>
      <c r="PHU30" s="170"/>
      <c r="PHW30" s="170"/>
      <c r="PHY30" s="170"/>
      <c r="PIA30" s="170"/>
      <c r="PIC30" s="170"/>
      <c r="PIE30" s="170"/>
      <c r="PIG30" s="170"/>
      <c r="PII30" s="170"/>
      <c r="PIK30" s="170"/>
      <c r="PIM30" s="170"/>
      <c r="PIO30" s="170"/>
      <c r="PIQ30" s="170"/>
      <c r="PIS30" s="170"/>
      <c r="PIU30" s="170"/>
      <c r="PIW30" s="170"/>
      <c r="PIY30" s="170"/>
      <c r="PJA30" s="170"/>
      <c r="PJC30" s="170"/>
      <c r="PJE30" s="170"/>
      <c r="PJG30" s="170"/>
      <c r="PJI30" s="170"/>
      <c r="PJK30" s="170"/>
      <c r="PJM30" s="170"/>
      <c r="PJO30" s="170"/>
      <c r="PJQ30" s="170"/>
      <c r="PJS30" s="170"/>
      <c r="PJU30" s="170"/>
      <c r="PJW30" s="170"/>
      <c r="PJY30" s="170"/>
      <c r="PKA30" s="170"/>
      <c r="PKC30" s="170"/>
      <c r="PKE30" s="170"/>
      <c r="PKG30" s="170"/>
      <c r="PKI30" s="170"/>
      <c r="PKK30" s="170"/>
      <c r="PKM30" s="170"/>
      <c r="PKO30" s="170"/>
      <c r="PKQ30" s="170"/>
      <c r="PKS30" s="170"/>
      <c r="PKU30" s="170"/>
      <c r="PKW30" s="170"/>
      <c r="PKY30" s="170"/>
      <c r="PLA30" s="170"/>
      <c r="PLC30" s="170"/>
      <c r="PLE30" s="170"/>
      <c r="PLG30" s="170"/>
      <c r="PLI30" s="170"/>
      <c r="PLK30" s="170"/>
      <c r="PLM30" s="170"/>
      <c r="PLO30" s="170"/>
      <c r="PLQ30" s="170"/>
      <c r="PLS30" s="170"/>
      <c r="PLU30" s="170"/>
      <c r="PLW30" s="170"/>
      <c r="PLY30" s="170"/>
      <c r="PMA30" s="170"/>
      <c r="PMC30" s="170"/>
      <c r="PME30" s="170"/>
      <c r="PMG30" s="170"/>
      <c r="PMI30" s="170"/>
      <c r="PMK30" s="170"/>
      <c r="PMM30" s="170"/>
      <c r="PMO30" s="170"/>
      <c r="PMQ30" s="170"/>
      <c r="PMS30" s="170"/>
      <c r="PMU30" s="170"/>
      <c r="PMW30" s="170"/>
      <c r="PMY30" s="170"/>
      <c r="PNA30" s="170"/>
      <c r="PNC30" s="170"/>
      <c r="PNE30" s="170"/>
      <c r="PNG30" s="170"/>
      <c r="PNI30" s="170"/>
      <c r="PNK30" s="170"/>
      <c r="PNM30" s="170"/>
      <c r="PNO30" s="170"/>
      <c r="PNQ30" s="170"/>
      <c r="PNS30" s="170"/>
      <c r="PNU30" s="170"/>
      <c r="PNW30" s="170"/>
      <c r="PNY30" s="170"/>
      <c r="POA30" s="170"/>
      <c r="POC30" s="170"/>
      <c r="POE30" s="170"/>
      <c r="POG30" s="170"/>
      <c r="POI30" s="170"/>
      <c r="POK30" s="170"/>
      <c r="POM30" s="170"/>
      <c r="POO30" s="170"/>
      <c r="POQ30" s="170"/>
      <c r="POS30" s="170"/>
      <c r="POU30" s="170"/>
      <c r="POW30" s="170"/>
      <c r="POY30" s="170"/>
      <c r="PPA30" s="170"/>
      <c r="PPC30" s="170"/>
      <c r="PPE30" s="170"/>
      <c r="PPG30" s="170"/>
      <c r="PPI30" s="170"/>
      <c r="PPK30" s="170"/>
      <c r="PPM30" s="170"/>
      <c r="PPO30" s="170"/>
      <c r="PPQ30" s="170"/>
      <c r="PPS30" s="170"/>
      <c r="PPU30" s="170"/>
      <c r="PPW30" s="170"/>
      <c r="PPY30" s="170"/>
      <c r="PQA30" s="170"/>
      <c r="PQC30" s="170"/>
      <c r="PQE30" s="170"/>
      <c r="PQG30" s="170"/>
      <c r="PQI30" s="170"/>
      <c r="PQK30" s="170"/>
      <c r="PQM30" s="170"/>
      <c r="PQO30" s="170"/>
      <c r="PQQ30" s="170"/>
      <c r="PQS30" s="170"/>
      <c r="PQU30" s="170"/>
      <c r="PQW30" s="170"/>
      <c r="PQY30" s="170"/>
      <c r="PRA30" s="170"/>
      <c r="PRC30" s="170"/>
      <c r="PRE30" s="170"/>
      <c r="PRG30" s="170"/>
      <c r="PRI30" s="170"/>
      <c r="PRK30" s="170"/>
      <c r="PRM30" s="170"/>
      <c r="PRO30" s="170"/>
      <c r="PRQ30" s="170"/>
      <c r="PRS30" s="170"/>
      <c r="PRU30" s="170"/>
      <c r="PRW30" s="170"/>
      <c r="PRY30" s="170"/>
      <c r="PSA30" s="170"/>
      <c r="PSC30" s="170"/>
      <c r="PSE30" s="170"/>
      <c r="PSG30" s="170"/>
      <c r="PSI30" s="170"/>
      <c r="PSK30" s="170"/>
      <c r="PSM30" s="170"/>
      <c r="PSO30" s="170"/>
      <c r="PSQ30" s="170"/>
      <c r="PSS30" s="170"/>
      <c r="PSU30" s="170"/>
      <c r="PSW30" s="170"/>
      <c r="PSY30" s="170"/>
      <c r="PTA30" s="170"/>
      <c r="PTC30" s="170"/>
      <c r="PTE30" s="170"/>
      <c r="PTG30" s="170"/>
      <c r="PTI30" s="170"/>
      <c r="PTK30" s="170"/>
      <c r="PTM30" s="170"/>
      <c r="PTO30" s="170"/>
      <c r="PTQ30" s="170"/>
      <c r="PTS30" s="170"/>
      <c r="PTU30" s="170"/>
      <c r="PTW30" s="170"/>
      <c r="PTY30" s="170"/>
      <c r="PUA30" s="170"/>
      <c r="PUC30" s="170"/>
      <c r="PUE30" s="170"/>
      <c r="PUG30" s="170"/>
      <c r="PUI30" s="170"/>
      <c r="PUK30" s="170"/>
      <c r="PUM30" s="170"/>
      <c r="PUO30" s="170"/>
      <c r="PUQ30" s="170"/>
      <c r="PUS30" s="170"/>
      <c r="PUU30" s="170"/>
      <c r="PUW30" s="170"/>
      <c r="PUY30" s="170"/>
      <c r="PVA30" s="170"/>
      <c r="PVC30" s="170"/>
      <c r="PVE30" s="170"/>
      <c r="PVG30" s="170"/>
      <c r="PVI30" s="170"/>
      <c r="PVK30" s="170"/>
      <c r="PVM30" s="170"/>
      <c r="PVO30" s="170"/>
      <c r="PVQ30" s="170"/>
      <c r="PVS30" s="170"/>
      <c r="PVU30" s="170"/>
      <c r="PVW30" s="170"/>
      <c r="PVY30" s="170"/>
      <c r="PWA30" s="170"/>
      <c r="PWC30" s="170"/>
      <c r="PWE30" s="170"/>
      <c r="PWG30" s="170"/>
      <c r="PWI30" s="170"/>
      <c r="PWK30" s="170"/>
      <c r="PWM30" s="170"/>
      <c r="PWO30" s="170"/>
      <c r="PWQ30" s="170"/>
      <c r="PWS30" s="170"/>
      <c r="PWU30" s="170"/>
      <c r="PWW30" s="170"/>
      <c r="PWY30" s="170"/>
      <c r="PXA30" s="170"/>
      <c r="PXC30" s="170"/>
      <c r="PXE30" s="170"/>
      <c r="PXG30" s="170"/>
      <c r="PXI30" s="170"/>
      <c r="PXK30" s="170"/>
      <c r="PXM30" s="170"/>
      <c r="PXO30" s="170"/>
      <c r="PXQ30" s="170"/>
      <c r="PXS30" s="170"/>
      <c r="PXU30" s="170"/>
      <c r="PXW30" s="170"/>
      <c r="PXY30" s="170"/>
      <c r="PYA30" s="170"/>
      <c r="PYC30" s="170"/>
      <c r="PYE30" s="170"/>
      <c r="PYG30" s="170"/>
      <c r="PYI30" s="170"/>
      <c r="PYK30" s="170"/>
      <c r="PYM30" s="170"/>
      <c r="PYO30" s="170"/>
      <c r="PYQ30" s="170"/>
      <c r="PYS30" s="170"/>
      <c r="PYU30" s="170"/>
      <c r="PYW30" s="170"/>
      <c r="PYY30" s="170"/>
      <c r="PZA30" s="170"/>
      <c r="PZC30" s="170"/>
      <c r="PZE30" s="170"/>
      <c r="PZG30" s="170"/>
      <c r="PZI30" s="170"/>
      <c r="PZK30" s="170"/>
      <c r="PZM30" s="170"/>
      <c r="PZO30" s="170"/>
      <c r="PZQ30" s="170"/>
      <c r="PZS30" s="170"/>
      <c r="PZU30" s="170"/>
      <c r="PZW30" s="170"/>
      <c r="PZY30" s="170"/>
      <c r="QAA30" s="170"/>
      <c r="QAC30" s="170"/>
      <c r="QAE30" s="170"/>
      <c r="QAG30" s="170"/>
      <c r="QAI30" s="170"/>
      <c r="QAK30" s="170"/>
      <c r="QAM30" s="170"/>
      <c r="QAO30" s="170"/>
      <c r="QAQ30" s="170"/>
      <c r="QAS30" s="170"/>
      <c r="QAU30" s="170"/>
      <c r="QAW30" s="170"/>
      <c r="QAY30" s="170"/>
      <c r="QBA30" s="170"/>
      <c r="QBC30" s="170"/>
      <c r="QBE30" s="170"/>
      <c r="QBG30" s="170"/>
      <c r="QBI30" s="170"/>
      <c r="QBK30" s="170"/>
      <c r="QBM30" s="170"/>
      <c r="QBO30" s="170"/>
      <c r="QBQ30" s="170"/>
      <c r="QBS30" s="170"/>
      <c r="QBU30" s="170"/>
      <c r="QBW30" s="170"/>
      <c r="QBY30" s="170"/>
      <c r="QCA30" s="170"/>
      <c r="QCC30" s="170"/>
      <c r="QCE30" s="170"/>
      <c r="QCG30" s="170"/>
      <c r="QCI30" s="170"/>
      <c r="QCK30" s="170"/>
      <c r="QCM30" s="170"/>
      <c r="QCO30" s="170"/>
      <c r="QCQ30" s="170"/>
      <c r="QCS30" s="170"/>
      <c r="QCU30" s="170"/>
      <c r="QCW30" s="170"/>
      <c r="QCY30" s="170"/>
      <c r="QDA30" s="170"/>
      <c r="QDC30" s="170"/>
      <c r="QDE30" s="170"/>
      <c r="QDG30" s="170"/>
      <c r="QDI30" s="170"/>
      <c r="QDK30" s="170"/>
      <c r="QDM30" s="170"/>
      <c r="QDO30" s="170"/>
      <c r="QDQ30" s="170"/>
      <c r="QDS30" s="170"/>
      <c r="QDU30" s="170"/>
      <c r="QDW30" s="170"/>
      <c r="QDY30" s="170"/>
      <c r="QEA30" s="170"/>
      <c r="QEC30" s="170"/>
      <c r="QEE30" s="170"/>
      <c r="QEG30" s="170"/>
      <c r="QEI30" s="170"/>
      <c r="QEK30" s="170"/>
      <c r="QEM30" s="170"/>
      <c r="QEO30" s="170"/>
      <c r="QEQ30" s="170"/>
      <c r="QES30" s="170"/>
      <c r="QEU30" s="170"/>
      <c r="QEW30" s="170"/>
      <c r="QEY30" s="170"/>
      <c r="QFA30" s="170"/>
      <c r="QFC30" s="170"/>
      <c r="QFE30" s="170"/>
      <c r="QFG30" s="170"/>
      <c r="QFI30" s="170"/>
      <c r="QFK30" s="170"/>
      <c r="QFM30" s="170"/>
      <c r="QFO30" s="170"/>
      <c r="QFQ30" s="170"/>
      <c r="QFS30" s="170"/>
      <c r="QFU30" s="170"/>
      <c r="QFW30" s="170"/>
      <c r="QFY30" s="170"/>
      <c r="QGA30" s="170"/>
      <c r="QGC30" s="170"/>
      <c r="QGE30" s="170"/>
      <c r="QGG30" s="170"/>
      <c r="QGI30" s="170"/>
      <c r="QGK30" s="170"/>
      <c r="QGM30" s="170"/>
      <c r="QGO30" s="170"/>
      <c r="QGQ30" s="170"/>
      <c r="QGS30" s="170"/>
      <c r="QGU30" s="170"/>
      <c r="QGW30" s="170"/>
      <c r="QGY30" s="170"/>
      <c r="QHA30" s="170"/>
      <c r="QHC30" s="170"/>
      <c r="QHE30" s="170"/>
      <c r="QHG30" s="170"/>
      <c r="QHI30" s="170"/>
      <c r="QHK30" s="170"/>
      <c r="QHM30" s="170"/>
      <c r="QHO30" s="170"/>
      <c r="QHQ30" s="170"/>
      <c r="QHS30" s="170"/>
      <c r="QHU30" s="170"/>
      <c r="QHW30" s="170"/>
      <c r="QHY30" s="170"/>
      <c r="QIA30" s="170"/>
      <c r="QIC30" s="170"/>
      <c r="QIE30" s="170"/>
      <c r="QIG30" s="170"/>
      <c r="QII30" s="170"/>
      <c r="QIK30" s="170"/>
      <c r="QIM30" s="170"/>
      <c r="QIO30" s="170"/>
      <c r="QIQ30" s="170"/>
      <c r="QIS30" s="170"/>
      <c r="QIU30" s="170"/>
      <c r="QIW30" s="170"/>
      <c r="QIY30" s="170"/>
      <c r="QJA30" s="170"/>
      <c r="QJC30" s="170"/>
      <c r="QJE30" s="170"/>
      <c r="QJG30" s="170"/>
      <c r="QJI30" s="170"/>
      <c r="QJK30" s="170"/>
      <c r="QJM30" s="170"/>
      <c r="QJO30" s="170"/>
      <c r="QJQ30" s="170"/>
      <c r="QJS30" s="170"/>
      <c r="QJU30" s="170"/>
      <c r="QJW30" s="170"/>
      <c r="QJY30" s="170"/>
      <c r="QKA30" s="170"/>
      <c r="QKC30" s="170"/>
      <c r="QKE30" s="170"/>
      <c r="QKG30" s="170"/>
      <c r="QKI30" s="170"/>
      <c r="QKK30" s="170"/>
      <c r="QKM30" s="170"/>
      <c r="QKO30" s="170"/>
      <c r="QKQ30" s="170"/>
      <c r="QKS30" s="170"/>
      <c r="QKU30" s="170"/>
      <c r="QKW30" s="170"/>
      <c r="QKY30" s="170"/>
      <c r="QLA30" s="170"/>
      <c r="QLC30" s="170"/>
      <c r="QLE30" s="170"/>
      <c r="QLG30" s="170"/>
      <c r="QLI30" s="170"/>
      <c r="QLK30" s="170"/>
      <c r="QLM30" s="170"/>
      <c r="QLO30" s="170"/>
      <c r="QLQ30" s="170"/>
      <c r="QLS30" s="170"/>
      <c r="QLU30" s="170"/>
      <c r="QLW30" s="170"/>
      <c r="QLY30" s="170"/>
      <c r="QMA30" s="170"/>
      <c r="QMC30" s="170"/>
      <c r="QME30" s="170"/>
      <c r="QMG30" s="170"/>
      <c r="QMI30" s="170"/>
      <c r="QMK30" s="170"/>
      <c r="QMM30" s="170"/>
      <c r="QMO30" s="170"/>
      <c r="QMQ30" s="170"/>
      <c r="QMS30" s="170"/>
      <c r="QMU30" s="170"/>
      <c r="QMW30" s="170"/>
      <c r="QMY30" s="170"/>
      <c r="QNA30" s="170"/>
      <c r="QNC30" s="170"/>
      <c r="QNE30" s="170"/>
      <c r="QNG30" s="170"/>
      <c r="QNI30" s="170"/>
      <c r="QNK30" s="170"/>
      <c r="QNM30" s="170"/>
      <c r="QNO30" s="170"/>
      <c r="QNQ30" s="170"/>
      <c r="QNS30" s="170"/>
      <c r="QNU30" s="170"/>
      <c r="QNW30" s="170"/>
      <c r="QNY30" s="170"/>
      <c r="QOA30" s="170"/>
      <c r="QOC30" s="170"/>
      <c r="QOE30" s="170"/>
      <c r="QOG30" s="170"/>
      <c r="QOI30" s="170"/>
      <c r="QOK30" s="170"/>
      <c r="QOM30" s="170"/>
      <c r="QOO30" s="170"/>
      <c r="QOQ30" s="170"/>
      <c r="QOS30" s="170"/>
      <c r="QOU30" s="170"/>
      <c r="QOW30" s="170"/>
      <c r="QOY30" s="170"/>
      <c r="QPA30" s="170"/>
      <c r="QPC30" s="170"/>
      <c r="QPE30" s="170"/>
      <c r="QPG30" s="170"/>
      <c r="QPI30" s="170"/>
      <c r="QPK30" s="170"/>
      <c r="QPM30" s="170"/>
      <c r="QPO30" s="170"/>
      <c r="QPQ30" s="170"/>
      <c r="QPS30" s="170"/>
      <c r="QPU30" s="170"/>
      <c r="QPW30" s="170"/>
      <c r="QPY30" s="170"/>
      <c r="QQA30" s="170"/>
      <c r="QQC30" s="170"/>
      <c r="QQE30" s="170"/>
      <c r="QQG30" s="170"/>
      <c r="QQI30" s="170"/>
      <c r="QQK30" s="170"/>
      <c r="QQM30" s="170"/>
      <c r="QQO30" s="170"/>
      <c r="QQQ30" s="170"/>
      <c r="QQS30" s="170"/>
      <c r="QQU30" s="170"/>
      <c r="QQW30" s="170"/>
      <c r="QQY30" s="170"/>
      <c r="QRA30" s="170"/>
      <c r="QRC30" s="170"/>
      <c r="QRE30" s="170"/>
      <c r="QRG30" s="170"/>
      <c r="QRI30" s="170"/>
      <c r="QRK30" s="170"/>
      <c r="QRM30" s="170"/>
      <c r="QRO30" s="170"/>
      <c r="QRQ30" s="170"/>
      <c r="QRS30" s="170"/>
      <c r="QRU30" s="170"/>
      <c r="QRW30" s="170"/>
      <c r="QRY30" s="170"/>
      <c r="QSA30" s="170"/>
      <c r="QSC30" s="170"/>
      <c r="QSE30" s="170"/>
      <c r="QSG30" s="170"/>
      <c r="QSI30" s="170"/>
      <c r="QSK30" s="170"/>
      <c r="QSM30" s="170"/>
      <c r="QSO30" s="170"/>
      <c r="QSQ30" s="170"/>
      <c r="QSS30" s="170"/>
      <c r="QSU30" s="170"/>
      <c r="QSW30" s="170"/>
      <c r="QSY30" s="170"/>
      <c r="QTA30" s="170"/>
      <c r="QTC30" s="170"/>
      <c r="QTE30" s="170"/>
      <c r="QTG30" s="170"/>
      <c r="QTI30" s="170"/>
      <c r="QTK30" s="170"/>
      <c r="QTM30" s="170"/>
      <c r="QTO30" s="170"/>
      <c r="QTQ30" s="170"/>
      <c r="QTS30" s="170"/>
      <c r="QTU30" s="170"/>
      <c r="QTW30" s="170"/>
      <c r="QTY30" s="170"/>
      <c r="QUA30" s="170"/>
      <c r="QUC30" s="170"/>
      <c r="QUE30" s="170"/>
      <c r="QUG30" s="170"/>
      <c r="QUI30" s="170"/>
      <c r="QUK30" s="170"/>
      <c r="QUM30" s="170"/>
      <c r="QUO30" s="170"/>
      <c r="QUQ30" s="170"/>
      <c r="QUS30" s="170"/>
      <c r="QUU30" s="170"/>
      <c r="QUW30" s="170"/>
      <c r="QUY30" s="170"/>
      <c r="QVA30" s="170"/>
      <c r="QVC30" s="170"/>
      <c r="QVE30" s="170"/>
      <c r="QVG30" s="170"/>
      <c r="QVI30" s="170"/>
      <c r="QVK30" s="170"/>
      <c r="QVM30" s="170"/>
      <c r="QVO30" s="170"/>
      <c r="QVQ30" s="170"/>
      <c r="QVS30" s="170"/>
      <c r="QVU30" s="170"/>
      <c r="QVW30" s="170"/>
      <c r="QVY30" s="170"/>
      <c r="QWA30" s="170"/>
      <c r="QWC30" s="170"/>
      <c r="QWE30" s="170"/>
      <c r="QWG30" s="170"/>
      <c r="QWI30" s="170"/>
      <c r="QWK30" s="170"/>
      <c r="QWM30" s="170"/>
      <c r="QWO30" s="170"/>
      <c r="QWQ30" s="170"/>
      <c r="QWS30" s="170"/>
      <c r="QWU30" s="170"/>
      <c r="QWW30" s="170"/>
      <c r="QWY30" s="170"/>
      <c r="QXA30" s="170"/>
      <c r="QXC30" s="170"/>
      <c r="QXE30" s="170"/>
      <c r="QXG30" s="170"/>
      <c r="QXI30" s="170"/>
      <c r="QXK30" s="170"/>
      <c r="QXM30" s="170"/>
      <c r="QXO30" s="170"/>
      <c r="QXQ30" s="170"/>
      <c r="QXS30" s="170"/>
      <c r="QXU30" s="170"/>
      <c r="QXW30" s="170"/>
      <c r="QXY30" s="170"/>
      <c r="QYA30" s="170"/>
      <c r="QYC30" s="170"/>
      <c r="QYE30" s="170"/>
      <c r="QYG30" s="170"/>
      <c r="QYI30" s="170"/>
      <c r="QYK30" s="170"/>
      <c r="QYM30" s="170"/>
      <c r="QYO30" s="170"/>
      <c r="QYQ30" s="170"/>
      <c r="QYS30" s="170"/>
      <c r="QYU30" s="170"/>
      <c r="QYW30" s="170"/>
      <c r="QYY30" s="170"/>
      <c r="QZA30" s="170"/>
      <c r="QZC30" s="170"/>
      <c r="QZE30" s="170"/>
      <c r="QZG30" s="170"/>
      <c r="QZI30" s="170"/>
      <c r="QZK30" s="170"/>
      <c r="QZM30" s="170"/>
      <c r="QZO30" s="170"/>
      <c r="QZQ30" s="170"/>
      <c r="QZS30" s="170"/>
      <c r="QZU30" s="170"/>
      <c r="QZW30" s="170"/>
      <c r="QZY30" s="170"/>
      <c r="RAA30" s="170"/>
      <c r="RAC30" s="170"/>
      <c r="RAE30" s="170"/>
      <c r="RAG30" s="170"/>
      <c r="RAI30" s="170"/>
      <c r="RAK30" s="170"/>
      <c r="RAM30" s="170"/>
      <c r="RAO30" s="170"/>
      <c r="RAQ30" s="170"/>
      <c r="RAS30" s="170"/>
      <c r="RAU30" s="170"/>
      <c r="RAW30" s="170"/>
      <c r="RAY30" s="170"/>
      <c r="RBA30" s="170"/>
      <c r="RBC30" s="170"/>
      <c r="RBE30" s="170"/>
      <c r="RBG30" s="170"/>
      <c r="RBI30" s="170"/>
      <c r="RBK30" s="170"/>
      <c r="RBM30" s="170"/>
      <c r="RBO30" s="170"/>
      <c r="RBQ30" s="170"/>
      <c r="RBS30" s="170"/>
      <c r="RBU30" s="170"/>
      <c r="RBW30" s="170"/>
      <c r="RBY30" s="170"/>
      <c r="RCA30" s="170"/>
      <c r="RCC30" s="170"/>
      <c r="RCE30" s="170"/>
      <c r="RCG30" s="170"/>
      <c r="RCI30" s="170"/>
      <c r="RCK30" s="170"/>
      <c r="RCM30" s="170"/>
      <c r="RCO30" s="170"/>
      <c r="RCQ30" s="170"/>
      <c r="RCS30" s="170"/>
      <c r="RCU30" s="170"/>
      <c r="RCW30" s="170"/>
      <c r="RCY30" s="170"/>
      <c r="RDA30" s="170"/>
      <c r="RDC30" s="170"/>
      <c r="RDE30" s="170"/>
      <c r="RDG30" s="170"/>
      <c r="RDI30" s="170"/>
      <c r="RDK30" s="170"/>
      <c r="RDM30" s="170"/>
      <c r="RDO30" s="170"/>
      <c r="RDQ30" s="170"/>
      <c r="RDS30" s="170"/>
      <c r="RDU30" s="170"/>
      <c r="RDW30" s="170"/>
      <c r="RDY30" s="170"/>
      <c r="REA30" s="170"/>
      <c r="REC30" s="170"/>
      <c r="REE30" s="170"/>
      <c r="REG30" s="170"/>
      <c r="REI30" s="170"/>
      <c r="REK30" s="170"/>
      <c r="REM30" s="170"/>
      <c r="REO30" s="170"/>
      <c r="REQ30" s="170"/>
      <c r="RES30" s="170"/>
      <c r="REU30" s="170"/>
      <c r="REW30" s="170"/>
      <c r="REY30" s="170"/>
      <c r="RFA30" s="170"/>
      <c r="RFC30" s="170"/>
      <c r="RFE30" s="170"/>
      <c r="RFG30" s="170"/>
      <c r="RFI30" s="170"/>
      <c r="RFK30" s="170"/>
      <c r="RFM30" s="170"/>
      <c r="RFO30" s="170"/>
      <c r="RFQ30" s="170"/>
      <c r="RFS30" s="170"/>
      <c r="RFU30" s="170"/>
      <c r="RFW30" s="170"/>
      <c r="RFY30" s="170"/>
      <c r="RGA30" s="170"/>
      <c r="RGC30" s="170"/>
      <c r="RGE30" s="170"/>
      <c r="RGG30" s="170"/>
      <c r="RGI30" s="170"/>
      <c r="RGK30" s="170"/>
      <c r="RGM30" s="170"/>
      <c r="RGO30" s="170"/>
      <c r="RGQ30" s="170"/>
      <c r="RGS30" s="170"/>
      <c r="RGU30" s="170"/>
      <c r="RGW30" s="170"/>
      <c r="RGY30" s="170"/>
      <c r="RHA30" s="170"/>
      <c r="RHC30" s="170"/>
      <c r="RHE30" s="170"/>
      <c r="RHG30" s="170"/>
      <c r="RHI30" s="170"/>
      <c r="RHK30" s="170"/>
      <c r="RHM30" s="170"/>
      <c r="RHO30" s="170"/>
      <c r="RHQ30" s="170"/>
      <c r="RHS30" s="170"/>
      <c r="RHU30" s="170"/>
      <c r="RHW30" s="170"/>
      <c r="RHY30" s="170"/>
      <c r="RIA30" s="170"/>
      <c r="RIC30" s="170"/>
      <c r="RIE30" s="170"/>
      <c r="RIG30" s="170"/>
      <c r="RII30" s="170"/>
      <c r="RIK30" s="170"/>
      <c r="RIM30" s="170"/>
      <c r="RIO30" s="170"/>
      <c r="RIQ30" s="170"/>
      <c r="RIS30" s="170"/>
      <c r="RIU30" s="170"/>
      <c r="RIW30" s="170"/>
      <c r="RIY30" s="170"/>
      <c r="RJA30" s="170"/>
      <c r="RJC30" s="170"/>
      <c r="RJE30" s="170"/>
      <c r="RJG30" s="170"/>
      <c r="RJI30" s="170"/>
      <c r="RJK30" s="170"/>
      <c r="RJM30" s="170"/>
      <c r="RJO30" s="170"/>
      <c r="RJQ30" s="170"/>
      <c r="RJS30" s="170"/>
      <c r="RJU30" s="170"/>
      <c r="RJW30" s="170"/>
      <c r="RJY30" s="170"/>
      <c r="RKA30" s="170"/>
      <c r="RKC30" s="170"/>
      <c r="RKE30" s="170"/>
      <c r="RKG30" s="170"/>
      <c r="RKI30" s="170"/>
      <c r="RKK30" s="170"/>
      <c r="RKM30" s="170"/>
      <c r="RKO30" s="170"/>
      <c r="RKQ30" s="170"/>
      <c r="RKS30" s="170"/>
      <c r="RKU30" s="170"/>
      <c r="RKW30" s="170"/>
      <c r="RKY30" s="170"/>
      <c r="RLA30" s="170"/>
      <c r="RLC30" s="170"/>
      <c r="RLE30" s="170"/>
      <c r="RLG30" s="170"/>
      <c r="RLI30" s="170"/>
      <c r="RLK30" s="170"/>
      <c r="RLM30" s="170"/>
      <c r="RLO30" s="170"/>
      <c r="RLQ30" s="170"/>
      <c r="RLS30" s="170"/>
      <c r="RLU30" s="170"/>
      <c r="RLW30" s="170"/>
      <c r="RLY30" s="170"/>
      <c r="RMA30" s="170"/>
      <c r="RMC30" s="170"/>
      <c r="RME30" s="170"/>
      <c r="RMG30" s="170"/>
      <c r="RMI30" s="170"/>
      <c r="RMK30" s="170"/>
      <c r="RMM30" s="170"/>
      <c r="RMO30" s="170"/>
      <c r="RMQ30" s="170"/>
      <c r="RMS30" s="170"/>
      <c r="RMU30" s="170"/>
      <c r="RMW30" s="170"/>
      <c r="RMY30" s="170"/>
      <c r="RNA30" s="170"/>
      <c r="RNC30" s="170"/>
      <c r="RNE30" s="170"/>
      <c r="RNG30" s="170"/>
      <c r="RNI30" s="170"/>
      <c r="RNK30" s="170"/>
      <c r="RNM30" s="170"/>
      <c r="RNO30" s="170"/>
      <c r="RNQ30" s="170"/>
      <c r="RNS30" s="170"/>
      <c r="RNU30" s="170"/>
      <c r="RNW30" s="170"/>
      <c r="RNY30" s="170"/>
      <c r="ROA30" s="170"/>
      <c r="ROC30" s="170"/>
      <c r="ROE30" s="170"/>
      <c r="ROG30" s="170"/>
      <c r="ROI30" s="170"/>
      <c r="ROK30" s="170"/>
      <c r="ROM30" s="170"/>
      <c r="ROO30" s="170"/>
      <c r="ROQ30" s="170"/>
      <c r="ROS30" s="170"/>
      <c r="ROU30" s="170"/>
      <c r="ROW30" s="170"/>
      <c r="ROY30" s="170"/>
      <c r="RPA30" s="170"/>
      <c r="RPC30" s="170"/>
      <c r="RPE30" s="170"/>
      <c r="RPG30" s="170"/>
      <c r="RPI30" s="170"/>
      <c r="RPK30" s="170"/>
      <c r="RPM30" s="170"/>
      <c r="RPO30" s="170"/>
      <c r="RPQ30" s="170"/>
      <c r="RPS30" s="170"/>
      <c r="RPU30" s="170"/>
      <c r="RPW30" s="170"/>
      <c r="RPY30" s="170"/>
      <c r="RQA30" s="170"/>
      <c r="RQC30" s="170"/>
      <c r="RQE30" s="170"/>
      <c r="RQG30" s="170"/>
      <c r="RQI30" s="170"/>
      <c r="RQK30" s="170"/>
      <c r="RQM30" s="170"/>
      <c r="RQO30" s="170"/>
      <c r="RQQ30" s="170"/>
      <c r="RQS30" s="170"/>
      <c r="RQU30" s="170"/>
      <c r="RQW30" s="170"/>
      <c r="RQY30" s="170"/>
      <c r="RRA30" s="170"/>
      <c r="RRC30" s="170"/>
      <c r="RRE30" s="170"/>
      <c r="RRG30" s="170"/>
      <c r="RRI30" s="170"/>
      <c r="RRK30" s="170"/>
      <c r="RRM30" s="170"/>
      <c r="RRO30" s="170"/>
      <c r="RRQ30" s="170"/>
      <c r="RRS30" s="170"/>
      <c r="RRU30" s="170"/>
      <c r="RRW30" s="170"/>
      <c r="RRY30" s="170"/>
      <c r="RSA30" s="170"/>
      <c r="RSC30" s="170"/>
      <c r="RSE30" s="170"/>
      <c r="RSG30" s="170"/>
      <c r="RSI30" s="170"/>
      <c r="RSK30" s="170"/>
      <c r="RSM30" s="170"/>
      <c r="RSO30" s="170"/>
      <c r="RSQ30" s="170"/>
      <c r="RSS30" s="170"/>
      <c r="RSU30" s="170"/>
      <c r="RSW30" s="170"/>
      <c r="RSY30" s="170"/>
      <c r="RTA30" s="170"/>
      <c r="RTC30" s="170"/>
      <c r="RTE30" s="170"/>
      <c r="RTG30" s="170"/>
      <c r="RTI30" s="170"/>
      <c r="RTK30" s="170"/>
      <c r="RTM30" s="170"/>
      <c r="RTO30" s="170"/>
      <c r="RTQ30" s="170"/>
      <c r="RTS30" s="170"/>
      <c r="RTU30" s="170"/>
      <c r="RTW30" s="170"/>
      <c r="RTY30" s="170"/>
      <c r="RUA30" s="170"/>
      <c r="RUC30" s="170"/>
      <c r="RUE30" s="170"/>
      <c r="RUG30" s="170"/>
      <c r="RUI30" s="170"/>
      <c r="RUK30" s="170"/>
      <c r="RUM30" s="170"/>
      <c r="RUO30" s="170"/>
      <c r="RUQ30" s="170"/>
      <c r="RUS30" s="170"/>
      <c r="RUU30" s="170"/>
      <c r="RUW30" s="170"/>
      <c r="RUY30" s="170"/>
      <c r="RVA30" s="170"/>
      <c r="RVC30" s="170"/>
      <c r="RVE30" s="170"/>
      <c r="RVG30" s="170"/>
      <c r="RVI30" s="170"/>
      <c r="RVK30" s="170"/>
      <c r="RVM30" s="170"/>
      <c r="RVO30" s="170"/>
      <c r="RVQ30" s="170"/>
      <c r="RVS30" s="170"/>
      <c r="RVU30" s="170"/>
      <c r="RVW30" s="170"/>
      <c r="RVY30" s="170"/>
      <c r="RWA30" s="170"/>
      <c r="RWC30" s="170"/>
      <c r="RWE30" s="170"/>
      <c r="RWG30" s="170"/>
      <c r="RWI30" s="170"/>
      <c r="RWK30" s="170"/>
      <c r="RWM30" s="170"/>
      <c r="RWO30" s="170"/>
      <c r="RWQ30" s="170"/>
      <c r="RWS30" s="170"/>
      <c r="RWU30" s="170"/>
      <c r="RWW30" s="170"/>
      <c r="RWY30" s="170"/>
      <c r="RXA30" s="170"/>
      <c r="RXC30" s="170"/>
      <c r="RXE30" s="170"/>
      <c r="RXG30" s="170"/>
      <c r="RXI30" s="170"/>
      <c r="RXK30" s="170"/>
      <c r="RXM30" s="170"/>
      <c r="RXO30" s="170"/>
      <c r="RXQ30" s="170"/>
      <c r="RXS30" s="170"/>
      <c r="RXU30" s="170"/>
      <c r="RXW30" s="170"/>
      <c r="RXY30" s="170"/>
      <c r="RYA30" s="170"/>
      <c r="RYC30" s="170"/>
      <c r="RYE30" s="170"/>
      <c r="RYG30" s="170"/>
      <c r="RYI30" s="170"/>
      <c r="RYK30" s="170"/>
      <c r="RYM30" s="170"/>
      <c r="RYO30" s="170"/>
      <c r="RYQ30" s="170"/>
      <c r="RYS30" s="170"/>
      <c r="RYU30" s="170"/>
      <c r="RYW30" s="170"/>
      <c r="RYY30" s="170"/>
      <c r="RZA30" s="170"/>
      <c r="RZC30" s="170"/>
      <c r="RZE30" s="170"/>
      <c r="RZG30" s="170"/>
      <c r="RZI30" s="170"/>
      <c r="RZK30" s="170"/>
      <c r="RZM30" s="170"/>
      <c r="RZO30" s="170"/>
      <c r="RZQ30" s="170"/>
      <c r="RZS30" s="170"/>
      <c r="RZU30" s="170"/>
      <c r="RZW30" s="170"/>
      <c r="RZY30" s="170"/>
      <c r="SAA30" s="170"/>
      <c r="SAC30" s="170"/>
      <c r="SAE30" s="170"/>
      <c r="SAG30" s="170"/>
      <c r="SAI30" s="170"/>
      <c r="SAK30" s="170"/>
      <c r="SAM30" s="170"/>
      <c r="SAO30" s="170"/>
      <c r="SAQ30" s="170"/>
      <c r="SAS30" s="170"/>
      <c r="SAU30" s="170"/>
      <c r="SAW30" s="170"/>
      <c r="SAY30" s="170"/>
      <c r="SBA30" s="170"/>
      <c r="SBC30" s="170"/>
      <c r="SBE30" s="170"/>
      <c r="SBG30" s="170"/>
      <c r="SBI30" s="170"/>
      <c r="SBK30" s="170"/>
      <c r="SBM30" s="170"/>
      <c r="SBO30" s="170"/>
      <c r="SBQ30" s="170"/>
      <c r="SBS30" s="170"/>
      <c r="SBU30" s="170"/>
      <c r="SBW30" s="170"/>
      <c r="SBY30" s="170"/>
      <c r="SCA30" s="170"/>
      <c r="SCC30" s="170"/>
      <c r="SCE30" s="170"/>
      <c r="SCG30" s="170"/>
      <c r="SCI30" s="170"/>
      <c r="SCK30" s="170"/>
      <c r="SCM30" s="170"/>
      <c r="SCO30" s="170"/>
      <c r="SCQ30" s="170"/>
      <c r="SCS30" s="170"/>
      <c r="SCU30" s="170"/>
      <c r="SCW30" s="170"/>
      <c r="SCY30" s="170"/>
      <c r="SDA30" s="170"/>
      <c r="SDC30" s="170"/>
      <c r="SDE30" s="170"/>
      <c r="SDG30" s="170"/>
      <c r="SDI30" s="170"/>
      <c r="SDK30" s="170"/>
      <c r="SDM30" s="170"/>
      <c r="SDO30" s="170"/>
      <c r="SDQ30" s="170"/>
      <c r="SDS30" s="170"/>
      <c r="SDU30" s="170"/>
      <c r="SDW30" s="170"/>
      <c r="SDY30" s="170"/>
      <c r="SEA30" s="170"/>
      <c r="SEC30" s="170"/>
      <c r="SEE30" s="170"/>
      <c r="SEG30" s="170"/>
      <c r="SEI30" s="170"/>
      <c r="SEK30" s="170"/>
      <c r="SEM30" s="170"/>
      <c r="SEO30" s="170"/>
      <c r="SEQ30" s="170"/>
      <c r="SES30" s="170"/>
      <c r="SEU30" s="170"/>
      <c r="SEW30" s="170"/>
      <c r="SEY30" s="170"/>
      <c r="SFA30" s="170"/>
      <c r="SFC30" s="170"/>
      <c r="SFE30" s="170"/>
      <c r="SFG30" s="170"/>
      <c r="SFI30" s="170"/>
      <c r="SFK30" s="170"/>
      <c r="SFM30" s="170"/>
      <c r="SFO30" s="170"/>
      <c r="SFQ30" s="170"/>
      <c r="SFS30" s="170"/>
      <c r="SFU30" s="170"/>
      <c r="SFW30" s="170"/>
      <c r="SFY30" s="170"/>
      <c r="SGA30" s="170"/>
      <c r="SGC30" s="170"/>
      <c r="SGE30" s="170"/>
      <c r="SGG30" s="170"/>
      <c r="SGI30" s="170"/>
      <c r="SGK30" s="170"/>
      <c r="SGM30" s="170"/>
      <c r="SGO30" s="170"/>
      <c r="SGQ30" s="170"/>
      <c r="SGS30" s="170"/>
      <c r="SGU30" s="170"/>
      <c r="SGW30" s="170"/>
      <c r="SGY30" s="170"/>
      <c r="SHA30" s="170"/>
      <c r="SHC30" s="170"/>
      <c r="SHE30" s="170"/>
      <c r="SHG30" s="170"/>
      <c r="SHI30" s="170"/>
      <c r="SHK30" s="170"/>
      <c r="SHM30" s="170"/>
      <c r="SHO30" s="170"/>
      <c r="SHQ30" s="170"/>
      <c r="SHS30" s="170"/>
      <c r="SHU30" s="170"/>
      <c r="SHW30" s="170"/>
      <c r="SHY30" s="170"/>
      <c r="SIA30" s="170"/>
      <c r="SIC30" s="170"/>
      <c r="SIE30" s="170"/>
      <c r="SIG30" s="170"/>
      <c r="SII30" s="170"/>
      <c r="SIK30" s="170"/>
      <c r="SIM30" s="170"/>
      <c r="SIO30" s="170"/>
      <c r="SIQ30" s="170"/>
      <c r="SIS30" s="170"/>
      <c r="SIU30" s="170"/>
      <c r="SIW30" s="170"/>
      <c r="SIY30" s="170"/>
      <c r="SJA30" s="170"/>
      <c r="SJC30" s="170"/>
      <c r="SJE30" s="170"/>
      <c r="SJG30" s="170"/>
      <c r="SJI30" s="170"/>
      <c r="SJK30" s="170"/>
      <c r="SJM30" s="170"/>
      <c r="SJO30" s="170"/>
      <c r="SJQ30" s="170"/>
      <c r="SJS30" s="170"/>
      <c r="SJU30" s="170"/>
      <c r="SJW30" s="170"/>
      <c r="SJY30" s="170"/>
      <c r="SKA30" s="170"/>
      <c r="SKC30" s="170"/>
      <c r="SKE30" s="170"/>
      <c r="SKG30" s="170"/>
      <c r="SKI30" s="170"/>
      <c r="SKK30" s="170"/>
      <c r="SKM30" s="170"/>
      <c r="SKO30" s="170"/>
      <c r="SKQ30" s="170"/>
      <c r="SKS30" s="170"/>
      <c r="SKU30" s="170"/>
      <c r="SKW30" s="170"/>
      <c r="SKY30" s="170"/>
      <c r="SLA30" s="170"/>
      <c r="SLC30" s="170"/>
      <c r="SLE30" s="170"/>
      <c r="SLG30" s="170"/>
      <c r="SLI30" s="170"/>
      <c r="SLK30" s="170"/>
      <c r="SLM30" s="170"/>
      <c r="SLO30" s="170"/>
      <c r="SLQ30" s="170"/>
      <c r="SLS30" s="170"/>
      <c r="SLU30" s="170"/>
      <c r="SLW30" s="170"/>
      <c r="SLY30" s="170"/>
      <c r="SMA30" s="170"/>
      <c r="SMC30" s="170"/>
      <c r="SME30" s="170"/>
      <c r="SMG30" s="170"/>
      <c r="SMI30" s="170"/>
      <c r="SMK30" s="170"/>
      <c r="SMM30" s="170"/>
      <c r="SMO30" s="170"/>
      <c r="SMQ30" s="170"/>
      <c r="SMS30" s="170"/>
      <c r="SMU30" s="170"/>
      <c r="SMW30" s="170"/>
      <c r="SMY30" s="170"/>
      <c r="SNA30" s="170"/>
      <c r="SNC30" s="170"/>
      <c r="SNE30" s="170"/>
      <c r="SNG30" s="170"/>
      <c r="SNI30" s="170"/>
      <c r="SNK30" s="170"/>
      <c r="SNM30" s="170"/>
      <c r="SNO30" s="170"/>
      <c r="SNQ30" s="170"/>
      <c r="SNS30" s="170"/>
      <c r="SNU30" s="170"/>
      <c r="SNW30" s="170"/>
      <c r="SNY30" s="170"/>
      <c r="SOA30" s="170"/>
      <c r="SOC30" s="170"/>
      <c r="SOE30" s="170"/>
      <c r="SOG30" s="170"/>
      <c r="SOI30" s="170"/>
      <c r="SOK30" s="170"/>
      <c r="SOM30" s="170"/>
      <c r="SOO30" s="170"/>
      <c r="SOQ30" s="170"/>
      <c r="SOS30" s="170"/>
      <c r="SOU30" s="170"/>
      <c r="SOW30" s="170"/>
      <c r="SOY30" s="170"/>
      <c r="SPA30" s="170"/>
      <c r="SPC30" s="170"/>
      <c r="SPE30" s="170"/>
      <c r="SPG30" s="170"/>
      <c r="SPI30" s="170"/>
      <c r="SPK30" s="170"/>
      <c r="SPM30" s="170"/>
      <c r="SPO30" s="170"/>
      <c r="SPQ30" s="170"/>
      <c r="SPS30" s="170"/>
      <c r="SPU30" s="170"/>
      <c r="SPW30" s="170"/>
      <c r="SPY30" s="170"/>
      <c r="SQA30" s="170"/>
      <c r="SQC30" s="170"/>
      <c r="SQE30" s="170"/>
      <c r="SQG30" s="170"/>
      <c r="SQI30" s="170"/>
      <c r="SQK30" s="170"/>
      <c r="SQM30" s="170"/>
      <c r="SQO30" s="170"/>
      <c r="SQQ30" s="170"/>
      <c r="SQS30" s="170"/>
      <c r="SQU30" s="170"/>
      <c r="SQW30" s="170"/>
      <c r="SQY30" s="170"/>
      <c r="SRA30" s="170"/>
      <c r="SRC30" s="170"/>
      <c r="SRE30" s="170"/>
      <c r="SRG30" s="170"/>
      <c r="SRI30" s="170"/>
      <c r="SRK30" s="170"/>
      <c r="SRM30" s="170"/>
      <c r="SRO30" s="170"/>
      <c r="SRQ30" s="170"/>
      <c r="SRS30" s="170"/>
      <c r="SRU30" s="170"/>
      <c r="SRW30" s="170"/>
      <c r="SRY30" s="170"/>
      <c r="SSA30" s="170"/>
      <c r="SSC30" s="170"/>
      <c r="SSE30" s="170"/>
      <c r="SSG30" s="170"/>
      <c r="SSI30" s="170"/>
      <c r="SSK30" s="170"/>
      <c r="SSM30" s="170"/>
      <c r="SSO30" s="170"/>
      <c r="SSQ30" s="170"/>
      <c r="SSS30" s="170"/>
      <c r="SSU30" s="170"/>
      <c r="SSW30" s="170"/>
      <c r="SSY30" s="170"/>
      <c r="STA30" s="170"/>
      <c r="STC30" s="170"/>
      <c r="STE30" s="170"/>
      <c r="STG30" s="170"/>
      <c r="STI30" s="170"/>
      <c r="STK30" s="170"/>
      <c r="STM30" s="170"/>
      <c r="STO30" s="170"/>
      <c r="STQ30" s="170"/>
      <c r="STS30" s="170"/>
      <c r="STU30" s="170"/>
      <c r="STW30" s="170"/>
      <c r="STY30" s="170"/>
      <c r="SUA30" s="170"/>
      <c r="SUC30" s="170"/>
      <c r="SUE30" s="170"/>
      <c r="SUG30" s="170"/>
      <c r="SUI30" s="170"/>
      <c r="SUK30" s="170"/>
      <c r="SUM30" s="170"/>
      <c r="SUO30" s="170"/>
      <c r="SUQ30" s="170"/>
      <c r="SUS30" s="170"/>
      <c r="SUU30" s="170"/>
      <c r="SUW30" s="170"/>
      <c r="SUY30" s="170"/>
      <c r="SVA30" s="170"/>
      <c r="SVC30" s="170"/>
      <c r="SVE30" s="170"/>
      <c r="SVG30" s="170"/>
      <c r="SVI30" s="170"/>
      <c r="SVK30" s="170"/>
      <c r="SVM30" s="170"/>
      <c r="SVO30" s="170"/>
      <c r="SVQ30" s="170"/>
      <c r="SVS30" s="170"/>
      <c r="SVU30" s="170"/>
      <c r="SVW30" s="170"/>
      <c r="SVY30" s="170"/>
      <c r="SWA30" s="170"/>
      <c r="SWC30" s="170"/>
      <c r="SWE30" s="170"/>
      <c r="SWG30" s="170"/>
      <c r="SWI30" s="170"/>
      <c r="SWK30" s="170"/>
      <c r="SWM30" s="170"/>
      <c r="SWO30" s="170"/>
      <c r="SWQ30" s="170"/>
      <c r="SWS30" s="170"/>
      <c r="SWU30" s="170"/>
      <c r="SWW30" s="170"/>
      <c r="SWY30" s="170"/>
      <c r="SXA30" s="170"/>
      <c r="SXC30" s="170"/>
      <c r="SXE30" s="170"/>
      <c r="SXG30" s="170"/>
      <c r="SXI30" s="170"/>
      <c r="SXK30" s="170"/>
      <c r="SXM30" s="170"/>
      <c r="SXO30" s="170"/>
      <c r="SXQ30" s="170"/>
      <c r="SXS30" s="170"/>
      <c r="SXU30" s="170"/>
      <c r="SXW30" s="170"/>
      <c r="SXY30" s="170"/>
      <c r="SYA30" s="170"/>
      <c r="SYC30" s="170"/>
      <c r="SYE30" s="170"/>
      <c r="SYG30" s="170"/>
      <c r="SYI30" s="170"/>
      <c r="SYK30" s="170"/>
      <c r="SYM30" s="170"/>
      <c r="SYO30" s="170"/>
      <c r="SYQ30" s="170"/>
      <c r="SYS30" s="170"/>
      <c r="SYU30" s="170"/>
      <c r="SYW30" s="170"/>
      <c r="SYY30" s="170"/>
      <c r="SZA30" s="170"/>
      <c r="SZC30" s="170"/>
      <c r="SZE30" s="170"/>
      <c r="SZG30" s="170"/>
      <c r="SZI30" s="170"/>
      <c r="SZK30" s="170"/>
      <c r="SZM30" s="170"/>
      <c r="SZO30" s="170"/>
      <c r="SZQ30" s="170"/>
      <c r="SZS30" s="170"/>
      <c r="SZU30" s="170"/>
      <c r="SZW30" s="170"/>
      <c r="SZY30" s="170"/>
      <c r="TAA30" s="170"/>
      <c r="TAC30" s="170"/>
      <c r="TAE30" s="170"/>
      <c r="TAG30" s="170"/>
      <c r="TAI30" s="170"/>
      <c r="TAK30" s="170"/>
      <c r="TAM30" s="170"/>
      <c r="TAO30" s="170"/>
      <c r="TAQ30" s="170"/>
      <c r="TAS30" s="170"/>
      <c r="TAU30" s="170"/>
      <c r="TAW30" s="170"/>
      <c r="TAY30" s="170"/>
      <c r="TBA30" s="170"/>
      <c r="TBC30" s="170"/>
      <c r="TBE30" s="170"/>
      <c r="TBG30" s="170"/>
      <c r="TBI30" s="170"/>
      <c r="TBK30" s="170"/>
      <c r="TBM30" s="170"/>
      <c r="TBO30" s="170"/>
      <c r="TBQ30" s="170"/>
      <c r="TBS30" s="170"/>
      <c r="TBU30" s="170"/>
      <c r="TBW30" s="170"/>
      <c r="TBY30" s="170"/>
      <c r="TCA30" s="170"/>
      <c r="TCC30" s="170"/>
      <c r="TCE30" s="170"/>
      <c r="TCG30" s="170"/>
      <c r="TCI30" s="170"/>
      <c r="TCK30" s="170"/>
      <c r="TCM30" s="170"/>
      <c r="TCO30" s="170"/>
      <c r="TCQ30" s="170"/>
      <c r="TCS30" s="170"/>
      <c r="TCU30" s="170"/>
      <c r="TCW30" s="170"/>
      <c r="TCY30" s="170"/>
      <c r="TDA30" s="170"/>
      <c r="TDC30" s="170"/>
      <c r="TDE30" s="170"/>
      <c r="TDG30" s="170"/>
      <c r="TDI30" s="170"/>
      <c r="TDK30" s="170"/>
      <c r="TDM30" s="170"/>
      <c r="TDO30" s="170"/>
      <c r="TDQ30" s="170"/>
      <c r="TDS30" s="170"/>
      <c r="TDU30" s="170"/>
      <c r="TDW30" s="170"/>
      <c r="TDY30" s="170"/>
      <c r="TEA30" s="170"/>
      <c r="TEC30" s="170"/>
      <c r="TEE30" s="170"/>
      <c r="TEG30" s="170"/>
      <c r="TEI30" s="170"/>
      <c r="TEK30" s="170"/>
      <c r="TEM30" s="170"/>
      <c r="TEO30" s="170"/>
      <c r="TEQ30" s="170"/>
      <c r="TES30" s="170"/>
      <c r="TEU30" s="170"/>
      <c r="TEW30" s="170"/>
      <c r="TEY30" s="170"/>
      <c r="TFA30" s="170"/>
      <c r="TFC30" s="170"/>
      <c r="TFE30" s="170"/>
      <c r="TFG30" s="170"/>
      <c r="TFI30" s="170"/>
      <c r="TFK30" s="170"/>
      <c r="TFM30" s="170"/>
      <c r="TFO30" s="170"/>
      <c r="TFQ30" s="170"/>
      <c r="TFS30" s="170"/>
      <c r="TFU30" s="170"/>
      <c r="TFW30" s="170"/>
      <c r="TFY30" s="170"/>
      <c r="TGA30" s="170"/>
      <c r="TGC30" s="170"/>
      <c r="TGE30" s="170"/>
      <c r="TGG30" s="170"/>
      <c r="TGI30" s="170"/>
      <c r="TGK30" s="170"/>
      <c r="TGM30" s="170"/>
      <c r="TGO30" s="170"/>
      <c r="TGQ30" s="170"/>
      <c r="TGS30" s="170"/>
      <c r="TGU30" s="170"/>
      <c r="TGW30" s="170"/>
      <c r="TGY30" s="170"/>
      <c r="THA30" s="170"/>
      <c r="THC30" s="170"/>
      <c r="THE30" s="170"/>
      <c r="THG30" s="170"/>
      <c r="THI30" s="170"/>
      <c r="THK30" s="170"/>
      <c r="THM30" s="170"/>
      <c r="THO30" s="170"/>
      <c r="THQ30" s="170"/>
      <c r="THS30" s="170"/>
      <c r="THU30" s="170"/>
      <c r="THW30" s="170"/>
      <c r="THY30" s="170"/>
      <c r="TIA30" s="170"/>
      <c r="TIC30" s="170"/>
      <c r="TIE30" s="170"/>
      <c r="TIG30" s="170"/>
      <c r="TII30" s="170"/>
      <c r="TIK30" s="170"/>
      <c r="TIM30" s="170"/>
      <c r="TIO30" s="170"/>
      <c r="TIQ30" s="170"/>
      <c r="TIS30" s="170"/>
      <c r="TIU30" s="170"/>
      <c r="TIW30" s="170"/>
      <c r="TIY30" s="170"/>
      <c r="TJA30" s="170"/>
      <c r="TJC30" s="170"/>
      <c r="TJE30" s="170"/>
      <c r="TJG30" s="170"/>
      <c r="TJI30" s="170"/>
      <c r="TJK30" s="170"/>
      <c r="TJM30" s="170"/>
      <c r="TJO30" s="170"/>
      <c r="TJQ30" s="170"/>
      <c r="TJS30" s="170"/>
      <c r="TJU30" s="170"/>
      <c r="TJW30" s="170"/>
      <c r="TJY30" s="170"/>
      <c r="TKA30" s="170"/>
      <c r="TKC30" s="170"/>
      <c r="TKE30" s="170"/>
      <c r="TKG30" s="170"/>
      <c r="TKI30" s="170"/>
      <c r="TKK30" s="170"/>
      <c r="TKM30" s="170"/>
      <c r="TKO30" s="170"/>
      <c r="TKQ30" s="170"/>
      <c r="TKS30" s="170"/>
      <c r="TKU30" s="170"/>
      <c r="TKW30" s="170"/>
      <c r="TKY30" s="170"/>
      <c r="TLA30" s="170"/>
      <c r="TLC30" s="170"/>
      <c r="TLE30" s="170"/>
      <c r="TLG30" s="170"/>
      <c r="TLI30" s="170"/>
      <c r="TLK30" s="170"/>
      <c r="TLM30" s="170"/>
      <c r="TLO30" s="170"/>
      <c r="TLQ30" s="170"/>
      <c r="TLS30" s="170"/>
      <c r="TLU30" s="170"/>
      <c r="TLW30" s="170"/>
      <c r="TLY30" s="170"/>
      <c r="TMA30" s="170"/>
      <c r="TMC30" s="170"/>
      <c r="TME30" s="170"/>
      <c r="TMG30" s="170"/>
      <c r="TMI30" s="170"/>
      <c r="TMK30" s="170"/>
      <c r="TMM30" s="170"/>
      <c r="TMO30" s="170"/>
      <c r="TMQ30" s="170"/>
      <c r="TMS30" s="170"/>
      <c r="TMU30" s="170"/>
      <c r="TMW30" s="170"/>
      <c r="TMY30" s="170"/>
      <c r="TNA30" s="170"/>
      <c r="TNC30" s="170"/>
      <c r="TNE30" s="170"/>
      <c r="TNG30" s="170"/>
      <c r="TNI30" s="170"/>
      <c r="TNK30" s="170"/>
      <c r="TNM30" s="170"/>
      <c r="TNO30" s="170"/>
      <c r="TNQ30" s="170"/>
      <c r="TNS30" s="170"/>
      <c r="TNU30" s="170"/>
      <c r="TNW30" s="170"/>
      <c r="TNY30" s="170"/>
      <c r="TOA30" s="170"/>
      <c r="TOC30" s="170"/>
      <c r="TOE30" s="170"/>
      <c r="TOG30" s="170"/>
      <c r="TOI30" s="170"/>
      <c r="TOK30" s="170"/>
      <c r="TOM30" s="170"/>
      <c r="TOO30" s="170"/>
      <c r="TOQ30" s="170"/>
      <c r="TOS30" s="170"/>
      <c r="TOU30" s="170"/>
      <c r="TOW30" s="170"/>
      <c r="TOY30" s="170"/>
      <c r="TPA30" s="170"/>
      <c r="TPC30" s="170"/>
      <c r="TPE30" s="170"/>
      <c r="TPG30" s="170"/>
      <c r="TPI30" s="170"/>
      <c r="TPK30" s="170"/>
      <c r="TPM30" s="170"/>
      <c r="TPO30" s="170"/>
      <c r="TPQ30" s="170"/>
      <c r="TPS30" s="170"/>
      <c r="TPU30" s="170"/>
      <c r="TPW30" s="170"/>
      <c r="TPY30" s="170"/>
      <c r="TQA30" s="170"/>
      <c r="TQC30" s="170"/>
      <c r="TQE30" s="170"/>
      <c r="TQG30" s="170"/>
      <c r="TQI30" s="170"/>
      <c r="TQK30" s="170"/>
      <c r="TQM30" s="170"/>
      <c r="TQO30" s="170"/>
      <c r="TQQ30" s="170"/>
      <c r="TQS30" s="170"/>
      <c r="TQU30" s="170"/>
      <c r="TQW30" s="170"/>
      <c r="TQY30" s="170"/>
      <c r="TRA30" s="170"/>
      <c r="TRC30" s="170"/>
      <c r="TRE30" s="170"/>
      <c r="TRG30" s="170"/>
      <c r="TRI30" s="170"/>
      <c r="TRK30" s="170"/>
      <c r="TRM30" s="170"/>
      <c r="TRO30" s="170"/>
      <c r="TRQ30" s="170"/>
      <c r="TRS30" s="170"/>
      <c r="TRU30" s="170"/>
      <c r="TRW30" s="170"/>
      <c r="TRY30" s="170"/>
      <c r="TSA30" s="170"/>
      <c r="TSC30" s="170"/>
      <c r="TSE30" s="170"/>
      <c r="TSG30" s="170"/>
      <c r="TSI30" s="170"/>
      <c r="TSK30" s="170"/>
      <c r="TSM30" s="170"/>
      <c r="TSO30" s="170"/>
      <c r="TSQ30" s="170"/>
      <c r="TSS30" s="170"/>
      <c r="TSU30" s="170"/>
      <c r="TSW30" s="170"/>
      <c r="TSY30" s="170"/>
      <c r="TTA30" s="170"/>
      <c r="TTC30" s="170"/>
      <c r="TTE30" s="170"/>
      <c r="TTG30" s="170"/>
      <c r="TTI30" s="170"/>
      <c r="TTK30" s="170"/>
      <c r="TTM30" s="170"/>
      <c r="TTO30" s="170"/>
      <c r="TTQ30" s="170"/>
      <c r="TTS30" s="170"/>
      <c r="TTU30" s="170"/>
      <c r="TTW30" s="170"/>
      <c r="TTY30" s="170"/>
      <c r="TUA30" s="170"/>
      <c r="TUC30" s="170"/>
      <c r="TUE30" s="170"/>
      <c r="TUG30" s="170"/>
      <c r="TUI30" s="170"/>
      <c r="TUK30" s="170"/>
      <c r="TUM30" s="170"/>
      <c r="TUO30" s="170"/>
      <c r="TUQ30" s="170"/>
      <c r="TUS30" s="170"/>
      <c r="TUU30" s="170"/>
      <c r="TUW30" s="170"/>
      <c r="TUY30" s="170"/>
      <c r="TVA30" s="170"/>
      <c r="TVC30" s="170"/>
      <c r="TVE30" s="170"/>
      <c r="TVG30" s="170"/>
      <c r="TVI30" s="170"/>
      <c r="TVK30" s="170"/>
      <c r="TVM30" s="170"/>
      <c r="TVO30" s="170"/>
      <c r="TVQ30" s="170"/>
      <c r="TVS30" s="170"/>
      <c r="TVU30" s="170"/>
      <c r="TVW30" s="170"/>
      <c r="TVY30" s="170"/>
      <c r="TWA30" s="170"/>
      <c r="TWC30" s="170"/>
      <c r="TWE30" s="170"/>
      <c r="TWG30" s="170"/>
      <c r="TWI30" s="170"/>
      <c r="TWK30" s="170"/>
      <c r="TWM30" s="170"/>
      <c r="TWO30" s="170"/>
      <c r="TWQ30" s="170"/>
      <c r="TWS30" s="170"/>
      <c r="TWU30" s="170"/>
      <c r="TWW30" s="170"/>
      <c r="TWY30" s="170"/>
      <c r="TXA30" s="170"/>
      <c r="TXC30" s="170"/>
      <c r="TXE30" s="170"/>
      <c r="TXG30" s="170"/>
      <c r="TXI30" s="170"/>
      <c r="TXK30" s="170"/>
      <c r="TXM30" s="170"/>
      <c r="TXO30" s="170"/>
      <c r="TXQ30" s="170"/>
      <c r="TXS30" s="170"/>
      <c r="TXU30" s="170"/>
      <c r="TXW30" s="170"/>
      <c r="TXY30" s="170"/>
      <c r="TYA30" s="170"/>
      <c r="TYC30" s="170"/>
      <c r="TYE30" s="170"/>
      <c r="TYG30" s="170"/>
      <c r="TYI30" s="170"/>
      <c r="TYK30" s="170"/>
      <c r="TYM30" s="170"/>
      <c r="TYO30" s="170"/>
      <c r="TYQ30" s="170"/>
      <c r="TYS30" s="170"/>
      <c r="TYU30" s="170"/>
      <c r="TYW30" s="170"/>
      <c r="TYY30" s="170"/>
      <c r="TZA30" s="170"/>
      <c r="TZC30" s="170"/>
      <c r="TZE30" s="170"/>
      <c r="TZG30" s="170"/>
      <c r="TZI30" s="170"/>
      <c r="TZK30" s="170"/>
      <c r="TZM30" s="170"/>
      <c r="TZO30" s="170"/>
      <c r="TZQ30" s="170"/>
      <c r="TZS30" s="170"/>
      <c r="TZU30" s="170"/>
      <c r="TZW30" s="170"/>
      <c r="TZY30" s="170"/>
      <c r="UAA30" s="170"/>
      <c r="UAC30" s="170"/>
      <c r="UAE30" s="170"/>
      <c r="UAG30" s="170"/>
      <c r="UAI30" s="170"/>
      <c r="UAK30" s="170"/>
      <c r="UAM30" s="170"/>
      <c r="UAO30" s="170"/>
      <c r="UAQ30" s="170"/>
      <c r="UAS30" s="170"/>
      <c r="UAU30" s="170"/>
      <c r="UAW30" s="170"/>
      <c r="UAY30" s="170"/>
      <c r="UBA30" s="170"/>
      <c r="UBC30" s="170"/>
      <c r="UBE30" s="170"/>
      <c r="UBG30" s="170"/>
      <c r="UBI30" s="170"/>
      <c r="UBK30" s="170"/>
      <c r="UBM30" s="170"/>
      <c r="UBO30" s="170"/>
      <c r="UBQ30" s="170"/>
      <c r="UBS30" s="170"/>
      <c r="UBU30" s="170"/>
      <c r="UBW30" s="170"/>
      <c r="UBY30" s="170"/>
      <c r="UCA30" s="170"/>
      <c r="UCC30" s="170"/>
      <c r="UCE30" s="170"/>
      <c r="UCG30" s="170"/>
      <c r="UCI30" s="170"/>
      <c r="UCK30" s="170"/>
      <c r="UCM30" s="170"/>
      <c r="UCO30" s="170"/>
      <c r="UCQ30" s="170"/>
      <c r="UCS30" s="170"/>
      <c r="UCU30" s="170"/>
      <c r="UCW30" s="170"/>
      <c r="UCY30" s="170"/>
      <c r="UDA30" s="170"/>
      <c r="UDC30" s="170"/>
      <c r="UDE30" s="170"/>
      <c r="UDG30" s="170"/>
      <c r="UDI30" s="170"/>
      <c r="UDK30" s="170"/>
      <c r="UDM30" s="170"/>
      <c r="UDO30" s="170"/>
      <c r="UDQ30" s="170"/>
      <c r="UDS30" s="170"/>
      <c r="UDU30" s="170"/>
      <c r="UDW30" s="170"/>
      <c r="UDY30" s="170"/>
      <c r="UEA30" s="170"/>
      <c r="UEC30" s="170"/>
      <c r="UEE30" s="170"/>
      <c r="UEG30" s="170"/>
      <c r="UEI30" s="170"/>
      <c r="UEK30" s="170"/>
      <c r="UEM30" s="170"/>
      <c r="UEO30" s="170"/>
      <c r="UEQ30" s="170"/>
      <c r="UES30" s="170"/>
      <c r="UEU30" s="170"/>
      <c r="UEW30" s="170"/>
      <c r="UEY30" s="170"/>
      <c r="UFA30" s="170"/>
      <c r="UFC30" s="170"/>
      <c r="UFE30" s="170"/>
      <c r="UFG30" s="170"/>
      <c r="UFI30" s="170"/>
      <c r="UFK30" s="170"/>
      <c r="UFM30" s="170"/>
      <c r="UFO30" s="170"/>
      <c r="UFQ30" s="170"/>
      <c r="UFS30" s="170"/>
      <c r="UFU30" s="170"/>
      <c r="UFW30" s="170"/>
      <c r="UFY30" s="170"/>
      <c r="UGA30" s="170"/>
      <c r="UGC30" s="170"/>
      <c r="UGE30" s="170"/>
      <c r="UGG30" s="170"/>
      <c r="UGI30" s="170"/>
      <c r="UGK30" s="170"/>
      <c r="UGM30" s="170"/>
      <c r="UGO30" s="170"/>
      <c r="UGQ30" s="170"/>
      <c r="UGS30" s="170"/>
      <c r="UGU30" s="170"/>
      <c r="UGW30" s="170"/>
      <c r="UGY30" s="170"/>
      <c r="UHA30" s="170"/>
      <c r="UHC30" s="170"/>
      <c r="UHE30" s="170"/>
      <c r="UHG30" s="170"/>
      <c r="UHI30" s="170"/>
      <c r="UHK30" s="170"/>
      <c r="UHM30" s="170"/>
      <c r="UHO30" s="170"/>
      <c r="UHQ30" s="170"/>
      <c r="UHS30" s="170"/>
      <c r="UHU30" s="170"/>
      <c r="UHW30" s="170"/>
      <c r="UHY30" s="170"/>
      <c r="UIA30" s="170"/>
      <c r="UIC30" s="170"/>
      <c r="UIE30" s="170"/>
      <c r="UIG30" s="170"/>
      <c r="UII30" s="170"/>
      <c r="UIK30" s="170"/>
      <c r="UIM30" s="170"/>
      <c r="UIO30" s="170"/>
      <c r="UIQ30" s="170"/>
      <c r="UIS30" s="170"/>
      <c r="UIU30" s="170"/>
      <c r="UIW30" s="170"/>
      <c r="UIY30" s="170"/>
      <c r="UJA30" s="170"/>
      <c r="UJC30" s="170"/>
      <c r="UJE30" s="170"/>
      <c r="UJG30" s="170"/>
      <c r="UJI30" s="170"/>
      <c r="UJK30" s="170"/>
      <c r="UJM30" s="170"/>
      <c r="UJO30" s="170"/>
      <c r="UJQ30" s="170"/>
      <c r="UJS30" s="170"/>
      <c r="UJU30" s="170"/>
      <c r="UJW30" s="170"/>
      <c r="UJY30" s="170"/>
      <c r="UKA30" s="170"/>
      <c r="UKC30" s="170"/>
      <c r="UKE30" s="170"/>
      <c r="UKG30" s="170"/>
      <c r="UKI30" s="170"/>
      <c r="UKK30" s="170"/>
      <c r="UKM30" s="170"/>
      <c r="UKO30" s="170"/>
      <c r="UKQ30" s="170"/>
      <c r="UKS30" s="170"/>
      <c r="UKU30" s="170"/>
      <c r="UKW30" s="170"/>
      <c r="UKY30" s="170"/>
      <c r="ULA30" s="170"/>
      <c r="ULC30" s="170"/>
      <c r="ULE30" s="170"/>
      <c r="ULG30" s="170"/>
      <c r="ULI30" s="170"/>
      <c r="ULK30" s="170"/>
      <c r="ULM30" s="170"/>
      <c r="ULO30" s="170"/>
      <c r="ULQ30" s="170"/>
      <c r="ULS30" s="170"/>
      <c r="ULU30" s="170"/>
      <c r="ULW30" s="170"/>
      <c r="ULY30" s="170"/>
      <c r="UMA30" s="170"/>
      <c r="UMC30" s="170"/>
      <c r="UME30" s="170"/>
      <c r="UMG30" s="170"/>
      <c r="UMI30" s="170"/>
      <c r="UMK30" s="170"/>
      <c r="UMM30" s="170"/>
      <c r="UMO30" s="170"/>
      <c r="UMQ30" s="170"/>
      <c r="UMS30" s="170"/>
      <c r="UMU30" s="170"/>
      <c r="UMW30" s="170"/>
      <c r="UMY30" s="170"/>
      <c r="UNA30" s="170"/>
      <c r="UNC30" s="170"/>
      <c r="UNE30" s="170"/>
      <c r="UNG30" s="170"/>
      <c r="UNI30" s="170"/>
      <c r="UNK30" s="170"/>
      <c r="UNM30" s="170"/>
      <c r="UNO30" s="170"/>
      <c r="UNQ30" s="170"/>
      <c r="UNS30" s="170"/>
      <c r="UNU30" s="170"/>
      <c r="UNW30" s="170"/>
      <c r="UNY30" s="170"/>
      <c r="UOA30" s="170"/>
      <c r="UOC30" s="170"/>
      <c r="UOE30" s="170"/>
      <c r="UOG30" s="170"/>
      <c r="UOI30" s="170"/>
      <c r="UOK30" s="170"/>
      <c r="UOM30" s="170"/>
      <c r="UOO30" s="170"/>
      <c r="UOQ30" s="170"/>
      <c r="UOS30" s="170"/>
      <c r="UOU30" s="170"/>
      <c r="UOW30" s="170"/>
      <c r="UOY30" s="170"/>
      <c r="UPA30" s="170"/>
      <c r="UPC30" s="170"/>
      <c r="UPE30" s="170"/>
      <c r="UPG30" s="170"/>
      <c r="UPI30" s="170"/>
      <c r="UPK30" s="170"/>
      <c r="UPM30" s="170"/>
      <c r="UPO30" s="170"/>
      <c r="UPQ30" s="170"/>
      <c r="UPS30" s="170"/>
      <c r="UPU30" s="170"/>
      <c r="UPW30" s="170"/>
      <c r="UPY30" s="170"/>
      <c r="UQA30" s="170"/>
      <c r="UQC30" s="170"/>
      <c r="UQE30" s="170"/>
      <c r="UQG30" s="170"/>
      <c r="UQI30" s="170"/>
      <c r="UQK30" s="170"/>
      <c r="UQM30" s="170"/>
      <c r="UQO30" s="170"/>
      <c r="UQQ30" s="170"/>
      <c r="UQS30" s="170"/>
      <c r="UQU30" s="170"/>
      <c r="UQW30" s="170"/>
      <c r="UQY30" s="170"/>
      <c r="URA30" s="170"/>
      <c r="URC30" s="170"/>
      <c r="URE30" s="170"/>
      <c r="URG30" s="170"/>
      <c r="URI30" s="170"/>
      <c r="URK30" s="170"/>
      <c r="URM30" s="170"/>
      <c r="URO30" s="170"/>
      <c r="URQ30" s="170"/>
      <c r="URS30" s="170"/>
      <c r="URU30" s="170"/>
      <c r="URW30" s="170"/>
      <c r="URY30" s="170"/>
      <c r="USA30" s="170"/>
      <c r="USC30" s="170"/>
      <c r="USE30" s="170"/>
      <c r="USG30" s="170"/>
      <c r="USI30" s="170"/>
      <c r="USK30" s="170"/>
      <c r="USM30" s="170"/>
      <c r="USO30" s="170"/>
      <c r="USQ30" s="170"/>
      <c r="USS30" s="170"/>
      <c r="USU30" s="170"/>
      <c r="USW30" s="170"/>
      <c r="USY30" s="170"/>
      <c r="UTA30" s="170"/>
      <c r="UTC30" s="170"/>
      <c r="UTE30" s="170"/>
      <c r="UTG30" s="170"/>
      <c r="UTI30" s="170"/>
      <c r="UTK30" s="170"/>
      <c r="UTM30" s="170"/>
      <c r="UTO30" s="170"/>
      <c r="UTQ30" s="170"/>
      <c r="UTS30" s="170"/>
      <c r="UTU30" s="170"/>
      <c r="UTW30" s="170"/>
      <c r="UTY30" s="170"/>
      <c r="UUA30" s="170"/>
      <c r="UUC30" s="170"/>
      <c r="UUE30" s="170"/>
      <c r="UUG30" s="170"/>
      <c r="UUI30" s="170"/>
      <c r="UUK30" s="170"/>
      <c r="UUM30" s="170"/>
      <c r="UUO30" s="170"/>
      <c r="UUQ30" s="170"/>
      <c r="UUS30" s="170"/>
      <c r="UUU30" s="170"/>
      <c r="UUW30" s="170"/>
      <c r="UUY30" s="170"/>
      <c r="UVA30" s="170"/>
      <c r="UVC30" s="170"/>
      <c r="UVE30" s="170"/>
      <c r="UVG30" s="170"/>
      <c r="UVI30" s="170"/>
      <c r="UVK30" s="170"/>
      <c r="UVM30" s="170"/>
      <c r="UVO30" s="170"/>
      <c r="UVQ30" s="170"/>
      <c r="UVS30" s="170"/>
      <c r="UVU30" s="170"/>
      <c r="UVW30" s="170"/>
      <c r="UVY30" s="170"/>
      <c r="UWA30" s="170"/>
      <c r="UWC30" s="170"/>
      <c r="UWE30" s="170"/>
      <c r="UWG30" s="170"/>
      <c r="UWI30" s="170"/>
      <c r="UWK30" s="170"/>
      <c r="UWM30" s="170"/>
      <c r="UWO30" s="170"/>
      <c r="UWQ30" s="170"/>
      <c r="UWS30" s="170"/>
      <c r="UWU30" s="170"/>
      <c r="UWW30" s="170"/>
      <c r="UWY30" s="170"/>
      <c r="UXA30" s="170"/>
      <c r="UXC30" s="170"/>
      <c r="UXE30" s="170"/>
      <c r="UXG30" s="170"/>
      <c r="UXI30" s="170"/>
      <c r="UXK30" s="170"/>
      <c r="UXM30" s="170"/>
      <c r="UXO30" s="170"/>
      <c r="UXQ30" s="170"/>
      <c r="UXS30" s="170"/>
      <c r="UXU30" s="170"/>
      <c r="UXW30" s="170"/>
      <c r="UXY30" s="170"/>
      <c r="UYA30" s="170"/>
      <c r="UYC30" s="170"/>
      <c r="UYE30" s="170"/>
      <c r="UYG30" s="170"/>
      <c r="UYI30" s="170"/>
      <c r="UYK30" s="170"/>
      <c r="UYM30" s="170"/>
      <c r="UYO30" s="170"/>
      <c r="UYQ30" s="170"/>
      <c r="UYS30" s="170"/>
      <c r="UYU30" s="170"/>
      <c r="UYW30" s="170"/>
      <c r="UYY30" s="170"/>
      <c r="UZA30" s="170"/>
      <c r="UZC30" s="170"/>
      <c r="UZE30" s="170"/>
      <c r="UZG30" s="170"/>
      <c r="UZI30" s="170"/>
      <c r="UZK30" s="170"/>
      <c r="UZM30" s="170"/>
      <c r="UZO30" s="170"/>
      <c r="UZQ30" s="170"/>
      <c r="UZS30" s="170"/>
      <c r="UZU30" s="170"/>
      <c r="UZW30" s="170"/>
      <c r="UZY30" s="170"/>
      <c r="VAA30" s="170"/>
      <c r="VAC30" s="170"/>
      <c r="VAE30" s="170"/>
      <c r="VAG30" s="170"/>
      <c r="VAI30" s="170"/>
      <c r="VAK30" s="170"/>
      <c r="VAM30" s="170"/>
      <c r="VAO30" s="170"/>
      <c r="VAQ30" s="170"/>
      <c r="VAS30" s="170"/>
      <c r="VAU30" s="170"/>
      <c r="VAW30" s="170"/>
      <c r="VAY30" s="170"/>
      <c r="VBA30" s="170"/>
      <c r="VBC30" s="170"/>
      <c r="VBE30" s="170"/>
      <c r="VBG30" s="170"/>
      <c r="VBI30" s="170"/>
      <c r="VBK30" s="170"/>
      <c r="VBM30" s="170"/>
      <c r="VBO30" s="170"/>
      <c r="VBQ30" s="170"/>
      <c r="VBS30" s="170"/>
      <c r="VBU30" s="170"/>
      <c r="VBW30" s="170"/>
      <c r="VBY30" s="170"/>
      <c r="VCA30" s="170"/>
      <c r="VCC30" s="170"/>
      <c r="VCE30" s="170"/>
      <c r="VCG30" s="170"/>
      <c r="VCI30" s="170"/>
      <c r="VCK30" s="170"/>
      <c r="VCM30" s="170"/>
      <c r="VCO30" s="170"/>
      <c r="VCQ30" s="170"/>
      <c r="VCS30" s="170"/>
      <c r="VCU30" s="170"/>
      <c r="VCW30" s="170"/>
      <c r="VCY30" s="170"/>
      <c r="VDA30" s="170"/>
      <c r="VDC30" s="170"/>
      <c r="VDE30" s="170"/>
      <c r="VDG30" s="170"/>
      <c r="VDI30" s="170"/>
      <c r="VDK30" s="170"/>
      <c r="VDM30" s="170"/>
      <c r="VDO30" s="170"/>
      <c r="VDQ30" s="170"/>
      <c r="VDS30" s="170"/>
      <c r="VDU30" s="170"/>
      <c r="VDW30" s="170"/>
      <c r="VDY30" s="170"/>
      <c r="VEA30" s="170"/>
      <c r="VEC30" s="170"/>
      <c r="VEE30" s="170"/>
      <c r="VEG30" s="170"/>
      <c r="VEI30" s="170"/>
      <c r="VEK30" s="170"/>
      <c r="VEM30" s="170"/>
      <c r="VEO30" s="170"/>
      <c r="VEQ30" s="170"/>
      <c r="VES30" s="170"/>
      <c r="VEU30" s="170"/>
      <c r="VEW30" s="170"/>
      <c r="VEY30" s="170"/>
      <c r="VFA30" s="170"/>
      <c r="VFC30" s="170"/>
      <c r="VFE30" s="170"/>
      <c r="VFG30" s="170"/>
      <c r="VFI30" s="170"/>
      <c r="VFK30" s="170"/>
      <c r="VFM30" s="170"/>
      <c r="VFO30" s="170"/>
      <c r="VFQ30" s="170"/>
      <c r="VFS30" s="170"/>
      <c r="VFU30" s="170"/>
      <c r="VFW30" s="170"/>
      <c r="VFY30" s="170"/>
      <c r="VGA30" s="170"/>
      <c r="VGC30" s="170"/>
      <c r="VGE30" s="170"/>
      <c r="VGG30" s="170"/>
      <c r="VGI30" s="170"/>
      <c r="VGK30" s="170"/>
      <c r="VGM30" s="170"/>
      <c r="VGO30" s="170"/>
      <c r="VGQ30" s="170"/>
      <c r="VGS30" s="170"/>
      <c r="VGU30" s="170"/>
      <c r="VGW30" s="170"/>
      <c r="VGY30" s="170"/>
      <c r="VHA30" s="170"/>
      <c r="VHC30" s="170"/>
      <c r="VHE30" s="170"/>
      <c r="VHG30" s="170"/>
      <c r="VHI30" s="170"/>
      <c r="VHK30" s="170"/>
      <c r="VHM30" s="170"/>
      <c r="VHO30" s="170"/>
      <c r="VHQ30" s="170"/>
      <c r="VHS30" s="170"/>
      <c r="VHU30" s="170"/>
      <c r="VHW30" s="170"/>
      <c r="VHY30" s="170"/>
      <c r="VIA30" s="170"/>
      <c r="VIC30" s="170"/>
      <c r="VIE30" s="170"/>
      <c r="VIG30" s="170"/>
      <c r="VII30" s="170"/>
      <c r="VIK30" s="170"/>
      <c r="VIM30" s="170"/>
      <c r="VIO30" s="170"/>
      <c r="VIQ30" s="170"/>
      <c r="VIS30" s="170"/>
      <c r="VIU30" s="170"/>
      <c r="VIW30" s="170"/>
      <c r="VIY30" s="170"/>
      <c r="VJA30" s="170"/>
      <c r="VJC30" s="170"/>
      <c r="VJE30" s="170"/>
      <c r="VJG30" s="170"/>
      <c r="VJI30" s="170"/>
      <c r="VJK30" s="170"/>
      <c r="VJM30" s="170"/>
      <c r="VJO30" s="170"/>
      <c r="VJQ30" s="170"/>
      <c r="VJS30" s="170"/>
      <c r="VJU30" s="170"/>
      <c r="VJW30" s="170"/>
      <c r="VJY30" s="170"/>
      <c r="VKA30" s="170"/>
      <c r="VKC30" s="170"/>
      <c r="VKE30" s="170"/>
      <c r="VKG30" s="170"/>
      <c r="VKI30" s="170"/>
      <c r="VKK30" s="170"/>
      <c r="VKM30" s="170"/>
      <c r="VKO30" s="170"/>
      <c r="VKQ30" s="170"/>
      <c r="VKS30" s="170"/>
      <c r="VKU30" s="170"/>
      <c r="VKW30" s="170"/>
      <c r="VKY30" s="170"/>
      <c r="VLA30" s="170"/>
      <c r="VLC30" s="170"/>
      <c r="VLE30" s="170"/>
      <c r="VLG30" s="170"/>
      <c r="VLI30" s="170"/>
      <c r="VLK30" s="170"/>
      <c r="VLM30" s="170"/>
      <c r="VLO30" s="170"/>
      <c r="VLQ30" s="170"/>
      <c r="VLS30" s="170"/>
      <c r="VLU30" s="170"/>
      <c r="VLW30" s="170"/>
      <c r="VLY30" s="170"/>
      <c r="VMA30" s="170"/>
      <c r="VMC30" s="170"/>
      <c r="VME30" s="170"/>
      <c r="VMG30" s="170"/>
      <c r="VMI30" s="170"/>
      <c r="VMK30" s="170"/>
      <c r="VMM30" s="170"/>
      <c r="VMO30" s="170"/>
      <c r="VMQ30" s="170"/>
      <c r="VMS30" s="170"/>
      <c r="VMU30" s="170"/>
      <c r="VMW30" s="170"/>
      <c r="VMY30" s="170"/>
      <c r="VNA30" s="170"/>
      <c r="VNC30" s="170"/>
      <c r="VNE30" s="170"/>
      <c r="VNG30" s="170"/>
      <c r="VNI30" s="170"/>
      <c r="VNK30" s="170"/>
      <c r="VNM30" s="170"/>
      <c r="VNO30" s="170"/>
      <c r="VNQ30" s="170"/>
      <c r="VNS30" s="170"/>
      <c r="VNU30" s="170"/>
      <c r="VNW30" s="170"/>
      <c r="VNY30" s="170"/>
      <c r="VOA30" s="170"/>
      <c r="VOC30" s="170"/>
      <c r="VOE30" s="170"/>
      <c r="VOG30" s="170"/>
      <c r="VOI30" s="170"/>
      <c r="VOK30" s="170"/>
      <c r="VOM30" s="170"/>
      <c r="VOO30" s="170"/>
      <c r="VOQ30" s="170"/>
      <c r="VOS30" s="170"/>
      <c r="VOU30" s="170"/>
      <c r="VOW30" s="170"/>
      <c r="VOY30" s="170"/>
      <c r="VPA30" s="170"/>
      <c r="VPC30" s="170"/>
      <c r="VPE30" s="170"/>
      <c r="VPG30" s="170"/>
      <c r="VPI30" s="170"/>
      <c r="VPK30" s="170"/>
      <c r="VPM30" s="170"/>
      <c r="VPO30" s="170"/>
      <c r="VPQ30" s="170"/>
      <c r="VPS30" s="170"/>
      <c r="VPU30" s="170"/>
      <c r="VPW30" s="170"/>
      <c r="VPY30" s="170"/>
      <c r="VQA30" s="170"/>
      <c r="VQC30" s="170"/>
      <c r="VQE30" s="170"/>
      <c r="VQG30" s="170"/>
      <c r="VQI30" s="170"/>
      <c r="VQK30" s="170"/>
      <c r="VQM30" s="170"/>
      <c r="VQO30" s="170"/>
      <c r="VQQ30" s="170"/>
      <c r="VQS30" s="170"/>
      <c r="VQU30" s="170"/>
      <c r="VQW30" s="170"/>
      <c r="VQY30" s="170"/>
      <c r="VRA30" s="170"/>
      <c r="VRC30" s="170"/>
      <c r="VRE30" s="170"/>
      <c r="VRG30" s="170"/>
      <c r="VRI30" s="170"/>
      <c r="VRK30" s="170"/>
      <c r="VRM30" s="170"/>
      <c r="VRO30" s="170"/>
      <c r="VRQ30" s="170"/>
      <c r="VRS30" s="170"/>
      <c r="VRU30" s="170"/>
      <c r="VRW30" s="170"/>
      <c r="VRY30" s="170"/>
      <c r="VSA30" s="170"/>
      <c r="VSC30" s="170"/>
      <c r="VSE30" s="170"/>
      <c r="VSG30" s="170"/>
      <c r="VSI30" s="170"/>
      <c r="VSK30" s="170"/>
      <c r="VSM30" s="170"/>
      <c r="VSO30" s="170"/>
      <c r="VSQ30" s="170"/>
      <c r="VSS30" s="170"/>
      <c r="VSU30" s="170"/>
      <c r="VSW30" s="170"/>
      <c r="VSY30" s="170"/>
      <c r="VTA30" s="170"/>
      <c r="VTC30" s="170"/>
      <c r="VTE30" s="170"/>
      <c r="VTG30" s="170"/>
      <c r="VTI30" s="170"/>
      <c r="VTK30" s="170"/>
      <c r="VTM30" s="170"/>
      <c r="VTO30" s="170"/>
      <c r="VTQ30" s="170"/>
      <c r="VTS30" s="170"/>
      <c r="VTU30" s="170"/>
      <c r="VTW30" s="170"/>
      <c r="VTY30" s="170"/>
      <c r="VUA30" s="170"/>
      <c r="VUC30" s="170"/>
      <c r="VUE30" s="170"/>
      <c r="VUG30" s="170"/>
      <c r="VUI30" s="170"/>
      <c r="VUK30" s="170"/>
      <c r="VUM30" s="170"/>
      <c r="VUO30" s="170"/>
      <c r="VUQ30" s="170"/>
      <c r="VUS30" s="170"/>
      <c r="VUU30" s="170"/>
      <c r="VUW30" s="170"/>
      <c r="VUY30" s="170"/>
      <c r="VVA30" s="170"/>
      <c r="VVC30" s="170"/>
      <c r="VVE30" s="170"/>
      <c r="VVG30" s="170"/>
      <c r="VVI30" s="170"/>
      <c r="VVK30" s="170"/>
      <c r="VVM30" s="170"/>
      <c r="VVO30" s="170"/>
      <c r="VVQ30" s="170"/>
      <c r="VVS30" s="170"/>
      <c r="VVU30" s="170"/>
      <c r="VVW30" s="170"/>
      <c r="VVY30" s="170"/>
      <c r="VWA30" s="170"/>
      <c r="VWC30" s="170"/>
      <c r="VWE30" s="170"/>
      <c r="VWG30" s="170"/>
      <c r="VWI30" s="170"/>
      <c r="VWK30" s="170"/>
      <c r="VWM30" s="170"/>
      <c r="VWO30" s="170"/>
      <c r="VWQ30" s="170"/>
      <c r="VWS30" s="170"/>
      <c r="VWU30" s="170"/>
      <c r="VWW30" s="170"/>
      <c r="VWY30" s="170"/>
      <c r="VXA30" s="170"/>
      <c r="VXC30" s="170"/>
      <c r="VXE30" s="170"/>
      <c r="VXG30" s="170"/>
      <c r="VXI30" s="170"/>
      <c r="VXK30" s="170"/>
      <c r="VXM30" s="170"/>
      <c r="VXO30" s="170"/>
      <c r="VXQ30" s="170"/>
      <c r="VXS30" s="170"/>
      <c r="VXU30" s="170"/>
      <c r="VXW30" s="170"/>
      <c r="VXY30" s="170"/>
      <c r="VYA30" s="170"/>
      <c r="VYC30" s="170"/>
      <c r="VYE30" s="170"/>
      <c r="VYG30" s="170"/>
      <c r="VYI30" s="170"/>
      <c r="VYK30" s="170"/>
      <c r="VYM30" s="170"/>
      <c r="VYO30" s="170"/>
      <c r="VYQ30" s="170"/>
      <c r="VYS30" s="170"/>
      <c r="VYU30" s="170"/>
      <c r="VYW30" s="170"/>
      <c r="VYY30" s="170"/>
      <c r="VZA30" s="170"/>
      <c r="VZC30" s="170"/>
      <c r="VZE30" s="170"/>
      <c r="VZG30" s="170"/>
      <c r="VZI30" s="170"/>
      <c r="VZK30" s="170"/>
      <c r="VZM30" s="170"/>
      <c r="VZO30" s="170"/>
      <c r="VZQ30" s="170"/>
      <c r="VZS30" s="170"/>
      <c r="VZU30" s="170"/>
      <c r="VZW30" s="170"/>
      <c r="VZY30" s="170"/>
      <c r="WAA30" s="170"/>
      <c r="WAC30" s="170"/>
      <c r="WAE30" s="170"/>
      <c r="WAG30" s="170"/>
      <c r="WAI30" s="170"/>
      <c r="WAK30" s="170"/>
      <c r="WAM30" s="170"/>
      <c r="WAO30" s="170"/>
      <c r="WAQ30" s="170"/>
      <c r="WAS30" s="170"/>
      <c r="WAU30" s="170"/>
      <c r="WAW30" s="170"/>
      <c r="WAY30" s="170"/>
      <c r="WBA30" s="170"/>
      <c r="WBC30" s="170"/>
      <c r="WBE30" s="170"/>
      <c r="WBG30" s="170"/>
      <c r="WBI30" s="170"/>
      <c r="WBK30" s="170"/>
      <c r="WBM30" s="170"/>
      <c r="WBO30" s="170"/>
      <c r="WBQ30" s="170"/>
      <c r="WBS30" s="170"/>
      <c r="WBU30" s="170"/>
      <c r="WBW30" s="170"/>
      <c r="WBY30" s="170"/>
      <c r="WCA30" s="170"/>
      <c r="WCC30" s="170"/>
      <c r="WCE30" s="170"/>
      <c r="WCG30" s="170"/>
      <c r="WCI30" s="170"/>
      <c r="WCK30" s="170"/>
      <c r="WCM30" s="170"/>
      <c r="WCO30" s="170"/>
      <c r="WCQ30" s="170"/>
      <c r="WCS30" s="170"/>
      <c r="WCU30" s="170"/>
      <c r="WCW30" s="170"/>
      <c r="WCY30" s="170"/>
      <c r="WDA30" s="170"/>
      <c r="WDC30" s="170"/>
      <c r="WDE30" s="170"/>
      <c r="WDG30" s="170"/>
      <c r="WDI30" s="170"/>
      <c r="WDK30" s="170"/>
      <c r="WDM30" s="170"/>
      <c r="WDO30" s="170"/>
      <c r="WDQ30" s="170"/>
      <c r="WDS30" s="170"/>
      <c r="WDU30" s="170"/>
      <c r="WDW30" s="170"/>
      <c r="WDY30" s="170"/>
      <c r="WEA30" s="170"/>
      <c r="WEC30" s="170"/>
      <c r="WEE30" s="170"/>
      <c r="WEG30" s="170"/>
      <c r="WEI30" s="170"/>
      <c r="WEK30" s="170"/>
      <c r="WEM30" s="170"/>
      <c r="WEO30" s="170"/>
      <c r="WEQ30" s="170"/>
      <c r="WES30" s="170"/>
      <c r="WEU30" s="170"/>
      <c r="WEW30" s="170"/>
      <c r="WEY30" s="170"/>
      <c r="WFA30" s="170"/>
      <c r="WFC30" s="170"/>
      <c r="WFE30" s="170"/>
      <c r="WFG30" s="170"/>
      <c r="WFI30" s="170"/>
      <c r="WFK30" s="170"/>
      <c r="WFM30" s="170"/>
      <c r="WFO30" s="170"/>
      <c r="WFQ30" s="170"/>
      <c r="WFS30" s="170"/>
      <c r="WFU30" s="170"/>
      <c r="WFW30" s="170"/>
      <c r="WFY30" s="170"/>
      <c r="WGA30" s="170"/>
      <c r="WGC30" s="170"/>
      <c r="WGE30" s="170"/>
      <c r="WGG30" s="170"/>
      <c r="WGI30" s="170"/>
      <c r="WGK30" s="170"/>
      <c r="WGM30" s="170"/>
      <c r="WGO30" s="170"/>
      <c r="WGQ30" s="170"/>
      <c r="WGS30" s="170"/>
      <c r="WGU30" s="170"/>
      <c r="WGW30" s="170"/>
      <c r="WGY30" s="170"/>
      <c r="WHA30" s="170"/>
      <c r="WHC30" s="170"/>
      <c r="WHE30" s="170"/>
      <c r="WHG30" s="170"/>
      <c r="WHI30" s="170"/>
      <c r="WHK30" s="170"/>
      <c r="WHM30" s="170"/>
      <c r="WHO30" s="170"/>
      <c r="WHQ30" s="170"/>
      <c r="WHS30" s="170"/>
      <c r="WHU30" s="170"/>
      <c r="WHW30" s="170"/>
      <c r="WHY30" s="170"/>
      <c r="WIA30" s="170"/>
      <c r="WIC30" s="170"/>
      <c r="WIE30" s="170"/>
      <c r="WIG30" s="170"/>
      <c r="WII30" s="170"/>
      <c r="WIK30" s="170"/>
      <c r="WIM30" s="170"/>
      <c r="WIO30" s="170"/>
      <c r="WIQ30" s="170"/>
      <c r="WIS30" s="170"/>
      <c r="WIU30" s="170"/>
      <c r="WIW30" s="170"/>
      <c r="WIY30" s="170"/>
      <c r="WJA30" s="170"/>
      <c r="WJC30" s="170"/>
      <c r="WJE30" s="170"/>
      <c r="WJG30" s="170"/>
      <c r="WJI30" s="170"/>
      <c r="WJK30" s="170"/>
      <c r="WJM30" s="170"/>
      <c r="WJO30" s="170"/>
      <c r="WJQ30" s="170"/>
      <c r="WJS30" s="170"/>
      <c r="WJU30" s="170"/>
      <c r="WJW30" s="170"/>
      <c r="WJY30" s="170"/>
      <c r="WKA30" s="170"/>
      <c r="WKC30" s="170"/>
      <c r="WKE30" s="170"/>
      <c r="WKG30" s="170"/>
      <c r="WKI30" s="170"/>
      <c r="WKK30" s="170"/>
      <c r="WKM30" s="170"/>
      <c r="WKO30" s="170"/>
      <c r="WKQ30" s="170"/>
      <c r="WKS30" s="170"/>
      <c r="WKU30" s="170"/>
      <c r="WKW30" s="170"/>
      <c r="WKY30" s="170"/>
      <c r="WLA30" s="170"/>
      <c r="WLC30" s="170"/>
      <c r="WLE30" s="170"/>
      <c r="WLG30" s="170"/>
      <c r="WLI30" s="170"/>
      <c r="WLK30" s="170"/>
      <c r="WLM30" s="170"/>
      <c r="WLO30" s="170"/>
      <c r="WLQ30" s="170"/>
      <c r="WLS30" s="170"/>
      <c r="WLU30" s="170"/>
      <c r="WLW30" s="170"/>
      <c r="WLY30" s="170"/>
      <c r="WMA30" s="170"/>
      <c r="WMC30" s="170"/>
      <c r="WME30" s="170"/>
      <c r="WMG30" s="170"/>
      <c r="WMI30" s="170"/>
      <c r="WMK30" s="170"/>
      <c r="WMM30" s="170"/>
      <c r="WMO30" s="170"/>
      <c r="WMQ30" s="170"/>
      <c r="WMS30" s="170"/>
      <c r="WMU30" s="170"/>
      <c r="WMW30" s="170"/>
      <c r="WMY30" s="170"/>
      <c r="WNA30" s="170"/>
      <c r="WNC30" s="170"/>
      <c r="WNE30" s="170"/>
      <c r="WNG30" s="170"/>
      <c r="WNI30" s="170"/>
      <c r="WNK30" s="170"/>
      <c r="WNM30" s="170"/>
      <c r="WNO30" s="170"/>
      <c r="WNQ30" s="170"/>
      <c r="WNS30" s="170"/>
      <c r="WNU30" s="170"/>
      <c r="WNW30" s="170"/>
      <c r="WNY30" s="170"/>
      <c r="WOA30" s="170"/>
      <c r="WOC30" s="170"/>
      <c r="WOE30" s="170"/>
      <c r="WOG30" s="170"/>
      <c r="WOI30" s="170"/>
      <c r="WOK30" s="170"/>
      <c r="WOM30" s="170"/>
      <c r="WOO30" s="170"/>
      <c r="WOQ30" s="170"/>
      <c r="WOS30" s="170"/>
      <c r="WOU30" s="170"/>
      <c r="WOW30" s="170"/>
      <c r="WOY30" s="170"/>
      <c r="WPA30" s="170"/>
      <c r="WPC30" s="170"/>
      <c r="WPE30" s="170"/>
      <c r="WPG30" s="170"/>
      <c r="WPI30" s="170"/>
      <c r="WPK30" s="170"/>
      <c r="WPM30" s="170"/>
      <c r="WPO30" s="170"/>
      <c r="WPQ30" s="170"/>
      <c r="WPS30" s="170"/>
      <c r="WPU30" s="170"/>
      <c r="WPW30" s="170"/>
      <c r="WPY30" s="170"/>
      <c r="WQA30" s="170"/>
      <c r="WQC30" s="170"/>
      <c r="WQE30" s="170"/>
      <c r="WQG30" s="170"/>
      <c r="WQI30" s="170"/>
      <c r="WQK30" s="170"/>
      <c r="WQM30" s="170"/>
      <c r="WQO30" s="170"/>
      <c r="WQQ30" s="170"/>
      <c r="WQS30" s="170"/>
      <c r="WQU30" s="170"/>
      <c r="WQW30" s="170"/>
      <c r="WQY30" s="170"/>
      <c r="WRA30" s="170"/>
      <c r="WRC30" s="170"/>
      <c r="WRE30" s="170"/>
      <c r="WRG30" s="170"/>
      <c r="WRI30" s="170"/>
      <c r="WRK30" s="170"/>
      <c r="WRM30" s="170"/>
      <c r="WRO30" s="170"/>
      <c r="WRQ30" s="170"/>
      <c r="WRS30" s="170"/>
      <c r="WRU30" s="170"/>
      <c r="WRW30" s="170"/>
      <c r="WRY30" s="170"/>
      <c r="WSA30" s="170"/>
      <c r="WSC30" s="170"/>
      <c r="WSE30" s="170"/>
      <c r="WSG30" s="170"/>
      <c r="WSI30" s="170"/>
      <c r="WSK30" s="170"/>
      <c r="WSM30" s="170"/>
      <c r="WSO30" s="170"/>
      <c r="WSQ30" s="170"/>
      <c r="WSS30" s="170"/>
      <c r="WSU30" s="170"/>
      <c r="WSW30" s="170"/>
      <c r="WSY30" s="170"/>
      <c r="WTA30" s="170"/>
      <c r="WTC30" s="170"/>
      <c r="WTE30" s="170"/>
      <c r="WTG30" s="170"/>
      <c r="WTI30" s="170"/>
      <c r="WTK30" s="170"/>
      <c r="WTM30" s="170"/>
      <c r="WTO30" s="170"/>
      <c r="WTQ30" s="170"/>
      <c r="WTS30" s="170"/>
      <c r="WTU30" s="170"/>
      <c r="WTW30" s="170"/>
      <c r="WTY30" s="170"/>
      <c r="WUA30" s="170"/>
      <c r="WUC30" s="170"/>
      <c r="WUE30" s="170"/>
      <c r="WUG30" s="170"/>
      <c r="WUI30" s="170"/>
      <c r="WUK30" s="170"/>
      <c r="WUM30" s="170"/>
      <c r="WUO30" s="170"/>
      <c r="WUQ30" s="170"/>
      <c r="WUS30" s="170"/>
      <c r="WUU30" s="170"/>
      <c r="WUW30" s="170"/>
      <c r="WUY30" s="170"/>
      <c r="WVA30" s="170"/>
      <c r="WVC30" s="170"/>
      <c r="WVE30" s="170"/>
      <c r="WVG30" s="170"/>
      <c r="WVI30" s="170"/>
      <c r="WVK30" s="170"/>
      <c r="WVM30" s="170"/>
      <c r="WVO30" s="170"/>
      <c r="WVQ30" s="170"/>
      <c r="WVS30" s="170"/>
      <c r="WVU30" s="170"/>
      <c r="WVW30" s="170"/>
      <c r="WVY30" s="170"/>
      <c r="WWA30" s="170"/>
      <c r="WWC30" s="170"/>
      <c r="WWE30" s="170"/>
      <c r="WWG30" s="170"/>
      <c r="WWI30" s="170"/>
      <c r="WWK30" s="170"/>
      <c r="WWM30" s="170"/>
      <c r="WWO30" s="170"/>
      <c r="WWQ30" s="170"/>
      <c r="WWS30" s="170"/>
      <c r="WWU30" s="170"/>
      <c r="WWW30" s="170"/>
      <c r="WWY30" s="170"/>
      <c r="WXA30" s="170"/>
      <c r="WXC30" s="170"/>
      <c r="WXE30" s="170"/>
      <c r="WXG30" s="170"/>
      <c r="WXI30" s="170"/>
      <c r="WXK30" s="170"/>
      <c r="WXM30" s="170"/>
      <c r="WXO30" s="170"/>
      <c r="WXQ30" s="170"/>
      <c r="WXS30" s="170"/>
      <c r="WXU30" s="170"/>
      <c r="WXW30" s="170"/>
      <c r="WXY30" s="170"/>
      <c r="WYA30" s="170"/>
      <c r="WYC30" s="170"/>
      <c r="WYE30" s="170"/>
      <c r="WYG30" s="170"/>
      <c r="WYI30" s="170"/>
      <c r="WYK30" s="170"/>
      <c r="WYM30" s="170"/>
      <c r="WYO30" s="170"/>
      <c r="WYQ30" s="170"/>
      <c r="WYS30" s="170"/>
      <c r="WYU30" s="170"/>
      <c r="WYW30" s="170"/>
      <c r="WYY30" s="170"/>
      <c r="WZA30" s="170"/>
      <c r="WZC30" s="170"/>
      <c r="WZE30" s="170"/>
      <c r="WZG30" s="170"/>
      <c r="WZI30" s="170"/>
      <c r="WZK30" s="170"/>
      <c r="WZM30" s="170"/>
      <c r="WZO30" s="170"/>
      <c r="WZQ30" s="170"/>
      <c r="WZS30" s="170"/>
      <c r="WZU30" s="170"/>
      <c r="WZW30" s="170"/>
      <c r="WZY30" s="170"/>
      <c r="XAA30" s="170"/>
      <c r="XAC30" s="170"/>
      <c r="XAE30" s="170"/>
      <c r="XAG30" s="170"/>
      <c r="XAI30" s="170"/>
      <c r="XAK30" s="170"/>
      <c r="XAM30" s="170"/>
      <c r="XAO30" s="170"/>
      <c r="XAQ30" s="170"/>
      <c r="XAS30" s="170"/>
      <c r="XAU30" s="170"/>
      <c r="XAW30" s="170"/>
      <c r="XAY30" s="170"/>
      <c r="XBA30" s="170"/>
      <c r="XBC30" s="170"/>
      <c r="XBE30" s="170"/>
      <c r="XBG30" s="170"/>
      <c r="XBI30" s="170"/>
      <c r="XBK30" s="170"/>
      <c r="XBM30" s="170"/>
      <c r="XBO30" s="170"/>
      <c r="XBQ30" s="170"/>
      <c r="XBS30" s="170"/>
      <c r="XBU30" s="170"/>
      <c r="XBW30" s="170"/>
      <c r="XBY30" s="170"/>
      <c r="XCA30" s="170"/>
      <c r="XCC30" s="170"/>
      <c r="XCE30" s="170"/>
      <c r="XCG30" s="170"/>
      <c r="XCI30" s="170"/>
      <c r="XCK30" s="170"/>
      <c r="XCM30" s="170"/>
      <c r="XCO30" s="170"/>
      <c r="XCQ30" s="170"/>
      <c r="XCS30" s="170"/>
      <c r="XCU30" s="170"/>
      <c r="XCW30" s="170"/>
      <c r="XCY30" s="170"/>
      <c r="XDA30" s="170"/>
      <c r="XDC30" s="170"/>
      <c r="XDE30" s="170"/>
      <c r="XDG30" s="170"/>
      <c r="XDI30" s="170"/>
      <c r="XDK30" s="170"/>
      <c r="XDM30" s="170"/>
      <c r="XDO30" s="170"/>
      <c r="XDQ30" s="170"/>
      <c r="XDS30" s="170"/>
      <c r="XDU30" s="170"/>
      <c r="XDW30" s="170"/>
      <c r="XDY30" s="170"/>
      <c r="XEA30" s="170"/>
      <c r="XEC30" s="170"/>
      <c r="XEE30" s="170"/>
      <c r="XEG30" s="170"/>
      <c r="XEI30" s="170"/>
      <c r="XEK30" s="170"/>
      <c r="XEM30" s="170"/>
      <c r="XEO30" s="170"/>
      <c r="XEQ30" s="170"/>
      <c r="XES30" s="170"/>
      <c r="XEU30" s="170"/>
      <c r="XEW30" s="170"/>
      <c r="XEY30" s="170"/>
      <c r="XFA30" s="170"/>
    </row>
    <row r="31" spans="1:16382" s="111" customFormat="1" ht="12.75" hidden="1" customHeight="1" thickBot="1" x14ac:dyDescent="0.25">
      <c r="A31" s="170">
        <v>20</v>
      </c>
      <c r="C31" s="170"/>
      <c r="E31" s="170" t="str">
        <f>IF(B31=0,"",IF(C31&gt;9999,"",ROUND('General Variables'!$B$4*VLOOKUP(B31,Operations!$A$2:$U$79,10,FALSE)/VLOOKUP(B31,Operations!$A$2:$U$79,9,FALSE)*C31,2)))</f>
        <v/>
      </c>
      <c r="F31" s="111">
        <f>IF(B31=0,0,IF(C31&gt;9999,"",ROUND(IF(VLOOKUP(B31,Operations!$A$2:$U$79,12,FALSE)=0,VLOOKUP(B31,Operations!$A$2:$U$79,13,FALSE)*'General Variables'!$B$8,VLOOKUP(B31,Operations!$A$2:$U$79,12,FALSE)*'General Variables'!$B$7)/VLOOKUP(B31,Operations!$A$2:$U$79,9,FALSE)*C31,2)))</f>
        <v>0</v>
      </c>
      <c r="G31" s="170">
        <f>IF(B31=0,0,IF(C31&gt;9999,"",ROUND(VLOOKUP(VLOOKUP(B31,Operations!$A$2:$U$79,11,FALSE),PowerUnits[],10,FALSE)/VLOOKUP(B31,Operations!$A$2:$U$79,9,FALSE)*C31,2)))</f>
        <v>0</v>
      </c>
      <c r="H31" s="111" t="str">
        <f>IF(B31=0,"",IF(C31&gt;9999,"",ROUND(VLOOKUP($B31,Operations!$A$2:$U$79,15,FALSE)*C31,2)))</f>
        <v/>
      </c>
      <c r="I31" s="170">
        <f>IF(B31=0,0,IF(C31&gt;9999,"",ROUND(VLOOKUP(VLOOKUP(B31,Operations!$A$2:$U$79,11,FALSE),PowerUnits[],16,FALSE)/VLOOKUP(B31,Operations!$A$2:$U$79,9,FALSE)*C31,2)))</f>
        <v>0</v>
      </c>
      <c r="J31" s="111" t="str">
        <f>IF(B31=0,"",IF(C31&gt;9999,"",ROUND(VLOOKUP($B31,Operations!$A$2:$U$79,21,FALSE)*$C31,2)))</f>
        <v/>
      </c>
      <c r="K31" s="170">
        <f t="shared" si="0"/>
        <v>0</v>
      </c>
      <c r="M31" s="170"/>
      <c r="O31" s="170"/>
      <c r="Q31" s="170"/>
      <c r="S31" s="170"/>
      <c r="U31" s="170"/>
      <c r="W31" s="170"/>
      <c r="Y31" s="170"/>
      <c r="AA31" s="170"/>
      <c r="AC31" s="170"/>
      <c r="AE31" s="170"/>
      <c r="AG31" s="170"/>
      <c r="AI31" s="170"/>
      <c r="AK31" s="170"/>
      <c r="AM31" s="170"/>
      <c r="AO31" s="170"/>
      <c r="AQ31" s="170"/>
      <c r="AS31" s="170"/>
      <c r="AU31" s="170"/>
      <c r="AW31" s="170"/>
      <c r="AY31" s="170"/>
      <c r="BA31" s="170"/>
      <c r="BC31" s="170"/>
      <c r="BE31" s="170"/>
      <c r="BG31" s="170"/>
      <c r="BI31" s="170"/>
      <c r="BK31" s="170"/>
      <c r="BM31" s="170"/>
      <c r="BO31" s="170"/>
      <c r="BQ31" s="170"/>
      <c r="BS31" s="170"/>
      <c r="BU31" s="170"/>
      <c r="BW31" s="170"/>
      <c r="BY31" s="170"/>
      <c r="CA31" s="170"/>
      <c r="CC31" s="170"/>
      <c r="CE31" s="170"/>
      <c r="CG31" s="170"/>
      <c r="CI31" s="170"/>
      <c r="CK31" s="170"/>
      <c r="CM31" s="170"/>
      <c r="CO31" s="170"/>
      <c r="CQ31" s="170"/>
      <c r="CS31" s="170"/>
      <c r="CU31" s="170"/>
      <c r="CW31" s="170"/>
      <c r="CY31" s="170"/>
      <c r="DA31" s="170"/>
      <c r="DC31" s="170"/>
      <c r="DE31" s="170"/>
      <c r="DG31" s="170"/>
      <c r="DI31" s="170"/>
      <c r="DK31" s="170"/>
      <c r="DM31" s="170"/>
      <c r="DO31" s="170"/>
      <c r="DQ31" s="170"/>
      <c r="DS31" s="170"/>
      <c r="DU31" s="170"/>
      <c r="DW31" s="170"/>
      <c r="DY31" s="170"/>
      <c r="EA31" s="170"/>
      <c r="EC31" s="170"/>
      <c r="EE31" s="170"/>
      <c r="EG31" s="170"/>
      <c r="EI31" s="170"/>
      <c r="EK31" s="170"/>
      <c r="EM31" s="170"/>
      <c r="EO31" s="170"/>
      <c r="EQ31" s="170"/>
      <c r="ES31" s="170"/>
      <c r="EU31" s="170"/>
      <c r="EW31" s="170"/>
      <c r="EY31" s="170"/>
      <c r="FA31" s="170"/>
      <c r="FC31" s="170"/>
      <c r="FE31" s="170"/>
      <c r="FG31" s="170"/>
      <c r="FI31" s="170"/>
      <c r="FK31" s="170"/>
      <c r="FM31" s="170"/>
      <c r="FO31" s="170"/>
      <c r="FQ31" s="170"/>
      <c r="FS31" s="170"/>
      <c r="FU31" s="170"/>
      <c r="FW31" s="170"/>
      <c r="FY31" s="170"/>
      <c r="GA31" s="170"/>
      <c r="GC31" s="170"/>
      <c r="GE31" s="170"/>
      <c r="GG31" s="170"/>
      <c r="GI31" s="170"/>
      <c r="GK31" s="170"/>
      <c r="GM31" s="170"/>
      <c r="GO31" s="170"/>
      <c r="GQ31" s="170"/>
      <c r="GS31" s="170"/>
      <c r="GU31" s="170"/>
      <c r="GW31" s="170"/>
      <c r="GY31" s="170"/>
      <c r="HA31" s="170"/>
      <c r="HC31" s="170"/>
      <c r="HE31" s="170"/>
      <c r="HG31" s="170"/>
      <c r="HI31" s="170"/>
      <c r="HK31" s="170"/>
      <c r="HM31" s="170"/>
      <c r="HO31" s="170"/>
      <c r="HQ31" s="170"/>
      <c r="HS31" s="170"/>
      <c r="HU31" s="170"/>
      <c r="HW31" s="170"/>
      <c r="HY31" s="170"/>
      <c r="IA31" s="170"/>
      <c r="IC31" s="170"/>
      <c r="IE31" s="170"/>
      <c r="IG31" s="170"/>
      <c r="II31" s="170"/>
      <c r="IK31" s="170"/>
      <c r="IM31" s="170"/>
      <c r="IO31" s="170"/>
      <c r="IQ31" s="170"/>
      <c r="IS31" s="170"/>
      <c r="IU31" s="170"/>
      <c r="IW31" s="170"/>
      <c r="IY31" s="170"/>
      <c r="JA31" s="170"/>
      <c r="JC31" s="170"/>
      <c r="JE31" s="170"/>
      <c r="JG31" s="170"/>
      <c r="JI31" s="170"/>
      <c r="JK31" s="170"/>
      <c r="JM31" s="170"/>
      <c r="JO31" s="170"/>
      <c r="JQ31" s="170"/>
      <c r="JS31" s="170"/>
      <c r="JU31" s="170"/>
      <c r="JW31" s="170"/>
      <c r="JY31" s="170"/>
      <c r="KA31" s="170"/>
      <c r="KC31" s="170"/>
      <c r="KE31" s="170"/>
      <c r="KG31" s="170"/>
      <c r="KI31" s="170"/>
      <c r="KK31" s="170"/>
      <c r="KM31" s="170"/>
      <c r="KO31" s="170"/>
      <c r="KQ31" s="170"/>
      <c r="KS31" s="170"/>
      <c r="KU31" s="170"/>
      <c r="KW31" s="170"/>
      <c r="KY31" s="170"/>
      <c r="LA31" s="170"/>
      <c r="LC31" s="170"/>
      <c r="LE31" s="170"/>
      <c r="LG31" s="170"/>
      <c r="LI31" s="170"/>
      <c r="LK31" s="170"/>
      <c r="LM31" s="170"/>
      <c r="LO31" s="170"/>
      <c r="LQ31" s="170"/>
      <c r="LS31" s="170"/>
      <c r="LU31" s="170"/>
      <c r="LW31" s="170"/>
      <c r="LY31" s="170"/>
      <c r="MA31" s="170"/>
      <c r="MC31" s="170"/>
      <c r="ME31" s="170"/>
      <c r="MG31" s="170"/>
      <c r="MI31" s="170"/>
      <c r="MK31" s="170"/>
      <c r="MM31" s="170"/>
      <c r="MO31" s="170"/>
      <c r="MQ31" s="170"/>
      <c r="MS31" s="170"/>
      <c r="MU31" s="170"/>
      <c r="MW31" s="170"/>
      <c r="MY31" s="170"/>
      <c r="NA31" s="170"/>
      <c r="NC31" s="170"/>
      <c r="NE31" s="170"/>
      <c r="NG31" s="170"/>
      <c r="NI31" s="170"/>
      <c r="NK31" s="170"/>
      <c r="NM31" s="170"/>
      <c r="NO31" s="170"/>
      <c r="NQ31" s="170"/>
      <c r="NS31" s="170"/>
      <c r="NU31" s="170"/>
      <c r="NW31" s="170"/>
      <c r="NY31" s="170"/>
      <c r="OA31" s="170"/>
      <c r="OC31" s="170"/>
      <c r="OE31" s="170"/>
      <c r="OG31" s="170"/>
      <c r="OI31" s="170"/>
      <c r="OK31" s="170"/>
      <c r="OM31" s="170"/>
      <c r="OO31" s="170"/>
      <c r="OQ31" s="170"/>
      <c r="OS31" s="170"/>
      <c r="OU31" s="170"/>
      <c r="OW31" s="170"/>
      <c r="OY31" s="170"/>
      <c r="PA31" s="170"/>
      <c r="PC31" s="170"/>
      <c r="PE31" s="170"/>
      <c r="PG31" s="170"/>
      <c r="PI31" s="170"/>
      <c r="PK31" s="170"/>
      <c r="PM31" s="170"/>
      <c r="PO31" s="170"/>
      <c r="PQ31" s="170"/>
      <c r="PS31" s="170"/>
      <c r="PU31" s="170"/>
      <c r="PW31" s="170"/>
      <c r="PY31" s="170"/>
      <c r="QA31" s="170"/>
      <c r="QC31" s="170"/>
      <c r="QE31" s="170"/>
      <c r="QG31" s="170"/>
      <c r="QI31" s="170"/>
      <c r="QK31" s="170"/>
      <c r="QM31" s="170"/>
      <c r="QO31" s="170"/>
      <c r="QQ31" s="170"/>
      <c r="QS31" s="170"/>
      <c r="QU31" s="170"/>
      <c r="QW31" s="170"/>
      <c r="QY31" s="170"/>
      <c r="RA31" s="170"/>
      <c r="RC31" s="170"/>
      <c r="RE31" s="170"/>
      <c r="RG31" s="170"/>
      <c r="RI31" s="170"/>
      <c r="RK31" s="170"/>
      <c r="RM31" s="170"/>
      <c r="RO31" s="170"/>
      <c r="RQ31" s="170"/>
      <c r="RS31" s="170"/>
      <c r="RU31" s="170"/>
      <c r="RW31" s="170"/>
      <c r="RY31" s="170"/>
      <c r="SA31" s="170"/>
      <c r="SC31" s="170"/>
      <c r="SE31" s="170"/>
      <c r="SG31" s="170"/>
      <c r="SI31" s="170"/>
      <c r="SK31" s="170"/>
      <c r="SM31" s="170"/>
      <c r="SO31" s="170"/>
      <c r="SQ31" s="170"/>
      <c r="SS31" s="170"/>
      <c r="SU31" s="170"/>
      <c r="SW31" s="170"/>
      <c r="SY31" s="170"/>
      <c r="TA31" s="170"/>
      <c r="TC31" s="170"/>
      <c r="TE31" s="170"/>
      <c r="TG31" s="170"/>
      <c r="TI31" s="170"/>
      <c r="TK31" s="170"/>
      <c r="TM31" s="170"/>
      <c r="TO31" s="170"/>
      <c r="TQ31" s="170"/>
      <c r="TS31" s="170"/>
      <c r="TU31" s="170"/>
      <c r="TW31" s="170"/>
      <c r="TY31" s="170"/>
      <c r="UA31" s="170"/>
      <c r="UC31" s="170"/>
      <c r="UE31" s="170"/>
      <c r="UG31" s="170"/>
      <c r="UI31" s="170"/>
      <c r="UK31" s="170"/>
      <c r="UM31" s="170"/>
      <c r="UO31" s="170"/>
      <c r="UQ31" s="170"/>
      <c r="US31" s="170"/>
      <c r="UU31" s="170"/>
      <c r="UW31" s="170"/>
      <c r="UY31" s="170"/>
      <c r="VA31" s="170"/>
      <c r="VC31" s="170"/>
      <c r="VE31" s="170"/>
      <c r="VG31" s="170"/>
      <c r="VI31" s="170"/>
      <c r="VK31" s="170"/>
      <c r="VM31" s="170"/>
      <c r="VO31" s="170"/>
      <c r="VQ31" s="170"/>
      <c r="VS31" s="170"/>
      <c r="VU31" s="170"/>
      <c r="VW31" s="170"/>
      <c r="VY31" s="170"/>
      <c r="WA31" s="170"/>
      <c r="WC31" s="170"/>
      <c r="WE31" s="170"/>
      <c r="WG31" s="170"/>
      <c r="WI31" s="170"/>
      <c r="WK31" s="170"/>
      <c r="WM31" s="170"/>
      <c r="WO31" s="170"/>
      <c r="WQ31" s="170"/>
      <c r="WS31" s="170"/>
      <c r="WU31" s="170"/>
      <c r="WW31" s="170"/>
      <c r="WY31" s="170"/>
      <c r="XA31" s="170"/>
      <c r="XC31" s="170"/>
      <c r="XE31" s="170"/>
      <c r="XG31" s="170"/>
      <c r="XI31" s="170"/>
      <c r="XK31" s="170"/>
      <c r="XM31" s="170"/>
      <c r="XO31" s="170"/>
      <c r="XQ31" s="170"/>
      <c r="XS31" s="170"/>
      <c r="XU31" s="170"/>
      <c r="XW31" s="170"/>
      <c r="XY31" s="170"/>
      <c r="YA31" s="170"/>
      <c r="YC31" s="170"/>
      <c r="YE31" s="170"/>
      <c r="YG31" s="170"/>
      <c r="YI31" s="170"/>
      <c r="YK31" s="170"/>
      <c r="YM31" s="170"/>
      <c r="YO31" s="170"/>
      <c r="YQ31" s="170"/>
      <c r="YS31" s="170"/>
      <c r="YU31" s="170"/>
      <c r="YW31" s="170"/>
      <c r="YY31" s="170"/>
      <c r="ZA31" s="170"/>
      <c r="ZC31" s="170"/>
      <c r="ZE31" s="170"/>
      <c r="ZG31" s="170"/>
      <c r="ZI31" s="170"/>
      <c r="ZK31" s="170"/>
      <c r="ZM31" s="170"/>
      <c r="ZO31" s="170"/>
      <c r="ZQ31" s="170"/>
      <c r="ZS31" s="170"/>
      <c r="ZU31" s="170"/>
      <c r="ZW31" s="170"/>
      <c r="ZY31" s="170"/>
      <c r="AAA31" s="170"/>
      <c r="AAC31" s="170"/>
      <c r="AAE31" s="170"/>
      <c r="AAG31" s="170"/>
      <c r="AAI31" s="170"/>
      <c r="AAK31" s="170"/>
      <c r="AAM31" s="170"/>
      <c r="AAO31" s="170"/>
      <c r="AAQ31" s="170"/>
      <c r="AAS31" s="170"/>
      <c r="AAU31" s="170"/>
      <c r="AAW31" s="170"/>
      <c r="AAY31" s="170"/>
      <c r="ABA31" s="170"/>
      <c r="ABC31" s="170"/>
      <c r="ABE31" s="170"/>
      <c r="ABG31" s="170"/>
      <c r="ABI31" s="170"/>
      <c r="ABK31" s="170"/>
      <c r="ABM31" s="170"/>
      <c r="ABO31" s="170"/>
      <c r="ABQ31" s="170"/>
      <c r="ABS31" s="170"/>
      <c r="ABU31" s="170"/>
      <c r="ABW31" s="170"/>
      <c r="ABY31" s="170"/>
      <c r="ACA31" s="170"/>
      <c r="ACC31" s="170"/>
      <c r="ACE31" s="170"/>
      <c r="ACG31" s="170"/>
      <c r="ACI31" s="170"/>
      <c r="ACK31" s="170"/>
      <c r="ACM31" s="170"/>
      <c r="ACO31" s="170"/>
      <c r="ACQ31" s="170"/>
      <c r="ACS31" s="170"/>
      <c r="ACU31" s="170"/>
      <c r="ACW31" s="170"/>
      <c r="ACY31" s="170"/>
      <c r="ADA31" s="170"/>
      <c r="ADC31" s="170"/>
      <c r="ADE31" s="170"/>
      <c r="ADG31" s="170"/>
      <c r="ADI31" s="170"/>
      <c r="ADK31" s="170"/>
      <c r="ADM31" s="170"/>
      <c r="ADO31" s="170"/>
      <c r="ADQ31" s="170"/>
      <c r="ADS31" s="170"/>
      <c r="ADU31" s="170"/>
      <c r="ADW31" s="170"/>
      <c r="ADY31" s="170"/>
      <c r="AEA31" s="170"/>
      <c r="AEC31" s="170"/>
      <c r="AEE31" s="170"/>
      <c r="AEG31" s="170"/>
      <c r="AEI31" s="170"/>
      <c r="AEK31" s="170"/>
      <c r="AEM31" s="170"/>
      <c r="AEO31" s="170"/>
      <c r="AEQ31" s="170"/>
      <c r="AES31" s="170"/>
      <c r="AEU31" s="170"/>
      <c r="AEW31" s="170"/>
      <c r="AEY31" s="170"/>
      <c r="AFA31" s="170"/>
      <c r="AFC31" s="170"/>
      <c r="AFE31" s="170"/>
      <c r="AFG31" s="170"/>
      <c r="AFI31" s="170"/>
      <c r="AFK31" s="170"/>
      <c r="AFM31" s="170"/>
      <c r="AFO31" s="170"/>
      <c r="AFQ31" s="170"/>
      <c r="AFS31" s="170"/>
      <c r="AFU31" s="170"/>
      <c r="AFW31" s="170"/>
      <c r="AFY31" s="170"/>
      <c r="AGA31" s="170"/>
      <c r="AGC31" s="170"/>
      <c r="AGE31" s="170"/>
      <c r="AGG31" s="170"/>
      <c r="AGI31" s="170"/>
      <c r="AGK31" s="170"/>
      <c r="AGM31" s="170"/>
      <c r="AGO31" s="170"/>
      <c r="AGQ31" s="170"/>
      <c r="AGS31" s="170"/>
      <c r="AGU31" s="170"/>
      <c r="AGW31" s="170"/>
      <c r="AGY31" s="170"/>
      <c r="AHA31" s="170"/>
      <c r="AHC31" s="170"/>
      <c r="AHE31" s="170"/>
      <c r="AHG31" s="170"/>
      <c r="AHI31" s="170"/>
      <c r="AHK31" s="170"/>
      <c r="AHM31" s="170"/>
      <c r="AHO31" s="170"/>
      <c r="AHQ31" s="170"/>
      <c r="AHS31" s="170"/>
      <c r="AHU31" s="170"/>
      <c r="AHW31" s="170"/>
      <c r="AHY31" s="170"/>
      <c r="AIA31" s="170"/>
      <c r="AIC31" s="170"/>
      <c r="AIE31" s="170"/>
      <c r="AIG31" s="170"/>
      <c r="AII31" s="170"/>
      <c r="AIK31" s="170"/>
      <c r="AIM31" s="170"/>
      <c r="AIO31" s="170"/>
      <c r="AIQ31" s="170"/>
      <c r="AIS31" s="170"/>
      <c r="AIU31" s="170"/>
      <c r="AIW31" s="170"/>
      <c r="AIY31" s="170"/>
      <c r="AJA31" s="170"/>
      <c r="AJC31" s="170"/>
      <c r="AJE31" s="170"/>
      <c r="AJG31" s="170"/>
      <c r="AJI31" s="170"/>
      <c r="AJK31" s="170"/>
      <c r="AJM31" s="170"/>
      <c r="AJO31" s="170"/>
      <c r="AJQ31" s="170"/>
      <c r="AJS31" s="170"/>
      <c r="AJU31" s="170"/>
      <c r="AJW31" s="170"/>
      <c r="AJY31" s="170"/>
      <c r="AKA31" s="170"/>
      <c r="AKC31" s="170"/>
      <c r="AKE31" s="170"/>
      <c r="AKG31" s="170"/>
      <c r="AKI31" s="170"/>
      <c r="AKK31" s="170"/>
      <c r="AKM31" s="170"/>
      <c r="AKO31" s="170"/>
      <c r="AKQ31" s="170"/>
      <c r="AKS31" s="170"/>
      <c r="AKU31" s="170"/>
      <c r="AKW31" s="170"/>
      <c r="AKY31" s="170"/>
      <c r="ALA31" s="170"/>
      <c r="ALC31" s="170"/>
      <c r="ALE31" s="170"/>
      <c r="ALG31" s="170"/>
      <c r="ALI31" s="170"/>
      <c r="ALK31" s="170"/>
      <c r="ALM31" s="170"/>
      <c r="ALO31" s="170"/>
      <c r="ALQ31" s="170"/>
      <c r="ALS31" s="170"/>
      <c r="ALU31" s="170"/>
      <c r="ALW31" s="170"/>
      <c r="ALY31" s="170"/>
      <c r="AMA31" s="170"/>
      <c r="AMC31" s="170"/>
      <c r="AME31" s="170"/>
      <c r="AMG31" s="170"/>
      <c r="AMI31" s="170"/>
      <c r="AMK31" s="170"/>
      <c r="AMM31" s="170"/>
      <c r="AMO31" s="170"/>
      <c r="AMQ31" s="170"/>
      <c r="AMS31" s="170"/>
      <c r="AMU31" s="170"/>
      <c r="AMW31" s="170"/>
      <c r="AMY31" s="170"/>
      <c r="ANA31" s="170"/>
      <c r="ANC31" s="170"/>
      <c r="ANE31" s="170"/>
      <c r="ANG31" s="170"/>
      <c r="ANI31" s="170"/>
      <c r="ANK31" s="170"/>
      <c r="ANM31" s="170"/>
      <c r="ANO31" s="170"/>
      <c r="ANQ31" s="170"/>
      <c r="ANS31" s="170"/>
      <c r="ANU31" s="170"/>
      <c r="ANW31" s="170"/>
      <c r="ANY31" s="170"/>
      <c r="AOA31" s="170"/>
      <c r="AOC31" s="170"/>
      <c r="AOE31" s="170"/>
      <c r="AOG31" s="170"/>
      <c r="AOI31" s="170"/>
      <c r="AOK31" s="170"/>
      <c r="AOM31" s="170"/>
      <c r="AOO31" s="170"/>
      <c r="AOQ31" s="170"/>
      <c r="AOS31" s="170"/>
      <c r="AOU31" s="170"/>
      <c r="AOW31" s="170"/>
      <c r="AOY31" s="170"/>
      <c r="APA31" s="170"/>
      <c r="APC31" s="170"/>
      <c r="APE31" s="170"/>
      <c r="APG31" s="170"/>
      <c r="API31" s="170"/>
      <c r="APK31" s="170"/>
      <c r="APM31" s="170"/>
      <c r="APO31" s="170"/>
      <c r="APQ31" s="170"/>
      <c r="APS31" s="170"/>
      <c r="APU31" s="170"/>
      <c r="APW31" s="170"/>
      <c r="APY31" s="170"/>
      <c r="AQA31" s="170"/>
      <c r="AQC31" s="170"/>
      <c r="AQE31" s="170"/>
      <c r="AQG31" s="170"/>
      <c r="AQI31" s="170"/>
      <c r="AQK31" s="170"/>
      <c r="AQM31" s="170"/>
      <c r="AQO31" s="170"/>
      <c r="AQQ31" s="170"/>
      <c r="AQS31" s="170"/>
      <c r="AQU31" s="170"/>
      <c r="AQW31" s="170"/>
      <c r="AQY31" s="170"/>
      <c r="ARA31" s="170"/>
      <c r="ARC31" s="170"/>
      <c r="ARE31" s="170"/>
      <c r="ARG31" s="170"/>
      <c r="ARI31" s="170"/>
      <c r="ARK31" s="170"/>
      <c r="ARM31" s="170"/>
      <c r="ARO31" s="170"/>
      <c r="ARQ31" s="170"/>
      <c r="ARS31" s="170"/>
      <c r="ARU31" s="170"/>
      <c r="ARW31" s="170"/>
      <c r="ARY31" s="170"/>
      <c r="ASA31" s="170"/>
      <c r="ASC31" s="170"/>
      <c r="ASE31" s="170"/>
      <c r="ASG31" s="170"/>
      <c r="ASI31" s="170"/>
      <c r="ASK31" s="170"/>
      <c r="ASM31" s="170"/>
      <c r="ASO31" s="170"/>
      <c r="ASQ31" s="170"/>
      <c r="ASS31" s="170"/>
      <c r="ASU31" s="170"/>
      <c r="ASW31" s="170"/>
      <c r="ASY31" s="170"/>
      <c r="ATA31" s="170"/>
      <c r="ATC31" s="170"/>
      <c r="ATE31" s="170"/>
      <c r="ATG31" s="170"/>
      <c r="ATI31" s="170"/>
      <c r="ATK31" s="170"/>
      <c r="ATM31" s="170"/>
      <c r="ATO31" s="170"/>
      <c r="ATQ31" s="170"/>
      <c r="ATS31" s="170"/>
      <c r="ATU31" s="170"/>
      <c r="ATW31" s="170"/>
      <c r="ATY31" s="170"/>
      <c r="AUA31" s="170"/>
      <c r="AUC31" s="170"/>
      <c r="AUE31" s="170"/>
      <c r="AUG31" s="170"/>
      <c r="AUI31" s="170"/>
      <c r="AUK31" s="170"/>
      <c r="AUM31" s="170"/>
      <c r="AUO31" s="170"/>
      <c r="AUQ31" s="170"/>
      <c r="AUS31" s="170"/>
      <c r="AUU31" s="170"/>
      <c r="AUW31" s="170"/>
      <c r="AUY31" s="170"/>
      <c r="AVA31" s="170"/>
      <c r="AVC31" s="170"/>
      <c r="AVE31" s="170"/>
      <c r="AVG31" s="170"/>
      <c r="AVI31" s="170"/>
      <c r="AVK31" s="170"/>
      <c r="AVM31" s="170"/>
      <c r="AVO31" s="170"/>
      <c r="AVQ31" s="170"/>
      <c r="AVS31" s="170"/>
      <c r="AVU31" s="170"/>
      <c r="AVW31" s="170"/>
      <c r="AVY31" s="170"/>
      <c r="AWA31" s="170"/>
      <c r="AWC31" s="170"/>
      <c r="AWE31" s="170"/>
      <c r="AWG31" s="170"/>
      <c r="AWI31" s="170"/>
      <c r="AWK31" s="170"/>
      <c r="AWM31" s="170"/>
      <c r="AWO31" s="170"/>
      <c r="AWQ31" s="170"/>
      <c r="AWS31" s="170"/>
      <c r="AWU31" s="170"/>
      <c r="AWW31" s="170"/>
      <c r="AWY31" s="170"/>
      <c r="AXA31" s="170"/>
      <c r="AXC31" s="170"/>
      <c r="AXE31" s="170"/>
      <c r="AXG31" s="170"/>
      <c r="AXI31" s="170"/>
      <c r="AXK31" s="170"/>
      <c r="AXM31" s="170"/>
      <c r="AXO31" s="170"/>
      <c r="AXQ31" s="170"/>
      <c r="AXS31" s="170"/>
      <c r="AXU31" s="170"/>
      <c r="AXW31" s="170"/>
      <c r="AXY31" s="170"/>
      <c r="AYA31" s="170"/>
      <c r="AYC31" s="170"/>
      <c r="AYE31" s="170"/>
      <c r="AYG31" s="170"/>
      <c r="AYI31" s="170"/>
      <c r="AYK31" s="170"/>
      <c r="AYM31" s="170"/>
      <c r="AYO31" s="170"/>
      <c r="AYQ31" s="170"/>
      <c r="AYS31" s="170"/>
      <c r="AYU31" s="170"/>
      <c r="AYW31" s="170"/>
      <c r="AYY31" s="170"/>
      <c r="AZA31" s="170"/>
      <c r="AZC31" s="170"/>
      <c r="AZE31" s="170"/>
      <c r="AZG31" s="170"/>
      <c r="AZI31" s="170"/>
      <c r="AZK31" s="170"/>
      <c r="AZM31" s="170"/>
      <c r="AZO31" s="170"/>
      <c r="AZQ31" s="170"/>
      <c r="AZS31" s="170"/>
      <c r="AZU31" s="170"/>
      <c r="AZW31" s="170"/>
      <c r="AZY31" s="170"/>
      <c r="BAA31" s="170"/>
      <c r="BAC31" s="170"/>
      <c r="BAE31" s="170"/>
      <c r="BAG31" s="170"/>
      <c r="BAI31" s="170"/>
      <c r="BAK31" s="170"/>
      <c r="BAM31" s="170"/>
      <c r="BAO31" s="170"/>
      <c r="BAQ31" s="170"/>
      <c r="BAS31" s="170"/>
      <c r="BAU31" s="170"/>
      <c r="BAW31" s="170"/>
      <c r="BAY31" s="170"/>
      <c r="BBA31" s="170"/>
      <c r="BBC31" s="170"/>
      <c r="BBE31" s="170"/>
      <c r="BBG31" s="170"/>
      <c r="BBI31" s="170"/>
      <c r="BBK31" s="170"/>
      <c r="BBM31" s="170"/>
      <c r="BBO31" s="170"/>
      <c r="BBQ31" s="170"/>
      <c r="BBS31" s="170"/>
      <c r="BBU31" s="170"/>
      <c r="BBW31" s="170"/>
      <c r="BBY31" s="170"/>
      <c r="BCA31" s="170"/>
      <c r="BCC31" s="170"/>
      <c r="BCE31" s="170"/>
      <c r="BCG31" s="170"/>
      <c r="BCI31" s="170"/>
      <c r="BCK31" s="170"/>
      <c r="BCM31" s="170"/>
      <c r="BCO31" s="170"/>
      <c r="BCQ31" s="170"/>
      <c r="BCS31" s="170"/>
      <c r="BCU31" s="170"/>
      <c r="BCW31" s="170"/>
      <c r="BCY31" s="170"/>
      <c r="BDA31" s="170"/>
      <c r="BDC31" s="170"/>
      <c r="BDE31" s="170"/>
      <c r="BDG31" s="170"/>
      <c r="BDI31" s="170"/>
      <c r="BDK31" s="170"/>
      <c r="BDM31" s="170"/>
      <c r="BDO31" s="170"/>
      <c r="BDQ31" s="170"/>
      <c r="BDS31" s="170"/>
      <c r="BDU31" s="170"/>
      <c r="BDW31" s="170"/>
      <c r="BDY31" s="170"/>
      <c r="BEA31" s="170"/>
      <c r="BEC31" s="170"/>
      <c r="BEE31" s="170"/>
      <c r="BEG31" s="170"/>
      <c r="BEI31" s="170"/>
      <c r="BEK31" s="170"/>
      <c r="BEM31" s="170"/>
      <c r="BEO31" s="170"/>
      <c r="BEQ31" s="170"/>
      <c r="BES31" s="170"/>
      <c r="BEU31" s="170"/>
      <c r="BEW31" s="170"/>
      <c r="BEY31" s="170"/>
      <c r="BFA31" s="170"/>
      <c r="BFC31" s="170"/>
      <c r="BFE31" s="170"/>
      <c r="BFG31" s="170"/>
      <c r="BFI31" s="170"/>
      <c r="BFK31" s="170"/>
      <c r="BFM31" s="170"/>
      <c r="BFO31" s="170"/>
      <c r="BFQ31" s="170"/>
      <c r="BFS31" s="170"/>
      <c r="BFU31" s="170"/>
      <c r="BFW31" s="170"/>
      <c r="BFY31" s="170"/>
      <c r="BGA31" s="170"/>
      <c r="BGC31" s="170"/>
      <c r="BGE31" s="170"/>
      <c r="BGG31" s="170"/>
      <c r="BGI31" s="170"/>
      <c r="BGK31" s="170"/>
      <c r="BGM31" s="170"/>
      <c r="BGO31" s="170"/>
      <c r="BGQ31" s="170"/>
      <c r="BGS31" s="170"/>
      <c r="BGU31" s="170"/>
      <c r="BGW31" s="170"/>
      <c r="BGY31" s="170"/>
      <c r="BHA31" s="170"/>
      <c r="BHC31" s="170"/>
      <c r="BHE31" s="170"/>
      <c r="BHG31" s="170"/>
      <c r="BHI31" s="170"/>
      <c r="BHK31" s="170"/>
      <c r="BHM31" s="170"/>
      <c r="BHO31" s="170"/>
      <c r="BHQ31" s="170"/>
      <c r="BHS31" s="170"/>
      <c r="BHU31" s="170"/>
      <c r="BHW31" s="170"/>
      <c r="BHY31" s="170"/>
      <c r="BIA31" s="170"/>
      <c r="BIC31" s="170"/>
      <c r="BIE31" s="170"/>
      <c r="BIG31" s="170"/>
      <c r="BII31" s="170"/>
      <c r="BIK31" s="170"/>
      <c r="BIM31" s="170"/>
      <c r="BIO31" s="170"/>
      <c r="BIQ31" s="170"/>
      <c r="BIS31" s="170"/>
      <c r="BIU31" s="170"/>
      <c r="BIW31" s="170"/>
      <c r="BIY31" s="170"/>
      <c r="BJA31" s="170"/>
      <c r="BJC31" s="170"/>
      <c r="BJE31" s="170"/>
      <c r="BJG31" s="170"/>
      <c r="BJI31" s="170"/>
      <c r="BJK31" s="170"/>
      <c r="BJM31" s="170"/>
      <c r="BJO31" s="170"/>
      <c r="BJQ31" s="170"/>
      <c r="BJS31" s="170"/>
      <c r="BJU31" s="170"/>
      <c r="BJW31" s="170"/>
      <c r="BJY31" s="170"/>
      <c r="BKA31" s="170"/>
      <c r="BKC31" s="170"/>
      <c r="BKE31" s="170"/>
      <c r="BKG31" s="170"/>
      <c r="BKI31" s="170"/>
      <c r="BKK31" s="170"/>
      <c r="BKM31" s="170"/>
      <c r="BKO31" s="170"/>
      <c r="BKQ31" s="170"/>
      <c r="BKS31" s="170"/>
      <c r="BKU31" s="170"/>
      <c r="BKW31" s="170"/>
      <c r="BKY31" s="170"/>
      <c r="BLA31" s="170"/>
      <c r="BLC31" s="170"/>
      <c r="BLE31" s="170"/>
      <c r="BLG31" s="170"/>
      <c r="BLI31" s="170"/>
      <c r="BLK31" s="170"/>
      <c r="BLM31" s="170"/>
      <c r="BLO31" s="170"/>
      <c r="BLQ31" s="170"/>
      <c r="BLS31" s="170"/>
      <c r="BLU31" s="170"/>
      <c r="BLW31" s="170"/>
      <c r="BLY31" s="170"/>
      <c r="BMA31" s="170"/>
      <c r="BMC31" s="170"/>
      <c r="BME31" s="170"/>
      <c r="BMG31" s="170"/>
      <c r="BMI31" s="170"/>
      <c r="BMK31" s="170"/>
      <c r="BMM31" s="170"/>
      <c r="BMO31" s="170"/>
      <c r="BMQ31" s="170"/>
      <c r="BMS31" s="170"/>
      <c r="BMU31" s="170"/>
      <c r="BMW31" s="170"/>
      <c r="BMY31" s="170"/>
      <c r="BNA31" s="170"/>
      <c r="BNC31" s="170"/>
      <c r="BNE31" s="170"/>
      <c r="BNG31" s="170"/>
      <c r="BNI31" s="170"/>
      <c r="BNK31" s="170"/>
      <c r="BNM31" s="170"/>
      <c r="BNO31" s="170"/>
      <c r="BNQ31" s="170"/>
      <c r="BNS31" s="170"/>
      <c r="BNU31" s="170"/>
      <c r="BNW31" s="170"/>
      <c r="BNY31" s="170"/>
      <c r="BOA31" s="170"/>
      <c r="BOC31" s="170"/>
      <c r="BOE31" s="170"/>
      <c r="BOG31" s="170"/>
      <c r="BOI31" s="170"/>
      <c r="BOK31" s="170"/>
      <c r="BOM31" s="170"/>
      <c r="BOO31" s="170"/>
      <c r="BOQ31" s="170"/>
      <c r="BOS31" s="170"/>
      <c r="BOU31" s="170"/>
      <c r="BOW31" s="170"/>
      <c r="BOY31" s="170"/>
      <c r="BPA31" s="170"/>
      <c r="BPC31" s="170"/>
      <c r="BPE31" s="170"/>
      <c r="BPG31" s="170"/>
      <c r="BPI31" s="170"/>
      <c r="BPK31" s="170"/>
      <c r="BPM31" s="170"/>
      <c r="BPO31" s="170"/>
      <c r="BPQ31" s="170"/>
      <c r="BPS31" s="170"/>
      <c r="BPU31" s="170"/>
      <c r="BPW31" s="170"/>
      <c r="BPY31" s="170"/>
      <c r="BQA31" s="170"/>
      <c r="BQC31" s="170"/>
      <c r="BQE31" s="170"/>
      <c r="BQG31" s="170"/>
      <c r="BQI31" s="170"/>
      <c r="BQK31" s="170"/>
      <c r="BQM31" s="170"/>
      <c r="BQO31" s="170"/>
      <c r="BQQ31" s="170"/>
      <c r="BQS31" s="170"/>
      <c r="BQU31" s="170"/>
      <c r="BQW31" s="170"/>
      <c r="BQY31" s="170"/>
      <c r="BRA31" s="170"/>
      <c r="BRC31" s="170"/>
      <c r="BRE31" s="170"/>
      <c r="BRG31" s="170"/>
      <c r="BRI31" s="170"/>
      <c r="BRK31" s="170"/>
      <c r="BRM31" s="170"/>
      <c r="BRO31" s="170"/>
      <c r="BRQ31" s="170"/>
      <c r="BRS31" s="170"/>
      <c r="BRU31" s="170"/>
      <c r="BRW31" s="170"/>
      <c r="BRY31" s="170"/>
      <c r="BSA31" s="170"/>
      <c r="BSC31" s="170"/>
      <c r="BSE31" s="170"/>
      <c r="BSG31" s="170"/>
      <c r="BSI31" s="170"/>
      <c r="BSK31" s="170"/>
      <c r="BSM31" s="170"/>
      <c r="BSO31" s="170"/>
      <c r="BSQ31" s="170"/>
      <c r="BSS31" s="170"/>
      <c r="BSU31" s="170"/>
      <c r="BSW31" s="170"/>
      <c r="BSY31" s="170"/>
      <c r="BTA31" s="170"/>
      <c r="BTC31" s="170"/>
      <c r="BTE31" s="170"/>
      <c r="BTG31" s="170"/>
      <c r="BTI31" s="170"/>
      <c r="BTK31" s="170"/>
      <c r="BTM31" s="170"/>
      <c r="BTO31" s="170"/>
      <c r="BTQ31" s="170"/>
      <c r="BTS31" s="170"/>
      <c r="BTU31" s="170"/>
      <c r="BTW31" s="170"/>
      <c r="BTY31" s="170"/>
      <c r="BUA31" s="170"/>
      <c r="BUC31" s="170"/>
      <c r="BUE31" s="170"/>
      <c r="BUG31" s="170"/>
      <c r="BUI31" s="170"/>
      <c r="BUK31" s="170"/>
      <c r="BUM31" s="170"/>
      <c r="BUO31" s="170"/>
      <c r="BUQ31" s="170"/>
      <c r="BUS31" s="170"/>
      <c r="BUU31" s="170"/>
      <c r="BUW31" s="170"/>
      <c r="BUY31" s="170"/>
      <c r="BVA31" s="170"/>
      <c r="BVC31" s="170"/>
      <c r="BVE31" s="170"/>
      <c r="BVG31" s="170"/>
      <c r="BVI31" s="170"/>
      <c r="BVK31" s="170"/>
      <c r="BVM31" s="170"/>
      <c r="BVO31" s="170"/>
      <c r="BVQ31" s="170"/>
      <c r="BVS31" s="170"/>
      <c r="BVU31" s="170"/>
      <c r="BVW31" s="170"/>
      <c r="BVY31" s="170"/>
      <c r="BWA31" s="170"/>
      <c r="BWC31" s="170"/>
      <c r="BWE31" s="170"/>
      <c r="BWG31" s="170"/>
      <c r="BWI31" s="170"/>
      <c r="BWK31" s="170"/>
      <c r="BWM31" s="170"/>
      <c r="BWO31" s="170"/>
      <c r="BWQ31" s="170"/>
      <c r="BWS31" s="170"/>
      <c r="BWU31" s="170"/>
      <c r="BWW31" s="170"/>
      <c r="BWY31" s="170"/>
      <c r="BXA31" s="170"/>
      <c r="BXC31" s="170"/>
      <c r="BXE31" s="170"/>
      <c r="BXG31" s="170"/>
      <c r="BXI31" s="170"/>
      <c r="BXK31" s="170"/>
      <c r="BXM31" s="170"/>
      <c r="BXO31" s="170"/>
      <c r="BXQ31" s="170"/>
      <c r="BXS31" s="170"/>
      <c r="BXU31" s="170"/>
      <c r="BXW31" s="170"/>
      <c r="BXY31" s="170"/>
      <c r="BYA31" s="170"/>
      <c r="BYC31" s="170"/>
      <c r="BYE31" s="170"/>
      <c r="BYG31" s="170"/>
      <c r="BYI31" s="170"/>
      <c r="BYK31" s="170"/>
      <c r="BYM31" s="170"/>
      <c r="BYO31" s="170"/>
      <c r="BYQ31" s="170"/>
      <c r="BYS31" s="170"/>
      <c r="BYU31" s="170"/>
      <c r="BYW31" s="170"/>
      <c r="BYY31" s="170"/>
      <c r="BZA31" s="170"/>
      <c r="BZC31" s="170"/>
      <c r="BZE31" s="170"/>
      <c r="BZG31" s="170"/>
      <c r="BZI31" s="170"/>
      <c r="BZK31" s="170"/>
      <c r="BZM31" s="170"/>
      <c r="BZO31" s="170"/>
      <c r="BZQ31" s="170"/>
      <c r="BZS31" s="170"/>
      <c r="BZU31" s="170"/>
      <c r="BZW31" s="170"/>
      <c r="BZY31" s="170"/>
      <c r="CAA31" s="170"/>
      <c r="CAC31" s="170"/>
      <c r="CAE31" s="170"/>
      <c r="CAG31" s="170"/>
      <c r="CAI31" s="170"/>
      <c r="CAK31" s="170"/>
      <c r="CAM31" s="170"/>
      <c r="CAO31" s="170"/>
      <c r="CAQ31" s="170"/>
      <c r="CAS31" s="170"/>
      <c r="CAU31" s="170"/>
      <c r="CAW31" s="170"/>
      <c r="CAY31" s="170"/>
      <c r="CBA31" s="170"/>
      <c r="CBC31" s="170"/>
      <c r="CBE31" s="170"/>
      <c r="CBG31" s="170"/>
      <c r="CBI31" s="170"/>
      <c r="CBK31" s="170"/>
      <c r="CBM31" s="170"/>
      <c r="CBO31" s="170"/>
      <c r="CBQ31" s="170"/>
      <c r="CBS31" s="170"/>
      <c r="CBU31" s="170"/>
      <c r="CBW31" s="170"/>
      <c r="CBY31" s="170"/>
      <c r="CCA31" s="170"/>
      <c r="CCC31" s="170"/>
      <c r="CCE31" s="170"/>
      <c r="CCG31" s="170"/>
      <c r="CCI31" s="170"/>
      <c r="CCK31" s="170"/>
      <c r="CCM31" s="170"/>
      <c r="CCO31" s="170"/>
      <c r="CCQ31" s="170"/>
      <c r="CCS31" s="170"/>
      <c r="CCU31" s="170"/>
      <c r="CCW31" s="170"/>
      <c r="CCY31" s="170"/>
      <c r="CDA31" s="170"/>
      <c r="CDC31" s="170"/>
      <c r="CDE31" s="170"/>
      <c r="CDG31" s="170"/>
      <c r="CDI31" s="170"/>
      <c r="CDK31" s="170"/>
      <c r="CDM31" s="170"/>
      <c r="CDO31" s="170"/>
      <c r="CDQ31" s="170"/>
      <c r="CDS31" s="170"/>
      <c r="CDU31" s="170"/>
      <c r="CDW31" s="170"/>
      <c r="CDY31" s="170"/>
      <c r="CEA31" s="170"/>
      <c r="CEC31" s="170"/>
      <c r="CEE31" s="170"/>
      <c r="CEG31" s="170"/>
      <c r="CEI31" s="170"/>
      <c r="CEK31" s="170"/>
      <c r="CEM31" s="170"/>
      <c r="CEO31" s="170"/>
      <c r="CEQ31" s="170"/>
      <c r="CES31" s="170"/>
      <c r="CEU31" s="170"/>
      <c r="CEW31" s="170"/>
      <c r="CEY31" s="170"/>
      <c r="CFA31" s="170"/>
      <c r="CFC31" s="170"/>
      <c r="CFE31" s="170"/>
      <c r="CFG31" s="170"/>
      <c r="CFI31" s="170"/>
      <c r="CFK31" s="170"/>
      <c r="CFM31" s="170"/>
      <c r="CFO31" s="170"/>
      <c r="CFQ31" s="170"/>
      <c r="CFS31" s="170"/>
      <c r="CFU31" s="170"/>
      <c r="CFW31" s="170"/>
      <c r="CFY31" s="170"/>
      <c r="CGA31" s="170"/>
      <c r="CGC31" s="170"/>
      <c r="CGE31" s="170"/>
      <c r="CGG31" s="170"/>
      <c r="CGI31" s="170"/>
      <c r="CGK31" s="170"/>
      <c r="CGM31" s="170"/>
      <c r="CGO31" s="170"/>
      <c r="CGQ31" s="170"/>
      <c r="CGS31" s="170"/>
      <c r="CGU31" s="170"/>
      <c r="CGW31" s="170"/>
      <c r="CGY31" s="170"/>
      <c r="CHA31" s="170"/>
      <c r="CHC31" s="170"/>
      <c r="CHE31" s="170"/>
      <c r="CHG31" s="170"/>
      <c r="CHI31" s="170"/>
      <c r="CHK31" s="170"/>
      <c r="CHM31" s="170"/>
      <c r="CHO31" s="170"/>
      <c r="CHQ31" s="170"/>
      <c r="CHS31" s="170"/>
      <c r="CHU31" s="170"/>
      <c r="CHW31" s="170"/>
      <c r="CHY31" s="170"/>
      <c r="CIA31" s="170"/>
      <c r="CIC31" s="170"/>
      <c r="CIE31" s="170"/>
      <c r="CIG31" s="170"/>
      <c r="CII31" s="170"/>
      <c r="CIK31" s="170"/>
      <c r="CIM31" s="170"/>
      <c r="CIO31" s="170"/>
      <c r="CIQ31" s="170"/>
      <c r="CIS31" s="170"/>
      <c r="CIU31" s="170"/>
      <c r="CIW31" s="170"/>
      <c r="CIY31" s="170"/>
      <c r="CJA31" s="170"/>
      <c r="CJC31" s="170"/>
      <c r="CJE31" s="170"/>
      <c r="CJG31" s="170"/>
      <c r="CJI31" s="170"/>
      <c r="CJK31" s="170"/>
      <c r="CJM31" s="170"/>
      <c r="CJO31" s="170"/>
      <c r="CJQ31" s="170"/>
      <c r="CJS31" s="170"/>
      <c r="CJU31" s="170"/>
      <c r="CJW31" s="170"/>
      <c r="CJY31" s="170"/>
      <c r="CKA31" s="170"/>
      <c r="CKC31" s="170"/>
      <c r="CKE31" s="170"/>
      <c r="CKG31" s="170"/>
      <c r="CKI31" s="170"/>
      <c r="CKK31" s="170"/>
      <c r="CKM31" s="170"/>
      <c r="CKO31" s="170"/>
      <c r="CKQ31" s="170"/>
      <c r="CKS31" s="170"/>
      <c r="CKU31" s="170"/>
      <c r="CKW31" s="170"/>
      <c r="CKY31" s="170"/>
      <c r="CLA31" s="170"/>
      <c r="CLC31" s="170"/>
      <c r="CLE31" s="170"/>
      <c r="CLG31" s="170"/>
      <c r="CLI31" s="170"/>
      <c r="CLK31" s="170"/>
      <c r="CLM31" s="170"/>
      <c r="CLO31" s="170"/>
      <c r="CLQ31" s="170"/>
      <c r="CLS31" s="170"/>
      <c r="CLU31" s="170"/>
      <c r="CLW31" s="170"/>
      <c r="CLY31" s="170"/>
      <c r="CMA31" s="170"/>
      <c r="CMC31" s="170"/>
      <c r="CME31" s="170"/>
      <c r="CMG31" s="170"/>
      <c r="CMI31" s="170"/>
      <c r="CMK31" s="170"/>
      <c r="CMM31" s="170"/>
      <c r="CMO31" s="170"/>
      <c r="CMQ31" s="170"/>
      <c r="CMS31" s="170"/>
      <c r="CMU31" s="170"/>
      <c r="CMW31" s="170"/>
      <c r="CMY31" s="170"/>
      <c r="CNA31" s="170"/>
      <c r="CNC31" s="170"/>
      <c r="CNE31" s="170"/>
      <c r="CNG31" s="170"/>
      <c r="CNI31" s="170"/>
      <c r="CNK31" s="170"/>
      <c r="CNM31" s="170"/>
      <c r="CNO31" s="170"/>
      <c r="CNQ31" s="170"/>
      <c r="CNS31" s="170"/>
      <c r="CNU31" s="170"/>
      <c r="CNW31" s="170"/>
      <c r="CNY31" s="170"/>
      <c r="COA31" s="170"/>
      <c r="COC31" s="170"/>
      <c r="COE31" s="170"/>
      <c r="COG31" s="170"/>
      <c r="COI31" s="170"/>
      <c r="COK31" s="170"/>
      <c r="COM31" s="170"/>
      <c r="COO31" s="170"/>
      <c r="COQ31" s="170"/>
      <c r="COS31" s="170"/>
      <c r="COU31" s="170"/>
      <c r="COW31" s="170"/>
      <c r="COY31" s="170"/>
      <c r="CPA31" s="170"/>
      <c r="CPC31" s="170"/>
      <c r="CPE31" s="170"/>
      <c r="CPG31" s="170"/>
      <c r="CPI31" s="170"/>
      <c r="CPK31" s="170"/>
      <c r="CPM31" s="170"/>
      <c r="CPO31" s="170"/>
      <c r="CPQ31" s="170"/>
      <c r="CPS31" s="170"/>
      <c r="CPU31" s="170"/>
      <c r="CPW31" s="170"/>
      <c r="CPY31" s="170"/>
      <c r="CQA31" s="170"/>
      <c r="CQC31" s="170"/>
      <c r="CQE31" s="170"/>
      <c r="CQG31" s="170"/>
      <c r="CQI31" s="170"/>
      <c r="CQK31" s="170"/>
      <c r="CQM31" s="170"/>
      <c r="CQO31" s="170"/>
      <c r="CQQ31" s="170"/>
      <c r="CQS31" s="170"/>
      <c r="CQU31" s="170"/>
      <c r="CQW31" s="170"/>
      <c r="CQY31" s="170"/>
      <c r="CRA31" s="170"/>
      <c r="CRC31" s="170"/>
      <c r="CRE31" s="170"/>
      <c r="CRG31" s="170"/>
      <c r="CRI31" s="170"/>
      <c r="CRK31" s="170"/>
      <c r="CRM31" s="170"/>
      <c r="CRO31" s="170"/>
      <c r="CRQ31" s="170"/>
      <c r="CRS31" s="170"/>
      <c r="CRU31" s="170"/>
      <c r="CRW31" s="170"/>
      <c r="CRY31" s="170"/>
      <c r="CSA31" s="170"/>
      <c r="CSC31" s="170"/>
      <c r="CSE31" s="170"/>
      <c r="CSG31" s="170"/>
      <c r="CSI31" s="170"/>
      <c r="CSK31" s="170"/>
      <c r="CSM31" s="170"/>
      <c r="CSO31" s="170"/>
      <c r="CSQ31" s="170"/>
      <c r="CSS31" s="170"/>
      <c r="CSU31" s="170"/>
      <c r="CSW31" s="170"/>
      <c r="CSY31" s="170"/>
      <c r="CTA31" s="170"/>
      <c r="CTC31" s="170"/>
      <c r="CTE31" s="170"/>
      <c r="CTG31" s="170"/>
      <c r="CTI31" s="170"/>
      <c r="CTK31" s="170"/>
      <c r="CTM31" s="170"/>
      <c r="CTO31" s="170"/>
      <c r="CTQ31" s="170"/>
      <c r="CTS31" s="170"/>
      <c r="CTU31" s="170"/>
      <c r="CTW31" s="170"/>
      <c r="CTY31" s="170"/>
      <c r="CUA31" s="170"/>
      <c r="CUC31" s="170"/>
      <c r="CUE31" s="170"/>
      <c r="CUG31" s="170"/>
      <c r="CUI31" s="170"/>
      <c r="CUK31" s="170"/>
      <c r="CUM31" s="170"/>
      <c r="CUO31" s="170"/>
      <c r="CUQ31" s="170"/>
      <c r="CUS31" s="170"/>
      <c r="CUU31" s="170"/>
      <c r="CUW31" s="170"/>
      <c r="CUY31" s="170"/>
      <c r="CVA31" s="170"/>
      <c r="CVC31" s="170"/>
      <c r="CVE31" s="170"/>
      <c r="CVG31" s="170"/>
      <c r="CVI31" s="170"/>
      <c r="CVK31" s="170"/>
      <c r="CVM31" s="170"/>
      <c r="CVO31" s="170"/>
      <c r="CVQ31" s="170"/>
      <c r="CVS31" s="170"/>
      <c r="CVU31" s="170"/>
      <c r="CVW31" s="170"/>
      <c r="CVY31" s="170"/>
      <c r="CWA31" s="170"/>
      <c r="CWC31" s="170"/>
      <c r="CWE31" s="170"/>
      <c r="CWG31" s="170"/>
      <c r="CWI31" s="170"/>
      <c r="CWK31" s="170"/>
      <c r="CWM31" s="170"/>
      <c r="CWO31" s="170"/>
      <c r="CWQ31" s="170"/>
      <c r="CWS31" s="170"/>
      <c r="CWU31" s="170"/>
      <c r="CWW31" s="170"/>
      <c r="CWY31" s="170"/>
      <c r="CXA31" s="170"/>
      <c r="CXC31" s="170"/>
      <c r="CXE31" s="170"/>
      <c r="CXG31" s="170"/>
      <c r="CXI31" s="170"/>
      <c r="CXK31" s="170"/>
      <c r="CXM31" s="170"/>
      <c r="CXO31" s="170"/>
      <c r="CXQ31" s="170"/>
      <c r="CXS31" s="170"/>
      <c r="CXU31" s="170"/>
      <c r="CXW31" s="170"/>
      <c r="CXY31" s="170"/>
      <c r="CYA31" s="170"/>
      <c r="CYC31" s="170"/>
      <c r="CYE31" s="170"/>
      <c r="CYG31" s="170"/>
      <c r="CYI31" s="170"/>
      <c r="CYK31" s="170"/>
      <c r="CYM31" s="170"/>
      <c r="CYO31" s="170"/>
      <c r="CYQ31" s="170"/>
      <c r="CYS31" s="170"/>
      <c r="CYU31" s="170"/>
      <c r="CYW31" s="170"/>
      <c r="CYY31" s="170"/>
      <c r="CZA31" s="170"/>
      <c r="CZC31" s="170"/>
      <c r="CZE31" s="170"/>
      <c r="CZG31" s="170"/>
      <c r="CZI31" s="170"/>
      <c r="CZK31" s="170"/>
      <c r="CZM31" s="170"/>
      <c r="CZO31" s="170"/>
      <c r="CZQ31" s="170"/>
      <c r="CZS31" s="170"/>
      <c r="CZU31" s="170"/>
      <c r="CZW31" s="170"/>
      <c r="CZY31" s="170"/>
      <c r="DAA31" s="170"/>
      <c r="DAC31" s="170"/>
      <c r="DAE31" s="170"/>
      <c r="DAG31" s="170"/>
      <c r="DAI31" s="170"/>
      <c r="DAK31" s="170"/>
      <c r="DAM31" s="170"/>
      <c r="DAO31" s="170"/>
      <c r="DAQ31" s="170"/>
      <c r="DAS31" s="170"/>
      <c r="DAU31" s="170"/>
      <c r="DAW31" s="170"/>
      <c r="DAY31" s="170"/>
      <c r="DBA31" s="170"/>
      <c r="DBC31" s="170"/>
      <c r="DBE31" s="170"/>
      <c r="DBG31" s="170"/>
      <c r="DBI31" s="170"/>
      <c r="DBK31" s="170"/>
      <c r="DBM31" s="170"/>
      <c r="DBO31" s="170"/>
      <c r="DBQ31" s="170"/>
      <c r="DBS31" s="170"/>
      <c r="DBU31" s="170"/>
      <c r="DBW31" s="170"/>
      <c r="DBY31" s="170"/>
      <c r="DCA31" s="170"/>
      <c r="DCC31" s="170"/>
      <c r="DCE31" s="170"/>
      <c r="DCG31" s="170"/>
      <c r="DCI31" s="170"/>
      <c r="DCK31" s="170"/>
      <c r="DCM31" s="170"/>
      <c r="DCO31" s="170"/>
      <c r="DCQ31" s="170"/>
      <c r="DCS31" s="170"/>
      <c r="DCU31" s="170"/>
      <c r="DCW31" s="170"/>
      <c r="DCY31" s="170"/>
      <c r="DDA31" s="170"/>
      <c r="DDC31" s="170"/>
      <c r="DDE31" s="170"/>
      <c r="DDG31" s="170"/>
      <c r="DDI31" s="170"/>
      <c r="DDK31" s="170"/>
      <c r="DDM31" s="170"/>
      <c r="DDO31" s="170"/>
      <c r="DDQ31" s="170"/>
      <c r="DDS31" s="170"/>
      <c r="DDU31" s="170"/>
      <c r="DDW31" s="170"/>
      <c r="DDY31" s="170"/>
      <c r="DEA31" s="170"/>
      <c r="DEC31" s="170"/>
      <c r="DEE31" s="170"/>
      <c r="DEG31" s="170"/>
      <c r="DEI31" s="170"/>
      <c r="DEK31" s="170"/>
      <c r="DEM31" s="170"/>
      <c r="DEO31" s="170"/>
      <c r="DEQ31" s="170"/>
      <c r="DES31" s="170"/>
      <c r="DEU31" s="170"/>
      <c r="DEW31" s="170"/>
      <c r="DEY31" s="170"/>
      <c r="DFA31" s="170"/>
      <c r="DFC31" s="170"/>
      <c r="DFE31" s="170"/>
      <c r="DFG31" s="170"/>
      <c r="DFI31" s="170"/>
      <c r="DFK31" s="170"/>
      <c r="DFM31" s="170"/>
      <c r="DFO31" s="170"/>
      <c r="DFQ31" s="170"/>
      <c r="DFS31" s="170"/>
      <c r="DFU31" s="170"/>
      <c r="DFW31" s="170"/>
      <c r="DFY31" s="170"/>
      <c r="DGA31" s="170"/>
      <c r="DGC31" s="170"/>
      <c r="DGE31" s="170"/>
      <c r="DGG31" s="170"/>
      <c r="DGI31" s="170"/>
      <c r="DGK31" s="170"/>
      <c r="DGM31" s="170"/>
      <c r="DGO31" s="170"/>
      <c r="DGQ31" s="170"/>
      <c r="DGS31" s="170"/>
      <c r="DGU31" s="170"/>
      <c r="DGW31" s="170"/>
      <c r="DGY31" s="170"/>
      <c r="DHA31" s="170"/>
      <c r="DHC31" s="170"/>
      <c r="DHE31" s="170"/>
      <c r="DHG31" s="170"/>
      <c r="DHI31" s="170"/>
      <c r="DHK31" s="170"/>
      <c r="DHM31" s="170"/>
      <c r="DHO31" s="170"/>
      <c r="DHQ31" s="170"/>
      <c r="DHS31" s="170"/>
      <c r="DHU31" s="170"/>
      <c r="DHW31" s="170"/>
      <c r="DHY31" s="170"/>
      <c r="DIA31" s="170"/>
      <c r="DIC31" s="170"/>
      <c r="DIE31" s="170"/>
      <c r="DIG31" s="170"/>
      <c r="DII31" s="170"/>
      <c r="DIK31" s="170"/>
      <c r="DIM31" s="170"/>
      <c r="DIO31" s="170"/>
      <c r="DIQ31" s="170"/>
      <c r="DIS31" s="170"/>
      <c r="DIU31" s="170"/>
      <c r="DIW31" s="170"/>
      <c r="DIY31" s="170"/>
      <c r="DJA31" s="170"/>
      <c r="DJC31" s="170"/>
      <c r="DJE31" s="170"/>
      <c r="DJG31" s="170"/>
      <c r="DJI31" s="170"/>
      <c r="DJK31" s="170"/>
      <c r="DJM31" s="170"/>
      <c r="DJO31" s="170"/>
      <c r="DJQ31" s="170"/>
      <c r="DJS31" s="170"/>
      <c r="DJU31" s="170"/>
      <c r="DJW31" s="170"/>
      <c r="DJY31" s="170"/>
      <c r="DKA31" s="170"/>
      <c r="DKC31" s="170"/>
      <c r="DKE31" s="170"/>
      <c r="DKG31" s="170"/>
      <c r="DKI31" s="170"/>
      <c r="DKK31" s="170"/>
      <c r="DKM31" s="170"/>
      <c r="DKO31" s="170"/>
      <c r="DKQ31" s="170"/>
      <c r="DKS31" s="170"/>
      <c r="DKU31" s="170"/>
      <c r="DKW31" s="170"/>
      <c r="DKY31" s="170"/>
      <c r="DLA31" s="170"/>
      <c r="DLC31" s="170"/>
      <c r="DLE31" s="170"/>
      <c r="DLG31" s="170"/>
      <c r="DLI31" s="170"/>
      <c r="DLK31" s="170"/>
      <c r="DLM31" s="170"/>
      <c r="DLO31" s="170"/>
      <c r="DLQ31" s="170"/>
      <c r="DLS31" s="170"/>
      <c r="DLU31" s="170"/>
      <c r="DLW31" s="170"/>
      <c r="DLY31" s="170"/>
      <c r="DMA31" s="170"/>
      <c r="DMC31" s="170"/>
      <c r="DME31" s="170"/>
      <c r="DMG31" s="170"/>
      <c r="DMI31" s="170"/>
      <c r="DMK31" s="170"/>
      <c r="DMM31" s="170"/>
      <c r="DMO31" s="170"/>
      <c r="DMQ31" s="170"/>
      <c r="DMS31" s="170"/>
      <c r="DMU31" s="170"/>
      <c r="DMW31" s="170"/>
      <c r="DMY31" s="170"/>
      <c r="DNA31" s="170"/>
      <c r="DNC31" s="170"/>
      <c r="DNE31" s="170"/>
      <c r="DNG31" s="170"/>
      <c r="DNI31" s="170"/>
      <c r="DNK31" s="170"/>
      <c r="DNM31" s="170"/>
      <c r="DNO31" s="170"/>
      <c r="DNQ31" s="170"/>
      <c r="DNS31" s="170"/>
      <c r="DNU31" s="170"/>
      <c r="DNW31" s="170"/>
      <c r="DNY31" s="170"/>
      <c r="DOA31" s="170"/>
      <c r="DOC31" s="170"/>
      <c r="DOE31" s="170"/>
      <c r="DOG31" s="170"/>
      <c r="DOI31" s="170"/>
      <c r="DOK31" s="170"/>
      <c r="DOM31" s="170"/>
      <c r="DOO31" s="170"/>
      <c r="DOQ31" s="170"/>
      <c r="DOS31" s="170"/>
      <c r="DOU31" s="170"/>
      <c r="DOW31" s="170"/>
      <c r="DOY31" s="170"/>
      <c r="DPA31" s="170"/>
      <c r="DPC31" s="170"/>
      <c r="DPE31" s="170"/>
      <c r="DPG31" s="170"/>
      <c r="DPI31" s="170"/>
      <c r="DPK31" s="170"/>
      <c r="DPM31" s="170"/>
      <c r="DPO31" s="170"/>
      <c r="DPQ31" s="170"/>
      <c r="DPS31" s="170"/>
      <c r="DPU31" s="170"/>
      <c r="DPW31" s="170"/>
      <c r="DPY31" s="170"/>
      <c r="DQA31" s="170"/>
      <c r="DQC31" s="170"/>
      <c r="DQE31" s="170"/>
      <c r="DQG31" s="170"/>
      <c r="DQI31" s="170"/>
      <c r="DQK31" s="170"/>
      <c r="DQM31" s="170"/>
      <c r="DQO31" s="170"/>
      <c r="DQQ31" s="170"/>
      <c r="DQS31" s="170"/>
      <c r="DQU31" s="170"/>
      <c r="DQW31" s="170"/>
      <c r="DQY31" s="170"/>
      <c r="DRA31" s="170"/>
      <c r="DRC31" s="170"/>
      <c r="DRE31" s="170"/>
      <c r="DRG31" s="170"/>
      <c r="DRI31" s="170"/>
      <c r="DRK31" s="170"/>
      <c r="DRM31" s="170"/>
      <c r="DRO31" s="170"/>
      <c r="DRQ31" s="170"/>
      <c r="DRS31" s="170"/>
      <c r="DRU31" s="170"/>
      <c r="DRW31" s="170"/>
      <c r="DRY31" s="170"/>
      <c r="DSA31" s="170"/>
      <c r="DSC31" s="170"/>
      <c r="DSE31" s="170"/>
      <c r="DSG31" s="170"/>
      <c r="DSI31" s="170"/>
      <c r="DSK31" s="170"/>
      <c r="DSM31" s="170"/>
      <c r="DSO31" s="170"/>
      <c r="DSQ31" s="170"/>
      <c r="DSS31" s="170"/>
      <c r="DSU31" s="170"/>
      <c r="DSW31" s="170"/>
      <c r="DSY31" s="170"/>
      <c r="DTA31" s="170"/>
      <c r="DTC31" s="170"/>
      <c r="DTE31" s="170"/>
      <c r="DTG31" s="170"/>
      <c r="DTI31" s="170"/>
      <c r="DTK31" s="170"/>
      <c r="DTM31" s="170"/>
      <c r="DTO31" s="170"/>
      <c r="DTQ31" s="170"/>
      <c r="DTS31" s="170"/>
      <c r="DTU31" s="170"/>
      <c r="DTW31" s="170"/>
      <c r="DTY31" s="170"/>
      <c r="DUA31" s="170"/>
      <c r="DUC31" s="170"/>
      <c r="DUE31" s="170"/>
      <c r="DUG31" s="170"/>
      <c r="DUI31" s="170"/>
      <c r="DUK31" s="170"/>
      <c r="DUM31" s="170"/>
      <c r="DUO31" s="170"/>
      <c r="DUQ31" s="170"/>
      <c r="DUS31" s="170"/>
      <c r="DUU31" s="170"/>
      <c r="DUW31" s="170"/>
      <c r="DUY31" s="170"/>
      <c r="DVA31" s="170"/>
      <c r="DVC31" s="170"/>
      <c r="DVE31" s="170"/>
      <c r="DVG31" s="170"/>
      <c r="DVI31" s="170"/>
      <c r="DVK31" s="170"/>
      <c r="DVM31" s="170"/>
      <c r="DVO31" s="170"/>
      <c r="DVQ31" s="170"/>
      <c r="DVS31" s="170"/>
      <c r="DVU31" s="170"/>
      <c r="DVW31" s="170"/>
      <c r="DVY31" s="170"/>
      <c r="DWA31" s="170"/>
      <c r="DWC31" s="170"/>
      <c r="DWE31" s="170"/>
      <c r="DWG31" s="170"/>
      <c r="DWI31" s="170"/>
      <c r="DWK31" s="170"/>
      <c r="DWM31" s="170"/>
      <c r="DWO31" s="170"/>
      <c r="DWQ31" s="170"/>
      <c r="DWS31" s="170"/>
      <c r="DWU31" s="170"/>
      <c r="DWW31" s="170"/>
      <c r="DWY31" s="170"/>
      <c r="DXA31" s="170"/>
      <c r="DXC31" s="170"/>
      <c r="DXE31" s="170"/>
      <c r="DXG31" s="170"/>
      <c r="DXI31" s="170"/>
      <c r="DXK31" s="170"/>
      <c r="DXM31" s="170"/>
      <c r="DXO31" s="170"/>
      <c r="DXQ31" s="170"/>
      <c r="DXS31" s="170"/>
      <c r="DXU31" s="170"/>
      <c r="DXW31" s="170"/>
      <c r="DXY31" s="170"/>
      <c r="DYA31" s="170"/>
      <c r="DYC31" s="170"/>
      <c r="DYE31" s="170"/>
      <c r="DYG31" s="170"/>
      <c r="DYI31" s="170"/>
      <c r="DYK31" s="170"/>
      <c r="DYM31" s="170"/>
      <c r="DYO31" s="170"/>
      <c r="DYQ31" s="170"/>
      <c r="DYS31" s="170"/>
      <c r="DYU31" s="170"/>
      <c r="DYW31" s="170"/>
      <c r="DYY31" s="170"/>
      <c r="DZA31" s="170"/>
      <c r="DZC31" s="170"/>
      <c r="DZE31" s="170"/>
      <c r="DZG31" s="170"/>
      <c r="DZI31" s="170"/>
      <c r="DZK31" s="170"/>
      <c r="DZM31" s="170"/>
      <c r="DZO31" s="170"/>
      <c r="DZQ31" s="170"/>
      <c r="DZS31" s="170"/>
      <c r="DZU31" s="170"/>
      <c r="DZW31" s="170"/>
      <c r="DZY31" s="170"/>
      <c r="EAA31" s="170"/>
      <c r="EAC31" s="170"/>
      <c r="EAE31" s="170"/>
      <c r="EAG31" s="170"/>
      <c r="EAI31" s="170"/>
      <c r="EAK31" s="170"/>
      <c r="EAM31" s="170"/>
      <c r="EAO31" s="170"/>
      <c r="EAQ31" s="170"/>
      <c r="EAS31" s="170"/>
      <c r="EAU31" s="170"/>
      <c r="EAW31" s="170"/>
      <c r="EAY31" s="170"/>
      <c r="EBA31" s="170"/>
      <c r="EBC31" s="170"/>
      <c r="EBE31" s="170"/>
      <c r="EBG31" s="170"/>
      <c r="EBI31" s="170"/>
      <c r="EBK31" s="170"/>
      <c r="EBM31" s="170"/>
      <c r="EBO31" s="170"/>
      <c r="EBQ31" s="170"/>
      <c r="EBS31" s="170"/>
      <c r="EBU31" s="170"/>
      <c r="EBW31" s="170"/>
      <c r="EBY31" s="170"/>
      <c r="ECA31" s="170"/>
      <c r="ECC31" s="170"/>
      <c r="ECE31" s="170"/>
      <c r="ECG31" s="170"/>
      <c r="ECI31" s="170"/>
      <c r="ECK31" s="170"/>
      <c r="ECM31" s="170"/>
      <c r="ECO31" s="170"/>
      <c r="ECQ31" s="170"/>
      <c r="ECS31" s="170"/>
      <c r="ECU31" s="170"/>
      <c r="ECW31" s="170"/>
      <c r="ECY31" s="170"/>
      <c r="EDA31" s="170"/>
      <c r="EDC31" s="170"/>
      <c r="EDE31" s="170"/>
      <c r="EDG31" s="170"/>
      <c r="EDI31" s="170"/>
      <c r="EDK31" s="170"/>
      <c r="EDM31" s="170"/>
      <c r="EDO31" s="170"/>
      <c r="EDQ31" s="170"/>
      <c r="EDS31" s="170"/>
      <c r="EDU31" s="170"/>
      <c r="EDW31" s="170"/>
      <c r="EDY31" s="170"/>
      <c r="EEA31" s="170"/>
      <c r="EEC31" s="170"/>
      <c r="EEE31" s="170"/>
      <c r="EEG31" s="170"/>
      <c r="EEI31" s="170"/>
      <c r="EEK31" s="170"/>
      <c r="EEM31" s="170"/>
      <c r="EEO31" s="170"/>
      <c r="EEQ31" s="170"/>
      <c r="EES31" s="170"/>
      <c r="EEU31" s="170"/>
      <c r="EEW31" s="170"/>
      <c r="EEY31" s="170"/>
      <c r="EFA31" s="170"/>
      <c r="EFC31" s="170"/>
      <c r="EFE31" s="170"/>
      <c r="EFG31" s="170"/>
      <c r="EFI31" s="170"/>
      <c r="EFK31" s="170"/>
      <c r="EFM31" s="170"/>
      <c r="EFO31" s="170"/>
      <c r="EFQ31" s="170"/>
      <c r="EFS31" s="170"/>
      <c r="EFU31" s="170"/>
      <c r="EFW31" s="170"/>
      <c r="EFY31" s="170"/>
      <c r="EGA31" s="170"/>
      <c r="EGC31" s="170"/>
      <c r="EGE31" s="170"/>
      <c r="EGG31" s="170"/>
      <c r="EGI31" s="170"/>
      <c r="EGK31" s="170"/>
      <c r="EGM31" s="170"/>
      <c r="EGO31" s="170"/>
      <c r="EGQ31" s="170"/>
      <c r="EGS31" s="170"/>
      <c r="EGU31" s="170"/>
      <c r="EGW31" s="170"/>
      <c r="EGY31" s="170"/>
      <c r="EHA31" s="170"/>
      <c r="EHC31" s="170"/>
      <c r="EHE31" s="170"/>
      <c r="EHG31" s="170"/>
      <c r="EHI31" s="170"/>
      <c r="EHK31" s="170"/>
      <c r="EHM31" s="170"/>
      <c r="EHO31" s="170"/>
      <c r="EHQ31" s="170"/>
      <c r="EHS31" s="170"/>
      <c r="EHU31" s="170"/>
      <c r="EHW31" s="170"/>
      <c r="EHY31" s="170"/>
      <c r="EIA31" s="170"/>
      <c r="EIC31" s="170"/>
      <c r="EIE31" s="170"/>
      <c r="EIG31" s="170"/>
      <c r="EII31" s="170"/>
      <c r="EIK31" s="170"/>
      <c r="EIM31" s="170"/>
      <c r="EIO31" s="170"/>
      <c r="EIQ31" s="170"/>
      <c r="EIS31" s="170"/>
      <c r="EIU31" s="170"/>
      <c r="EIW31" s="170"/>
      <c r="EIY31" s="170"/>
      <c r="EJA31" s="170"/>
      <c r="EJC31" s="170"/>
      <c r="EJE31" s="170"/>
      <c r="EJG31" s="170"/>
      <c r="EJI31" s="170"/>
      <c r="EJK31" s="170"/>
      <c r="EJM31" s="170"/>
      <c r="EJO31" s="170"/>
      <c r="EJQ31" s="170"/>
      <c r="EJS31" s="170"/>
      <c r="EJU31" s="170"/>
      <c r="EJW31" s="170"/>
      <c r="EJY31" s="170"/>
      <c r="EKA31" s="170"/>
      <c r="EKC31" s="170"/>
      <c r="EKE31" s="170"/>
      <c r="EKG31" s="170"/>
      <c r="EKI31" s="170"/>
      <c r="EKK31" s="170"/>
      <c r="EKM31" s="170"/>
      <c r="EKO31" s="170"/>
      <c r="EKQ31" s="170"/>
      <c r="EKS31" s="170"/>
      <c r="EKU31" s="170"/>
      <c r="EKW31" s="170"/>
      <c r="EKY31" s="170"/>
      <c r="ELA31" s="170"/>
      <c r="ELC31" s="170"/>
      <c r="ELE31" s="170"/>
      <c r="ELG31" s="170"/>
      <c r="ELI31" s="170"/>
      <c r="ELK31" s="170"/>
      <c r="ELM31" s="170"/>
      <c r="ELO31" s="170"/>
      <c r="ELQ31" s="170"/>
      <c r="ELS31" s="170"/>
      <c r="ELU31" s="170"/>
      <c r="ELW31" s="170"/>
      <c r="ELY31" s="170"/>
      <c r="EMA31" s="170"/>
      <c r="EMC31" s="170"/>
      <c r="EME31" s="170"/>
      <c r="EMG31" s="170"/>
      <c r="EMI31" s="170"/>
      <c r="EMK31" s="170"/>
      <c r="EMM31" s="170"/>
      <c r="EMO31" s="170"/>
      <c r="EMQ31" s="170"/>
      <c r="EMS31" s="170"/>
      <c r="EMU31" s="170"/>
      <c r="EMW31" s="170"/>
      <c r="EMY31" s="170"/>
      <c r="ENA31" s="170"/>
      <c r="ENC31" s="170"/>
      <c r="ENE31" s="170"/>
      <c r="ENG31" s="170"/>
      <c r="ENI31" s="170"/>
      <c r="ENK31" s="170"/>
      <c r="ENM31" s="170"/>
      <c r="ENO31" s="170"/>
      <c r="ENQ31" s="170"/>
      <c r="ENS31" s="170"/>
      <c r="ENU31" s="170"/>
      <c r="ENW31" s="170"/>
      <c r="ENY31" s="170"/>
      <c r="EOA31" s="170"/>
      <c r="EOC31" s="170"/>
      <c r="EOE31" s="170"/>
      <c r="EOG31" s="170"/>
      <c r="EOI31" s="170"/>
      <c r="EOK31" s="170"/>
      <c r="EOM31" s="170"/>
      <c r="EOO31" s="170"/>
      <c r="EOQ31" s="170"/>
      <c r="EOS31" s="170"/>
      <c r="EOU31" s="170"/>
      <c r="EOW31" s="170"/>
      <c r="EOY31" s="170"/>
      <c r="EPA31" s="170"/>
      <c r="EPC31" s="170"/>
      <c r="EPE31" s="170"/>
      <c r="EPG31" s="170"/>
      <c r="EPI31" s="170"/>
      <c r="EPK31" s="170"/>
      <c r="EPM31" s="170"/>
      <c r="EPO31" s="170"/>
      <c r="EPQ31" s="170"/>
      <c r="EPS31" s="170"/>
      <c r="EPU31" s="170"/>
      <c r="EPW31" s="170"/>
      <c r="EPY31" s="170"/>
      <c r="EQA31" s="170"/>
      <c r="EQC31" s="170"/>
      <c r="EQE31" s="170"/>
      <c r="EQG31" s="170"/>
      <c r="EQI31" s="170"/>
      <c r="EQK31" s="170"/>
      <c r="EQM31" s="170"/>
      <c r="EQO31" s="170"/>
      <c r="EQQ31" s="170"/>
      <c r="EQS31" s="170"/>
      <c r="EQU31" s="170"/>
      <c r="EQW31" s="170"/>
      <c r="EQY31" s="170"/>
      <c r="ERA31" s="170"/>
      <c r="ERC31" s="170"/>
      <c r="ERE31" s="170"/>
      <c r="ERG31" s="170"/>
      <c r="ERI31" s="170"/>
      <c r="ERK31" s="170"/>
      <c r="ERM31" s="170"/>
      <c r="ERO31" s="170"/>
      <c r="ERQ31" s="170"/>
      <c r="ERS31" s="170"/>
      <c r="ERU31" s="170"/>
      <c r="ERW31" s="170"/>
      <c r="ERY31" s="170"/>
      <c r="ESA31" s="170"/>
      <c r="ESC31" s="170"/>
      <c r="ESE31" s="170"/>
      <c r="ESG31" s="170"/>
      <c r="ESI31" s="170"/>
      <c r="ESK31" s="170"/>
      <c r="ESM31" s="170"/>
      <c r="ESO31" s="170"/>
      <c r="ESQ31" s="170"/>
      <c r="ESS31" s="170"/>
      <c r="ESU31" s="170"/>
      <c r="ESW31" s="170"/>
      <c r="ESY31" s="170"/>
      <c r="ETA31" s="170"/>
      <c r="ETC31" s="170"/>
      <c r="ETE31" s="170"/>
      <c r="ETG31" s="170"/>
      <c r="ETI31" s="170"/>
      <c r="ETK31" s="170"/>
      <c r="ETM31" s="170"/>
      <c r="ETO31" s="170"/>
      <c r="ETQ31" s="170"/>
      <c r="ETS31" s="170"/>
      <c r="ETU31" s="170"/>
      <c r="ETW31" s="170"/>
      <c r="ETY31" s="170"/>
      <c r="EUA31" s="170"/>
      <c r="EUC31" s="170"/>
      <c r="EUE31" s="170"/>
      <c r="EUG31" s="170"/>
      <c r="EUI31" s="170"/>
      <c r="EUK31" s="170"/>
      <c r="EUM31" s="170"/>
      <c r="EUO31" s="170"/>
      <c r="EUQ31" s="170"/>
      <c r="EUS31" s="170"/>
      <c r="EUU31" s="170"/>
      <c r="EUW31" s="170"/>
      <c r="EUY31" s="170"/>
      <c r="EVA31" s="170"/>
      <c r="EVC31" s="170"/>
      <c r="EVE31" s="170"/>
      <c r="EVG31" s="170"/>
      <c r="EVI31" s="170"/>
      <c r="EVK31" s="170"/>
      <c r="EVM31" s="170"/>
      <c r="EVO31" s="170"/>
      <c r="EVQ31" s="170"/>
      <c r="EVS31" s="170"/>
      <c r="EVU31" s="170"/>
      <c r="EVW31" s="170"/>
      <c r="EVY31" s="170"/>
      <c r="EWA31" s="170"/>
      <c r="EWC31" s="170"/>
      <c r="EWE31" s="170"/>
      <c r="EWG31" s="170"/>
      <c r="EWI31" s="170"/>
      <c r="EWK31" s="170"/>
      <c r="EWM31" s="170"/>
      <c r="EWO31" s="170"/>
      <c r="EWQ31" s="170"/>
      <c r="EWS31" s="170"/>
      <c r="EWU31" s="170"/>
      <c r="EWW31" s="170"/>
      <c r="EWY31" s="170"/>
      <c r="EXA31" s="170"/>
      <c r="EXC31" s="170"/>
      <c r="EXE31" s="170"/>
      <c r="EXG31" s="170"/>
      <c r="EXI31" s="170"/>
      <c r="EXK31" s="170"/>
      <c r="EXM31" s="170"/>
      <c r="EXO31" s="170"/>
      <c r="EXQ31" s="170"/>
      <c r="EXS31" s="170"/>
      <c r="EXU31" s="170"/>
      <c r="EXW31" s="170"/>
      <c r="EXY31" s="170"/>
      <c r="EYA31" s="170"/>
      <c r="EYC31" s="170"/>
      <c r="EYE31" s="170"/>
      <c r="EYG31" s="170"/>
      <c r="EYI31" s="170"/>
      <c r="EYK31" s="170"/>
      <c r="EYM31" s="170"/>
      <c r="EYO31" s="170"/>
      <c r="EYQ31" s="170"/>
      <c r="EYS31" s="170"/>
      <c r="EYU31" s="170"/>
      <c r="EYW31" s="170"/>
      <c r="EYY31" s="170"/>
      <c r="EZA31" s="170"/>
      <c r="EZC31" s="170"/>
      <c r="EZE31" s="170"/>
      <c r="EZG31" s="170"/>
      <c r="EZI31" s="170"/>
      <c r="EZK31" s="170"/>
      <c r="EZM31" s="170"/>
      <c r="EZO31" s="170"/>
      <c r="EZQ31" s="170"/>
      <c r="EZS31" s="170"/>
      <c r="EZU31" s="170"/>
      <c r="EZW31" s="170"/>
      <c r="EZY31" s="170"/>
      <c r="FAA31" s="170"/>
      <c r="FAC31" s="170"/>
      <c r="FAE31" s="170"/>
      <c r="FAG31" s="170"/>
      <c r="FAI31" s="170"/>
      <c r="FAK31" s="170"/>
      <c r="FAM31" s="170"/>
      <c r="FAO31" s="170"/>
      <c r="FAQ31" s="170"/>
      <c r="FAS31" s="170"/>
      <c r="FAU31" s="170"/>
      <c r="FAW31" s="170"/>
      <c r="FAY31" s="170"/>
      <c r="FBA31" s="170"/>
      <c r="FBC31" s="170"/>
      <c r="FBE31" s="170"/>
      <c r="FBG31" s="170"/>
      <c r="FBI31" s="170"/>
      <c r="FBK31" s="170"/>
      <c r="FBM31" s="170"/>
      <c r="FBO31" s="170"/>
      <c r="FBQ31" s="170"/>
      <c r="FBS31" s="170"/>
      <c r="FBU31" s="170"/>
      <c r="FBW31" s="170"/>
      <c r="FBY31" s="170"/>
      <c r="FCA31" s="170"/>
      <c r="FCC31" s="170"/>
      <c r="FCE31" s="170"/>
      <c r="FCG31" s="170"/>
      <c r="FCI31" s="170"/>
      <c r="FCK31" s="170"/>
      <c r="FCM31" s="170"/>
      <c r="FCO31" s="170"/>
      <c r="FCQ31" s="170"/>
      <c r="FCS31" s="170"/>
      <c r="FCU31" s="170"/>
      <c r="FCW31" s="170"/>
      <c r="FCY31" s="170"/>
      <c r="FDA31" s="170"/>
      <c r="FDC31" s="170"/>
      <c r="FDE31" s="170"/>
      <c r="FDG31" s="170"/>
      <c r="FDI31" s="170"/>
      <c r="FDK31" s="170"/>
      <c r="FDM31" s="170"/>
      <c r="FDO31" s="170"/>
      <c r="FDQ31" s="170"/>
      <c r="FDS31" s="170"/>
      <c r="FDU31" s="170"/>
      <c r="FDW31" s="170"/>
      <c r="FDY31" s="170"/>
      <c r="FEA31" s="170"/>
      <c r="FEC31" s="170"/>
      <c r="FEE31" s="170"/>
      <c r="FEG31" s="170"/>
      <c r="FEI31" s="170"/>
      <c r="FEK31" s="170"/>
      <c r="FEM31" s="170"/>
      <c r="FEO31" s="170"/>
      <c r="FEQ31" s="170"/>
      <c r="FES31" s="170"/>
      <c r="FEU31" s="170"/>
      <c r="FEW31" s="170"/>
      <c r="FEY31" s="170"/>
      <c r="FFA31" s="170"/>
      <c r="FFC31" s="170"/>
      <c r="FFE31" s="170"/>
      <c r="FFG31" s="170"/>
      <c r="FFI31" s="170"/>
      <c r="FFK31" s="170"/>
      <c r="FFM31" s="170"/>
      <c r="FFO31" s="170"/>
      <c r="FFQ31" s="170"/>
      <c r="FFS31" s="170"/>
      <c r="FFU31" s="170"/>
      <c r="FFW31" s="170"/>
      <c r="FFY31" s="170"/>
      <c r="FGA31" s="170"/>
      <c r="FGC31" s="170"/>
      <c r="FGE31" s="170"/>
      <c r="FGG31" s="170"/>
      <c r="FGI31" s="170"/>
      <c r="FGK31" s="170"/>
      <c r="FGM31" s="170"/>
      <c r="FGO31" s="170"/>
      <c r="FGQ31" s="170"/>
      <c r="FGS31" s="170"/>
      <c r="FGU31" s="170"/>
      <c r="FGW31" s="170"/>
      <c r="FGY31" s="170"/>
      <c r="FHA31" s="170"/>
      <c r="FHC31" s="170"/>
      <c r="FHE31" s="170"/>
      <c r="FHG31" s="170"/>
      <c r="FHI31" s="170"/>
      <c r="FHK31" s="170"/>
      <c r="FHM31" s="170"/>
      <c r="FHO31" s="170"/>
      <c r="FHQ31" s="170"/>
      <c r="FHS31" s="170"/>
      <c r="FHU31" s="170"/>
      <c r="FHW31" s="170"/>
      <c r="FHY31" s="170"/>
      <c r="FIA31" s="170"/>
      <c r="FIC31" s="170"/>
      <c r="FIE31" s="170"/>
      <c r="FIG31" s="170"/>
      <c r="FII31" s="170"/>
      <c r="FIK31" s="170"/>
      <c r="FIM31" s="170"/>
      <c r="FIO31" s="170"/>
      <c r="FIQ31" s="170"/>
      <c r="FIS31" s="170"/>
      <c r="FIU31" s="170"/>
      <c r="FIW31" s="170"/>
      <c r="FIY31" s="170"/>
      <c r="FJA31" s="170"/>
      <c r="FJC31" s="170"/>
      <c r="FJE31" s="170"/>
      <c r="FJG31" s="170"/>
      <c r="FJI31" s="170"/>
      <c r="FJK31" s="170"/>
      <c r="FJM31" s="170"/>
      <c r="FJO31" s="170"/>
      <c r="FJQ31" s="170"/>
      <c r="FJS31" s="170"/>
      <c r="FJU31" s="170"/>
      <c r="FJW31" s="170"/>
      <c r="FJY31" s="170"/>
      <c r="FKA31" s="170"/>
      <c r="FKC31" s="170"/>
      <c r="FKE31" s="170"/>
      <c r="FKG31" s="170"/>
      <c r="FKI31" s="170"/>
      <c r="FKK31" s="170"/>
      <c r="FKM31" s="170"/>
      <c r="FKO31" s="170"/>
      <c r="FKQ31" s="170"/>
      <c r="FKS31" s="170"/>
      <c r="FKU31" s="170"/>
      <c r="FKW31" s="170"/>
      <c r="FKY31" s="170"/>
      <c r="FLA31" s="170"/>
      <c r="FLC31" s="170"/>
      <c r="FLE31" s="170"/>
      <c r="FLG31" s="170"/>
      <c r="FLI31" s="170"/>
      <c r="FLK31" s="170"/>
      <c r="FLM31" s="170"/>
      <c r="FLO31" s="170"/>
      <c r="FLQ31" s="170"/>
      <c r="FLS31" s="170"/>
      <c r="FLU31" s="170"/>
      <c r="FLW31" s="170"/>
      <c r="FLY31" s="170"/>
      <c r="FMA31" s="170"/>
      <c r="FMC31" s="170"/>
      <c r="FME31" s="170"/>
      <c r="FMG31" s="170"/>
      <c r="FMI31" s="170"/>
      <c r="FMK31" s="170"/>
      <c r="FMM31" s="170"/>
      <c r="FMO31" s="170"/>
      <c r="FMQ31" s="170"/>
      <c r="FMS31" s="170"/>
      <c r="FMU31" s="170"/>
      <c r="FMW31" s="170"/>
      <c r="FMY31" s="170"/>
      <c r="FNA31" s="170"/>
      <c r="FNC31" s="170"/>
      <c r="FNE31" s="170"/>
      <c r="FNG31" s="170"/>
      <c r="FNI31" s="170"/>
      <c r="FNK31" s="170"/>
      <c r="FNM31" s="170"/>
      <c r="FNO31" s="170"/>
      <c r="FNQ31" s="170"/>
      <c r="FNS31" s="170"/>
      <c r="FNU31" s="170"/>
      <c r="FNW31" s="170"/>
      <c r="FNY31" s="170"/>
      <c r="FOA31" s="170"/>
      <c r="FOC31" s="170"/>
      <c r="FOE31" s="170"/>
      <c r="FOG31" s="170"/>
      <c r="FOI31" s="170"/>
      <c r="FOK31" s="170"/>
      <c r="FOM31" s="170"/>
      <c r="FOO31" s="170"/>
      <c r="FOQ31" s="170"/>
      <c r="FOS31" s="170"/>
      <c r="FOU31" s="170"/>
      <c r="FOW31" s="170"/>
      <c r="FOY31" s="170"/>
      <c r="FPA31" s="170"/>
      <c r="FPC31" s="170"/>
      <c r="FPE31" s="170"/>
      <c r="FPG31" s="170"/>
      <c r="FPI31" s="170"/>
      <c r="FPK31" s="170"/>
      <c r="FPM31" s="170"/>
      <c r="FPO31" s="170"/>
      <c r="FPQ31" s="170"/>
      <c r="FPS31" s="170"/>
      <c r="FPU31" s="170"/>
      <c r="FPW31" s="170"/>
      <c r="FPY31" s="170"/>
      <c r="FQA31" s="170"/>
      <c r="FQC31" s="170"/>
      <c r="FQE31" s="170"/>
      <c r="FQG31" s="170"/>
      <c r="FQI31" s="170"/>
      <c r="FQK31" s="170"/>
      <c r="FQM31" s="170"/>
      <c r="FQO31" s="170"/>
      <c r="FQQ31" s="170"/>
      <c r="FQS31" s="170"/>
      <c r="FQU31" s="170"/>
      <c r="FQW31" s="170"/>
      <c r="FQY31" s="170"/>
      <c r="FRA31" s="170"/>
      <c r="FRC31" s="170"/>
      <c r="FRE31" s="170"/>
      <c r="FRG31" s="170"/>
      <c r="FRI31" s="170"/>
      <c r="FRK31" s="170"/>
      <c r="FRM31" s="170"/>
      <c r="FRO31" s="170"/>
      <c r="FRQ31" s="170"/>
      <c r="FRS31" s="170"/>
      <c r="FRU31" s="170"/>
      <c r="FRW31" s="170"/>
      <c r="FRY31" s="170"/>
      <c r="FSA31" s="170"/>
      <c r="FSC31" s="170"/>
      <c r="FSE31" s="170"/>
      <c r="FSG31" s="170"/>
      <c r="FSI31" s="170"/>
      <c r="FSK31" s="170"/>
      <c r="FSM31" s="170"/>
      <c r="FSO31" s="170"/>
      <c r="FSQ31" s="170"/>
      <c r="FSS31" s="170"/>
      <c r="FSU31" s="170"/>
      <c r="FSW31" s="170"/>
      <c r="FSY31" s="170"/>
      <c r="FTA31" s="170"/>
      <c r="FTC31" s="170"/>
      <c r="FTE31" s="170"/>
      <c r="FTG31" s="170"/>
      <c r="FTI31" s="170"/>
      <c r="FTK31" s="170"/>
      <c r="FTM31" s="170"/>
      <c r="FTO31" s="170"/>
      <c r="FTQ31" s="170"/>
      <c r="FTS31" s="170"/>
      <c r="FTU31" s="170"/>
      <c r="FTW31" s="170"/>
      <c r="FTY31" s="170"/>
      <c r="FUA31" s="170"/>
      <c r="FUC31" s="170"/>
      <c r="FUE31" s="170"/>
      <c r="FUG31" s="170"/>
      <c r="FUI31" s="170"/>
      <c r="FUK31" s="170"/>
      <c r="FUM31" s="170"/>
      <c r="FUO31" s="170"/>
      <c r="FUQ31" s="170"/>
      <c r="FUS31" s="170"/>
      <c r="FUU31" s="170"/>
      <c r="FUW31" s="170"/>
      <c r="FUY31" s="170"/>
      <c r="FVA31" s="170"/>
      <c r="FVC31" s="170"/>
      <c r="FVE31" s="170"/>
      <c r="FVG31" s="170"/>
      <c r="FVI31" s="170"/>
      <c r="FVK31" s="170"/>
      <c r="FVM31" s="170"/>
      <c r="FVO31" s="170"/>
      <c r="FVQ31" s="170"/>
      <c r="FVS31" s="170"/>
      <c r="FVU31" s="170"/>
      <c r="FVW31" s="170"/>
      <c r="FVY31" s="170"/>
      <c r="FWA31" s="170"/>
      <c r="FWC31" s="170"/>
      <c r="FWE31" s="170"/>
      <c r="FWG31" s="170"/>
      <c r="FWI31" s="170"/>
      <c r="FWK31" s="170"/>
      <c r="FWM31" s="170"/>
      <c r="FWO31" s="170"/>
      <c r="FWQ31" s="170"/>
      <c r="FWS31" s="170"/>
      <c r="FWU31" s="170"/>
      <c r="FWW31" s="170"/>
      <c r="FWY31" s="170"/>
      <c r="FXA31" s="170"/>
      <c r="FXC31" s="170"/>
      <c r="FXE31" s="170"/>
      <c r="FXG31" s="170"/>
      <c r="FXI31" s="170"/>
      <c r="FXK31" s="170"/>
      <c r="FXM31" s="170"/>
      <c r="FXO31" s="170"/>
      <c r="FXQ31" s="170"/>
      <c r="FXS31" s="170"/>
      <c r="FXU31" s="170"/>
      <c r="FXW31" s="170"/>
      <c r="FXY31" s="170"/>
      <c r="FYA31" s="170"/>
      <c r="FYC31" s="170"/>
      <c r="FYE31" s="170"/>
      <c r="FYG31" s="170"/>
      <c r="FYI31" s="170"/>
      <c r="FYK31" s="170"/>
      <c r="FYM31" s="170"/>
      <c r="FYO31" s="170"/>
      <c r="FYQ31" s="170"/>
      <c r="FYS31" s="170"/>
      <c r="FYU31" s="170"/>
      <c r="FYW31" s="170"/>
      <c r="FYY31" s="170"/>
      <c r="FZA31" s="170"/>
      <c r="FZC31" s="170"/>
      <c r="FZE31" s="170"/>
      <c r="FZG31" s="170"/>
      <c r="FZI31" s="170"/>
      <c r="FZK31" s="170"/>
      <c r="FZM31" s="170"/>
      <c r="FZO31" s="170"/>
      <c r="FZQ31" s="170"/>
      <c r="FZS31" s="170"/>
      <c r="FZU31" s="170"/>
      <c r="FZW31" s="170"/>
      <c r="FZY31" s="170"/>
      <c r="GAA31" s="170"/>
      <c r="GAC31" s="170"/>
      <c r="GAE31" s="170"/>
      <c r="GAG31" s="170"/>
      <c r="GAI31" s="170"/>
      <c r="GAK31" s="170"/>
      <c r="GAM31" s="170"/>
      <c r="GAO31" s="170"/>
      <c r="GAQ31" s="170"/>
      <c r="GAS31" s="170"/>
      <c r="GAU31" s="170"/>
      <c r="GAW31" s="170"/>
      <c r="GAY31" s="170"/>
      <c r="GBA31" s="170"/>
      <c r="GBC31" s="170"/>
      <c r="GBE31" s="170"/>
      <c r="GBG31" s="170"/>
      <c r="GBI31" s="170"/>
      <c r="GBK31" s="170"/>
      <c r="GBM31" s="170"/>
      <c r="GBO31" s="170"/>
      <c r="GBQ31" s="170"/>
      <c r="GBS31" s="170"/>
      <c r="GBU31" s="170"/>
      <c r="GBW31" s="170"/>
      <c r="GBY31" s="170"/>
      <c r="GCA31" s="170"/>
      <c r="GCC31" s="170"/>
      <c r="GCE31" s="170"/>
      <c r="GCG31" s="170"/>
      <c r="GCI31" s="170"/>
      <c r="GCK31" s="170"/>
      <c r="GCM31" s="170"/>
      <c r="GCO31" s="170"/>
      <c r="GCQ31" s="170"/>
      <c r="GCS31" s="170"/>
      <c r="GCU31" s="170"/>
      <c r="GCW31" s="170"/>
      <c r="GCY31" s="170"/>
      <c r="GDA31" s="170"/>
      <c r="GDC31" s="170"/>
      <c r="GDE31" s="170"/>
      <c r="GDG31" s="170"/>
      <c r="GDI31" s="170"/>
      <c r="GDK31" s="170"/>
      <c r="GDM31" s="170"/>
      <c r="GDO31" s="170"/>
      <c r="GDQ31" s="170"/>
      <c r="GDS31" s="170"/>
      <c r="GDU31" s="170"/>
      <c r="GDW31" s="170"/>
      <c r="GDY31" s="170"/>
      <c r="GEA31" s="170"/>
      <c r="GEC31" s="170"/>
      <c r="GEE31" s="170"/>
      <c r="GEG31" s="170"/>
      <c r="GEI31" s="170"/>
      <c r="GEK31" s="170"/>
      <c r="GEM31" s="170"/>
      <c r="GEO31" s="170"/>
      <c r="GEQ31" s="170"/>
      <c r="GES31" s="170"/>
      <c r="GEU31" s="170"/>
      <c r="GEW31" s="170"/>
      <c r="GEY31" s="170"/>
      <c r="GFA31" s="170"/>
      <c r="GFC31" s="170"/>
      <c r="GFE31" s="170"/>
      <c r="GFG31" s="170"/>
      <c r="GFI31" s="170"/>
      <c r="GFK31" s="170"/>
      <c r="GFM31" s="170"/>
      <c r="GFO31" s="170"/>
      <c r="GFQ31" s="170"/>
      <c r="GFS31" s="170"/>
      <c r="GFU31" s="170"/>
      <c r="GFW31" s="170"/>
      <c r="GFY31" s="170"/>
      <c r="GGA31" s="170"/>
      <c r="GGC31" s="170"/>
      <c r="GGE31" s="170"/>
      <c r="GGG31" s="170"/>
      <c r="GGI31" s="170"/>
      <c r="GGK31" s="170"/>
      <c r="GGM31" s="170"/>
      <c r="GGO31" s="170"/>
      <c r="GGQ31" s="170"/>
      <c r="GGS31" s="170"/>
      <c r="GGU31" s="170"/>
      <c r="GGW31" s="170"/>
      <c r="GGY31" s="170"/>
      <c r="GHA31" s="170"/>
      <c r="GHC31" s="170"/>
      <c r="GHE31" s="170"/>
      <c r="GHG31" s="170"/>
      <c r="GHI31" s="170"/>
      <c r="GHK31" s="170"/>
      <c r="GHM31" s="170"/>
      <c r="GHO31" s="170"/>
      <c r="GHQ31" s="170"/>
      <c r="GHS31" s="170"/>
      <c r="GHU31" s="170"/>
      <c r="GHW31" s="170"/>
      <c r="GHY31" s="170"/>
      <c r="GIA31" s="170"/>
      <c r="GIC31" s="170"/>
      <c r="GIE31" s="170"/>
      <c r="GIG31" s="170"/>
      <c r="GII31" s="170"/>
      <c r="GIK31" s="170"/>
      <c r="GIM31" s="170"/>
      <c r="GIO31" s="170"/>
      <c r="GIQ31" s="170"/>
      <c r="GIS31" s="170"/>
      <c r="GIU31" s="170"/>
      <c r="GIW31" s="170"/>
      <c r="GIY31" s="170"/>
      <c r="GJA31" s="170"/>
      <c r="GJC31" s="170"/>
      <c r="GJE31" s="170"/>
      <c r="GJG31" s="170"/>
      <c r="GJI31" s="170"/>
      <c r="GJK31" s="170"/>
      <c r="GJM31" s="170"/>
      <c r="GJO31" s="170"/>
      <c r="GJQ31" s="170"/>
      <c r="GJS31" s="170"/>
      <c r="GJU31" s="170"/>
      <c r="GJW31" s="170"/>
      <c r="GJY31" s="170"/>
      <c r="GKA31" s="170"/>
      <c r="GKC31" s="170"/>
      <c r="GKE31" s="170"/>
      <c r="GKG31" s="170"/>
      <c r="GKI31" s="170"/>
      <c r="GKK31" s="170"/>
      <c r="GKM31" s="170"/>
      <c r="GKO31" s="170"/>
      <c r="GKQ31" s="170"/>
      <c r="GKS31" s="170"/>
      <c r="GKU31" s="170"/>
      <c r="GKW31" s="170"/>
      <c r="GKY31" s="170"/>
      <c r="GLA31" s="170"/>
      <c r="GLC31" s="170"/>
      <c r="GLE31" s="170"/>
      <c r="GLG31" s="170"/>
      <c r="GLI31" s="170"/>
      <c r="GLK31" s="170"/>
      <c r="GLM31" s="170"/>
      <c r="GLO31" s="170"/>
      <c r="GLQ31" s="170"/>
      <c r="GLS31" s="170"/>
      <c r="GLU31" s="170"/>
      <c r="GLW31" s="170"/>
      <c r="GLY31" s="170"/>
      <c r="GMA31" s="170"/>
      <c r="GMC31" s="170"/>
      <c r="GME31" s="170"/>
      <c r="GMG31" s="170"/>
      <c r="GMI31" s="170"/>
      <c r="GMK31" s="170"/>
      <c r="GMM31" s="170"/>
      <c r="GMO31" s="170"/>
      <c r="GMQ31" s="170"/>
      <c r="GMS31" s="170"/>
      <c r="GMU31" s="170"/>
      <c r="GMW31" s="170"/>
      <c r="GMY31" s="170"/>
      <c r="GNA31" s="170"/>
      <c r="GNC31" s="170"/>
      <c r="GNE31" s="170"/>
      <c r="GNG31" s="170"/>
      <c r="GNI31" s="170"/>
      <c r="GNK31" s="170"/>
      <c r="GNM31" s="170"/>
      <c r="GNO31" s="170"/>
      <c r="GNQ31" s="170"/>
      <c r="GNS31" s="170"/>
      <c r="GNU31" s="170"/>
      <c r="GNW31" s="170"/>
      <c r="GNY31" s="170"/>
      <c r="GOA31" s="170"/>
      <c r="GOC31" s="170"/>
      <c r="GOE31" s="170"/>
      <c r="GOG31" s="170"/>
      <c r="GOI31" s="170"/>
      <c r="GOK31" s="170"/>
      <c r="GOM31" s="170"/>
      <c r="GOO31" s="170"/>
      <c r="GOQ31" s="170"/>
      <c r="GOS31" s="170"/>
      <c r="GOU31" s="170"/>
      <c r="GOW31" s="170"/>
      <c r="GOY31" s="170"/>
      <c r="GPA31" s="170"/>
      <c r="GPC31" s="170"/>
      <c r="GPE31" s="170"/>
      <c r="GPG31" s="170"/>
      <c r="GPI31" s="170"/>
      <c r="GPK31" s="170"/>
      <c r="GPM31" s="170"/>
      <c r="GPO31" s="170"/>
      <c r="GPQ31" s="170"/>
      <c r="GPS31" s="170"/>
      <c r="GPU31" s="170"/>
      <c r="GPW31" s="170"/>
      <c r="GPY31" s="170"/>
      <c r="GQA31" s="170"/>
      <c r="GQC31" s="170"/>
      <c r="GQE31" s="170"/>
      <c r="GQG31" s="170"/>
      <c r="GQI31" s="170"/>
      <c r="GQK31" s="170"/>
      <c r="GQM31" s="170"/>
      <c r="GQO31" s="170"/>
      <c r="GQQ31" s="170"/>
      <c r="GQS31" s="170"/>
      <c r="GQU31" s="170"/>
      <c r="GQW31" s="170"/>
      <c r="GQY31" s="170"/>
      <c r="GRA31" s="170"/>
      <c r="GRC31" s="170"/>
      <c r="GRE31" s="170"/>
      <c r="GRG31" s="170"/>
      <c r="GRI31" s="170"/>
      <c r="GRK31" s="170"/>
      <c r="GRM31" s="170"/>
      <c r="GRO31" s="170"/>
      <c r="GRQ31" s="170"/>
      <c r="GRS31" s="170"/>
      <c r="GRU31" s="170"/>
      <c r="GRW31" s="170"/>
      <c r="GRY31" s="170"/>
      <c r="GSA31" s="170"/>
      <c r="GSC31" s="170"/>
      <c r="GSE31" s="170"/>
      <c r="GSG31" s="170"/>
      <c r="GSI31" s="170"/>
      <c r="GSK31" s="170"/>
      <c r="GSM31" s="170"/>
      <c r="GSO31" s="170"/>
      <c r="GSQ31" s="170"/>
      <c r="GSS31" s="170"/>
      <c r="GSU31" s="170"/>
      <c r="GSW31" s="170"/>
      <c r="GSY31" s="170"/>
      <c r="GTA31" s="170"/>
      <c r="GTC31" s="170"/>
      <c r="GTE31" s="170"/>
      <c r="GTG31" s="170"/>
      <c r="GTI31" s="170"/>
      <c r="GTK31" s="170"/>
      <c r="GTM31" s="170"/>
      <c r="GTO31" s="170"/>
      <c r="GTQ31" s="170"/>
      <c r="GTS31" s="170"/>
      <c r="GTU31" s="170"/>
      <c r="GTW31" s="170"/>
      <c r="GTY31" s="170"/>
      <c r="GUA31" s="170"/>
      <c r="GUC31" s="170"/>
      <c r="GUE31" s="170"/>
      <c r="GUG31" s="170"/>
      <c r="GUI31" s="170"/>
      <c r="GUK31" s="170"/>
      <c r="GUM31" s="170"/>
      <c r="GUO31" s="170"/>
      <c r="GUQ31" s="170"/>
      <c r="GUS31" s="170"/>
      <c r="GUU31" s="170"/>
      <c r="GUW31" s="170"/>
      <c r="GUY31" s="170"/>
      <c r="GVA31" s="170"/>
      <c r="GVC31" s="170"/>
      <c r="GVE31" s="170"/>
      <c r="GVG31" s="170"/>
      <c r="GVI31" s="170"/>
      <c r="GVK31" s="170"/>
      <c r="GVM31" s="170"/>
      <c r="GVO31" s="170"/>
      <c r="GVQ31" s="170"/>
      <c r="GVS31" s="170"/>
      <c r="GVU31" s="170"/>
      <c r="GVW31" s="170"/>
      <c r="GVY31" s="170"/>
      <c r="GWA31" s="170"/>
      <c r="GWC31" s="170"/>
      <c r="GWE31" s="170"/>
      <c r="GWG31" s="170"/>
      <c r="GWI31" s="170"/>
      <c r="GWK31" s="170"/>
      <c r="GWM31" s="170"/>
      <c r="GWO31" s="170"/>
      <c r="GWQ31" s="170"/>
      <c r="GWS31" s="170"/>
      <c r="GWU31" s="170"/>
      <c r="GWW31" s="170"/>
      <c r="GWY31" s="170"/>
      <c r="GXA31" s="170"/>
      <c r="GXC31" s="170"/>
      <c r="GXE31" s="170"/>
      <c r="GXG31" s="170"/>
      <c r="GXI31" s="170"/>
      <c r="GXK31" s="170"/>
      <c r="GXM31" s="170"/>
      <c r="GXO31" s="170"/>
      <c r="GXQ31" s="170"/>
      <c r="GXS31" s="170"/>
      <c r="GXU31" s="170"/>
      <c r="GXW31" s="170"/>
      <c r="GXY31" s="170"/>
      <c r="GYA31" s="170"/>
      <c r="GYC31" s="170"/>
      <c r="GYE31" s="170"/>
      <c r="GYG31" s="170"/>
      <c r="GYI31" s="170"/>
      <c r="GYK31" s="170"/>
      <c r="GYM31" s="170"/>
      <c r="GYO31" s="170"/>
      <c r="GYQ31" s="170"/>
      <c r="GYS31" s="170"/>
      <c r="GYU31" s="170"/>
      <c r="GYW31" s="170"/>
      <c r="GYY31" s="170"/>
      <c r="GZA31" s="170"/>
      <c r="GZC31" s="170"/>
      <c r="GZE31" s="170"/>
      <c r="GZG31" s="170"/>
      <c r="GZI31" s="170"/>
      <c r="GZK31" s="170"/>
      <c r="GZM31" s="170"/>
      <c r="GZO31" s="170"/>
      <c r="GZQ31" s="170"/>
      <c r="GZS31" s="170"/>
      <c r="GZU31" s="170"/>
      <c r="GZW31" s="170"/>
      <c r="GZY31" s="170"/>
      <c r="HAA31" s="170"/>
      <c r="HAC31" s="170"/>
      <c r="HAE31" s="170"/>
      <c r="HAG31" s="170"/>
      <c r="HAI31" s="170"/>
      <c r="HAK31" s="170"/>
      <c r="HAM31" s="170"/>
      <c r="HAO31" s="170"/>
      <c r="HAQ31" s="170"/>
      <c r="HAS31" s="170"/>
      <c r="HAU31" s="170"/>
      <c r="HAW31" s="170"/>
      <c r="HAY31" s="170"/>
      <c r="HBA31" s="170"/>
      <c r="HBC31" s="170"/>
      <c r="HBE31" s="170"/>
      <c r="HBG31" s="170"/>
      <c r="HBI31" s="170"/>
      <c r="HBK31" s="170"/>
      <c r="HBM31" s="170"/>
      <c r="HBO31" s="170"/>
      <c r="HBQ31" s="170"/>
      <c r="HBS31" s="170"/>
      <c r="HBU31" s="170"/>
      <c r="HBW31" s="170"/>
      <c r="HBY31" s="170"/>
      <c r="HCA31" s="170"/>
      <c r="HCC31" s="170"/>
      <c r="HCE31" s="170"/>
      <c r="HCG31" s="170"/>
      <c r="HCI31" s="170"/>
      <c r="HCK31" s="170"/>
      <c r="HCM31" s="170"/>
      <c r="HCO31" s="170"/>
      <c r="HCQ31" s="170"/>
      <c r="HCS31" s="170"/>
      <c r="HCU31" s="170"/>
      <c r="HCW31" s="170"/>
      <c r="HCY31" s="170"/>
      <c r="HDA31" s="170"/>
      <c r="HDC31" s="170"/>
      <c r="HDE31" s="170"/>
      <c r="HDG31" s="170"/>
      <c r="HDI31" s="170"/>
      <c r="HDK31" s="170"/>
      <c r="HDM31" s="170"/>
      <c r="HDO31" s="170"/>
      <c r="HDQ31" s="170"/>
      <c r="HDS31" s="170"/>
      <c r="HDU31" s="170"/>
      <c r="HDW31" s="170"/>
      <c r="HDY31" s="170"/>
      <c r="HEA31" s="170"/>
      <c r="HEC31" s="170"/>
      <c r="HEE31" s="170"/>
      <c r="HEG31" s="170"/>
      <c r="HEI31" s="170"/>
      <c r="HEK31" s="170"/>
      <c r="HEM31" s="170"/>
      <c r="HEO31" s="170"/>
      <c r="HEQ31" s="170"/>
      <c r="HES31" s="170"/>
      <c r="HEU31" s="170"/>
      <c r="HEW31" s="170"/>
      <c r="HEY31" s="170"/>
      <c r="HFA31" s="170"/>
      <c r="HFC31" s="170"/>
      <c r="HFE31" s="170"/>
      <c r="HFG31" s="170"/>
      <c r="HFI31" s="170"/>
      <c r="HFK31" s="170"/>
      <c r="HFM31" s="170"/>
      <c r="HFO31" s="170"/>
      <c r="HFQ31" s="170"/>
      <c r="HFS31" s="170"/>
      <c r="HFU31" s="170"/>
      <c r="HFW31" s="170"/>
      <c r="HFY31" s="170"/>
      <c r="HGA31" s="170"/>
      <c r="HGC31" s="170"/>
      <c r="HGE31" s="170"/>
      <c r="HGG31" s="170"/>
      <c r="HGI31" s="170"/>
      <c r="HGK31" s="170"/>
      <c r="HGM31" s="170"/>
      <c r="HGO31" s="170"/>
      <c r="HGQ31" s="170"/>
      <c r="HGS31" s="170"/>
      <c r="HGU31" s="170"/>
      <c r="HGW31" s="170"/>
      <c r="HGY31" s="170"/>
      <c r="HHA31" s="170"/>
      <c r="HHC31" s="170"/>
      <c r="HHE31" s="170"/>
      <c r="HHG31" s="170"/>
      <c r="HHI31" s="170"/>
      <c r="HHK31" s="170"/>
      <c r="HHM31" s="170"/>
      <c r="HHO31" s="170"/>
      <c r="HHQ31" s="170"/>
      <c r="HHS31" s="170"/>
      <c r="HHU31" s="170"/>
      <c r="HHW31" s="170"/>
      <c r="HHY31" s="170"/>
      <c r="HIA31" s="170"/>
      <c r="HIC31" s="170"/>
      <c r="HIE31" s="170"/>
      <c r="HIG31" s="170"/>
      <c r="HII31" s="170"/>
      <c r="HIK31" s="170"/>
      <c r="HIM31" s="170"/>
      <c r="HIO31" s="170"/>
      <c r="HIQ31" s="170"/>
      <c r="HIS31" s="170"/>
      <c r="HIU31" s="170"/>
      <c r="HIW31" s="170"/>
      <c r="HIY31" s="170"/>
      <c r="HJA31" s="170"/>
      <c r="HJC31" s="170"/>
      <c r="HJE31" s="170"/>
      <c r="HJG31" s="170"/>
      <c r="HJI31" s="170"/>
      <c r="HJK31" s="170"/>
      <c r="HJM31" s="170"/>
      <c r="HJO31" s="170"/>
      <c r="HJQ31" s="170"/>
      <c r="HJS31" s="170"/>
      <c r="HJU31" s="170"/>
      <c r="HJW31" s="170"/>
      <c r="HJY31" s="170"/>
      <c r="HKA31" s="170"/>
      <c r="HKC31" s="170"/>
      <c r="HKE31" s="170"/>
      <c r="HKG31" s="170"/>
      <c r="HKI31" s="170"/>
      <c r="HKK31" s="170"/>
      <c r="HKM31" s="170"/>
      <c r="HKO31" s="170"/>
      <c r="HKQ31" s="170"/>
      <c r="HKS31" s="170"/>
      <c r="HKU31" s="170"/>
      <c r="HKW31" s="170"/>
      <c r="HKY31" s="170"/>
      <c r="HLA31" s="170"/>
      <c r="HLC31" s="170"/>
      <c r="HLE31" s="170"/>
      <c r="HLG31" s="170"/>
      <c r="HLI31" s="170"/>
      <c r="HLK31" s="170"/>
      <c r="HLM31" s="170"/>
      <c r="HLO31" s="170"/>
      <c r="HLQ31" s="170"/>
      <c r="HLS31" s="170"/>
      <c r="HLU31" s="170"/>
      <c r="HLW31" s="170"/>
      <c r="HLY31" s="170"/>
      <c r="HMA31" s="170"/>
      <c r="HMC31" s="170"/>
      <c r="HME31" s="170"/>
      <c r="HMG31" s="170"/>
      <c r="HMI31" s="170"/>
      <c r="HMK31" s="170"/>
      <c r="HMM31" s="170"/>
      <c r="HMO31" s="170"/>
      <c r="HMQ31" s="170"/>
      <c r="HMS31" s="170"/>
      <c r="HMU31" s="170"/>
      <c r="HMW31" s="170"/>
      <c r="HMY31" s="170"/>
      <c r="HNA31" s="170"/>
      <c r="HNC31" s="170"/>
      <c r="HNE31" s="170"/>
      <c r="HNG31" s="170"/>
      <c r="HNI31" s="170"/>
      <c r="HNK31" s="170"/>
      <c r="HNM31" s="170"/>
      <c r="HNO31" s="170"/>
      <c r="HNQ31" s="170"/>
      <c r="HNS31" s="170"/>
      <c r="HNU31" s="170"/>
      <c r="HNW31" s="170"/>
      <c r="HNY31" s="170"/>
      <c r="HOA31" s="170"/>
      <c r="HOC31" s="170"/>
      <c r="HOE31" s="170"/>
      <c r="HOG31" s="170"/>
      <c r="HOI31" s="170"/>
      <c r="HOK31" s="170"/>
      <c r="HOM31" s="170"/>
      <c r="HOO31" s="170"/>
      <c r="HOQ31" s="170"/>
      <c r="HOS31" s="170"/>
      <c r="HOU31" s="170"/>
      <c r="HOW31" s="170"/>
      <c r="HOY31" s="170"/>
      <c r="HPA31" s="170"/>
      <c r="HPC31" s="170"/>
      <c r="HPE31" s="170"/>
      <c r="HPG31" s="170"/>
      <c r="HPI31" s="170"/>
      <c r="HPK31" s="170"/>
      <c r="HPM31" s="170"/>
      <c r="HPO31" s="170"/>
      <c r="HPQ31" s="170"/>
      <c r="HPS31" s="170"/>
      <c r="HPU31" s="170"/>
      <c r="HPW31" s="170"/>
      <c r="HPY31" s="170"/>
      <c r="HQA31" s="170"/>
      <c r="HQC31" s="170"/>
      <c r="HQE31" s="170"/>
      <c r="HQG31" s="170"/>
      <c r="HQI31" s="170"/>
      <c r="HQK31" s="170"/>
      <c r="HQM31" s="170"/>
      <c r="HQO31" s="170"/>
      <c r="HQQ31" s="170"/>
      <c r="HQS31" s="170"/>
      <c r="HQU31" s="170"/>
      <c r="HQW31" s="170"/>
      <c r="HQY31" s="170"/>
      <c r="HRA31" s="170"/>
      <c r="HRC31" s="170"/>
      <c r="HRE31" s="170"/>
      <c r="HRG31" s="170"/>
      <c r="HRI31" s="170"/>
      <c r="HRK31" s="170"/>
      <c r="HRM31" s="170"/>
      <c r="HRO31" s="170"/>
      <c r="HRQ31" s="170"/>
      <c r="HRS31" s="170"/>
      <c r="HRU31" s="170"/>
      <c r="HRW31" s="170"/>
      <c r="HRY31" s="170"/>
      <c r="HSA31" s="170"/>
      <c r="HSC31" s="170"/>
      <c r="HSE31" s="170"/>
      <c r="HSG31" s="170"/>
      <c r="HSI31" s="170"/>
      <c r="HSK31" s="170"/>
      <c r="HSM31" s="170"/>
      <c r="HSO31" s="170"/>
      <c r="HSQ31" s="170"/>
      <c r="HSS31" s="170"/>
      <c r="HSU31" s="170"/>
      <c r="HSW31" s="170"/>
      <c r="HSY31" s="170"/>
      <c r="HTA31" s="170"/>
      <c r="HTC31" s="170"/>
      <c r="HTE31" s="170"/>
      <c r="HTG31" s="170"/>
      <c r="HTI31" s="170"/>
      <c r="HTK31" s="170"/>
      <c r="HTM31" s="170"/>
      <c r="HTO31" s="170"/>
      <c r="HTQ31" s="170"/>
      <c r="HTS31" s="170"/>
      <c r="HTU31" s="170"/>
      <c r="HTW31" s="170"/>
      <c r="HTY31" s="170"/>
      <c r="HUA31" s="170"/>
      <c r="HUC31" s="170"/>
      <c r="HUE31" s="170"/>
      <c r="HUG31" s="170"/>
      <c r="HUI31" s="170"/>
      <c r="HUK31" s="170"/>
      <c r="HUM31" s="170"/>
      <c r="HUO31" s="170"/>
      <c r="HUQ31" s="170"/>
      <c r="HUS31" s="170"/>
      <c r="HUU31" s="170"/>
      <c r="HUW31" s="170"/>
      <c r="HUY31" s="170"/>
      <c r="HVA31" s="170"/>
      <c r="HVC31" s="170"/>
      <c r="HVE31" s="170"/>
      <c r="HVG31" s="170"/>
      <c r="HVI31" s="170"/>
      <c r="HVK31" s="170"/>
      <c r="HVM31" s="170"/>
      <c r="HVO31" s="170"/>
      <c r="HVQ31" s="170"/>
      <c r="HVS31" s="170"/>
      <c r="HVU31" s="170"/>
      <c r="HVW31" s="170"/>
      <c r="HVY31" s="170"/>
      <c r="HWA31" s="170"/>
      <c r="HWC31" s="170"/>
      <c r="HWE31" s="170"/>
      <c r="HWG31" s="170"/>
      <c r="HWI31" s="170"/>
      <c r="HWK31" s="170"/>
      <c r="HWM31" s="170"/>
      <c r="HWO31" s="170"/>
      <c r="HWQ31" s="170"/>
      <c r="HWS31" s="170"/>
      <c r="HWU31" s="170"/>
      <c r="HWW31" s="170"/>
      <c r="HWY31" s="170"/>
      <c r="HXA31" s="170"/>
      <c r="HXC31" s="170"/>
      <c r="HXE31" s="170"/>
      <c r="HXG31" s="170"/>
      <c r="HXI31" s="170"/>
      <c r="HXK31" s="170"/>
      <c r="HXM31" s="170"/>
      <c r="HXO31" s="170"/>
      <c r="HXQ31" s="170"/>
      <c r="HXS31" s="170"/>
      <c r="HXU31" s="170"/>
      <c r="HXW31" s="170"/>
      <c r="HXY31" s="170"/>
      <c r="HYA31" s="170"/>
      <c r="HYC31" s="170"/>
      <c r="HYE31" s="170"/>
      <c r="HYG31" s="170"/>
      <c r="HYI31" s="170"/>
      <c r="HYK31" s="170"/>
      <c r="HYM31" s="170"/>
      <c r="HYO31" s="170"/>
      <c r="HYQ31" s="170"/>
      <c r="HYS31" s="170"/>
      <c r="HYU31" s="170"/>
      <c r="HYW31" s="170"/>
      <c r="HYY31" s="170"/>
      <c r="HZA31" s="170"/>
      <c r="HZC31" s="170"/>
      <c r="HZE31" s="170"/>
      <c r="HZG31" s="170"/>
      <c r="HZI31" s="170"/>
      <c r="HZK31" s="170"/>
      <c r="HZM31" s="170"/>
      <c r="HZO31" s="170"/>
      <c r="HZQ31" s="170"/>
      <c r="HZS31" s="170"/>
      <c r="HZU31" s="170"/>
      <c r="HZW31" s="170"/>
      <c r="HZY31" s="170"/>
      <c r="IAA31" s="170"/>
      <c r="IAC31" s="170"/>
      <c r="IAE31" s="170"/>
      <c r="IAG31" s="170"/>
      <c r="IAI31" s="170"/>
      <c r="IAK31" s="170"/>
      <c r="IAM31" s="170"/>
      <c r="IAO31" s="170"/>
      <c r="IAQ31" s="170"/>
      <c r="IAS31" s="170"/>
      <c r="IAU31" s="170"/>
      <c r="IAW31" s="170"/>
      <c r="IAY31" s="170"/>
      <c r="IBA31" s="170"/>
      <c r="IBC31" s="170"/>
      <c r="IBE31" s="170"/>
      <c r="IBG31" s="170"/>
      <c r="IBI31" s="170"/>
      <c r="IBK31" s="170"/>
      <c r="IBM31" s="170"/>
      <c r="IBO31" s="170"/>
      <c r="IBQ31" s="170"/>
      <c r="IBS31" s="170"/>
      <c r="IBU31" s="170"/>
      <c r="IBW31" s="170"/>
      <c r="IBY31" s="170"/>
      <c r="ICA31" s="170"/>
      <c r="ICC31" s="170"/>
      <c r="ICE31" s="170"/>
      <c r="ICG31" s="170"/>
      <c r="ICI31" s="170"/>
      <c r="ICK31" s="170"/>
      <c r="ICM31" s="170"/>
      <c r="ICO31" s="170"/>
      <c r="ICQ31" s="170"/>
      <c r="ICS31" s="170"/>
      <c r="ICU31" s="170"/>
      <c r="ICW31" s="170"/>
      <c r="ICY31" s="170"/>
      <c r="IDA31" s="170"/>
      <c r="IDC31" s="170"/>
      <c r="IDE31" s="170"/>
      <c r="IDG31" s="170"/>
      <c r="IDI31" s="170"/>
      <c r="IDK31" s="170"/>
      <c r="IDM31" s="170"/>
      <c r="IDO31" s="170"/>
      <c r="IDQ31" s="170"/>
      <c r="IDS31" s="170"/>
      <c r="IDU31" s="170"/>
      <c r="IDW31" s="170"/>
      <c r="IDY31" s="170"/>
      <c r="IEA31" s="170"/>
      <c r="IEC31" s="170"/>
      <c r="IEE31" s="170"/>
      <c r="IEG31" s="170"/>
      <c r="IEI31" s="170"/>
      <c r="IEK31" s="170"/>
      <c r="IEM31" s="170"/>
      <c r="IEO31" s="170"/>
      <c r="IEQ31" s="170"/>
      <c r="IES31" s="170"/>
      <c r="IEU31" s="170"/>
      <c r="IEW31" s="170"/>
      <c r="IEY31" s="170"/>
      <c r="IFA31" s="170"/>
      <c r="IFC31" s="170"/>
      <c r="IFE31" s="170"/>
      <c r="IFG31" s="170"/>
      <c r="IFI31" s="170"/>
      <c r="IFK31" s="170"/>
      <c r="IFM31" s="170"/>
      <c r="IFO31" s="170"/>
      <c r="IFQ31" s="170"/>
      <c r="IFS31" s="170"/>
      <c r="IFU31" s="170"/>
      <c r="IFW31" s="170"/>
      <c r="IFY31" s="170"/>
      <c r="IGA31" s="170"/>
      <c r="IGC31" s="170"/>
      <c r="IGE31" s="170"/>
      <c r="IGG31" s="170"/>
      <c r="IGI31" s="170"/>
      <c r="IGK31" s="170"/>
      <c r="IGM31" s="170"/>
      <c r="IGO31" s="170"/>
      <c r="IGQ31" s="170"/>
      <c r="IGS31" s="170"/>
      <c r="IGU31" s="170"/>
      <c r="IGW31" s="170"/>
      <c r="IGY31" s="170"/>
      <c r="IHA31" s="170"/>
      <c r="IHC31" s="170"/>
      <c r="IHE31" s="170"/>
      <c r="IHG31" s="170"/>
      <c r="IHI31" s="170"/>
      <c r="IHK31" s="170"/>
      <c r="IHM31" s="170"/>
      <c r="IHO31" s="170"/>
      <c r="IHQ31" s="170"/>
      <c r="IHS31" s="170"/>
      <c r="IHU31" s="170"/>
      <c r="IHW31" s="170"/>
      <c r="IHY31" s="170"/>
      <c r="IIA31" s="170"/>
      <c r="IIC31" s="170"/>
      <c r="IIE31" s="170"/>
      <c r="IIG31" s="170"/>
      <c r="III31" s="170"/>
      <c r="IIK31" s="170"/>
      <c r="IIM31" s="170"/>
      <c r="IIO31" s="170"/>
      <c r="IIQ31" s="170"/>
      <c r="IIS31" s="170"/>
      <c r="IIU31" s="170"/>
      <c r="IIW31" s="170"/>
      <c r="IIY31" s="170"/>
      <c r="IJA31" s="170"/>
      <c r="IJC31" s="170"/>
      <c r="IJE31" s="170"/>
      <c r="IJG31" s="170"/>
      <c r="IJI31" s="170"/>
      <c r="IJK31" s="170"/>
      <c r="IJM31" s="170"/>
      <c r="IJO31" s="170"/>
      <c r="IJQ31" s="170"/>
      <c r="IJS31" s="170"/>
      <c r="IJU31" s="170"/>
      <c r="IJW31" s="170"/>
      <c r="IJY31" s="170"/>
      <c r="IKA31" s="170"/>
      <c r="IKC31" s="170"/>
      <c r="IKE31" s="170"/>
      <c r="IKG31" s="170"/>
      <c r="IKI31" s="170"/>
      <c r="IKK31" s="170"/>
      <c r="IKM31" s="170"/>
      <c r="IKO31" s="170"/>
      <c r="IKQ31" s="170"/>
      <c r="IKS31" s="170"/>
      <c r="IKU31" s="170"/>
      <c r="IKW31" s="170"/>
      <c r="IKY31" s="170"/>
      <c r="ILA31" s="170"/>
      <c r="ILC31" s="170"/>
      <c r="ILE31" s="170"/>
      <c r="ILG31" s="170"/>
      <c r="ILI31" s="170"/>
      <c r="ILK31" s="170"/>
      <c r="ILM31" s="170"/>
      <c r="ILO31" s="170"/>
      <c r="ILQ31" s="170"/>
      <c r="ILS31" s="170"/>
      <c r="ILU31" s="170"/>
      <c r="ILW31" s="170"/>
      <c r="ILY31" s="170"/>
      <c r="IMA31" s="170"/>
      <c r="IMC31" s="170"/>
      <c r="IME31" s="170"/>
      <c r="IMG31" s="170"/>
      <c r="IMI31" s="170"/>
      <c r="IMK31" s="170"/>
      <c r="IMM31" s="170"/>
      <c r="IMO31" s="170"/>
      <c r="IMQ31" s="170"/>
      <c r="IMS31" s="170"/>
      <c r="IMU31" s="170"/>
      <c r="IMW31" s="170"/>
      <c r="IMY31" s="170"/>
      <c r="INA31" s="170"/>
      <c r="INC31" s="170"/>
      <c r="INE31" s="170"/>
      <c r="ING31" s="170"/>
      <c r="INI31" s="170"/>
      <c r="INK31" s="170"/>
      <c r="INM31" s="170"/>
      <c r="INO31" s="170"/>
      <c r="INQ31" s="170"/>
      <c r="INS31" s="170"/>
      <c r="INU31" s="170"/>
      <c r="INW31" s="170"/>
      <c r="INY31" s="170"/>
      <c r="IOA31" s="170"/>
      <c r="IOC31" s="170"/>
      <c r="IOE31" s="170"/>
      <c r="IOG31" s="170"/>
      <c r="IOI31" s="170"/>
      <c r="IOK31" s="170"/>
      <c r="IOM31" s="170"/>
      <c r="IOO31" s="170"/>
      <c r="IOQ31" s="170"/>
      <c r="IOS31" s="170"/>
      <c r="IOU31" s="170"/>
      <c r="IOW31" s="170"/>
      <c r="IOY31" s="170"/>
      <c r="IPA31" s="170"/>
      <c r="IPC31" s="170"/>
      <c r="IPE31" s="170"/>
      <c r="IPG31" s="170"/>
      <c r="IPI31" s="170"/>
      <c r="IPK31" s="170"/>
      <c r="IPM31" s="170"/>
      <c r="IPO31" s="170"/>
      <c r="IPQ31" s="170"/>
      <c r="IPS31" s="170"/>
      <c r="IPU31" s="170"/>
      <c r="IPW31" s="170"/>
      <c r="IPY31" s="170"/>
      <c r="IQA31" s="170"/>
      <c r="IQC31" s="170"/>
      <c r="IQE31" s="170"/>
      <c r="IQG31" s="170"/>
      <c r="IQI31" s="170"/>
      <c r="IQK31" s="170"/>
      <c r="IQM31" s="170"/>
      <c r="IQO31" s="170"/>
      <c r="IQQ31" s="170"/>
      <c r="IQS31" s="170"/>
      <c r="IQU31" s="170"/>
      <c r="IQW31" s="170"/>
      <c r="IQY31" s="170"/>
      <c r="IRA31" s="170"/>
      <c r="IRC31" s="170"/>
      <c r="IRE31" s="170"/>
      <c r="IRG31" s="170"/>
      <c r="IRI31" s="170"/>
      <c r="IRK31" s="170"/>
      <c r="IRM31" s="170"/>
      <c r="IRO31" s="170"/>
      <c r="IRQ31" s="170"/>
      <c r="IRS31" s="170"/>
      <c r="IRU31" s="170"/>
      <c r="IRW31" s="170"/>
      <c r="IRY31" s="170"/>
      <c r="ISA31" s="170"/>
      <c r="ISC31" s="170"/>
      <c r="ISE31" s="170"/>
      <c r="ISG31" s="170"/>
      <c r="ISI31" s="170"/>
      <c r="ISK31" s="170"/>
      <c r="ISM31" s="170"/>
      <c r="ISO31" s="170"/>
      <c r="ISQ31" s="170"/>
      <c r="ISS31" s="170"/>
      <c r="ISU31" s="170"/>
      <c r="ISW31" s="170"/>
      <c r="ISY31" s="170"/>
      <c r="ITA31" s="170"/>
      <c r="ITC31" s="170"/>
      <c r="ITE31" s="170"/>
      <c r="ITG31" s="170"/>
      <c r="ITI31" s="170"/>
      <c r="ITK31" s="170"/>
      <c r="ITM31" s="170"/>
      <c r="ITO31" s="170"/>
      <c r="ITQ31" s="170"/>
      <c r="ITS31" s="170"/>
      <c r="ITU31" s="170"/>
      <c r="ITW31" s="170"/>
      <c r="ITY31" s="170"/>
      <c r="IUA31" s="170"/>
      <c r="IUC31" s="170"/>
      <c r="IUE31" s="170"/>
      <c r="IUG31" s="170"/>
      <c r="IUI31" s="170"/>
      <c r="IUK31" s="170"/>
      <c r="IUM31" s="170"/>
      <c r="IUO31" s="170"/>
      <c r="IUQ31" s="170"/>
      <c r="IUS31" s="170"/>
      <c r="IUU31" s="170"/>
      <c r="IUW31" s="170"/>
      <c r="IUY31" s="170"/>
      <c r="IVA31" s="170"/>
      <c r="IVC31" s="170"/>
      <c r="IVE31" s="170"/>
      <c r="IVG31" s="170"/>
      <c r="IVI31" s="170"/>
      <c r="IVK31" s="170"/>
      <c r="IVM31" s="170"/>
      <c r="IVO31" s="170"/>
      <c r="IVQ31" s="170"/>
      <c r="IVS31" s="170"/>
      <c r="IVU31" s="170"/>
      <c r="IVW31" s="170"/>
      <c r="IVY31" s="170"/>
      <c r="IWA31" s="170"/>
      <c r="IWC31" s="170"/>
      <c r="IWE31" s="170"/>
      <c r="IWG31" s="170"/>
      <c r="IWI31" s="170"/>
      <c r="IWK31" s="170"/>
      <c r="IWM31" s="170"/>
      <c r="IWO31" s="170"/>
      <c r="IWQ31" s="170"/>
      <c r="IWS31" s="170"/>
      <c r="IWU31" s="170"/>
      <c r="IWW31" s="170"/>
      <c r="IWY31" s="170"/>
      <c r="IXA31" s="170"/>
      <c r="IXC31" s="170"/>
      <c r="IXE31" s="170"/>
      <c r="IXG31" s="170"/>
      <c r="IXI31" s="170"/>
      <c r="IXK31" s="170"/>
      <c r="IXM31" s="170"/>
      <c r="IXO31" s="170"/>
      <c r="IXQ31" s="170"/>
      <c r="IXS31" s="170"/>
      <c r="IXU31" s="170"/>
      <c r="IXW31" s="170"/>
      <c r="IXY31" s="170"/>
      <c r="IYA31" s="170"/>
      <c r="IYC31" s="170"/>
      <c r="IYE31" s="170"/>
      <c r="IYG31" s="170"/>
      <c r="IYI31" s="170"/>
      <c r="IYK31" s="170"/>
      <c r="IYM31" s="170"/>
      <c r="IYO31" s="170"/>
      <c r="IYQ31" s="170"/>
      <c r="IYS31" s="170"/>
      <c r="IYU31" s="170"/>
      <c r="IYW31" s="170"/>
      <c r="IYY31" s="170"/>
      <c r="IZA31" s="170"/>
      <c r="IZC31" s="170"/>
      <c r="IZE31" s="170"/>
      <c r="IZG31" s="170"/>
      <c r="IZI31" s="170"/>
      <c r="IZK31" s="170"/>
      <c r="IZM31" s="170"/>
      <c r="IZO31" s="170"/>
      <c r="IZQ31" s="170"/>
      <c r="IZS31" s="170"/>
      <c r="IZU31" s="170"/>
      <c r="IZW31" s="170"/>
      <c r="IZY31" s="170"/>
      <c r="JAA31" s="170"/>
      <c r="JAC31" s="170"/>
      <c r="JAE31" s="170"/>
      <c r="JAG31" s="170"/>
      <c r="JAI31" s="170"/>
      <c r="JAK31" s="170"/>
      <c r="JAM31" s="170"/>
      <c r="JAO31" s="170"/>
      <c r="JAQ31" s="170"/>
      <c r="JAS31" s="170"/>
      <c r="JAU31" s="170"/>
      <c r="JAW31" s="170"/>
      <c r="JAY31" s="170"/>
      <c r="JBA31" s="170"/>
      <c r="JBC31" s="170"/>
      <c r="JBE31" s="170"/>
      <c r="JBG31" s="170"/>
      <c r="JBI31" s="170"/>
      <c r="JBK31" s="170"/>
      <c r="JBM31" s="170"/>
      <c r="JBO31" s="170"/>
      <c r="JBQ31" s="170"/>
      <c r="JBS31" s="170"/>
      <c r="JBU31" s="170"/>
      <c r="JBW31" s="170"/>
      <c r="JBY31" s="170"/>
      <c r="JCA31" s="170"/>
      <c r="JCC31" s="170"/>
      <c r="JCE31" s="170"/>
      <c r="JCG31" s="170"/>
      <c r="JCI31" s="170"/>
      <c r="JCK31" s="170"/>
      <c r="JCM31" s="170"/>
      <c r="JCO31" s="170"/>
      <c r="JCQ31" s="170"/>
      <c r="JCS31" s="170"/>
      <c r="JCU31" s="170"/>
      <c r="JCW31" s="170"/>
      <c r="JCY31" s="170"/>
      <c r="JDA31" s="170"/>
      <c r="JDC31" s="170"/>
      <c r="JDE31" s="170"/>
      <c r="JDG31" s="170"/>
      <c r="JDI31" s="170"/>
      <c r="JDK31" s="170"/>
      <c r="JDM31" s="170"/>
      <c r="JDO31" s="170"/>
      <c r="JDQ31" s="170"/>
      <c r="JDS31" s="170"/>
      <c r="JDU31" s="170"/>
      <c r="JDW31" s="170"/>
      <c r="JDY31" s="170"/>
      <c r="JEA31" s="170"/>
      <c r="JEC31" s="170"/>
      <c r="JEE31" s="170"/>
      <c r="JEG31" s="170"/>
      <c r="JEI31" s="170"/>
      <c r="JEK31" s="170"/>
      <c r="JEM31" s="170"/>
      <c r="JEO31" s="170"/>
      <c r="JEQ31" s="170"/>
      <c r="JES31" s="170"/>
      <c r="JEU31" s="170"/>
      <c r="JEW31" s="170"/>
      <c r="JEY31" s="170"/>
      <c r="JFA31" s="170"/>
      <c r="JFC31" s="170"/>
      <c r="JFE31" s="170"/>
      <c r="JFG31" s="170"/>
      <c r="JFI31" s="170"/>
      <c r="JFK31" s="170"/>
      <c r="JFM31" s="170"/>
      <c r="JFO31" s="170"/>
      <c r="JFQ31" s="170"/>
      <c r="JFS31" s="170"/>
      <c r="JFU31" s="170"/>
      <c r="JFW31" s="170"/>
      <c r="JFY31" s="170"/>
      <c r="JGA31" s="170"/>
      <c r="JGC31" s="170"/>
      <c r="JGE31" s="170"/>
      <c r="JGG31" s="170"/>
      <c r="JGI31" s="170"/>
      <c r="JGK31" s="170"/>
      <c r="JGM31" s="170"/>
      <c r="JGO31" s="170"/>
      <c r="JGQ31" s="170"/>
      <c r="JGS31" s="170"/>
      <c r="JGU31" s="170"/>
      <c r="JGW31" s="170"/>
      <c r="JGY31" s="170"/>
      <c r="JHA31" s="170"/>
      <c r="JHC31" s="170"/>
      <c r="JHE31" s="170"/>
      <c r="JHG31" s="170"/>
      <c r="JHI31" s="170"/>
      <c r="JHK31" s="170"/>
      <c r="JHM31" s="170"/>
      <c r="JHO31" s="170"/>
      <c r="JHQ31" s="170"/>
      <c r="JHS31" s="170"/>
      <c r="JHU31" s="170"/>
      <c r="JHW31" s="170"/>
      <c r="JHY31" s="170"/>
      <c r="JIA31" s="170"/>
      <c r="JIC31" s="170"/>
      <c r="JIE31" s="170"/>
      <c r="JIG31" s="170"/>
      <c r="JII31" s="170"/>
      <c r="JIK31" s="170"/>
      <c r="JIM31" s="170"/>
      <c r="JIO31" s="170"/>
      <c r="JIQ31" s="170"/>
      <c r="JIS31" s="170"/>
      <c r="JIU31" s="170"/>
      <c r="JIW31" s="170"/>
      <c r="JIY31" s="170"/>
      <c r="JJA31" s="170"/>
      <c r="JJC31" s="170"/>
      <c r="JJE31" s="170"/>
      <c r="JJG31" s="170"/>
      <c r="JJI31" s="170"/>
      <c r="JJK31" s="170"/>
      <c r="JJM31" s="170"/>
      <c r="JJO31" s="170"/>
      <c r="JJQ31" s="170"/>
      <c r="JJS31" s="170"/>
      <c r="JJU31" s="170"/>
      <c r="JJW31" s="170"/>
      <c r="JJY31" s="170"/>
      <c r="JKA31" s="170"/>
      <c r="JKC31" s="170"/>
      <c r="JKE31" s="170"/>
      <c r="JKG31" s="170"/>
      <c r="JKI31" s="170"/>
      <c r="JKK31" s="170"/>
      <c r="JKM31" s="170"/>
      <c r="JKO31" s="170"/>
      <c r="JKQ31" s="170"/>
      <c r="JKS31" s="170"/>
      <c r="JKU31" s="170"/>
      <c r="JKW31" s="170"/>
      <c r="JKY31" s="170"/>
      <c r="JLA31" s="170"/>
      <c r="JLC31" s="170"/>
      <c r="JLE31" s="170"/>
      <c r="JLG31" s="170"/>
      <c r="JLI31" s="170"/>
      <c r="JLK31" s="170"/>
      <c r="JLM31" s="170"/>
      <c r="JLO31" s="170"/>
      <c r="JLQ31" s="170"/>
      <c r="JLS31" s="170"/>
      <c r="JLU31" s="170"/>
      <c r="JLW31" s="170"/>
      <c r="JLY31" s="170"/>
      <c r="JMA31" s="170"/>
      <c r="JMC31" s="170"/>
      <c r="JME31" s="170"/>
      <c r="JMG31" s="170"/>
      <c r="JMI31" s="170"/>
      <c r="JMK31" s="170"/>
      <c r="JMM31" s="170"/>
      <c r="JMO31" s="170"/>
      <c r="JMQ31" s="170"/>
      <c r="JMS31" s="170"/>
      <c r="JMU31" s="170"/>
      <c r="JMW31" s="170"/>
      <c r="JMY31" s="170"/>
      <c r="JNA31" s="170"/>
      <c r="JNC31" s="170"/>
      <c r="JNE31" s="170"/>
      <c r="JNG31" s="170"/>
      <c r="JNI31" s="170"/>
      <c r="JNK31" s="170"/>
      <c r="JNM31" s="170"/>
      <c r="JNO31" s="170"/>
      <c r="JNQ31" s="170"/>
      <c r="JNS31" s="170"/>
      <c r="JNU31" s="170"/>
      <c r="JNW31" s="170"/>
      <c r="JNY31" s="170"/>
      <c r="JOA31" s="170"/>
      <c r="JOC31" s="170"/>
      <c r="JOE31" s="170"/>
      <c r="JOG31" s="170"/>
      <c r="JOI31" s="170"/>
      <c r="JOK31" s="170"/>
      <c r="JOM31" s="170"/>
      <c r="JOO31" s="170"/>
      <c r="JOQ31" s="170"/>
      <c r="JOS31" s="170"/>
      <c r="JOU31" s="170"/>
      <c r="JOW31" s="170"/>
      <c r="JOY31" s="170"/>
      <c r="JPA31" s="170"/>
      <c r="JPC31" s="170"/>
      <c r="JPE31" s="170"/>
      <c r="JPG31" s="170"/>
      <c r="JPI31" s="170"/>
      <c r="JPK31" s="170"/>
      <c r="JPM31" s="170"/>
      <c r="JPO31" s="170"/>
      <c r="JPQ31" s="170"/>
      <c r="JPS31" s="170"/>
      <c r="JPU31" s="170"/>
      <c r="JPW31" s="170"/>
      <c r="JPY31" s="170"/>
      <c r="JQA31" s="170"/>
      <c r="JQC31" s="170"/>
      <c r="JQE31" s="170"/>
      <c r="JQG31" s="170"/>
      <c r="JQI31" s="170"/>
      <c r="JQK31" s="170"/>
      <c r="JQM31" s="170"/>
      <c r="JQO31" s="170"/>
      <c r="JQQ31" s="170"/>
      <c r="JQS31" s="170"/>
      <c r="JQU31" s="170"/>
      <c r="JQW31" s="170"/>
      <c r="JQY31" s="170"/>
      <c r="JRA31" s="170"/>
      <c r="JRC31" s="170"/>
      <c r="JRE31" s="170"/>
      <c r="JRG31" s="170"/>
      <c r="JRI31" s="170"/>
      <c r="JRK31" s="170"/>
      <c r="JRM31" s="170"/>
      <c r="JRO31" s="170"/>
      <c r="JRQ31" s="170"/>
      <c r="JRS31" s="170"/>
      <c r="JRU31" s="170"/>
      <c r="JRW31" s="170"/>
      <c r="JRY31" s="170"/>
      <c r="JSA31" s="170"/>
      <c r="JSC31" s="170"/>
      <c r="JSE31" s="170"/>
      <c r="JSG31" s="170"/>
      <c r="JSI31" s="170"/>
      <c r="JSK31" s="170"/>
      <c r="JSM31" s="170"/>
      <c r="JSO31" s="170"/>
      <c r="JSQ31" s="170"/>
      <c r="JSS31" s="170"/>
      <c r="JSU31" s="170"/>
      <c r="JSW31" s="170"/>
      <c r="JSY31" s="170"/>
      <c r="JTA31" s="170"/>
      <c r="JTC31" s="170"/>
      <c r="JTE31" s="170"/>
      <c r="JTG31" s="170"/>
      <c r="JTI31" s="170"/>
      <c r="JTK31" s="170"/>
      <c r="JTM31" s="170"/>
      <c r="JTO31" s="170"/>
      <c r="JTQ31" s="170"/>
      <c r="JTS31" s="170"/>
      <c r="JTU31" s="170"/>
      <c r="JTW31" s="170"/>
      <c r="JTY31" s="170"/>
      <c r="JUA31" s="170"/>
      <c r="JUC31" s="170"/>
      <c r="JUE31" s="170"/>
      <c r="JUG31" s="170"/>
      <c r="JUI31" s="170"/>
      <c r="JUK31" s="170"/>
      <c r="JUM31" s="170"/>
      <c r="JUO31" s="170"/>
      <c r="JUQ31" s="170"/>
      <c r="JUS31" s="170"/>
      <c r="JUU31" s="170"/>
      <c r="JUW31" s="170"/>
      <c r="JUY31" s="170"/>
      <c r="JVA31" s="170"/>
      <c r="JVC31" s="170"/>
      <c r="JVE31" s="170"/>
      <c r="JVG31" s="170"/>
      <c r="JVI31" s="170"/>
      <c r="JVK31" s="170"/>
      <c r="JVM31" s="170"/>
      <c r="JVO31" s="170"/>
      <c r="JVQ31" s="170"/>
      <c r="JVS31" s="170"/>
      <c r="JVU31" s="170"/>
      <c r="JVW31" s="170"/>
      <c r="JVY31" s="170"/>
      <c r="JWA31" s="170"/>
      <c r="JWC31" s="170"/>
      <c r="JWE31" s="170"/>
      <c r="JWG31" s="170"/>
      <c r="JWI31" s="170"/>
      <c r="JWK31" s="170"/>
      <c r="JWM31" s="170"/>
      <c r="JWO31" s="170"/>
      <c r="JWQ31" s="170"/>
      <c r="JWS31" s="170"/>
      <c r="JWU31" s="170"/>
      <c r="JWW31" s="170"/>
      <c r="JWY31" s="170"/>
      <c r="JXA31" s="170"/>
      <c r="JXC31" s="170"/>
      <c r="JXE31" s="170"/>
      <c r="JXG31" s="170"/>
      <c r="JXI31" s="170"/>
      <c r="JXK31" s="170"/>
      <c r="JXM31" s="170"/>
      <c r="JXO31" s="170"/>
      <c r="JXQ31" s="170"/>
      <c r="JXS31" s="170"/>
      <c r="JXU31" s="170"/>
      <c r="JXW31" s="170"/>
      <c r="JXY31" s="170"/>
      <c r="JYA31" s="170"/>
      <c r="JYC31" s="170"/>
      <c r="JYE31" s="170"/>
      <c r="JYG31" s="170"/>
      <c r="JYI31" s="170"/>
      <c r="JYK31" s="170"/>
      <c r="JYM31" s="170"/>
      <c r="JYO31" s="170"/>
      <c r="JYQ31" s="170"/>
      <c r="JYS31" s="170"/>
      <c r="JYU31" s="170"/>
      <c r="JYW31" s="170"/>
      <c r="JYY31" s="170"/>
      <c r="JZA31" s="170"/>
      <c r="JZC31" s="170"/>
      <c r="JZE31" s="170"/>
      <c r="JZG31" s="170"/>
      <c r="JZI31" s="170"/>
      <c r="JZK31" s="170"/>
      <c r="JZM31" s="170"/>
      <c r="JZO31" s="170"/>
      <c r="JZQ31" s="170"/>
      <c r="JZS31" s="170"/>
      <c r="JZU31" s="170"/>
      <c r="JZW31" s="170"/>
      <c r="JZY31" s="170"/>
      <c r="KAA31" s="170"/>
      <c r="KAC31" s="170"/>
      <c r="KAE31" s="170"/>
      <c r="KAG31" s="170"/>
      <c r="KAI31" s="170"/>
      <c r="KAK31" s="170"/>
      <c r="KAM31" s="170"/>
      <c r="KAO31" s="170"/>
      <c r="KAQ31" s="170"/>
      <c r="KAS31" s="170"/>
      <c r="KAU31" s="170"/>
      <c r="KAW31" s="170"/>
      <c r="KAY31" s="170"/>
      <c r="KBA31" s="170"/>
      <c r="KBC31" s="170"/>
      <c r="KBE31" s="170"/>
      <c r="KBG31" s="170"/>
      <c r="KBI31" s="170"/>
      <c r="KBK31" s="170"/>
      <c r="KBM31" s="170"/>
      <c r="KBO31" s="170"/>
      <c r="KBQ31" s="170"/>
      <c r="KBS31" s="170"/>
      <c r="KBU31" s="170"/>
      <c r="KBW31" s="170"/>
      <c r="KBY31" s="170"/>
      <c r="KCA31" s="170"/>
      <c r="KCC31" s="170"/>
      <c r="KCE31" s="170"/>
      <c r="KCG31" s="170"/>
      <c r="KCI31" s="170"/>
      <c r="KCK31" s="170"/>
      <c r="KCM31" s="170"/>
      <c r="KCO31" s="170"/>
      <c r="KCQ31" s="170"/>
      <c r="KCS31" s="170"/>
      <c r="KCU31" s="170"/>
      <c r="KCW31" s="170"/>
      <c r="KCY31" s="170"/>
      <c r="KDA31" s="170"/>
      <c r="KDC31" s="170"/>
      <c r="KDE31" s="170"/>
      <c r="KDG31" s="170"/>
      <c r="KDI31" s="170"/>
      <c r="KDK31" s="170"/>
      <c r="KDM31" s="170"/>
      <c r="KDO31" s="170"/>
      <c r="KDQ31" s="170"/>
      <c r="KDS31" s="170"/>
      <c r="KDU31" s="170"/>
      <c r="KDW31" s="170"/>
      <c r="KDY31" s="170"/>
      <c r="KEA31" s="170"/>
      <c r="KEC31" s="170"/>
      <c r="KEE31" s="170"/>
      <c r="KEG31" s="170"/>
      <c r="KEI31" s="170"/>
      <c r="KEK31" s="170"/>
      <c r="KEM31" s="170"/>
      <c r="KEO31" s="170"/>
      <c r="KEQ31" s="170"/>
      <c r="KES31" s="170"/>
      <c r="KEU31" s="170"/>
      <c r="KEW31" s="170"/>
      <c r="KEY31" s="170"/>
      <c r="KFA31" s="170"/>
      <c r="KFC31" s="170"/>
      <c r="KFE31" s="170"/>
      <c r="KFG31" s="170"/>
      <c r="KFI31" s="170"/>
      <c r="KFK31" s="170"/>
      <c r="KFM31" s="170"/>
      <c r="KFO31" s="170"/>
      <c r="KFQ31" s="170"/>
      <c r="KFS31" s="170"/>
      <c r="KFU31" s="170"/>
      <c r="KFW31" s="170"/>
      <c r="KFY31" s="170"/>
      <c r="KGA31" s="170"/>
      <c r="KGC31" s="170"/>
      <c r="KGE31" s="170"/>
      <c r="KGG31" s="170"/>
      <c r="KGI31" s="170"/>
      <c r="KGK31" s="170"/>
      <c r="KGM31" s="170"/>
      <c r="KGO31" s="170"/>
      <c r="KGQ31" s="170"/>
      <c r="KGS31" s="170"/>
      <c r="KGU31" s="170"/>
      <c r="KGW31" s="170"/>
      <c r="KGY31" s="170"/>
      <c r="KHA31" s="170"/>
      <c r="KHC31" s="170"/>
      <c r="KHE31" s="170"/>
      <c r="KHG31" s="170"/>
      <c r="KHI31" s="170"/>
      <c r="KHK31" s="170"/>
      <c r="KHM31" s="170"/>
      <c r="KHO31" s="170"/>
      <c r="KHQ31" s="170"/>
      <c r="KHS31" s="170"/>
      <c r="KHU31" s="170"/>
      <c r="KHW31" s="170"/>
      <c r="KHY31" s="170"/>
      <c r="KIA31" s="170"/>
      <c r="KIC31" s="170"/>
      <c r="KIE31" s="170"/>
      <c r="KIG31" s="170"/>
      <c r="KII31" s="170"/>
      <c r="KIK31" s="170"/>
      <c r="KIM31" s="170"/>
      <c r="KIO31" s="170"/>
      <c r="KIQ31" s="170"/>
      <c r="KIS31" s="170"/>
      <c r="KIU31" s="170"/>
      <c r="KIW31" s="170"/>
      <c r="KIY31" s="170"/>
      <c r="KJA31" s="170"/>
      <c r="KJC31" s="170"/>
      <c r="KJE31" s="170"/>
      <c r="KJG31" s="170"/>
      <c r="KJI31" s="170"/>
      <c r="KJK31" s="170"/>
      <c r="KJM31" s="170"/>
      <c r="KJO31" s="170"/>
      <c r="KJQ31" s="170"/>
      <c r="KJS31" s="170"/>
      <c r="KJU31" s="170"/>
      <c r="KJW31" s="170"/>
      <c r="KJY31" s="170"/>
      <c r="KKA31" s="170"/>
      <c r="KKC31" s="170"/>
      <c r="KKE31" s="170"/>
      <c r="KKG31" s="170"/>
      <c r="KKI31" s="170"/>
      <c r="KKK31" s="170"/>
      <c r="KKM31" s="170"/>
      <c r="KKO31" s="170"/>
      <c r="KKQ31" s="170"/>
      <c r="KKS31" s="170"/>
      <c r="KKU31" s="170"/>
      <c r="KKW31" s="170"/>
      <c r="KKY31" s="170"/>
      <c r="KLA31" s="170"/>
      <c r="KLC31" s="170"/>
      <c r="KLE31" s="170"/>
      <c r="KLG31" s="170"/>
      <c r="KLI31" s="170"/>
      <c r="KLK31" s="170"/>
      <c r="KLM31" s="170"/>
      <c r="KLO31" s="170"/>
      <c r="KLQ31" s="170"/>
      <c r="KLS31" s="170"/>
      <c r="KLU31" s="170"/>
      <c r="KLW31" s="170"/>
      <c r="KLY31" s="170"/>
      <c r="KMA31" s="170"/>
      <c r="KMC31" s="170"/>
      <c r="KME31" s="170"/>
      <c r="KMG31" s="170"/>
      <c r="KMI31" s="170"/>
      <c r="KMK31" s="170"/>
      <c r="KMM31" s="170"/>
      <c r="KMO31" s="170"/>
      <c r="KMQ31" s="170"/>
      <c r="KMS31" s="170"/>
      <c r="KMU31" s="170"/>
      <c r="KMW31" s="170"/>
      <c r="KMY31" s="170"/>
      <c r="KNA31" s="170"/>
      <c r="KNC31" s="170"/>
      <c r="KNE31" s="170"/>
      <c r="KNG31" s="170"/>
      <c r="KNI31" s="170"/>
      <c r="KNK31" s="170"/>
      <c r="KNM31" s="170"/>
      <c r="KNO31" s="170"/>
      <c r="KNQ31" s="170"/>
      <c r="KNS31" s="170"/>
      <c r="KNU31" s="170"/>
      <c r="KNW31" s="170"/>
      <c r="KNY31" s="170"/>
      <c r="KOA31" s="170"/>
      <c r="KOC31" s="170"/>
      <c r="KOE31" s="170"/>
      <c r="KOG31" s="170"/>
      <c r="KOI31" s="170"/>
      <c r="KOK31" s="170"/>
      <c r="KOM31" s="170"/>
      <c r="KOO31" s="170"/>
      <c r="KOQ31" s="170"/>
      <c r="KOS31" s="170"/>
      <c r="KOU31" s="170"/>
      <c r="KOW31" s="170"/>
      <c r="KOY31" s="170"/>
      <c r="KPA31" s="170"/>
      <c r="KPC31" s="170"/>
      <c r="KPE31" s="170"/>
      <c r="KPG31" s="170"/>
      <c r="KPI31" s="170"/>
      <c r="KPK31" s="170"/>
      <c r="KPM31" s="170"/>
      <c r="KPO31" s="170"/>
      <c r="KPQ31" s="170"/>
      <c r="KPS31" s="170"/>
      <c r="KPU31" s="170"/>
      <c r="KPW31" s="170"/>
      <c r="KPY31" s="170"/>
      <c r="KQA31" s="170"/>
      <c r="KQC31" s="170"/>
      <c r="KQE31" s="170"/>
      <c r="KQG31" s="170"/>
      <c r="KQI31" s="170"/>
      <c r="KQK31" s="170"/>
      <c r="KQM31" s="170"/>
      <c r="KQO31" s="170"/>
      <c r="KQQ31" s="170"/>
      <c r="KQS31" s="170"/>
      <c r="KQU31" s="170"/>
      <c r="KQW31" s="170"/>
      <c r="KQY31" s="170"/>
      <c r="KRA31" s="170"/>
      <c r="KRC31" s="170"/>
      <c r="KRE31" s="170"/>
      <c r="KRG31" s="170"/>
      <c r="KRI31" s="170"/>
      <c r="KRK31" s="170"/>
      <c r="KRM31" s="170"/>
      <c r="KRO31" s="170"/>
      <c r="KRQ31" s="170"/>
      <c r="KRS31" s="170"/>
      <c r="KRU31" s="170"/>
      <c r="KRW31" s="170"/>
      <c r="KRY31" s="170"/>
      <c r="KSA31" s="170"/>
      <c r="KSC31" s="170"/>
      <c r="KSE31" s="170"/>
      <c r="KSG31" s="170"/>
      <c r="KSI31" s="170"/>
      <c r="KSK31" s="170"/>
      <c r="KSM31" s="170"/>
      <c r="KSO31" s="170"/>
      <c r="KSQ31" s="170"/>
      <c r="KSS31" s="170"/>
      <c r="KSU31" s="170"/>
      <c r="KSW31" s="170"/>
      <c r="KSY31" s="170"/>
      <c r="KTA31" s="170"/>
      <c r="KTC31" s="170"/>
      <c r="KTE31" s="170"/>
      <c r="KTG31" s="170"/>
      <c r="KTI31" s="170"/>
      <c r="KTK31" s="170"/>
      <c r="KTM31" s="170"/>
      <c r="KTO31" s="170"/>
      <c r="KTQ31" s="170"/>
      <c r="KTS31" s="170"/>
      <c r="KTU31" s="170"/>
      <c r="KTW31" s="170"/>
      <c r="KTY31" s="170"/>
      <c r="KUA31" s="170"/>
      <c r="KUC31" s="170"/>
      <c r="KUE31" s="170"/>
      <c r="KUG31" s="170"/>
      <c r="KUI31" s="170"/>
      <c r="KUK31" s="170"/>
      <c r="KUM31" s="170"/>
      <c r="KUO31" s="170"/>
      <c r="KUQ31" s="170"/>
      <c r="KUS31" s="170"/>
      <c r="KUU31" s="170"/>
      <c r="KUW31" s="170"/>
      <c r="KUY31" s="170"/>
      <c r="KVA31" s="170"/>
      <c r="KVC31" s="170"/>
      <c r="KVE31" s="170"/>
      <c r="KVG31" s="170"/>
      <c r="KVI31" s="170"/>
      <c r="KVK31" s="170"/>
      <c r="KVM31" s="170"/>
      <c r="KVO31" s="170"/>
      <c r="KVQ31" s="170"/>
      <c r="KVS31" s="170"/>
      <c r="KVU31" s="170"/>
      <c r="KVW31" s="170"/>
      <c r="KVY31" s="170"/>
      <c r="KWA31" s="170"/>
      <c r="KWC31" s="170"/>
      <c r="KWE31" s="170"/>
      <c r="KWG31" s="170"/>
      <c r="KWI31" s="170"/>
      <c r="KWK31" s="170"/>
      <c r="KWM31" s="170"/>
      <c r="KWO31" s="170"/>
      <c r="KWQ31" s="170"/>
      <c r="KWS31" s="170"/>
      <c r="KWU31" s="170"/>
      <c r="KWW31" s="170"/>
      <c r="KWY31" s="170"/>
      <c r="KXA31" s="170"/>
      <c r="KXC31" s="170"/>
      <c r="KXE31" s="170"/>
      <c r="KXG31" s="170"/>
      <c r="KXI31" s="170"/>
      <c r="KXK31" s="170"/>
      <c r="KXM31" s="170"/>
      <c r="KXO31" s="170"/>
      <c r="KXQ31" s="170"/>
      <c r="KXS31" s="170"/>
      <c r="KXU31" s="170"/>
      <c r="KXW31" s="170"/>
      <c r="KXY31" s="170"/>
      <c r="KYA31" s="170"/>
      <c r="KYC31" s="170"/>
      <c r="KYE31" s="170"/>
      <c r="KYG31" s="170"/>
      <c r="KYI31" s="170"/>
      <c r="KYK31" s="170"/>
      <c r="KYM31" s="170"/>
      <c r="KYO31" s="170"/>
      <c r="KYQ31" s="170"/>
      <c r="KYS31" s="170"/>
      <c r="KYU31" s="170"/>
      <c r="KYW31" s="170"/>
      <c r="KYY31" s="170"/>
      <c r="KZA31" s="170"/>
      <c r="KZC31" s="170"/>
      <c r="KZE31" s="170"/>
      <c r="KZG31" s="170"/>
      <c r="KZI31" s="170"/>
      <c r="KZK31" s="170"/>
      <c r="KZM31" s="170"/>
      <c r="KZO31" s="170"/>
      <c r="KZQ31" s="170"/>
      <c r="KZS31" s="170"/>
      <c r="KZU31" s="170"/>
      <c r="KZW31" s="170"/>
      <c r="KZY31" s="170"/>
      <c r="LAA31" s="170"/>
      <c r="LAC31" s="170"/>
      <c r="LAE31" s="170"/>
      <c r="LAG31" s="170"/>
      <c r="LAI31" s="170"/>
      <c r="LAK31" s="170"/>
      <c r="LAM31" s="170"/>
      <c r="LAO31" s="170"/>
      <c r="LAQ31" s="170"/>
      <c r="LAS31" s="170"/>
      <c r="LAU31" s="170"/>
      <c r="LAW31" s="170"/>
      <c r="LAY31" s="170"/>
      <c r="LBA31" s="170"/>
      <c r="LBC31" s="170"/>
      <c r="LBE31" s="170"/>
      <c r="LBG31" s="170"/>
      <c r="LBI31" s="170"/>
      <c r="LBK31" s="170"/>
      <c r="LBM31" s="170"/>
      <c r="LBO31" s="170"/>
      <c r="LBQ31" s="170"/>
      <c r="LBS31" s="170"/>
      <c r="LBU31" s="170"/>
      <c r="LBW31" s="170"/>
      <c r="LBY31" s="170"/>
      <c r="LCA31" s="170"/>
      <c r="LCC31" s="170"/>
      <c r="LCE31" s="170"/>
      <c r="LCG31" s="170"/>
      <c r="LCI31" s="170"/>
      <c r="LCK31" s="170"/>
      <c r="LCM31" s="170"/>
      <c r="LCO31" s="170"/>
      <c r="LCQ31" s="170"/>
      <c r="LCS31" s="170"/>
      <c r="LCU31" s="170"/>
      <c r="LCW31" s="170"/>
      <c r="LCY31" s="170"/>
      <c r="LDA31" s="170"/>
      <c r="LDC31" s="170"/>
      <c r="LDE31" s="170"/>
      <c r="LDG31" s="170"/>
      <c r="LDI31" s="170"/>
      <c r="LDK31" s="170"/>
      <c r="LDM31" s="170"/>
      <c r="LDO31" s="170"/>
      <c r="LDQ31" s="170"/>
      <c r="LDS31" s="170"/>
      <c r="LDU31" s="170"/>
      <c r="LDW31" s="170"/>
      <c r="LDY31" s="170"/>
      <c r="LEA31" s="170"/>
      <c r="LEC31" s="170"/>
      <c r="LEE31" s="170"/>
      <c r="LEG31" s="170"/>
      <c r="LEI31" s="170"/>
      <c r="LEK31" s="170"/>
      <c r="LEM31" s="170"/>
      <c r="LEO31" s="170"/>
      <c r="LEQ31" s="170"/>
      <c r="LES31" s="170"/>
      <c r="LEU31" s="170"/>
      <c r="LEW31" s="170"/>
      <c r="LEY31" s="170"/>
      <c r="LFA31" s="170"/>
      <c r="LFC31" s="170"/>
      <c r="LFE31" s="170"/>
      <c r="LFG31" s="170"/>
      <c r="LFI31" s="170"/>
      <c r="LFK31" s="170"/>
      <c r="LFM31" s="170"/>
      <c r="LFO31" s="170"/>
      <c r="LFQ31" s="170"/>
      <c r="LFS31" s="170"/>
      <c r="LFU31" s="170"/>
      <c r="LFW31" s="170"/>
      <c r="LFY31" s="170"/>
      <c r="LGA31" s="170"/>
      <c r="LGC31" s="170"/>
      <c r="LGE31" s="170"/>
      <c r="LGG31" s="170"/>
      <c r="LGI31" s="170"/>
      <c r="LGK31" s="170"/>
      <c r="LGM31" s="170"/>
      <c r="LGO31" s="170"/>
      <c r="LGQ31" s="170"/>
      <c r="LGS31" s="170"/>
      <c r="LGU31" s="170"/>
      <c r="LGW31" s="170"/>
      <c r="LGY31" s="170"/>
      <c r="LHA31" s="170"/>
      <c r="LHC31" s="170"/>
      <c r="LHE31" s="170"/>
      <c r="LHG31" s="170"/>
      <c r="LHI31" s="170"/>
      <c r="LHK31" s="170"/>
      <c r="LHM31" s="170"/>
      <c r="LHO31" s="170"/>
      <c r="LHQ31" s="170"/>
      <c r="LHS31" s="170"/>
      <c r="LHU31" s="170"/>
      <c r="LHW31" s="170"/>
      <c r="LHY31" s="170"/>
      <c r="LIA31" s="170"/>
      <c r="LIC31" s="170"/>
      <c r="LIE31" s="170"/>
      <c r="LIG31" s="170"/>
      <c r="LII31" s="170"/>
      <c r="LIK31" s="170"/>
      <c r="LIM31" s="170"/>
      <c r="LIO31" s="170"/>
      <c r="LIQ31" s="170"/>
      <c r="LIS31" s="170"/>
      <c r="LIU31" s="170"/>
      <c r="LIW31" s="170"/>
      <c r="LIY31" s="170"/>
      <c r="LJA31" s="170"/>
      <c r="LJC31" s="170"/>
      <c r="LJE31" s="170"/>
      <c r="LJG31" s="170"/>
      <c r="LJI31" s="170"/>
      <c r="LJK31" s="170"/>
      <c r="LJM31" s="170"/>
      <c r="LJO31" s="170"/>
      <c r="LJQ31" s="170"/>
      <c r="LJS31" s="170"/>
      <c r="LJU31" s="170"/>
      <c r="LJW31" s="170"/>
      <c r="LJY31" s="170"/>
      <c r="LKA31" s="170"/>
      <c r="LKC31" s="170"/>
      <c r="LKE31" s="170"/>
      <c r="LKG31" s="170"/>
      <c r="LKI31" s="170"/>
      <c r="LKK31" s="170"/>
      <c r="LKM31" s="170"/>
      <c r="LKO31" s="170"/>
      <c r="LKQ31" s="170"/>
      <c r="LKS31" s="170"/>
      <c r="LKU31" s="170"/>
      <c r="LKW31" s="170"/>
      <c r="LKY31" s="170"/>
      <c r="LLA31" s="170"/>
      <c r="LLC31" s="170"/>
      <c r="LLE31" s="170"/>
      <c r="LLG31" s="170"/>
      <c r="LLI31" s="170"/>
      <c r="LLK31" s="170"/>
      <c r="LLM31" s="170"/>
      <c r="LLO31" s="170"/>
      <c r="LLQ31" s="170"/>
      <c r="LLS31" s="170"/>
      <c r="LLU31" s="170"/>
      <c r="LLW31" s="170"/>
      <c r="LLY31" s="170"/>
      <c r="LMA31" s="170"/>
      <c r="LMC31" s="170"/>
      <c r="LME31" s="170"/>
      <c r="LMG31" s="170"/>
      <c r="LMI31" s="170"/>
      <c r="LMK31" s="170"/>
      <c r="LMM31" s="170"/>
      <c r="LMO31" s="170"/>
      <c r="LMQ31" s="170"/>
      <c r="LMS31" s="170"/>
      <c r="LMU31" s="170"/>
      <c r="LMW31" s="170"/>
      <c r="LMY31" s="170"/>
      <c r="LNA31" s="170"/>
      <c r="LNC31" s="170"/>
      <c r="LNE31" s="170"/>
      <c r="LNG31" s="170"/>
      <c r="LNI31" s="170"/>
      <c r="LNK31" s="170"/>
      <c r="LNM31" s="170"/>
      <c r="LNO31" s="170"/>
      <c r="LNQ31" s="170"/>
      <c r="LNS31" s="170"/>
      <c r="LNU31" s="170"/>
      <c r="LNW31" s="170"/>
      <c r="LNY31" s="170"/>
      <c r="LOA31" s="170"/>
      <c r="LOC31" s="170"/>
      <c r="LOE31" s="170"/>
      <c r="LOG31" s="170"/>
      <c r="LOI31" s="170"/>
      <c r="LOK31" s="170"/>
      <c r="LOM31" s="170"/>
      <c r="LOO31" s="170"/>
      <c r="LOQ31" s="170"/>
      <c r="LOS31" s="170"/>
      <c r="LOU31" s="170"/>
      <c r="LOW31" s="170"/>
      <c r="LOY31" s="170"/>
      <c r="LPA31" s="170"/>
      <c r="LPC31" s="170"/>
      <c r="LPE31" s="170"/>
      <c r="LPG31" s="170"/>
      <c r="LPI31" s="170"/>
      <c r="LPK31" s="170"/>
      <c r="LPM31" s="170"/>
      <c r="LPO31" s="170"/>
      <c r="LPQ31" s="170"/>
      <c r="LPS31" s="170"/>
      <c r="LPU31" s="170"/>
      <c r="LPW31" s="170"/>
      <c r="LPY31" s="170"/>
      <c r="LQA31" s="170"/>
      <c r="LQC31" s="170"/>
      <c r="LQE31" s="170"/>
      <c r="LQG31" s="170"/>
      <c r="LQI31" s="170"/>
      <c r="LQK31" s="170"/>
      <c r="LQM31" s="170"/>
      <c r="LQO31" s="170"/>
      <c r="LQQ31" s="170"/>
      <c r="LQS31" s="170"/>
      <c r="LQU31" s="170"/>
      <c r="LQW31" s="170"/>
      <c r="LQY31" s="170"/>
      <c r="LRA31" s="170"/>
      <c r="LRC31" s="170"/>
      <c r="LRE31" s="170"/>
      <c r="LRG31" s="170"/>
      <c r="LRI31" s="170"/>
      <c r="LRK31" s="170"/>
      <c r="LRM31" s="170"/>
      <c r="LRO31" s="170"/>
      <c r="LRQ31" s="170"/>
      <c r="LRS31" s="170"/>
      <c r="LRU31" s="170"/>
      <c r="LRW31" s="170"/>
      <c r="LRY31" s="170"/>
      <c r="LSA31" s="170"/>
      <c r="LSC31" s="170"/>
      <c r="LSE31" s="170"/>
      <c r="LSG31" s="170"/>
      <c r="LSI31" s="170"/>
      <c r="LSK31" s="170"/>
      <c r="LSM31" s="170"/>
      <c r="LSO31" s="170"/>
      <c r="LSQ31" s="170"/>
      <c r="LSS31" s="170"/>
      <c r="LSU31" s="170"/>
      <c r="LSW31" s="170"/>
      <c r="LSY31" s="170"/>
      <c r="LTA31" s="170"/>
      <c r="LTC31" s="170"/>
      <c r="LTE31" s="170"/>
      <c r="LTG31" s="170"/>
      <c r="LTI31" s="170"/>
      <c r="LTK31" s="170"/>
      <c r="LTM31" s="170"/>
      <c r="LTO31" s="170"/>
      <c r="LTQ31" s="170"/>
      <c r="LTS31" s="170"/>
      <c r="LTU31" s="170"/>
      <c r="LTW31" s="170"/>
      <c r="LTY31" s="170"/>
      <c r="LUA31" s="170"/>
      <c r="LUC31" s="170"/>
      <c r="LUE31" s="170"/>
      <c r="LUG31" s="170"/>
      <c r="LUI31" s="170"/>
      <c r="LUK31" s="170"/>
      <c r="LUM31" s="170"/>
      <c r="LUO31" s="170"/>
      <c r="LUQ31" s="170"/>
      <c r="LUS31" s="170"/>
      <c r="LUU31" s="170"/>
      <c r="LUW31" s="170"/>
      <c r="LUY31" s="170"/>
      <c r="LVA31" s="170"/>
      <c r="LVC31" s="170"/>
      <c r="LVE31" s="170"/>
      <c r="LVG31" s="170"/>
      <c r="LVI31" s="170"/>
      <c r="LVK31" s="170"/>
      <c r="LVM31" s="170"/>
      <c r="LVO31" s="170"/>
      <c r="LVQ31" s="170"/>
      <c r="LVS31" s="170"/>
      <c r="LVU31" s="170"/>
      <c r="LVW31" s="170"/>
      <c r="LVY31" s="170"/>
      <c r="LWA31" s="170"/>
      <c r="LWC31" s="170"/>
      <c r="LWE31" s="170"/>
      <c r="LWG31" s="170"/>
      <c r="LWI31" s="170"/>
      <c r="LWK31" s="170"/>
      <c r="LWM31" s="170"/>
      <c r="LWO31" s="170"/>
      <c r="LWQ31" s="170"/>
      <c r="LWS31" s="170"/>
      <c r="LWU31" s="170"/>
      <c r="LWW31" s="170"/>
      <c r="LWY31" s="170"/>
      <c r="LXA31" s="170"/>
      <c r="LXC31" s="170"/>
      <c r="LXE31" s="170"/>
      <c r="LXG31" s="170"/>
      <c r="LXI31" s="170"/>
      <c r="LXK31" s="170"/>
      <c r="LXM31" s="170"/>
      <c r="LXO31" s="170"/>
      <c r="LXQ31" s="170"/>
      <c r="LXS31" s="170"/>
      <c r="LXU31" s="170"/>
      <c r="LXW31" s="170"/>
      <c r="LXY31" s="170"/>
      <c r="LYA31" s="170"/>
      <c r="LYC31" s="170"/>
      <c r="LYE31" s="170"/>
      <c r="LYG31" s="170"/>
      <c r="LYI31" s="170"/>
      <c r="LYK31" s="170"/>
      <c r="LYM31" s="170"/>
      <c r="LYO31" s="170"/>
      <c r="LYQ31" s="170"/>
      <c r="LYS31" s="170"/>
      <c r="LYU31" s="170"/>
      <c r="LYW31" s="170"/>
      <c r="LYY31" s="170"/>
      <c r="LZA31" s="170"/>
      <c r="LZC31" s="170"/>
      <c r="LZE31" s="170"/>
      <c r="LZG31" s="170"/>
      <c r="LZI31" s="170"/>
      <c r="LZK31" s="170"/>
      <c r="LZM31" s="170"/>
      <c r="LZO31" s="170"/>
      <c r="LZQ31" s="170"/>
      <c r="LZS31" s="170"/>
      <c r="LZU31" s="170"/>
      <c r="LZW31" s="170"/>
      <c r="LZY31" s="170"/>
      <c r="MAA31" s="170"/>
      <c r="MAC31" s="170"/>
      <c r="MAE31" s="170"/>
      <c r="MAG31" s="170"/>
      <c r="MAI31" s="170"/>
      <c r="MAK31" s="170"/>
      <c r="MAM31" s="170"/>
      <c r="MAO31" s="170"/>
      <c r="MAQ31" s="170"/>
      <c r="MAS31" s="170"/>
      <c r="MAU31" s="170"/>
      <c r="MAW31" s="170"/>
      <c r="MAY31" s="170"/>
      <c r="MBA31" s="170"/>
      <c r="MBC31" s="170"/>
      <c r="MBE31" s="170"/>
      <c r="MBG31" s="170"/>
      <c r="MBI31" s="170"/>
      <c r="MBK31" s="170"/>
      <c r="MBM31" s="170"/>
      <c r="MBO31" s="170"/>
      <c r="MBQ31" s="170"/>
      <c r="MBS31" s="170"/>
      <c r="MBU31" s="170"/>
      <c r="MBW31" s="170"/>
      <c r="MBY31" s="170"/>
      <c r="MCA31" s="170"/>
      <c r="MCC31" s="170"/>
      <c r="MCE31" s="170"/>
      <c r="MCG31" s="170"/>
      <c r="MCI31" s="170"/>
      <c r="MCK31" s="170"/>
      <c r="MCM31" s="170"/>
      <c r="MCO31" s="170"/>
      <c r="MCQ31" s="170"/>
      <c r="MCS31" s="170"/>
      <c r="MCU31" s="170"/>
      <c r="MCW31" s="170"/>
      <c r="MCY31" s="170"/>
      <c r="MDA31" s="170"/>
      <c r="MDC31" s="170"/>
      <c r="MDE31" s="170"/>
      <c r="MDG31" s="170"/>
      <c r="MDI31" s="170"/>
      <c r="MDK31" s="170"/>
      <c r="MDM31" s="170"/>
      <c r="MDO31" s="170"/>
      <c r="MDQ31" s="170"/>
      <c r="MDS31" s="170"/>
      <c r="MDU31" s="170"/>
      <c r="MDW31" s="170"/>
      <c r="MDY31" s="170"/>
      <c r="MEA31" s="170"/>
      <c r="MEC31" s="170"/>
      <c r="MEE31" s="170"/>
      <c r="MEG31" s="170"/>
      <c r="MEI31" s="170"/>
      <c r="MEK31" s="170"/>
      <c r="MEM31" s="170"/>
      <c r="MEO31" s="170"/>
      <c r="MEQ31" s="170"/>
      <c r="MES31" s="170"/>
      <c r="MEU31" s="170"/>
      <c r="MEW31" s="170"/>
      <c r="MEY31" s="170"/>
      <c r="MFA31" s="170"/>
      <c r="MFC31" s="170"/>
      <c r="MFE31" s="170"/>
      <c r="MFG31" s="170"/>
      <c r="MFI31" s="170"/>
      <c r="MFK31" s="170"/>
      <c r="MFM31" s="170"/>
      <c r="MFO31" s="170"/>
      <c r="MFQ31" s="170"/>
      <c r="MFS31" s="170"/>
      <c r="MFU31" s="170"/>
      <c r="MFW31" s="170"/>
      <c r="MFY31" s="170"/>
      <c r="MGA31" s="170"/>
      <c r="MGC31" s="170"/>
      <c r="MGE31" s="170"/>
      <c r="MGG31" s="170"/>
      <c r="MGI31" s="170"/>
      <c r="MGK31" s="170"/>
      <c r="MGM31" s="170"/>
      <c r="MGO31" s="170"/>
      <c r="MGQ31" s="170"/>
      <c r="MGS31" s="170"/>
      <c r="MGU31" s="170"/>
      <c r="MGW31" s="170"/>
      <c r="MGY31" s="170"/>
      <c r="MHA31" s="170"/>
      <c r="MHC31" s="170"/>
      <c r="MHE31" s="170"/>
      <c r="MHG31" s="170"/>
      <c r="MHI31" s="170"/>
      <c r="MHK31" s="170"/>
      <c r="MHM31" s="170"/>
      <c r="MHO31" s="170"/>
      <c r="MHQ31" s="170"/>
      <c r="MHS31" s="170"/>
      <c r="MHU31" s="170"/>
      <c r="MHW31" s="170"/>
      <c r="MHY31" s="170"/>
      <c r="MIA31" s="170"/>
      <c r="MIC31" s="170"/>
      <c r="MIE31" s="170"/>
      <c r="MIG31" s="170"/>
      <c r="MII31" s="170"/>
      <c r="MIK31" s="170"/>
      <c r="MIM31" s="170"/>
      <c r="MIO31" s="170"/>
      <c r="MIQ31" s="170"/>
      <c r="MIS31" s="170"/>
      <c r="MIU31" s="170"/>
      <c r="MIW31" s="170"/>
      <c r="MIY31" s="170"/>
      <c r="MJA31" s="170"/>
      <c r="MJC31" s="170"/>
      <c r="MJE31" s="170"/>
      <c r="MJG31" s="170"/>
      <c r="MJI31" s="170"/>
      <c r="MJK31" s="170"/>
      <c r="MJM31" s="170"/>
      <c r="MJO31" s="170"/>
      <c r="MJQ31" s="170"/>
      <c r="MJS31" s="170"/>
      <c r="MJU31" s="170"/>
      <c r="MJW31" s="170"/>
      <c r="MJY31" s="170"/>
      <c r="MKA31" s="170"/>
      <c r="MKC31" s="170"/>
      <c r="MKE31" s="170"/>
      <c r="MKG31" s="170"/>
      <c r="MKI31" s="170"/>
      <c r="MKK31" s="170"/>
      <c r="MKM31" s="170"/>
      <c r="MKO31" s="170"/>
      <c r="MKQ31" s="170"/>
      <c r="MKS31" s="170"/>
      <c r="MKU31" s="170"/>
      <c r="MKW31" s="170"/>
      <c r="MKY31" s="170"/>
      <c r="MLA31" s="170"/>
      <c r="MLC31" s="170"/>
      <c r="MLE31" s="170"/>
      <c r="MLG31" s="170"/>
      <c r="MLI31" s="170"/>
      <c r="MLK31" s="170"/>
      <c r="MLM31" s="170"/>
      <c r="MLO31" s="170"/>
      <c r="MLQ31" s="170"/>
      <c r="MLS31" s="170"/>
      <c r="MLU31" s="170"/>
      <c r="MLW31" s="170"/>
      <c r="MLY31" s="170"/>
      <c r="MMA31" s="170"/>
      <c r="MMC31" s="170"/>
      <c r="MME31" s="170"/>
      <c r="MMG31" s="170"/>
      <c r="MMI31" s="170"/>
      <c r="MMK31" s="170"/>
      <c r="MMM31" s="170"/>
      <c r="MMO31" s="170"/>
      <c r="MMQ31" s="170"/>
      <c r="MMS31" s="170"/>
      <c r="MMU31" s="170"/>
      <c r="MMW31" s="170"/>
      <c r="MMY31" s="170"/>
      <c r="MNA31" s="170"/>
      <c r="MNC31" s="170"/>
      <c r="MNE31" s="170"/>
      <c r="MNG31" s="170"/>
      <c r="MNI31" s="170"/>
      <c r="MNK31" s="170"/>
      <c r="MNM31" s="170"/>
      <c r="MNO31" s="170"/>
      <c r="MNQ31" s="170"/>
      <c r="MNS31" s="170"/>
      <c r="MNU31" s="170"/>
      <c r="MNW31" s="170"/>
      <c r="MNY31" s="170"/>
      <c r="MOA31" s="170"/>
      <c r="MOC31" s="170"/>
      <c r="MOE31" s="170"/>
      <c r="MOG31" s="170"/>
      <c r="MOI31" s="170"/>
      <c r="MOK31" s="170"/>
      <c r="MOM31" s="170"/>
      <c r="MOO31" s="170"/>
      <c r="MOQ31" s="170"/>
      <c r="MOS31" s="170"/>
      <c r="MOU31" s="170"/>
      <c r="MOW31" s="170"/>
      <c r="MOY31" s="170"/>
      <c r="MPA31" s="170"/>
      <c r="MPC31" s="170"/>
      <c r="MPE31" s="170"/>
      <c r="MPG31" s="170"/>
      <c r="MPI31" s="170"/>
      <c r="MPK31" s="170"/>
      <c r="MPM31" s="170"/>
      <c r="MPO31" s="170"/>
      <c r="MPQ31" s="170"/>
      <c r="MPS31" s="170"/>
      <c r="MPU31" s="170"/>
      <c r="MPW31" s="170"/>
      <c r="MPY31" s="170"/>
      <c r="MQA31" s="170"/>
      <c r="MQC31" s="170"/>
      <c r="MQE31" s="170"/>
      <c r="MQG31" s="170"/>
      <c r="MQI31" s="170"/>
      <c r="MQK31" s="170"/>
      <c r="MQM31" s="170"/>
      <c r="MQO31" s="170"/>
      <c r="MQQ31" s="170"/>
      <c r="MQS31" s="170"/>
      <c r="MQU31" s="170"/>
      <c r="MQW31" s="170"/>
      <c r="MQY31" s="170"/>
      <c r="MRA31" s="170"/>
      <c r="MRC31" s="170"/>
      <c r="MRE31" s="170"/>
      <c r="MRG31" s="170"/>
      <c r="MRI31" s="170"/>
      <c r="MRK31" s="170"/>
      <c r="MRM31" s="170"/>
      <c r="MRO31" s="170"/>
      <c r="MRQ31" s="170"/>
      <c r="MRS31" s="170"/>
      <c r="MRU31" s="170"/>
      <c r="MRW31" s="170"/>
      <c r="MRY31" s="170"/>
      <c r="MSA31" s="170"/>
      <c r="MSC31" s="170"/>
      <c r="MSE31" s="170"/>
      <c r="MSG31" s="170"/>
      <c r="MSI31" s="170"/>
      <c r="MSK31" s="170"/>
      <c r="MSM31" s="170"/>
      <c r="MSO31" s="170"/>
      <c r="MSQ31" s="170"/>
      <c r="MSS31" s="170"/>
      <c r="MSU31" s="170"/>
      <c r="MSW31" s="170"/>
      <c r="MSY31" s="170"/>
      <c r="MTA31" s="170"/>
      <c r="MTC31" s="170"/>
      <c r="MTE31" s="170"/>
      <c r="MTG31" s="170"/>
      <c r="MTI31" s="170"/>
      <c r="MTK31" s="170"/>
      <c r="MTM31" s="170"/>
      <c r="MTO31" s="170"/>
      <c r="MTQ31" s="170"/>
      <c r="MTS31" s="170"/>
      <c r="MTU31" s="170"/>
      <c r="MTW31" s="170"/>
      <c r="MTY31" s="170"/>
      <c r="MUA31" s="170"/>
      <c r="MUC31" s="170"/>
      <c r="MUE31" s="170"/>
      <c r="MUG31" s="170"/>
      <c r="MUI31" s="170"/>
      <c r="MUK31" s="170"/>
      <c r="MUM31" s="170"/>
      <c r="MUO31" s="170"/>
      <c r="MUQ31" s="170"/>
      <c r="MUS31" s="170"/>
      <c r="MUU31" s="170"/>
      <c r="MUW31" s="170"/>
      <c r="MUY31" s="170"/>
      <c r="MVA31" s="170"/>
      <c r="MVC31" s="170"/>
      <c r="MVE31" s="170"/>
      <c r="MVG31" s="170"/>
      <c r="MVI31" s="170"/>
      <c r="MVK31" s="170"/>
      <c r="MVM31" s="170"/>
      <c r="MVO31" s="170"/>
      <c r="MVQ31" s="170"/>
      <c r="MVS31" s="170"/>
      <c r="MVU31" s="170"/>
      <c r="MVW31" s="170"/>
      <c r="MVY31" s="170"/>
      <c r="MWA31" s="170"/>
      <c r="MWC31" s="170"/>
      <c r="MWE31" s="170"/>
      <c r="MWG31" s="170"/>
      <c r="MWI31" s="170"/>
      <c r="MWK31" s="170"/>
      <c r="MWM31" s="170"/>
      <c r="MWO31" s="170"/>
      <c r="MWQ31" s="170"/>
      <c r="MWS31" s="170"/>
      <c r="MWU31" s="170"/>
      <c r="MWW31" s="170"/>
      <c r="MWY31" s="170"/>
      <c r="MXA31" s="170"/>
      <c r="MXC31" s="170"/>
      <c r="MXE31" s="170"/>
      <c r="MXG31" s="170"/>
      <c r="MXI31" s="170"/>
      <c r="MXK31" s="170"/>
      <c r="MXM31" s="170"/>
      <c r="MXO31" s="170"/>
      <c r="MXQ31" s="170"/>
      <c r="MXS31" s="170"/>
      <c r="MXU31" s="170"/>
      <c r="MXW31" s="170"/>
      <c r="MXY31" s="170"/>
      <c r="MYA31" s="170"/>
      <c r="MYC31" s="170"/>
      <c r="MYE31" s="170"/>
      <c r="MYG31" s="170"/>
      <c r="MYI31" s="170"/>
      <c r="MYK31" s="170"/>
      <c r="MYM31" s="170"/>
      <c r="MYO31" s="170"/>
      <c r="MYQ31" s="170"/>
      <c r="MYS31" s="170"/>
      <c r="MYU31" s="170"/>
      <c r="MYW31" s="170"/>
      <c r="MYY31" s="170"/>
      <c r="MZA31" s="170"/>
      <c r="MZC31" s="170"/>
      <c r="MZE31" s="170"/>
      <c r="MZG31" s="170"/>
      <c r="MZI31" s="170"/>
      <c r="MZK31" s="170"/>
      <c r="MZM31" s="170"/>
      <c r="MZO31" s="170"/>
      <c r="MZQ31" s="170"/>
      <c r="MZS31" s="170"/>
      <c r="MZU31" s="170"/>
      <c r="MZW31" s="170"/>
      <c r="MZY31" s="170"/>
      <c r="NAA31" s="170"/>
      <c r="NAC31" s="170"/>
      <c r="NAE31" s="170"/>
      <c r="NAG31" s="170"/>
      <c r="NAI31" s="170"/>
      <c r="NAK31" s="170"/>
      <c r="NAM31" s="170"/>
      <c r="NAO31" s="170"/>
      <c r="NAQ31" s="170"/>
      <c r="NAS31" s="170"/>
      <c r="NAU31" s="170"/>
      <c r="NAW31" s="170"/>
      <c r="NAY31" s="170"/>
      <c r="NBA31" s="170"/>
      <c r="NBC31" s="170"/>
      <c r="NBE31" s="170"/>
      <c r="NBG31" s="170"/>
      <c r="NBI31" s="170"/>
      <c r="NBK31" s="170"/>
      <c r="NBM31" s="170"/>
      <c r="NBO31" s="170"/>
      <c r="NBQ31" s="170"/>
      <c r="NBS31" s="170"/>
      <c r="NBU31" s="170"/>
      <c r="NBW31" s="170"/>
      <c r="NBY31" s="170"/>
      <c r="NCA31" s="170"/>
      <c r="NCC31" s="170"/>
      <c r="NCE31" s="170"/>
      <c r="NCG31" s="170"/>
      <c r="NCI31" s="170"/>
      <c r="NCK31" s="170"/>
      <c r="NCM31" s="170"/>
      <c r="NCO31" s="170"/>
      <c r="NCQ31" s="170"/>
      <c r="NCS31" s="170"/>
      <c r="NCU31" s="170"/>
      <c r="NCW31" s="170"/>
      <c r="NCY31" s="170"/>
      <c r="NDA31" s="170"/>
      <c r="NDC31" s="170"/>
      <c r="NDE31" s="170"/>
      <c r="NDG31" s="170"/>
      <c r="NDI31" s="170"/>
      <c r="NDK31" s="170"/>
      <c r="NDM31" s="170"/>
      <c r="NDO31" s="170"/>
      <c r="NDQ31" s="170"/>
      <c r="NDS31" s="170"/>
      <c r="NDU31" s="170"/>
      <c r="NDW31" s="170"/>
      <c r="NDY31" s="170"/>
      <c r="NEA31" s="170"/>
      <c r="NEC31" s="170"/>
      <c r="NEE31" s="170"/>
      <c r="NEG31" s="170"/>
      <c r="NEI31" s="170"/>
      <c r="NEK31" s="170"/>
      <c r="NEM31" s="170"/>
      <c r="NEO31" s="170"/>
      <c r="NEQ31" s="170"/>
      <c r="NES31" s="170"/>
      <c r="NEU31" s="170"/>
      <c r="NEW31" s="170"/>
      <c r="NEY31" s="170"/>
      <c r="NFA31" s="170"/>
      <c r="NFC31" s="170"/>
      <c r="NFE31" s="170"/>
      <c r="NFG31" s="170"/>
      <c r="NFI31" s="170"/>
      <c r="NFK31" s="170"/>
      <c r="NFM31" s="170"/>
      <c r="NFO31" s="170"/>
      <c r="NFQ31" s="170"/>
      <c r="NFS31" s="170"/>
      <c r="NFU31" s="170"/>
      <c r="NFW31" s="170"/>
      <c r="NFY31" s="170"/>
      <c r="NGA31" s="170"/>
      <c r="NGC31" s="170"/>
      <c r="NGE31" s="170"/>
      <c r="NGG31" s="170"/>
      <c r="NGI31" s="170"/>
      <c r="NGK31" s="170"/>
      <c r="NGM31" s="170"/>
      <c r="NGO31" s="170"/>
      <c r="NGQ31" s="170"/>
      <c r="NGS31" s="170"/>
      <c r="NGU31" s="170"/>
      <c r="NGW31" s="170"/>
      <c r="NGY31" s="170"/>
      <c r="NHA31" s="170"/>
      <c r="NHC31" s="170"/>
      <c r="NHE31" s="170"/>
      <c r="NHG31" s="170"/>
      <c r="NHI31" s="170"/>
      <c r="NHK31" s="170"/>
      <c r="NHM31" s="170"/>
      <c r="NHO31" s="170"/>
      <c r="NHQ31" s="170"/>
      <c r="NHS31" s="170"/>
      <c r="NHU31" s="170"/>
      <c r="NHW31" s="170"/>
      <c r="NHY31" s="170"/>
      <c r="NIA31" s="170"/>
      <c r="NIC31" s="170"/>
      <c r="NIE31" s="170"/>
      <c r="NIG31" s="170"/>
      <c r="NII31" s="170"/>
      <c r="NIK31" s="170"/>
      <c r="NIM31" s="170"/>
      <c r="NIO31" s="170"/>
      <c r="NIQ31" s="170"/>
      <c r="NIS31" s="170"/>
      <c r="NIU31" s="170"/>
      <c r="NIW31" s="170"/>
      <c r="NIY31" s="170"/>
      <c r="NJA31" s="170"/>
      <c r="NJC31" s="170"/>
      <c r="NJE31" s="170"/>
      <c r="NJG31" s="170"/>
      <c r="NJI31" s="170"/>
      <c r="NJK31" s="170"/>
      <c r="NJM31" s="170"/>
      <c r="NJO31" s="170"/>
      <c r="NJQ31" s="170"/>
      <c r="NJS31" s="170"/>
      <c r="NJU31" s="170"/>
      <c r="NJW31" s="170"/>
      <c r="NJY31" s="170"/>
      <c r="NKA31" s="170"/>
      <c r="NKC31" s="170"/>
      <c r="NKE31" s="170"/>
      <c r="NKG31" s="170"/>
      <c r="NKI31" s="170"/>
      <c r="NKK31" s="170"/>
      <c r="NKM31" s="170"/>
      <c r="NKO31" s="170"/>
      <c r="NKQ31" s="170"/>
      <c r="NKS31" s="170"/>
      <c r="NKU31" s="170"/>
      <c r="NKW31" s="170"/>
      <c r="NKY31" s="170"/>
      <c r="NLA31" s="170"/>
      <c r="NLC31" s="170"/>
      <c r="NLE31" s="170"/>
      <c r="NLG31" s="170"/>
      <c r="NLI31" s="170"/>
      <c r="NLK31" s="170"/>
      <c r="NLM31" s="170"/>
      <c r="NLO31" s="170"/>
      <c r="NLQ31" s="170"/>
      <c r="NLS31" s="170"/>
      <c r="NLU31" s="170"/>
      <c r="NLW31" s="170"/>
      <c r="NLY31" s="170"/>
      <c r="NMA31" s="170"/>
      <c r="NMC31" s="170"/>
      <c r="NME31" s="170"/>
      <c r="NMG31" s="170"/>
      <c r="NMI31" s="170"/>
      <c r="NMK31" s="170"/>
      <c r="NMM31" s="170"/>
      <c r="NMO31" s="170"/>
      <c r="NMQ31" s="170"/>
      <c r="NMS31" s="170"/>
      <c r="NMU31" s="170"/>
      <c r="NMW31" s="170"/>
      <c r="NMY31" s="170"/>
      <c r="NNA31" s="170"/>
      <c r="NNC31" s="170"/>
      <c r="NNE31" s="170"/>
      <c r="NNG31" s="170"/>
      <c r="NNI31" s="170"/>
      <c r="NNK31" s="170"/>
      <c r="NNM31" s="170"/>
      <c r="NNO31" s="170"/>
      <c r="NNQ31" s="170"/>
      <c r="NNS31" s="170"/>
      <c r="NNU31" s="170"/>
      <c r="NNW31" s="170"/>
      <c r="NNY31" s="170"/>
      <c r="NOA31" s="170"/>
      <c r="NOC31" s="170"/>
      <c r="NOE31" s="170"/>
      <c r="NOG31" s="170"/>
      <c r="NOI31" s="170"/>
      <c r="NOK31" s="170"/>
      <c r="NOM31" s="170"/>
      <c r="NOO31" s="170"/>
      <c r="NOQ31" s="170"/>
      <c r="NOS31" s="170"/>
      <c r="NOU31" s="170"/>
      <c r="NOW31" s="170"/>
      <c r="NOY31" s="170"/>
      <c r="NPA31" s="170"/>
      <c r="NPC31" s="170"/>
      <c r="NPE31" s="170"/>
      <c r="NPG31" s="170"/>
      <c r="NPI31" s="170"/>
      <c r="NPK31" s="170"/>
      <c r="NPM31" s="170"/>
      <c r="NPO31" s="170"/>
      <c r="NPQ31" s="170"/>
      <c r="NPS31" s="170"/>
      <c r="NPU31" s="170"/>
      <c r="NPW31" s="170"/>
      <c r="NPY31" s="170"/>
      <c r="NQA31" s="170"/>
      <c r="NQC31" s="170"/>
      <c r="NQE31" s="170"/>
      <c r="NQG31" s="170"/>
      <c r="NQI31" s="170"/>
      <c r="NQK31" s="170"/>
      <c r="NQM31" s="170"/>
      <c r="NQO31" s="170"/>
      <c r="NQQ31" s="170"/>
      <c r="NQS31" s="170"/>
      <c r="NQU31" s="170"/>
      <c r="NQW31" s="170"/>
      <c r="NQY31" s="170"/>
      <c r="NRA31" s="170"/>
      <c r="NRC31" s="170"/>
      <c r="NRE31" s="170"/>
      <c r="NRG31" s="170"/>
      <c r="NRI31" s="170"/>
      <c r="NRK31" s="170"/>
      <c r="NRM31" s="170"/>
      <c r="NRO31" s="170"/>
      <c r="NRQ31" s="170"/>
      <c r="NRS31" s="170"/>
      <c r="NRU31" s="170"/>
      <c r="NRW31" s="170"/>
      <c r="NRY31" s="170"/>
      <c r="NSA31" s="170"/>
      <c r="NSC31" s="170"/>
      <c r="NSE31" s="170"/>
      <c r="NSG31" s="170"/>
      <c r="NSI31" s="170"/>
      <c r="NSK31" s="170"/>
      <c r="NSM31" s="170"/>
      <c r="NSO31" s="170"/>
      <c r="NSQ31" s="170"/>
      <c r="NSS31" s="170"/>
      <c r="NSU31" s="170"/>
      <c r="NSW31" s="170"/>
      <c r="NSY31" s="170"/>
      <c r="NTA31" s="170"/>
      <c r="NTC31" s="170"/>
      <c r="NTE31" s="170"/>
      <c r="NTG31" s="170"/>
      <c r="NTI31" s="170"/>
      <c r="NTK31" s="170"/>
      <c r="NTM31" s="170"/>
      <c r="NTO31" s="170"/>
      <c r="NTQ31" s="170"/>
      <c r="NTS31" s="170"/>
      <c r="NTU31" s="170"/>
      <c r="NTW31" s="170"/>
      <c r="NTY31" s="170"/>
      <c r="NUA31" s="170"/>
      <c r="NUC31" s="170"/>
      <c r="NUE31" s="170"/>
      <c r="NUG31" s="170"/>
      <c r="NUI31" s="170"/>
      <c r="NUK31" s="170"/>
      <c r="NUM31" s="170"/>
      <c r="NUO31" s="170"/>
      <c r="NUQ31" s="170"/>
      <c r="NUS31" s="170"/>
      <c r="NUU31" s="170"/>
      <c r="NUW31" s="170"/>
      <c r="NUY31" s="170"/>
      <c r="NVA31" s="170"/>
      <c r="NVC31" s="170"/>
      <c r="NVE31" s="170"/>
      <c r="NVG31" s="170"/>
      <c r="NVI31" s="170"/>
      <c r="NVK31" s="170"/>
      <c r="NVM31" s="170"/>
      <c r="NVO31" s="170"/>
      <c r="NVQ31" s="170"/>
      <c r="NVS31" s="170"/>
      <c r="NVU31" s="170"/>
      <c r="NVW31" s="170"/>
      <c r="NVY31" s="170"/>
      <c r="NWA31" s="170"/>
      <c r="NWC31" s="170"/>
      <c r="NWE31" s="170"/>
      <c r="NWG31" s="170"/>
      <c r="NWI31" s="170"/>
      <c r="NWK31" s="170"/>
      <c r="NWM31" s="170"/>
      <c r="NWO31" s="170"/>
      <c r="NWQ31" s="170"/>
      <c r="NWS31" s="170"/>
      <c r="NWU31" s="170"/>
      <c r="NWW31" s="170"/>
      <c r="NWY31" s="170"/>
      <c r="NXA31" s="170"/>
      <c r="NXC31" s="170"/>
      <c r="NXE31" s="170"/>
      <c r="NXG31" s="170"/>
      <c r="NXI31" s="170"/>
      <c r="NXK31" s="170"/>
      <c r="NXM31" s="170"/>
      <c r="NXO31" s="170"/>
      <c r="NXQ31" s="170"/>
      <c r="NXS31" s="170"/>
      <c r="NXU31" s="170"/>
      <c r="NXW31" s="170"/>
      <c r="NXY31" s="170"/>
      <c r="NYA31" s="170"/>
      <c r="NYC31" s="170"/>
      <c r="NYE31" s="170"/>
      <c r="NYG31" s="170"/>
      <c r="NYI31" s="170"/>
      <c r="NYK31" s="170"/>
      <c r="NYM31" s="170"/>
      <c r="NYO31" s="170"/>
      <c r="NYQ31" s="170"/>
      <c r="NYS31" s="170"/>
      <c r="NYU31" s="170"/>
      <c r="NYW31" s="170"/>
      <c r="NYY31" s="170"/>
      <c r="NZA31" s="170"/>
      <c r="NZC31" s="170"/>
      <c r="NZE31" s="170"/>
      <c r="NZG31" s="170"/>
      <c r="NZI31" s="170"/>
      <c r="NZK31" s="170"/>
      <c r="NZM31" s="170"/>
      <c r="NZO31" s="170"/>
      <c r="NZQ31" s="170"/>
      <c r="NZS31" s="170"/>
      <c r="NZU31" s="170"/>
      <c r="NZW31" s="170"/>
      <c r="NZY31" s="170"/>
      <c r="OAA31" s="170"/>
      <c r="OAC31" s="170"/>
      <c r="OAE31" s="170"/>
      <c r="OAG31" s="170"/>
      <c r="OAI31" s="170"/>
      <c r="OAK31" s="170"/>
      <c r="OAM31" s="170"/>
      <c r="OAO31" s="170"/>
      <c r="OAQ31" s="170"/>
      <c r="OAS31" s="170"/>
      <c r="OAU31" s="170"/>
      <c r="OAW31" s="170"/>
      <c r="OAY31" s="170"/>
      <c r="OBA31" s="170"/>
      <c r="OBC31" s="170"/>
      <c r="OBE31" s="170"/>
      <c r="OBG31" s="170"/>
      <c r="OBI31" s="170"/>
      <c r="OBK31" s="170"/>
      <c r="OBM31" s="170"/>
      <c r="OBO31" s="170"/>
      <c r="OBQ31" s="170"/>
      <c r="OBS31" s="170"/>
      <c r="OBU31" s="170"/>
      <c r="OBW31" s="170"/>
      <c r="OBY31" s="170"/>
      <c r="OCA31" s="170"/>
      <c r="OCC31" s="170"/>
      <c r="OCE31" s="170"/>
      <c r="OCG31" s="170"/>
      <c r="OCI31" s="170"/>
      <c r="OCK31" s="170"/>
      <c r="OCM31" s="170"/>
      <c r="OCO31" s="170"/>
      <c r="OCQ31" s="170"/>
      <c r="OCS31" s="170"/>
      <c r="OCU31" s="170"/>
      <c r="OCW31" s="170"/>
      <c r="OCY31" s="170"/>
      <c r="ODA31" s="170"/>
      <c r="ODC31" s="170"/>
      <c r="ODE31" s="170"/>
      <c r="ODG31" s="170"/>
      <c r="ODI31" s="170"/>
      <c r="ODK31" s="170"/>
      <c r="ODM31" s="170"/>
      <c r="ODO31" s="170"/>
      <c r="ODQ31" s="170"/>
      <c r="ODS31" s="170"/>
      <c r="ODU31" s="170"/>
      <c r="ODW31" s="170"/>
      <c r="ODY31" s="170"/>
      <c r="OEA31" s="170"/>
      <c r="OEC31" s="170"/>
      <c r="OEE31" s="170"/>
      <c r="OEG31" s="170"/>
      <c r="OEI31" s="170"/>
      <c r="OEK31" s="170"/>
      <c r="OEM31" s="170"/>
      <c r="OEO31" s="170"/>
      <c r="OEQ31" s="170"/>
      <c r="OES31" s="170"/>
      <c r="OEU31" s="170"/>
      <c r="OEW31" s="170"/>
      <c r="OEY31" s="170"/>
      <c r="OFA31" s="170"/>
      <c r="OFC31" s="170"/>
      <c r="OFE31" s="170"/>
      <c r="OFG31" s="170"/>
      <c r="OFI31" s="170"/>
      <c r="OFK31" s="170"/>
      <c r="OFM31" s="170"/>
      <c r="OFO31" s="170"/>
      <c r="OFQ31" s="170"/>
      <c r="OFS31" s="170"/>
      <c r="OFU31" s="170"/>
      <c r="OFW31" s="170"/>
      <c r="OFY31" s="170"/>
      <c r="OGA31" s="170"/>
      <c r="OGC31" s="170"/>
      <c r="OGE31" s="170"/>
      <c r="OGG31" s="170"/>
      <c r="OGI31" s="170"/>
      <c r="OGK31" s="170"/>
      <c r="OGM31" s="170"/>
      <c r="OGO31" s="170"/>
      <c r="OGQ31" s="170"/>
      <c r="OGS31" s="170"/>
      <c r="OGU31" s="170"/>
      <c r="OGW31" s="170"/>
      <c r="OGY31" s="170"/>
      <c r="OHA31" s="170"/>
      <c r="OHC31" s="170"/>
      <c r="OHE31" s="170"/>
      <c r="OHG31" s="170"/>
      <c r="OHI31" s="170"/>
      <c r="OHK31" s="170"/>
      <c r="OHM31" s="170"/>
      <c r="OHO31" s="170"/>
      <c r="OHQ31" s="170"/>
      <c r="OHS31" s="170"/>
      <c r="OHU31" s="170"/>
      <c r="OHW31" s="170"/>
      <c r="OHY31" s="170"/>
      <c r="OIA31" s="170"/>
      <c r="OIC31" s="170"/>
      <c r="OIE31" s="170"/>
      <c r="OIG31" s="170"/>
      <c r="OII31" s="170"/>
      <c r="OIK31" s="170"/>
      <c r="OIM31" s="170"/>
      <c r="OIO31" s="170"/>
      <c r="OIQ31" s="170"/>
      <c r="OIS31" s="170"/>
      <c r="OIU31" s="170"/>
      <c r="OIW31" s="170"/>
      <c r="OIY31" s="170"/>
      <c r="OJA31" s="170"/>
      <c r="OJC31" s="170"/>
      <c r="OJE31" s="170"/>
      <c r="OJG31" s="170"/>
      <c r="OJI31" s="170"/>
      <c r="OJK31" s="170"/>
      <c r="OJM31" s="170"/>
      <c r="OJO31" s="170"/>
      <c r="OJQ31" s="170"/>
      <c r="OJS31" s="170"/>
      <c r="OJU31" s="170"/>
      <c r="OJW31" s="170"/>
      <c r="OJY31" s="170"/>
      <c r="OKA31" s="170"/>
      <c r="OKC31" s="170"/>
      <c r="OKE31" s="170"/>
      <c r="OKG31" s="170"/>
      <c r="OKI31" s="170"/>
      <c r="OKK31" s="170"/>
      <c r="OKM31" s="170"/>
      <c r="OKO31" s="170"/>
      <c r="OKQ31" s="170"/>
      <c r="OKS31" s="170"/>
      <c r="OKU31" s="170"/>
      <c r="OKW31" s="170"/>
      <c r="OKY31" s="170"/>
      <c r="OLA31" s="170"/>
      <c r="OLC31" s="170"/>
      <c r="OLE31" s="170"/>
      <c r="OLG31" s="170"/>
      <c r="OLI31" s="170"/>
      <c r="OLK31" s="170"/>
      <c r="OLM31" s="170"/>
      <c r="OLO31" s="170"/>
      <c r="OLQ31" s="170"/>
      <c r="OLS31" s="170"/>
      <c r="OLU31" s="170"/>
      <c r="OLW31" s="170"/>
      <c r="OLY31" s="170"/>
      <c r="OMA31" s="170"/>
      <c r="OMC31" s="170"/>
      <c r="OME31" s="170"/>
      <c r="OMG31" s="170"/>
      <c r="OMI31" s="170"/>
      <c r="OMK31" s="170"/>
      <c r="OMM31" s="170"/>
      <c r="OMO31" s="170"/>
      <c r="OMQ31" s="170"/>
      <c r="OMS31" s="170"/>
      <c r="OMU31" s="170"/>
      <c r="OMW31" s="170"/>
      <c r="OMY31" s="170"/>
      <c r="ONA31" s="170"/>
      <c r="ONC31" s="170"/>
      <c r="ONE31" s="170"/>
      <c r="ONG31" s="170"/>
      <c r="ONI31" s="170"/>
      <c r="ONK31" s="170"/>
      <c r="ONM31" s="170"/>
      <c r="ONO31" s="170"/>
      <c r="ONQ31" s="170"/>
      <c r="ONS31" s="170"/>
      <c r="ONU31" s="170"/>
      <c r="ONW31" s="170"/>
      <c r="ONY31" s="170"/>
      <c r="OOA31" s="170"/>
      <c r="OOC31" s="170"/>
      <c r="OOE31" s="170"/>
      <c r="OOG31" s="170"/>
      <c r="OOI31" s="170"/>
      <c r="OOK31" s="170"/>
      <c r="OOM31" s="170"/>
      <c r="OOO31" s="170"/>
      <c r="OOQ31" s="170"/>
      <c r="OOS31" s="170"/>
      <c r="OOU31" s="170"/>
      <c r="OOW31" s="170"/>
      <c r="OOY31" s="170"/>
      <c r="OPA31" s="170"/>
      <c r="OPC31" s="170"/>
      <c r="OPE31" s="170"/>
      <c r="OPG31" s="170"/>
      <c r="OPI31" s="170"/>
      <c r="OPK31" s="170"/>
      <c r="OPM31" s="170"/>
      <c r="OPO31" s="170"/>
      <c r="OPQ31" s="170"/>
      <c r="OPS31" s="170"/>
      <c r="OPU31" s="170"/>
      <c r="OPW31" s="170"/>
      <c r="OPY31" s="170"/>
      <c r="OQA31" s="170"/>
      <c r="OQC31" s="170"/>
      <c r="OQE31" s="170"/>
      <c r="OQG31" s="170"/>
      <c r="OQI31" s="170"/>
      <c r="OQK31" s="170"/>
      <c r="OQM31" s="170"/>
      <c r="OQO31" s="170"/>
      <c r="OQQ31" s="170"/>
      <c r="OQS31" s="170"/>
      <c r="OQU31" s="170"/>
      <c r="OQW31" s="170"/>
      <c r="OQY31" s="170"/>
      <c r="ORA31" s="170"/>
      <c r="ORC31" s="170"/>
      <c r="ORE31" s="170"/>
      <c r="ORG31" s="170"/>
      <c r="ORI31" s="170"/>
      <c r="ORK31" s="170"/>
      <c r="ORM31" s="170"/>
      <c r="ORO31" s="170"/>
      <c r="ORQ31" s="170"/>
      <c r="ORS31" s="170"/>
      <c r="ORU31" s="170"/>
      <c r="ORW31" s="170"/>
      <c r="ORY31" s="170"/>
      <c r="OSA31" s="170"/>
      <c r="OSC31" s="170"/>
      <c r="OSE31" s="170"/>
      <c r="OSG31" s="170"/>
      <c r="OSI31" s="170"/>
      <c r="OSK31" s="170"/>
      <c r="OSM31" s="170"/>
      <c r="OSO31" s="170"/>
      <c r="OSQ31" s="170"/>
      <c r="OSS31" s="170"/>
      <c r="OSU31" s="170"/>
      <c r="OSW31" s="170"/>
      <c r="OSY31" s="170"/>
      <c r="OTA31" s="170"/>
      <c r="OTC31" s="170"/>
      <c r="OTE31" s="170"/>
      <c r="OTG31" s="170"/>
      <c r="OTI31" s="170"/>
      <c r="OTK31" s="170"/>
      <c r="OTM31" s="170"/>
      <c r="OTO31" s="170"/>
      <c r="OTQ31" s="170"/>
      <c r="OTS31" s="170"/>
      <c r="OTU31" s="170"/>
      <c r="OTW31" s="170"/>
      <c r="OTY31" s="170"/>
      <c r="OUA31" s="170"/>
      <c r="OUC31" s="170"/>
      <c r="OUE31" s="170"/>
      <c r="OUG31" s="170"/>
      <c r="OUI31" s="170"/>
      <c r="OUK31" s="170"/>
      <c r="OUM31" s="170"/>
      <c r="OUO31" s="170"/>
      <c r="OUQ31" s="170"/>
      <c r="OUS31" s="170"/>
      <c r="OUU31" s="170"/>
      <c r="OUW31" s="170"/>
      <c r="OUY31" s="170"/>
      <c r="OVA31" s="170"/>
      <c r="OVC31" s="170"/>
      <c r="OVE31" s="170"/>
      <c r="OVG31" s="170"/>
      <c r="OVI31" s="170"/>
      <c r="OVK31" s="170"/>
      <c r="OVM31" s="170"/>
      <c r="OVO31" s="170"/>
      <c r="OVQ31" s="170"/>
      <c r="OVS31" s="170"/>
      <c r="OVU31" s="170"/>
      <c r="OVW31" s="170"/>
      <c r="OVY31" s="170"/>
      <c r="OWA31" s="170"/>
      <c r="OWC31" s="170"/>
      <c r="OWE31" s="170"/>
      <c r="OWG31" s="170"/>
      <c r="OWI31" s="170"/>
      <c r="OWK31" s="170"/>
      <c r="OWM31" s="170"/>
      <c r="OWO31" s="170"/>
      <c r="OWQ31" s="170"/>
      <c r="OWS31" s="170"/>
      <c r="OWU31" s="170"/>
      <c r="OWW31" s="170"/>
      <c r="OWY31" s="170"/>
      <c r="OXA31" s="170"/>
      <c r="OXC31" s="170"/>
      <c r="OXE31" s="170"/>
      <c r="OXG31" s="170"/>
      <c r="OXI31" s="170"/>
      <c r="OXK31" s="170"/>
      <c r="OXM31" s="170"/>
      <c r="OXO31" s="170"/>
      <c r="OXQ31" s="170"/>
      <c r="OXS31" s="170"/>
      <c r="OXU31" s="170"/>
      <c r="OXW31" s="170"/>
      <c r="OXY31" s="170"/>
      <c r="OYA31" s="170"/>
      <c r="OYC31" s="170"/>
      <c r="OYE31" s="170"/>
      <c r="OYG31" s="170"/>
      <c r="OYI31" s="170"/>
      <c r="OYK31" s="170"/>
      <c r="OYM31" s="170"/>
      <c r="OYO31" s="170"/>
      <c r="OYQ31" s="170"/>
      <c r="OYS31" s="170"/>
      <c r="OYU31" s="170"/>
      <c r="OYW31" s="170"/>
      <c r="OYY31" s="170"/>
      <c r="OZA31" s="170"/>
      <c r="OZC31" s="170"/>
      <c r="OZE31" s="170"/>
      <c r="OZG31" s="170"/>
      <c r="OZI31" s="170"/>
      <c r="OZK31" s="170"/>
      <c r="OZM31" s="170"/>
      <c r="OZO31" s="170"/>
      <c r="OZQ31" s="170"/>
      <c r="OZS31" s="170"/>
      <c r="OZU31" s="170"/>
      <c r="OZW31" s="170"/>
      <c r="OZY31" s="170"/>
      <c r="PAA31" s="170"/>
      <c r="PAC31" s="170"/>
      <c r="PAE31" s="170"/>
      <c r="PAG31" s="170"/>
      <c r="PAI31" s="170"/>
      <c r="PAK31" s="170"/>
      <c r="PAM31" s="170"/>
      <c r="PAO31" s="170"/>
      <c r="PAQ31" s="170"/>
      <c r="PAS31" s="170"/>
      <c r="PAU31" s="170"/>
      <c r="PAW31" s="170"/>
      <c r="PAY31" s="170"/>
      <c r="PBA31" s="170"/>
      <c r="PBC31" s="170"/>
      <c r="PBE31" s="170"/>
      <c r="PBG31" s="170"/>
      <c r="PBI31" s="170"/>
      <c r="PBK31" s="170"/>
      <c r="PBM31" s="170"/>
      <c r="PBO31" s="170"/>
      <c r="PBQ31" s="170"/>
      <c r="PBS31" s="170"/>
      <c r="PBU31" s="170"/>
      <c r="PBW31" s="170"/>
      <c r="PBY31" s="170"/>
      <c r="PCA31" s="170"/>
      <c r="PCC31" s="170"/>
      <c r="PCE31" s="170"/>
      <c r="PCG31" s="170"/>
      <c r="PCI31" s="170"/>
      <c r="PCK31" s="170"/>
      <c r="PCM31" s="170"/>
      <c r="PCO31" s="170"/>
      <c r="PCQ31" s="170"/>
      <c r="PCS31" s="170"/>
      <c r="PCU31" s="170"/>
      <c r="PCW31" s="170"/>
      <c r="PCY31" s="170"/>
      <c r="PDA31" s="170"/>
      <c r="PDC31" s="170"/>
      <c r="PDE31" s="170"/>
      <c r="PDG31" s="170"/>
      <c r="PDI31" s="170"/>
      <c r="PDK31" s="170"/>
      <c r="PDM31" s="170"/>
      <c r="PDO31" s="170"/>
      <c r="PDQ31" s="170"/>
      <c r="PDS31" s="170"/>
      <c r="PDU31" s="170"/>
      <c r="PDW31" s="170"/>
      <c r="PDY31" s="170"/>
      <c r="PEA31" s="170"/>
      <c r="PEC31" s="170"/>
      <c r="PEE31" s="170"/>
      <c r="PEG31" s="170"/>
      <c r="PEI31" s="170"/>
      <c r="PEK31" s="170"/>
      <c r="PEM31" s="170"/>
      <c r="PEO31" s="170"/>
      <c r="PEQ31" s="170"/>
      <c r="PES31" s="170"/>
      <c r="PEU31" s="170"/>
      <c r="PEW31" s="170"/>
      <c r="PEY31" s="170"/>
      <c r="PFA31" s="170"/>
      <c r="PFC31" s="170"/>
      <c r="PFE31" s="170"/>
      <c r="PFG31" s="170"/>
      <c r="PFI31" s="170"/>
      <c r="PFK31" s="170"/>
      <c r="PFM31" s="170"/>
      <c r="PFO31" s="170"/>
      <c r="PFQ31" s="170"/>
      <c r="PFS31" s="170"/>
      <c r="PFU31" s="170"/>
      <c r="PFW31" s="170"/>
      <c r="PFY31" s="170"/>
      <c r="PGA31" s="170"/>
      <c r="PGC31" s="170"/>
      <c r="PGE31" s="170"/>
      <c r="PGG31" s="170"/>
      <c r="PGI31" s="170"/>
      <c r="PGK31" s="170"/>
      <c r="PGM31" s="170"/>
      <c r="PGO31" s="170"/>
      <c r="PGQ31" s="170"/>
      <c r="PGS31" s="170"/>
      <c r="PGU31" s="170"/>
      <c r="PGW31" s="170"/>
      <c r="PGY31" s="170"/>
      <c r="PHA31" s="170"/>
      <c r="PHC31" s="170"/>
      <c r="PHE31" s="170"/>
      <c r="PHG31" s="170"/>
      <c r="PHI31" s="170"/>
      <c r="PHK31" s="170"/>
      <c r="PHM31" s="170"/>
      <c r="PHO31" s="170"/>
      <c r="PHQ31" s="170"/>
      <c r="PHS31" s="170"/>
      <c r="PHU31" s="170"/>
      <c r="PHW31" s="170"/>
      <c r="PHY31" s="170"/>
      <c r="PIA31" s="170"/>
      <c r="PIC31" s="170"/>
      <c r="PIE31" s="170"/>
      <c r="PIG31" s="170"/>
      <c r="PII31" s="170"/>
      <c r="PIK31" s="170"/>
      <c r="PIM31" s="170"/>
      <c r="PIO31" s="170"/>
      <c r="PIQ31" s="170"/>
      <c r="PIS31" s="170"/>
      <c r="PIU31" s="170"/>
      <c r="PIW31" s="170"/>
      <c r="PIY31" s="170"/>
      <c r="PJA31" s="170"/>
      <c r="PJC31" s="170"/>
      <c r="PJE31" s="170"/>
      <c r="PJG31" s="170"/>
      <c r="PJI31" s="170"/>
      <c r="PJK31" s="170"/>
      <c r="PJM31" s="170"/>
      <c r="PJO31" s="170"/>
      <c r="PJQ31" s="170"/>
      <c r="PJS31" s="170"/>
      <c r="PJU31" s="170"/>
      <c r="PJW31" s="170"/>
      <c r="PJY31" s="170"/>
      <c r="PKA31" s="170"/>
      <c r="PKC31" s="170"/>
      <c r="PKE31" s="170"/>
      <c r="PKG31" s="170"/>
      <c r="PKI31" s="170"/>
      <c r="PKK31" s="170"/>
      <c r="PKM31" s="170"/>
      <c r="PKO31" s="170"/>
      <c r="PKQ31" s="170"/>
      <c r="PKS31" s="170"/>
      <c r="PKU31" s="170"/>
      <c r="PKW31" s="170"/>
      <c r="PKY31" s="170"/>
      <c r="PLA31" s="170"/>
      <c r="PLC31" s="170"/>
      <c r="PLE31" s="170"/>
      <c r="PLG31" s="170"/>
      <c r="PLI31" s="170"/>
      <c r="PLK31" s="170"/>
      <c r="PLM31" s="170"/>
      <c r="PLO31" s="170"/>
      <c r="PLQ31" s="170"/>
      <c r="PLS31" s="170"/>
      <c r="PLU31" s="170"/>
      <c r="PLW31" s="170"/>
      <c r="PLY31" s="170"/>
      <c r="PMA31" s="170"/>
      <c r="PMC31" s="170"/>
      <c r="PME31" s="170"/>
      <c r="PMG31" s="170"/>
      <c r="PMI31" s="170"/>
      <c r="PMK31" s="170"/>
      <c r="PMM31" s="170"/>
      <c r="PMO31" s="170"/>
      <c r="PMQ31" s="170"/>
      <c r="PMS31" s="170"/>
      <c r="PMU31" s="170"/>
      <c r="PMW31" s="170"/>
      <c r="PMY31" s="170"/>
      <c r="PNA31" s="170"/>
      <c r="PNC31" s="170"/>
      <c r="PNE31" s="170"/>
      <c r="PNG31" s="170"/>
      <c r="PNI31" s="170"/>
      <c r="PNK31" s="170"/>
      <c r="PNM31" s="170"/>
      <c r="PNO31" s="170"/>
      <c r="PNQ31" s="170"/>
      <c r="PNS31" s="170"/>
      <c r="PNU31" s="170"/>
      <c r="PNW31" s="170"/>
      <c r="PNY31" s="170"/>
      <c r="POA31" s="170"/>
      <c r="POC31" s="170"/>
      <c r="POE31" s="170"/>
      <c r="POG31" s="170"/>
      <c r="POI31" s="170"/>
      <c r="POK31" s="170"/>
      <c r="POM31" s="170"/>
      <c r="POO31" s="170"/>
      <c r="POQ31" s="170"/>
      <c r="POS31" s="170"/>
      <c r="POU31" s="170"/>
      <c r="POW31" s="170"/>
      <c r="POY31" s="170"/>
      <c r="PPA31" s="170"/>
      <c r="PPC31" s="170"/>
      <c r="PPE31" s="170"/>
      <c r="PPG31" s="170"/>
      <c r="PPI31" s="170"/>
      <c r="PPK31" s="170"/>
      <c r="PPM31" s="170"/>
      <c r="PPO31" s="170"/>
      <c r="PPQ31" s="170"/>
      <c r="PPS31" s="170"/>
      <c r="PPU31" s="170"/>
      <c r="PPW31" s="170"/>
      <c r="PPY31" s="170"/>
      <c r="PQA31" s="170"/>
      <c r="PQC31" s="170"/>
      <c r="PQE31" s="170"/>
      <c r="PQG31" s="170"/>
      <c r="PQI31" s="170"/>
      <c r="PQK31" s="170"/>
      <c r="PQM31" s="170"/>
      <c r="PQO31" s="170"/>
      <c r="PQQ31" s="170"/>
      <c r="PQS31" s="170"/>
      <c r="PQU31" s="170"/>
      <c r="PQW31" s="170"/>
      <c r="PQY31" s="170"/>
      <c r="PRA31" s="170"/>
      <c r="PRC31" s="170"/>
      <c r="PRE31" s="170"/>
      <c r="PRG31" s="170"/>
      <c r="PRI31" s="170"/>
      <c r="PRK31" s="170"/>
      <c r="PRM31" s="170"/>
      <c r="PRO31" s="170"/>
      <c r="PRQ31" s="170"/>
      <c r="PRS31" s="170"/>
      <c r="PRU31" s="170"/>
      <c r="PRW31" s="170"/>
      <c r="PRY31" s="170"/>
      <c r="PSA31" s="170"/>
      <c r="PSC31" s="170"/>
      <c r="PSE31" s="170"/>
      <c r="PSG31" s="170"/>
      <c r="PSI31" s="170"/>
      <c r="PSK31" s="170"/>
      <c r="PSM31" s="170"/>
      <c r="PSO31" s="170"/>
      <c r="PSQ31" s="170"/>
      <c r="PSS31" s="170"/>
      <c r="PSU31" s="170"/>
      <c r="PSW31" s="170"/>
      <c r="PSY31" s="170"/>
      <c r="PTA31" s="170"/>
      <c r="PTC31" s="170"/>
      <c r="PTE31" s="170"/>
      <c r="PTG31" s="170"/>
      <c r="PTI31" s="170"/>
      <c r="PTK31" s="170"/>
      <c r="PTM31" s="170"/>
      <c r="PTO31" s="170"/>
      <c r="PTQ31" s="170"/>
      <c r="PTS31" s="170"/>
      <c r="PTU31" s="170"/>
      <c r="PTW31" s="170"/>
      <c r="PTY31" s="170"/>
      <c r="PUA31" s="170"/>
      <c r="PUC31" s="170"/>
      <c r="PUE31" s="170"/>
      <c r="PUG31" s="170"/>
      <c r="PUI31" s="170"/>
      <c r="PUK31" s="170"/>
      <c r="PUM31" s="170"/>
      <c r="PUO31" s="170"/>
      <c r="PUQ31" s="170"/>
      <c r="PUS31" s="170"/>
      <c r="PUU31" s="170"/>
      <c r="PUW31" s="170"/>
      <c r="PUY31" s="170"/>
      <c r="PVA31" s="170"/>
      <c r="PVC31" s="170"/>
      <c r="PVE31" s="170"/>
      <c r="PVG31" s="170"/>
      <c r="PVI31" s="170"/>
      <c r="PVK31" s="170"/>
      <c r="PVM31" s="170"/>
      <c r="PVO31" s="170"/>
      <c r="PVQ31" s="170"/>
      <c r="PVS31" s="170"/>
      <c r="PVU31" s="170"/>
      <c r="PVW31" s="170"/>
      <c r="PVY31" s="170"/>
      <c r="PWA31" s="170"/>
      <c r="PWC31" s="170"/>
      <c r="PWE31" s="170"/>
      <c r="PWG31" s="170"/>
      <c r="PWI31" s="170"/>
      <c r="PWK31" s="170"/>
      <c r="PWM31" s="170"/>
      <c r="PWO31" s="170"/>
      <c r="PWQ31" s="170"/>
      <c r="PWS31" s="170"/>
      <c r="PWU31" s="170"/>
      <c r="PWW31" s="170"/>
      <c r="PWY31" s="170"/>
      <c r="PXA31" s="170"/>
      <c r="PXC31" s="170"/>
      <c r="PXE31" s="170"/>
      <c r="PXG31" s="170"/>
      <c r="PXI31" s="170"/>
      <c r="PXK31" s="170"/>
      <c r="PXM31" s="170"/>
      <c r="PXO31" s="170"/>
      <c r="PXQ31" s="170"/>
      <c r="PXS31" s="170"/>
      <c r="PXU31" s="170"/>
      <c r="PXW31" s="170"/>
      <c r="PXY31" s="170"/>
      <c r="PYA31" s="170"/>
      <c r="PYC31" s="170"/>
      <c r="PYE31" s="170"/>
      <c r="PYG31" s="170"/>
      <c r="PYI31" s="170"/>
      <c r="PYK31" s="170"/>
      <c r="PYM31" s="170"/>
      <c r="PYO31" s="170"/>
      <c r="PYQ31" s="170"/>
      <c r="PYS31" s="170"/>
      <c r="PYU31" s="170"/>
      <c r="PYW31" s="170"/>
      <c r="PYY31" s="170"/>
      <c r="PZA31" s="170"/>
      <c r="PZC31" s="170"/>
      <c r="PZE31" s="170"/>
      <c r="PZG31" s="170"/>
      <c r="PZI31" s="170"/>
      <c r="PZK31" s="170"/>
      <c r="PZM31" s="170"/>
      <c r="PZO31" s="170"/>
      <c r="PZQ31" s="170"/>
      <c r="PZS31" s="170"/>
      <c r="PZU31" s="170"/>
      <c r="PZW31" s="170"/>
      <c r="PZY31" s="170"/>
      <c r="QAA31" s="170"/>
      <c r="QAC31" s="170"/>
      <c r="QAE31" s="170"/>
      <c r="QAG31" s="170"/>
      <c r="QAI31" s="170"/>
      <c r="QAK31" s="170"/>
      <c r="QAM31" s="170"/>
      <c r="QAO31" s="170"/>
      <c r="QAQ31" s="170"/>
      <c r="QAS31" s="170"/>
      <c r="QAU31" s="170"/>
      <c r="QAW31" s="170"/>
      <c r="QAY31" s="170"/>
      <c r="QBA31" s="170"/>
      <c r="QBC31" s="170"/>
      <c r="QBE31" s="170"/>
      <c r="QBG31" s="170"/>
      <c r="QBI31" s="170"/>
      <c r="QBK31" s="170"/>
      <c r="QBM31" s="170"/>
      <c r="QBO31" s="170"/>
      <c r="QBQ31" s="170"/>
      <c r="QBS31" s="170"/>
      <c r="QBU31" s="170"/>
      <c r="QBW31" s="170"/>
      <c r="QBY31" s="170"/>
      <c r="QCA31" s="170"/>
      <c r="QCC31" s="170"/>
      <c r="QCE31" s="170"/>
      <c r="QCG31" s="170"/>
      <c r="QCI31" s="170"/>
      <c r="QCK31" s="170"/>
      <c r="QCM31" s="170"/>
      <c r="QCO31" s="170"/>
      <c r="QCQ31" s="170"/>
      <c r="QCS31" s="170"/>
      <c r="QCU31" s="170"/>
      <c r="QCW31" s="170"/>
      <c r="QCY31" s="170"/>
      <c r="QDA31" s="170"/>
      <c r="QDC31" s="170"/>
      <c r="QDE31" s="170"/>
      <c r="QDG31" s="170"/>
      <c r="QDI31" s="170"/>
      <c r="QDK31" s="170"/>
      <c r="QDM31" s="170"/>
      <c r="QDO31" s="170"/>
      <c r="QDQ31" s="170"/>
      <c r="QDS31" s="170"/>
      <c r="QDU31" s="170"/>
      <c r="QDW31" s="170"/>
      <c r="QDY31" s="170"/>
      <c r="QEA31" s="170"/>
      <c r="QEC31" s="170"/>
      <c r="QEE31" s="170"/>
      <c r="QEG31" s="170"/>
      <c r="QEI31" s="170"/>
      <c r="QEK31" s="170"/>
      <c r="QEM31" s="170"/>
      <c r="QEO31" s="170"/>
      <c r="QEQ31" s="170"/>
      <c r="QES31" s="170"/>
      <c r="QEU31" s="170"/>
      <c r="QEW31" s="170"/>
      <c r="QEY31" s="170"/>
      <c r="QFA31" s="170"/>
      <c r="QFC31" s="170"/>
      <c r="QFE31" s="170"/>
      <c r="QFG31" s="170"/>
      <c r="QFI31" s="170"/>
      <c r="QFK31" s="170"/>
      <c r="QFM31" s="170"/>
      <c r="QFO31" s="170"/>
      <c r="QFQ31" s="170"/>
      <c r="QFS31" s="170"/>
      <c r="QFU31" s="170"/>
      <c r="QFW31" s="170"/>
      <c r="QFY31" s="170"/>
      <c r="QGA31" s="170"/>
      <c r="QGC31" s="170"/>
      <c r="QGE31" s="170"/>
      <c r="QGG31" s="170"/>
      <c r="QGI31" s="170"/>
      <c r="QGK31" s="170"/>
      <c r="QGM31" s="170"/>
      <c r="QGO31" s="170"/>
      <c r="QGQ31" s="170"/>
      <c r="QGS31" s="170"/>
      <c r="QGU31" s="170"/>
      <c r="QGW31" s="170"/>
      <c r="QGY31" s="170"/>
      <c r="QHA31" s="170"/>
      <c r="QHC31" s="170"/>
      <c r="QHE31" s="170"/>
      <c r="QHG31" s="170"/>
      <c r="QHI31" s="170"/>
      <c r="QHK31" s="170"/>
      <c r="QHM31" s="170"/>
      <c r="QHO31" s="170"/>
      <c r="QHQ31" s="170"/>
      <c r="QHS31" s="170"/>
      <c r="QHU31" s="170"/>
      <c r="QHW31" s="170"/>
      <c r="QHY31" s="170"/>
      <c r="QIA31" s="170"/>
      <c r="QIC31" s="170"/>
      <c r="QIE31" s="170"/>
      <c r="QIG31" s="170"/>
      <c r="QII31" s="170"/>
      <c r="QIK31" s="170"/>
      <c r="QIM31" s="170"/>
      <c r="QIO31" s="170"/>
      <c r="QIQ31" s="170"/>
      <c r="QIS31" s="170"/>
      <c r="QIU31" s="170"/>
      <c r="QIW31" s="170"/>
      <c r="QIY31" s="170"/>
      <c r="QJA31" s="170"/>
      <c r="QJC31" s="170"/>
      <c r="QJE31" s="170"/>
      <c r="QJG31" s="170"/>
      <c r="QJI31" s="170"/>
      <c r="QJK31" s="170"/>
      <c r="QJM31" s="170"/>
      <c r="QJO31" s="170"/>
      <c r="QJQ31" s="170"/>
      <c r="QJS31" s="170"/>
      <c r="QJU31" s="170"/>
      <c r="QJW31" s="170"/>
      <c r="QJY31" s="170"/>
      <c r="QKA31" s="170"/>
      <c r="QKC31" s="170"/>
      <c r="QKE31" s="170"/>
      <c r="QKG31" s="170"/>
      <c r="QKI31" s="170"/>
      <c r="QKK31" s="170"/>
      <c r="QKM31" s="170"/>
      <c r="QKO31" s="170"/>
      <c r="QKQ31" s="170"/>
      <c r="QKS31" s="170"/>
      <c r="QKU31" s="170"/>
      <c r="QKW31" s="170"/>
      <c r="QKY31" s="170"/>
      <c r="QLA31" s="170"/>
      <c r="QLC31" s="170"/>
      <c r="QLE31" s="170"/>
      <c r="QLG31" s="170"/>
      <c r="QLI31" s="170"/>
      <c r="QLK31" s="170"/>
      <c r="QLM31" s="170"/>
      <c r="QLO31" s="170"/>
      <c r="QLQ31" s="170"/>
      <c r="QLS31" s="170"/>
      <c r="QLU31" s="170"/>
      <c r="QLW31" s="170"/>
      <c r="QLY31" s="170"/>
      <c r="QMA31" s="170"/>
      <c r="QMC31" s="170"/>
      <c r="QME31" s="170"/>
      <c r="QMG31" s="170"/>
      <c r="QMI31" s="170"/>
      <c r="QMK31" s="170"/>
      <c r="QMM31" s="170"/>
      <c r="QMO31" s="170"/>
      <c r="QMQ31" s="170"/>
      <c r="QMS31" s="170"/>
      <c r="QMU31" s="170"/>
      <c r="QMW31" s="170"/>
      <c r="QMY31" s="170"/>
      <c r="QNA31" s="170"/>
      <c r="QNC31" s="170"/>
      <c r="QNE31" s="170"/>
      <c r="QNG31" s="170"/>
      <c r="QNI31" s="170"/>
      <c r="QNK31" s="170"/>
      <c r="QNM31" s="170"/>
      <c r="QNO31" s="170"/>
      <c r="QNQ31" s="170"/>
      <c r="QNS31" s="170"/>
      <c r="QNU31" s="170"/>
      <c r="QNW31" s="170"/>
      <c r="QNY31" s="170"/>
      <c r="QOA31" s="170"/>
      <c r="QOC31" s="170"/>
      <c r="QOE31" s="170"/>
      <c r="QOG31" s="170"/>
      <c r="QOI31" s="170"/>
      <c r="QOK31" s="170"/>
      <c r="QOM31" s="170"/>
      <c r="QOO31" s="170"/>
      <c r="QOQ31" s="170"/>
      <c r="QOS31" s="170"/>
      <c r="QOU31" s="170"/>
      <c r="QOW31" s="170"/>
      <c r="QOY31" s="170"/>
      <c r="QPA31" s="170"/>
      <c r="QPC31" s="170"/>
      <c r="QPE31" s="170"/>
      <c r="QPG31" s="170"/>
      <c r="QPI31" s="170"/>
      <c r="QPK31" s="170"/>
      <c r="QPM31" s="170"/>
      <c r="QPO31" s="170"/>
      <c r="QPQ31" s="170"/>
      <c r="QPS31" s="170"/>
      <c r="QPU31" s="170"/>
      <c r="QPW31" s="170"/>
      <c r="QPY31" s="170"/>
      <c r="QQA31" s="170"/>
      <c r="QQC31" s="170"/>
      <c r="QQE31" s="170"/>
      <c r="QQG31" s="170"/>
      <c r="QQI31" s="170"/>
      <c r="QQK31" s="170"/>
      <c r="QQM31" s="170"/>
      <c r="QQO31" s="170"/>
      <c r="QQQ31" s="170"/>
      <c r="QQS31" s="170"/>
      <c r="QQU31" s="170"/>
      <c r="QQW31" s="170"/>
      <c r="QQY31" s="170"/>
      <c r="QRA31" s="170"/>
      <c r="QRC31" s="170"/>
      <c r="QRE31" s="170"/>
      <c r="QRG31" s="170"/>
      <c r="QRI31" s="170"/>
      <c r="QRK31" s="170"/>
      <c r="QRM31" s="170"/>
      <c r="QRO31" s="170"/>
      <c r="QRQ31" s="170"/>
      <c r="QRS31" s="170"/>
      <c r="QRU31" s="170"/>
      <c r="QRW31" s="170"/>
      <c r="QRY31" s="170"/>
      <c r="QSA31" s="170"/>
      <c r="QSC31" s="170"/>
      <c r="QSE31" s="170"/>
      <c r="QSG31" s="170"/>
      <c r="QSI31" s="170"/>
      <c r="QSK31" s="170"/>
      <c r="QSM31" s="170"/>
      <c r="QSO31" s="170"/>
      <c r="QSQ31" s="170"/>
      <c r="QSS31" s="170"/>
      <c r="QSU31" s="170"/>
      <c r="QSW31" s="170"/>
      <c r="QSY31" s="170"/>
      <c r="QTA31" s="170"/>
      <c r="QTC31" s="170"/>
      <c r="QTE31" s="170"/>
      <c r="QTG31" s="170"/>
      <c r="QTI31" s="170"/>
      <c r="QTK31" s="170"/>
      <c r="QTM31" s="170"/>
      <c r="QTO31" s="170"/>
      <c r="QTQ31" s="170"/>
      <c r="QTS31" s="170"/>
      <c r="QTU31" s="170"/>
      <c r="QTW31" s="170"/>
      <c r="QTY31" s="170"/>
      <c r="QUA31" s="170"/>
      <c r="QUC31" s="170"/>
      <c r="QUE31" s="170"/>
      <c r="QUG31" s="170"/>
      <c r="QUI31" s="170"/>
      <c r="QUK31" s="170"/>
      <c r="QUM31" s="170"/>
      <c r="QUO31" s="170"/>
      <c r="QUQ31" s="170"/>
      <c r="QUS31" s="170"/>
      <c r="QUU31" s="170"/>
      <c r="QUW31" s="170"/>
      <c r="QUY31" s="170"/>
      <c r="QVA31" s="170"/>
      <c r="QVC31" s="170"/>
      <c r="QVE31" s="170"/>
      <c r="QVG31" s="170"/>
      <c r="QVI31" s="170"/>
      <c r="QVK31" s="170"/>
      <c r="QVM31" s="170"/>
      <c r="QVO31" s="170"/>
      <c r="QVQ31" s="170"/>
      <c r="QVS31" s="170"/>
      <c r="QVU31" s="170"/>
      <c r="QVW31" s="170"/>
      <c r="QVY31" s="170"/>
      <c r="QWA31" s="170"/>
      <c r="QWC31" s="170"/>
      <c r="QWE31" s="170"/>
      <c r="QWG31" s="170"/>
      <c r="QWI31" s="170"/>
      <c r="QWK31" s="170"/>
      <c r="QWM31" s="170"/>
      <c r="QWO31" s="170"/>
      <c r="QWQ31" s="170"/>
      <c r="QWS31" s="170"/>
      <c r="QWU31" s="170"/>
      <c r="QWW31" s="170"/>
      <c r="QWY31" s="170"/>
      <c r="QXA31" s="170"/>
      <c r="QXC31" s="170"/>
      <c r="QXE31" s="170"/>
      <c r="QXG31" s="170"/>
      <c r="QXI31" s="170"/>
      <c r="QXK31" s="170"/>
      <c r="QXM31" s="170"/>
      <c r="QXO31" s="170"/>
      <c r="QXQ31" s="170"/>
      <c r="QXS31" s="170"/>
      <c r="QXU31" s="170"/>
      <c r="QXW31" s="170"/>
      <c r="QXY31" s="170"/>
      <c r="QYA31" s="170"/>
      <c r="QYC31" s="170"/>
      <c r="QYE31" s="170"/>
      <c r="QYG31" s="170"/>
      <c r="QYI31" s="170"/>
      <c r="QYK31" s="170"/>
      <c r="QYM31" s="170"/>
      <c r="QYO31" s="170"/>
      <c r="QYQ31" s="170"/>
      <c r="QYS31" s="170"/>
      <c r="QYU31" s="170"/>
      <c r="QYW31" s="170"/>
      <c r="QYY31" s="170"/>
      <c r="QZA31" s="170"/>
      <c r="QZC31" s="170"/>
      <c r="QZE31" s="170"/>
      <c r="QZG31" s="170"/>
      <c r="QZI31" s="170"/>
      <c r="QZK31" s="170"/>
      <c r="QZM31" s="170"/>
      <c r="QZO31" s="170"/>
      <c r="QZQ31" s="170"/>
      <c r="QZS31" s="170"/>
      <c r="QZU31" s="170"/>
      <c r="QZW31" s="170"/>
      <c r="QZY31" s="170"/>
      <c r="RAA31" s="170"/>
      <c r="RAC31" s="170"/>
      <c r="RAE31" s="170"/>
      <c r="RAG31" s="170"/>
      <c r="RAI31" s="170"/>
      <c r="RAK31" s="170"/>
      <c r="RAM31" s="170"/>
      <c r="RAO31" s="170"/>
      <c r="RAQ31" s="170"/>
      <c r="RAS31" s="170"/>
      <c r="RAU31" s="170"/>
      <c r="RAW31" s="170"/>
      <c r="RAY31" s="170"/>
      <c r="RBA31" s="170"/>
      <c r="RBC31" s="170"/>
      <c r="RBE31" s="170"/>
      <c r="RBG31" s="170"/>
      <c r="RBI31" s="170"/>
      <c r="RBK31" s="170"/>
      <c r="RBM31" s="170"/>
      <c r="RBO31" s="170"/>
      <c r="RBQ31" s="170"/>
      <c r="RBS31" s="170"/>
      <c r="RBU31" s="170"/>
      <c r="RBW31" s="170"/>
      <c r="RBY31" s="170"/>
      <c r="RCA31" s="170"/>
      <c r="RCC31" s="170"/>
      <c r="RCE31" s="170"/>
      <c r="RCG31" s="170"/>
      <c r="RCI31" s="170"/>
      <c r="RCK31" s="170"/>
      <c r="RCM31" s="170"/>
      <c r="RCO31" s="170"/>
      <c r="RCQ31" s="170"/>
      <c r="RCS31" s="170"/>
      <c r="RCU31" s="170"/>
      <c r="RCW31" s="170"/>
      <c r="RCY31" s="170"/>
      <c r="RDA31" s="170"/>
      <c r="RDC31" s="170"/>
      <c r="RDE31" s="170"/>
      <c r="RDG31" s="170"/>
      <c r="RDI31" s="170"/>
      <c r="RDK31" s="170"/>
      <c r="RDM31" s="170"/>
      <c r="RDO31" s="170"/>
      <c r="RDQ31" s="170"/>
      <c r="RDS31" s="170"/>
      <c r="RDU31" s="170"/>
      <c r="RDW31" s="170"/>
      <c r="RDY31" s="170"/>
      <c r="REA31" s="170"/>
      <c r="REC31" s="170"/>
      <c r="REE31" s="170"/>
      <c r="REG31" s="170"/>
      <c r="REI31" s="170"/>
      <c r="REK31" s="170"/>
      <c r="REM31" s="170"/>
      <c r="REO31" s="170"/>
      <c r="REQ31" s="170"/>
      <c r="RES31" s="170"/>
      <c r="REU31" s="170"/>
      <c r="REW31" s="170"/>
      <c r="REY31" s="170"/>
      <c r="RFA31" s="170"/>
      <c r="RFC31" s="170"/>
      <c r="RFE31" s="170"/>
      <c r="RFG31" s="170"/>
      <c r="RFI31" s="170"/>
      <c r="RFK31" s="170"/>
      <c r="RFM31" s="170"/>
      <c r="RFO31" s="170"/>
      <c r="RFQ31" s="170"/>
      <c r="RFS31" s="170"/>
      <c r="RFU31" s="170"/>
      <c r="RFW31" s="170"/>
      <c r="RFY31" s="170"/>
      <c r="RGA31" s="170"/>
      <c r="RGC31" s="170"/>
      <c r="RGE31" s="170"/>
      <c r="RGG31" s="170"/>
      <c r="RGI31" s="170"/>
      <c r="RGK31" s="170"/>
      <c r="RGM31" s="170"/>
      <c r="RGO31" s="170"/>
      <c r="RGQ31" s="170"/>
      <c r="RGS31" s="170"/>
      <c r="RGU31" s="170"/>
      <c r="RGW31" s="170"/>
      <c r="RGY31" s="170"/>
      <c r="RHA31" s="170"/>
      <c r="RHC31" s="170"/>
      <c r="RHE31" s="170"/>
      <c r="RHG31" s="170"/>
      <c r="RHI31" s="170"/>
      <c r="RHK31" s="170"/>
      <c r="RHM31" s="170"/>
      <c r="RHO31" s="170"/>
      <c r="RHQ31" s="170"/>
      <c r="RHS31" s="170"/>
      <c r="RHU31" s="170"/>
      <c r="RHW31" s="170"/>
      <c r="RHY31" s="170"/>
      <c r="RIA31" s="170"/>
      <c r="RIC31" s="170"/>
      <c r="RIE31" s="170"/>
      <c r="RIG31" s="170"/>
      <c r="RII31" s="170"/>
      <c r="RIK31" s="170"/>
      <c r="RIM31" s="170"/>
      <c r="RIO31" s="170"/>
      <c r="RIQ31" s="170"/>
      <c r="RIS31" s="170"/>
      <c r="RIU31" s="170"/>
      <c r="RIW31" s="170"/>
      <c r="RIY31" s="170"/>
      <c r="RJA31" s="170"/>
      <c r="RJC31" s="170"/>
      <c r="RJE31" s="170"/>
      <c r="RJG31" s="170"/>
      <c r="RJI31" s="170"/>
      <c r="RJK31" s="170"/>
      <c r="RJM31" s="170"/>
      <c r="RJO31" s="170"/>
      <c r="RJQ31" s="170"/>
      <c r="RJS31" s="170"/>
      <c r="RJU31" s="170"/>
      <c r="RJW31" s="170"/>
      <c r="RJY31" s="170"/>
      <c r="RKA31" s="170"/>
      <c r="RKC31" s="170"/>
      <c r="RKE31" s="170"/>
      <c r="RKG31" s="170"/>
      <c r="RKI31" s="170"/>
      <c r="RKK31" s="170"/>
      <c r="RKM31" s="170"/>
      <c r="RKO31" s="170"/>
      <c r="RKQ31" s="170"/>
      <c r="RKS31" s="170"/>
      <c r="RKU31" s="170"/>
      <c r="RKW31" s="170"/>
      <c r="RKY31" s="170"/>
      <c r="RLA31" s="170"/>
      <c r="RLC31" s="170"/>
      <c r="RLE31" s="170"/>
      <c r="RLG31" s="170"/>
      <c r="RLI31" s="170"/>
      <c r="RLK31" s="170"/>
      <c r="RLM31" s="170"/>
      <c r="RLO31" s="170"/>
      <c r="RLQ31" s="170"/>
      <c r="RLS31" s="170"/>
      <c r="RLU31" s="170"/>
      <c r="RLW31" s="170"/>
      <c r="RLY31" s="170"/>
      <c r="RMA31" s="170"/>
      <c r="RMC31" s="170"/>
      <c r="RME31" s="170"/>
      <c r="RMG31" s="170"/>
      <c r="RMI31" s="170"/>
      <c r="RMK31" s="170"/>
      <c r="RMM31" s="170"/>
      <c r="RMO31" s="170"/>
      <c r="RMQ31" s="170"/>
      <c r="RMS31" s="170"/>
      <c r="RMU31" s="170"/>
      <c r="RMW31" s="170"/>
      <c r="RMY31" s="170"/>
      <c r="RNA31" s="170"/>
      <c r="RNC31" s="170"/>
      <c r="RNE31" s="170"/>
      <c r="RNG31" s="170"/>
      <c r="RNI31" s="170"/>
      <c r="RNK31" s="170"/>
      <c r="RNM31" s="170"/>
      <c r="RNO31" s="170"/>
      <c r="RNQ31" s="170"/>
      <c r="RNS31" s="170"/>
      <c r="RNU31" s="170"/>
      <c r="RNW31" s="170"/>
      <c r="RNY31" s="170"/>
      <c r="ROA31" s="170"/>
      <c r="ROC31" s="170"/>
      <c r="ROE31" s="170"/>
      <c r="ROG31" s="170"/>
      <c r="ROI31" s="170"/>
      <c r="ROK31" s="170"/>
      <c r="ROM31" s="170"/>
      <c r="ROO31" s="170"/>
      <c r="ROQ31" s="170"/>
      <c r="ROS31" s="170"/>
      <c r="ROU31" s="170"/>
      <c r="ROW31" s="170"/>
      <c r="ROY31" s="170"/>
      <c r="RPA31" s="170"/>
      <c r="RPC31" s="170"/>
      <c r="RPE31" s="170"/>
      <c r="RPG31" s="170"/>
      <c r="RPI31" s="170"/>
      <c r="RPK31" s="170"/>
      <c r="RPM31" s="170"/>
      <c r="RPO31" s="170"/>
      <c r="RPQ31" s="170"/>
      <c r="RPS31" s="170"/>
      <c r="RPU31" s="170"/>
      <c r="RPW31" s="170"/>
      <c r="RPY31" s="170"/>
      <c r="RQA31" s="170"/>
      <c r="RQC31" s="170"/>
      <c r="RQE31" s="170"/>
      <c r="RQG31" s="170"/>
      <c r="RQI31" s="170"/>
      <c r="RQK31" s="170"/>
      <c r="RQM31" s="170"/>
      <c r="RQO31" s="170"/>
      <c r="RQQ31" s="170"/>
      <c r="RQS31" s="170"/>
      <c r="RQU31" s="170"/>
      <c r="RQW31" s="170"/>
      <c r="RQY31" s="170"/>
      <c r="RRA31" s="170"/>
      <c r="RRC31" s="170"/>
      <c r="RRE31" s="170"/>
      <c r="RRG31" s="170"/>
      <c r="RRI31" s="170"/>
      <c r="RRK31" s="170"/>
      <c r="RRM31" s="170"/>
      <c r="RRO31" s="170"/>
      <c r="RRQ31" s="170"/>
      <c r="RRS31" s="170"/>
      <c r="RRU31" s="170"/>
      <c r="RRW31" s="170"/>
      <c r="RRY31" s="170"/>
      <c r="RSA31" s="170"/>
      <c r="RSC31" s="170"/>
      <c r="RSE31" s="170"/>
      <c r="RSG31" s="170"/>
      <c r="RSI31" s="170"/>
      <c r="RSK31" s="170"/>
      <c r="RSM31" s="170"/>
      <c r="RSO31" s="170"/>
      <c r="RSQ31" s="170"/>
      <c r="RSS31" s="170"/>
      <c r="RSU31" s="170"/>
      <c r="RSW31" s="170"/>
      <c r="RSY31" s="170"/>
      <c r="RTA31" s="170"/>
      <c r="RTC31" s="170"/>
      <c r="RTE31" s="170"/>
      <c r="RTG31" s="170"/>
      <c r="RTI31" s="170"/>
      <c r="RTK31" s="170"/>
      <c r="RTM31" s="170"/>
      <c r="RTO31" s="170"/>
      <c r="RTQ31" s="170"/>
      <c r="RTS31" s="170"/>
      <c r="RTU31" s="170"/>
      <c r="RTW31" s="170"/>
      <c r="RTY31" s="170"/>
      <c r="RUA31" s="170"/>
      <c r="RUC31" s="170"/>
      <c r="RUE31" s="170"/>
      <c r="RUG31" s="170"/>
      <c r="RUI31" s="170"/>
      <c r="RUK31" s="170"/>
      <c r="RUM31" s="170"/>
      <c r="RUO31" s="170"/>
      <c r="RUQ31" s="170"/>
      <c r="RUS31" s="170"/>
      <c r="RUU31" s="170"/>
      <c r="RUW31" s="170"/>
      <c r="RUY31" s="170"/>
      <c r="RVA31" s="170"/>
      <c r="RVC31" s="170"/>
      <c r="RVE31" s="170"/>
      <c r="RVG31" s="170"/>
      <c r="RVI31" s="170"/>
      <c r="RVK31" s="170"/>
      <c r="RVM31" s="170"/>
      <c r="RVO31" s="170"/>
      <c r="RVQ31" s="170"/>
      <c r="RVS31" s="170"/>
      <c r="RVU31" s="170"/>
      <c r="RVW31" s="170"/>
      <c r="RVY31" s="170"/>
      <c r="RWA31" s="170"/>
      <c r="RWC31" s="170"/>
      <c r="RWE31" s="170"/>
      <c r="RWG31" s="170"/>
      <c r="RWI31" s="170"/>
      <c r="RWK31" s="170"/>
      <c r="RWM31" s="170"/>
      <c r="RWO31" s="170"/>
      <c r="RWQ31" s="170"/>
      <c r="RWS31" s="170"/>
      <c r="RWU31" s="170"/>
      <c r="RWW31" s="170"/>
      <c r="RWY31" s="170"/>
      <c r="RXA31" s="170"/>
      <c r="RXC31" s="170"/>
      <c r="RXE31" s="170"/>
      <c r="RXG31" s="170"/>
      <c r="RXI31" s="170"/>
      <c r="RXK31" s="170"/>
      <c r="RXM31" s="170"/>
      <c r="RXO31" s="170"/>
      <c r="RXQ31" s="170"/>
      <c r="RXS31" s="170"/>
      <c r="RXU31" s="170"/>
      <c r="RXW31" s="170"/>
      <c r="RXY31" s="170"/>
      <c r="RYA31" s="170"/>
      <c r="RYC31" s="170"/>
      <c r="RYE31" s="170"/>
      <c r="RYG31" s="170"/>
      <c r="RYI31" s="170"/>
      <c r="RYK31" s="170"/>
      <c r="RYM31" s="170"/>
      <c r="RYO31" s="170"/>
      <c r="RYQ31" s="170"/>
      <c r="RYS31" s="170"/>
      <c r="RYU31" s="170"/>
      <c r="RYW31" s="170"/>
      <c r="RYY31" s="170"/>
      <c r="RZA31" s="170"/>
      <c r="RZC31" s="170"/>
      <c r="RZE31" s="170"/>
      <c r="RZG31" s="170"/>
      <c r="RZI31" s="170"/>
      <c r="RZK31" s="170"/>
      <c r="RZM31" s="170"/>
      <c r="RZO31" s="170"/>
      <c r="RZQ31" s="170"/>
      <c r="RZS31" s="170"/>
      <c r="RZU31" s="170"/>
      <c r="RZW31" s="170"/>
      <c r="RZY31" s="170"/>
      <c r="SAA31" s="170"/>
      <c r="SAC31" s="170"/>
      <c r="SAE31" s="170"/>
      <c r="SAG31" s="170"/>
      <c r="SAI31" s="170"/>
      <c r="SAK31" s="170"/>
      <c r="SAM31" s="170"/>
      <c r="SAO31" s="170"/>
      <c r="SAQ31" s="170"/>
      <c r="SAS31" s="170"/>
      <c r="SAU31" s="170"/>
      <c r="SAW31" s="170"/>
      <c r="SAY31" s="170"/>
      <c r="SBA31" s="170"/>
      <c r="SBC31" s="170"/>
      <c r="SBE31" s="170"/>
      <c r="SBG31" s="170"/>
      <c r="SBI31" s="170"/>
      <c r="SBK31" s="170"/>
      <c r="SBM31" s="170"/>
      <c r="SBO31" s="170"/>
      <c r="SBQ31" s="170"/>
      <c r="SBS31" s="170"/>
      <c r="SBU31" s="170"/>
      <c r="SBW31" s="170"/>
      <c r="SBY31" s="170"/>
      <c r="SCA31" s="170"/>
      <c r="SCC31" s="170"/>
      <c r="SCE31" s="170"/>
      <c r="SCG31" s="170"/>
      <c r="SCI31" s="170"/>
      <c r="SCK31" s="170"/>
      <c r="SCM31" s="170"/>
      <c r="SCO31" s="170"/>
      <c r="SCQ31" s="170"/>
      <c r="SCS31" s="170"/>
      <c r="SCU31" s="170"/>
      <c r="SCW31" s="170"/>
      <c r="SCY31" s="170"/>
      <c r="SDA31" s="170"/>
      <c r="SDC31" s="170"/>
      <c r="SDE31" s="170"/>
      <c r="SDG31" s="170"/>
      <c r="SDI31" s="170"/>
      <c r="SDK31" s="170"/>
      <c r="SDM31" s="170"/>
      <c r="SDO31" s="170"/>
      <c r="SDQ31" s="170"/>
      <c r="SDS31" s="170"/>
      <c r="SDU31" s="170"/>
      <c r="SDW31" s="170"/>
      <c r="SDY31" s="170"/>
      <c r="SEA31" s="170"/>
      <c r="SEC31" s="170"/>
      <c r="SEE31" s="170"/>
      <c r="SEG31" s="170"/>
      <c r="SEI31" s="170"/>
      <c r="SEK31" s="170"/>
      <c r="SEM31" s="170"/>
      <c r="SEO31" s="170"/>
      <c r="SEQ31" s="170"/>
      <c r="SES31" s="170"/>
      <c r="SEU31" s="170"/>
      <c r="SEW31" s="170"/>
      <c r="SEY31" s="170"/>
      <c r="SFA31" s="170"/>
      <c r="SFC31" s="170"/>
      <c r="SFE31" s="170"/>
      <c r="SFG31" s="170"/>
      <c r="SFI31" s="170"/>
      <c r="SFK31" s="170"/>
      <c r="SFM31" s="170"/>
      <c r="SFO31" s="170"/>
      <c r="SFQ31" s="170"/>
      <c r="SFS31" s="170"/>
      <c r="SFU31" s="170"/>
      <c r="SFW31" s="170"/>
      <c r="SFY31" s="170"/>
      <c r="SGA31" s="170"/>
      <c r="SGC31" s="170"/>
      <c r="SGE31" s="170"/>
      <c r="SGG31" s="170"/>
      <c r="SGI31" s="170"/>
      <c r="SGK31" s="170"/>
      <c r="SGM31" s="170"/>
      <c r="SGO31" s="170"/>
      <c r="SGQ31" s="170"/>
      <c r="SGS31" s="170"/>
      <c r="SGU31" s="170"/>
      <c r="SGW31" s="170"/>
      <c r="SGY31" s="170"/>
      <c r="SHA31" s="170"/>
      <c r="SHC31" s="170"/>
      <c r="SHE31" s="170"/>
      <c r="SHG31" s="170"/>
      <c r="SHI31" s="170"/>
      <c r="SHK31" s="170"/>
      <c r="SHM31" s="170"/>
      <c r="SHO31" s="170"/>
      <c r="SHQ31" s="170"/>
      <c r="SHS31" s="170"/>
      <c r="SHU31" s="170"/>
      <c r="SHW31" s="170"/>
      <c r="SHY31" s="170"/>
      <c r="SIA31" s="170"/>
      <c r="SIC31" s="170"/>
      <c r="SIE31" s="170"/>
      <c r="SIG31" s="170"/>
      <c r="SII31" s="170"/>
      <c r="SIK31" s="170"/>
      <c r="SIM31" s="170"/>
      <c r="SIO31" s="170"/>
      <c r="SIQ31" s="170"/>
      <c r="SIS31" s="170"/>
      <c r="SIU31" s="170"/>
      <c r="SIW31" s="170"/>
      <c r="SIY31" s="170"/>
      <c r="SJA31" s="170"/>
      <c r="SJC31" s="170"/>
      <c r="SJE31" s="170"/>
      <c r="SJG31" s="170"/>
      <c r="SJI31" s="170"/>
      <c r="SJK31" s="170"/>
      <c r="SJM31" s="170"/>
      <c r="SJO31" s="170"/>
      <c r="SJQ31" s="170"/>
      <c r="SJS31" s="170"/>
      <c r="SJU31" s="170"/>
      <c r="SJW31" s="170"/>
      <c r="SJY31" s="170"/>
      <c r="SKA31" s="170"/>
      <c r="SKC31" s="170"/>
      <c r="SKE31" s="170"/>
      <c r="SKG31" s="170"/>
      <c r="SKI31" s="170"/>
      <c r="SKK31" s="170"/>
      <c r="SKM31" s="170"/>
      <c r="SKO31" s="170"/>
      <c r="SKQ31" s="170"/>
      <c r="SKS31" s="170"/>
      <c r="SKU31" s="170"/>
      <c r="SKW31" s="170"/>
      <c r="SKY31" s="170"/>
      <c r="SLA31" s="170"/>
      <c r="SLC31" s="170"/>
      <c r="SLE31" s="170"/>
      <c r="SLG31" s="170"/>
      <c r="SLI31" s="170"/>
      <c r="SLK31" s="170"/>
      <c r="SLM31" s="170"/>
      <c r="SLO31" s="170"/>
      <c r="SLQ31" s="170"/>
      <c r="SLS31" s="170"/>
      <c r="SLU31" s="170"/>
      <c r="SLW31" s="170"/>
      <c r="SLY31" s="170"/>
      <c r="SMA31" s="170"/>
      <c r="SMC31" s="170"/>
      <c r="SME31" s="170"/>
      <c r="SMG31" s="170"/>
      <c r="SMI31" s="170"/>
      <c r="SMK31" s="170"/>
      <c r="SMM31" s="170"/>
      <c r="SMO31" s="170"/>
      <c r="SMQ31" s="170"/>
      <c r="SMS31" s="170"/>
      <c r="SMU31" s="170"/>
      <c r="SMW31" s="170"/>
      <c r="SMY31" s="170"/>
      <c r="SNA31" s="170"/>
      <c r="SNC31" s="170"/>
      <c r="SNE31" s="170"/>
      <c r="SNG31" s="170"/>
      <c r="SNI31" s="170"/>
      <c r="SNK31" s="170"/>
      <c r="SNM31" s="170"/>
      <c r="SNO31" s="170"/>
      <c r="SNQ31" s="170"/>
      <c r="SNS31" s="170"/>
      <c r="SNU31" s="170"/>
      <c r="SNW31" s="170"/>
      <c r="SNY31" s="170"/>
      <c r="SOA31" s="170"/>
      <c r="SOC31" s="170"/>
      <c r="SOE31" s="170"/>
      <c r="SOG31" s="170"/>
      <c r="SOI31" s="170"/>
      <c r="SOK31" s="170"/>
      <c r="SOM31" s="170"/>
      <c r="SOO31" s="170"/>
      <c r="SOQ31" s="170"/>
      <c r="SOS31" s="170"/>
      <c r="SOU31" s="170"/>
      <c r="SOW31" s="170"/>
      <c r="SOY31" s="170"/>
      <c r="SPA31" s="170"/>
      <c r="SPC31" s="170"/>
      <c r="SPE31" s="170"/>
      <c r="SPG31" s="170"/>
      <c r="SPI31" s="170"/>
      <c r="SPK31" s="170"/>
      <c r="SPM31" s="170"/>
      <c r="SPO31" s="170"/>
      <c r="SPQ31" s="170"/>
      <c r="SPS31" s="170"/>
      <c r="SPU31" s="170"/>
      <c r="SPW31" s="170"/>
      <c r="SPY31" s="170"/>
      <c r="SQA31" s="170"/>
      <c r="SQC31" s="170"/>
      <c r="SQE31" s="170"/>
      <c r="SQG31" s="170"/>
      <c r="SQI31" s="170"/>
      <c r="SQK31" s="170"/>
      <c r="SQM31" s="170"/>
      <c r="SQO31" s="170"/>
      <c r="SQQ31" s="170"/>
      <c r="SQS31" s="170"/>
      <c r="SQU31" s="170"/>
      <c r="SQW31" s="170"/>
      <c r="SQY31" s="170"/>
      <c r="SRA31" s="170"/>
      <c r="SRC31" s="170"/>
      <c r="SRE31" s="170"/>
      <c r="SRG31" s="170"/>
      <c r="SRI31" s="170"/>
      <c r="SRK31" s="170"/>
      <c r="SRM31" s="170"/>
      <c r="SRO31" s="170"/>
      <c r="SRQ31" s="170"/>
      <c r="SRS31" s="170"/>
      <c r="SRU31" s="170"/>
      <c r="SRW31" s="170"/>
      <c r="SRY31" s="170"/>
      <c r="SSA31" s="170"/>
      <c r="SSC31" s="170"/>
      <c r="SSE31" s="170"/>
      <c r="SSG31" s="170"/>
      <c r="SSI31" s="170"/>
      <c r="SSK31" s="170"/>
      <c r="SSM31" s="170"/>
      <c r="SSO31" s="170"/>
      <c r="SSQ31" s="170"/>
      <c r="SSS31" s="170"/>
      <c r="SSU31" s="170"/>
      <c r="SSW31" s="170"/>
      <c r="SSY31" s="170"/>
      <c r="STA31" s="170"/>
      <c r="STC31" s="170"/>
      <c r="STE31" s="170"/>
      <c r="STG31" s="170"/>
      <c r="STI31" s="170"/>
      <c r="STK31" s="170"/>
      <c r="STM31" s="170"/>
      <c r="STO31" s="170"/>
      <c r="STQ31" s="170"/>
      <c r="STS31" s="170"/>
      <c r="STU31" s="170"/>
      <c r="STW31" s="170"/>
      <c r="STY31" s="170"/>
      <c r="SUA31" s="170"/>
      <c r="SUC31" s="170"/>
      <c r="SUE31" s="170"/>
      <c r="SUG31" s="170"/>
      <c r="SUI31" s="170"/>
      <c r="SUK31" s="170"/>
      <c r="SUM31" s="170"/>
      <c r="SUO31" s="170"/>
      <c r="SUQ31" s="170"/>
      <c r="SUS31" s="170"/>
      <c r="SUU31" s="170"/>
      <c r="SUW31" s="170"/>
      <c r="SUY31" s="170"/>
      <c r="SVA31" s="170"/>
      <c r="SVC31" s="170"/>
      <c r="SVE31" s="170"/>
      <c r="SVG31" s="170"/>
      <c r="SVI31" s="170"/>
      <c r="SVK31" s="170"/>
      <c r="SVM31" s="170"/>
      <c r="SVO31" s="170"/>
      <c r="SVQ31" s="170"/>
      <c r="SVS31" s="170"/>
      <c r="SVU31" s="170"/>
      <c r="SVW31" s="170"/>
      <c r="SVY31" s="170"/>
      <c r="SWA31" s="170"/>
      <c r="SWC31" s="170"/>
      <c r="SWE31" s="170"/>
      <c r="SWG31" s="170"/>
      <c r="SWI31" s="170"/>
      <c r="SWK31" s="170"/>
      <c r="SWM31" s="170"/>
      <c r="SWO31" s="170"/>
      <c r="SWQ31" s="170"/>
      <c r="SWS31" s="170"/>
      <c r="SWU31" s="170"/>
      <c r="SWW31" s="170"/>
      <c r="SWY31" s="170"/>
      <c r="SXA31" s="170"/>
      <c r="SXC31" s="170"/>
      <c r="SXE31" s="170"/>
      <c r="SXG31" s="170"/>
      <c r="SXI31" s="170"/>
      <c r="SXK31" s="170"/>
      <c r="SXM31" s="170"/>
      <c r="SXO31" s="170"/>
      <c r="SXQ31" s="170"/>
      <c r="SXS31" s="170"/>
      <c r="SXU31" s="170"/>
      <c r="SXW31" s="170"/>
      <c r="SXY31" s="170"/>
      <c r="SYA31" s="170"/>
      <c r="SYC31" s="170"/>
      <c r="SYE31" s="170"/>
      <c r="SYG31" s="170"/>
      <c r="SYI31" s="170"/>
      <c r="SYK31" s="170"/>
      <c r="SYM31" s="170"/>
      <c r="SYO31" s="170"/>
      <c r="SYQ31" s="170"/>
      <c r="SYS31" s="170"/>
      <c r="SYU31" s="170"/>
      <c r="SYW31" s="170"/>
      <c r="SYY31" s="170"/>
      <c r="SZA31" s="170"/>
      <c r="SZC31" s="170"/>
      <c r="SZE31" s="170"/>
      <c r="SZG31" s="170"/>
      <c r="SZI31" s="170"/>
      <c r="SZK31" s="170"/>
      <c r="SZM31" s="170"/>
      <c r="SZO31" s="170"/>
      <c r="SZQ31" s="170"/>
      <c r="SZS31" s="170"/>
      <c r="SZU31" s="170"/>
      <c r="SZW31" s="170"/>
      <c r="SZY31" s="170"/>
      <c r="TAA31" s="170"/>
      <c r="TAC31" s="170"/>
      <c r="TAE31" s="170"/>
      <c r="TAG31" s="170"/>
      <c r="TAI31" s="170"/>
      <c r="TAK31" s="170"/>
      <c r="TAM31" s="170"/>
      <c r="TAO31" s="170"/>
      <c r="TAQ31" s="170"/>
      <c r="TAS31" s="170"/>
      <c r="TAU31" s="170"/>
      <c r="TAW31" s="170"/>
      <c r="TAY31" s="170"/>
      <c r="TBA31" s="170"/>
      <c r="TBC31" s="170"/>
      <c r="TBE31" s="170"/>
      <c r="TBG31" s="170"/>
      <c r="TBI31" s="170"/>
      <c r="TBK31" s="170"/>
      <c r="TBM31" s="170"/>
      <c r="TBO31" s="170"/>
      <c r="TBQ31" s="170"/>
      <c r="TBS31" s="170"/>
      <c r="TBU31" s="170"/>
      <c r="TBW31" s="170"/>
      <c r="TBY31" s="170"/>
      <c r="TCA31" s="170"/>
      <c r="TCC31" s="170"/>
      <c r="TCE31" s="170"/>
      <c r="TCG31" s="170"/>
      <c r="TCI31" s="170"/>
      <c r="TCK31" s="170"/>
      <c r="TCM31" s="170"/>
      <c r="TCO31" s="170"/>
      <c r="TCQ31" s="170"/>
      <c r="TCS31" s="170"/>
      <c r="TCU31" s="170"/>
      <c r="TCW31" s="170"/>
      <c r="TCY31" s="170"/>
      <c r="TDA31" s="170"/>
      <c r="TDC31" s="170"/>
      <c r="TDE31" s="170"/>
      <c r="TDG31" s="170"/>
      <c r="TDI31" s="170"/>
      <c r="TDK31" s="170"/>
      <c r="TDM31" s="170"/>
      <c r="TDO31" s="170"/>
      <c r="TDQ31" s="170"/>
      <c r="TDS31" s="170"/>
      <c r="TDU31" s="170"/>
      <c r="TDW31" s="170"/>
      <c r="TDY31" s="170"/>
      <c r="TEA31" s="170"/>
      <c r="TEC31" s="170"/>
      <c r="TEE31" s="170"/>
      <c r="TEG31" s="170"/>
      <c r="TEI31" s="170"/>
      <c r="TEK31" s="170"/>
      <c r="TEM31" s="170"/>
      <c r="TEO31" s="170"/>
      <c r="TEQ31" s="170"/>
      <c r="TES31" s="170"/>
      <c r="TEU31" s="170"/>
      <c r="TEW31" s="170"/>
      <c r="TEY31" s="170"/>
      <c r="TFA31" s="170"/>
      <c r="TFC31" s="170"/>
      <c r="TFE31" s="170"/>
      <c r="TFG31" s="170"/>
      <c r="TFI31" s="170"/>
      <c r="TFK31" s="170"/>
      <c r="TFM31" s="170"/>
      <c r="TFO31" s="170"/>
      <c r="TFQ31" s="170"/>
      <c r="TFS31" s="170"/>
      <c r="TFU31" s="170"/>
      <c r="TFW31" s="170"/>
      <c r="TFY31" s="170"/>
      <c r="TGA31" s="170"/>
      <c r="TGC31" s="170"/>
      <c r="TGE31" s="170"/>
      <c r="TGG31" s="170"/>
      <c r="TGI31" s="170"/>
      <c r="TGK31" s="170"/>
      <c r="TGM31" s="170"/>
      <c r="TGO31" s="170"/>
      <c r="TGQ31" s="170"/>
      <c r="TGS31" s="170"/>
      <c r="TGU31" s="170"/>
      <c r="TGW31" s="170"/>
      <c r="TGY31" s="170"/>
      <c r="THA31" s="170"/>
      <c r="THC31" s="170"/>
      <c r="THE31" s="170"/>
      <c r="THG31" s="170"/>
      <c r="THI31" s="170"/>
      <c r="THK31" s="170"/>
      <c r="THM31" s="170"/>
      <c r="THO31" s="170"/>
      <c r="THQ31" s="170"/>
      <c r="THS31" s="170"/>
      <c r="THU31" s="170"/>
      <c r="THW31" s="170"/>
      <c r="THY31" s="170"/>
      <c r="TIA31" s="170"/>
      <c r="TIC31" s="170"/>
      <c r="TIE31" s="170"/>
      <c r="TIG31" s="170"/>
      <c r="TII31" s="170"/>
      <c r="TIK31" s="170"/>
      <c r="TIM31" s="170"/>
      <c r="TIO31" s="170"/>
      <c r="TIQ31" s="170"/>
      <c r="TIS31" s="170"/>
      <c r="TIU31" s="170"/>
      <c r="TIW31" s="170"/>
      <c r="TIY31" s="170"/>
      <c r="TJA31" s="170"/>
      <c r="TJC31" s="170"/>
      <c r="TJE31" s="170"/>
      <c r="TJG31" s="170"/>
      <c r="TJI31" s="170"/>
      <c r="TJK31" s="170"/>
      <c r="TJM31" s="170"/>
      <c r="TJO31" s="170"/>
      <c r="TJQ31" s="170"/>
      <c r="TJS31" s="170"/>
      <c r="TJU31" s="170"/>
      <c r="TJW31" s="170"/>
      <c r="TJY31" s="170"/>
      <c r="TKA31" s="170"/>
      <c r="TKC31" s="170"/>
      <c r="TKE31" s="170"/>
      <c r="TKG31" s="170"/>
      <c r="TKI31" s="170"/>
      <c r="TKK31" s="170"/>
      <c r="TKM31" s="170"/>
      <c r="TKO31" s="170"/>
      <c r="TKQ31" s="170"/>
      <c r="TKS31" s="170"/>
      <c r="TKU31" s="170"/>
      <c r="TKW31" s="170"/>
      <c r="TKY31" s="170"/>
      <c r="TLA31" s="170"/>
      <c r="TLC31" s="170"/>
      <c r="TLE31" s="170"/>
      <c r="TLG31" s="170"/>
      <c r="TLI31" s="170"/>
      <c r="TLK31" s="170"/>
      <c r="TLM31" s="170"/>
      <c r="TLO31" s="170"/>
      <c r="TLQ31" s="170"/>
      <c r="TLS31" s="170"/>
      <c r="TLU31" s="170"/>
      <c r="TLW31" s="170"/>
      <c r="TLY31" s="170"/>
      <c r="TMA31" s="170"/>
      <c r="TMC31" s="170"/>
      <c r="TME31" s="170"/>
      <c r="TMG31" s="170"/>
      <c r="TMI31" s="170"/>
      <c r="TMK31" s="170"/>
      <c r="TMM31" s="170"/>
      <c r="TMO31" s="170"/>
      <c r="TMQ31" s="170"/>
      <c r="TMS31" s="170"/>
      <c r="TMU31" s="170"/>
      <c r="TMW31" s="170"/>
      <c r="TMY31" s="170"/>
      <c r="TNA31" s="170"/>
      <c r="TNC31" s="170"/>
      <c r="TNE31" s="170"/>
      <c r="TNG31" s="170"/>
      <c r="TNI31" s="170"/>
      <c r="TNK31" s="170"/>
      <c r="TNM31" s="170"/>
      <c r="TNO31" s="170"/>
      <c r="TNQ31" s="170"/>
      <c r="TNS31" s="170"/>
      <c r="TNU31" s="170"/>
      <c r="TNW31" s="170"/>
      <c r="TNY31" s="170"/>
      <c r="TOA31" s="170"/>
      <c r="TOC31" s="170"/>
      <c r="TOE31" s="170"/>
      <c r="TOG31" s="170"/>
      <c r="TOI31" s="170"/>
      <c r="TOK31" s="170"/>
      <c r="TOM31" s="170"/>
      <c r="TOO31" s="170"/>
      <c r="TOQ31" s="170"/>
      <c r="TOS31" s="170"/>
      <c r="TOU31" s="170"/>
      <c r="TOW31" s="170"/>
      <c r="TOY31" s="170"/>
      <c r="TPA31" s="170"/>
      <c r="TPC31" s="170"/>
      <c r="TPE31" s="170"/>
      <c r="TPG31" s="170"/>
      <c r="TPI31" s="170"/>
      <c r="TPK31" s="170"/>
      <c r="TPM31" s="170"/>
      <c r="TPO31" s="170"/>
      <c r="TPQ31" s="170"/>
      <c r="TPS31" s="170"/>
      <c r="TPU31" s="170"/>
      <c r="TPW31" s="170"/>
      <c r="TPY31" s="170"/>
      <c r="TQA31" s="170"/>
      <c r="TQC31" s="170"/>
      <c r="TQE31" s="170"/>
      <c r="TQG31" s="170"/>
      <c r="TQI31" s="170"/>
      <c r="TQK31" s="170"/>
      <c r="TQM31" s="170"/>
      <c r="TQO31" s="170"/>
      <c r="TQQ31" s="170"/>
      <c r="TQS31" s="170"/>
      <c r="TQU31" s="170"/>
      <c r="TQW31" s="170"/>
      <c r="TQY31" s="170"/>
      <c r="TRA31" s="170"/>
      <c r="TRC31" s="170"/>
      <c r="TRE31" s="170"/>
      <c r="TRG31" s="170"/>
      <c r="TRI31" s="170"/>
      <c r="TRK31" s="170"/>
      <c r="TRM31" s="170"/>
      <c r="TRO31" s="170"/>
      <c r="TRQ31" s="170"/>
      <c r="TRS31" s="170"/>
      <c r="TRU31" s="170"/>
      <c r="TRW31" s="170"/>
      <c r="TRY31" s="170"/>
      <c r="TSA31" s="170"/>
      <c r="TSC31" s="170"/>
      <c r="TSE31" s="170"/>
      <c r="TSG31" s="170"/>
      <c r="TSI31" s="170"/>
      <c r="TSK31" s="170"/>
      <c r="TSM31" s="170"/>
      <c r="TSO31" s="170"/>
      <c r="TSQ31" s="170"/>
      <c r="TSS31" s="170"/>
      <c r="TSU31" s="170"/>
      <c r="TSW31" s="170"/>
      <c r="TSY31" s="170"/>
      <c r="TTA31" s="170"/>
      <c r="TTC31" s="170"/>
      <c r="TTE31" s="170"/>
      <c r="TTG31" s="170"/>
      <c r="TTI31" s="170"/>
      <c r="TTK31" s="170"/>
      <c r="TTM31" s="170"/>
      <c r="TTO31" s="170"/>
      <c r="TTQ31" s="170"/>
      <c r="TTS31" s="170"/>
      <c r="TTU31" s="170"/>
      <c r="TTW31" s="170"/>
      <c r="TTY31" s="170"/>
      <c r="TUA31" s="170"/>
      <c r="TUC31" s="170"/>
      <c r="TUE31" s="170"/>
      <c r="TUG31" s="170"/>
      <c r="TUI31" s="170"/>
      <c r="TUK31" s="170"/>
      <c r="TUM31" s="170"/>
      <c r="TUO31" s="170"/>
      <c r="TUQ31" s="170"/>
      <c r="TUS31" s="170"/>
      <c r="TUU31" s="170"/>
      <c r="TUW31" s="170"/>
      <c r="TUY31" s="170"/>
      <c r="TVA31" s="170"/>
      <c r="TVC31" s="170"/>
      <c r="TVE31" s="170"/>
      <c r="TVG31" s="170"/>
      <c r="TVI31" s="170"/>
      <c r="TVK31" s="170"/>
      <c r="TVM31" s="170"/>
      <c r="TVO31" s="170"/>
      <c r="TVQ31" s="170"/>
      <c r="TVS31" s="170"/>
      <c r="TVU31" s="170"/>
      <c r="TVW31" s="170"/>
      <c r="TVY31" s="170"/>
      <c r="TWA31" s="170"/>
      <c r="TWC31" s="170"/>
      <c r="TWE31" s="170"/>
      <c r="TWG31" s="170"/>
      <c r="TWI31" s="170"/>
      <c r="TWK31" s="170"/>
      <c r="TWM31" s="170"/>
      <c r="TWO31" s="170"/>
      <c r="TWQ31" s="170"/>
      <c r="TWS31" s="170"/>
      <c r="TWU31" s="170"/>
      <c r="TWW31" s="170"/>
      <c r="TWY31" s="170"/>
      <c r="TXA31" s="170"/>
      <c r="TXC31" s="170"/>
      <c r="TXE31" s="170"/>
      <c r="TXG31" s="170"/>
      <c r="TXI31" s="170"/>
      <c r="TXK31" s="170"/>
      <c r="TXM31" s="170"/>
      <c r="TXO31" s="170"/>
      <c r="TXQ31" s="170"/>
      <c r="TXS31" s="170"/>
      <c r="TXU31" s="170"/>
      <c r="TXW31" s="170"/>
      <c r="TXY31" s="170"/>
      <c r="TYA31" s="170"/>
      <c r="TYC31" s="170"/>
      <c r="TYE31" s="170"/>
      <c r="TYG31" s="170"/>
      <c r="TYI31" s="170"/>
      <c r="TYK31" s="170"/>
      <c r="TYM31" s="170"/>
      <c r="TYO31" s="170"/>
      <c r="TYQ31" s="170"/>
      <c r="TYS31" s="170"/>
      <c r="TYU31" s="170"/>
      <c r="TYW31" s="170"/>
      <c r="TYY31" s="170"/>
      <c r="TZA31" s="170"/>
      <c r="TZC31" s="170"/>
      <c r="TZE31" s="170"/>
      <c r="TZG31" s="170"/>
      <c r="TZI31" s="170"/>
      <c r="TZK31" s="170"/>
      <c r="TZM31" s="170"/>
      <c r="TZO31" s="170"/>
      <c r="TZQ31" s="170"/>
      <c r="TZS31" s="170"/>
      <c r="TZU31" s="170"/>
      <c r="TZW31" s="170"/>
      <c r="TZY31" s="170"/>
      <c r="UAA31" s="170"/>
      <c r="UAC31" s="170"/>
      <c r="UAE31" s="170"/>
      <c r="UAG31" s="170"/>
      <c r="UAI31" s="170"/>
      <c r="UAK31" s="170"/>
      <c r="UAM31" s="170"/>
      <c r="UAO31" s="170"/>
      <c r="UAQ31" s="170"/>
      <c r="UAS31" s="170"/>
      <c r="UAU31" s="170"/>
      <c r="UAW31" s="170"/>
      <c r="UAY31" s="170"/>
      <c r="UBA31" s="170"/>
      <c r="UBC31" s="170"/>
      <c r="UBE31" s="170"/>
      <c r="UBG31" s="170"/>
      <c r="UBI31" s="170"/>
      <c r="UBK31" s="170"/>
      <c r="UBM31" s="170"/>
      <c r="UBO31" s="170"/>
      <c r="UBQ31" s="170"/>
      <c r="UBS31" s="170"/>
      <c r="UBU31" s="170"/>
      <c r="UBW31" s="170"/>
      <c r="UBY31" s="170"/>
      <c r="UCA31" s="170"/>
      <c r="UCC31" s="170"/>
      <c r="UCE31" s="170"/>
      <c r="UCG31" s="170"/>
      <c r="UCI31" s="170"/>
      <c r="UCK31" s="170"/>
      <c r="UCM31" s="170"/>
      <c r="UCO31" s="170"/>
      <c r="UCQ31" s="170"/>
      <c r="UCS31" s="170"/>
      <c r="UCU31" s="170"/>
      <c r="UCW31" s="170"/>
      <c r="UCY31" s="170"/>
      <c r="UDA31" s="170"/>
      <c r="UDC31" s="170"/>
      <c r="UDE31" s="170"/>
      <c r="UDG31" s="170"/>
      <c r="UDI31" s="170"/>
      <c r="UDK31" s="170"/>
      <c r="UDM31" s="170"/>
      <c r="UDO31" s="170"/>
      <c r="UDQ31" s="170"/>
      <c r="UDS31" s="170"/>
      <c r="UDU31" s="170"/>
      <c r="UDW31" s="170"/>
      <c r="UDY31" s="170"/>
      <c r="UEA31" s="170"/>
      <c r="UEC31" s="170"/>
      <c r="UEE31" s="170"/>
      <c r="UEG31" s="170"/>
      <c r="UEI31" s="170"/>
      <c r="UEK31" s="170"/>
      <c r="UEM31" s="170"/>
      <c r="UEO31" s="170"/>
      <c r="UEQ31" s="170"/>
      <c r="UES31" s="170"/>
      <c r="UEU31" s="170"/>
      <c r="UEW31" s="170"/>
      <c r="UEY31" s="170"/>
      <c r="UFA31" s="170"/>
      <c r="UFC31" s="170"/>
      <c r="UFE31" s="170"/>
      <c r="UFG31" s="170"/>
      <c r="UFI31" s="170"/>
      <c r="UFK31" s="170"/>
      <c r="UFM31" s="170"/>
      <c r="UFO31" s="170"/>
      <c r="UFQ31" s="170"/>
      <c r="UFS31" s="170"/>
      <c r="UFU31" s="170"/>
      <c r="UFW31" s="170"/>
      <c r="UFY31" s="170"/>
      <c r="UGA31" s="170"/>
      <c r="UGC31" s="170"/>
      <c r="UGE31" s="170"/>
      <c r="UGG31" s="170"/>
      <c r="UGI31" s="170"/>
      <c r="UGK31" s="170"/>
      <c r="UGM31" s="170"/>
      <c r="UGO31" s="170"/>
      <c r="UGQ31" s="170"/>
      <c r="UGS31" s="170"/>
      <c r="UGU31" s="170"/>
      <c r="UGW31" s="170"/>
      <c r="UGY31" s="170"/>
      <c r="UHA31" s="170"/>
      <c r="UHC31" s="170"/>
      <c r="UHE31" s="170"/>
      <c r="UHG31" s="170"/>
      <c r="UHI31" s="170"/>
      <c r="UHK31" s="170"/>
      <c r="UHM31" s="170"/>
      <c r="UHO31" s="170"/>
      <c r="UHQ31" s="170"/>
      <c r="UHS31" s="170"/>
      <c r="UHU31" s="170"/>
      <c r="UHW31" s="170"/>
      <c r="UHY31" s="170"/>
      <c r="UIA31" s="170"/>
      <c r="UIC31" s="170"/>
      <c r="UIE31" s="170"/>
      <c r="UIG31" s="170"/>
      <c r="UII31" s="170"/>
      <c r="UIK31" s="170"/>
      <c r="UIM31" s="170"/>
      <c r="UIO31" s="170"/>
      <c r="UIQ31" s="170"/>
      <c r="UIS31" s="170"/>
      <c r="UIU31" s="170"/>
      <c r="UIW31" s="170"/>
      <c r="UIY31" s="170"/>
      <c r="UJA31" s="170"/>
      <c r="UJC31" s="170"/>
      <c r="UJE31" s="170"/>
      <c r="UJG31" s="170"/>
      <c r="UJI31" s="170"/>
      <c r="UJK31" s="170"/>
      <c r="UJM31" s="170"/>
      <c r="UJO31" s="170"/>
      <c r="UJQ31" s="170"/>
      <c r="UJS31" s="170"/>
      <c r="UJU31" s="170"/>
      <c r="UJW31" s="170"/>
      <c r="UJY31" s="170"/>
      <c r="UKA31" s="170"/>
      <c r="UKC31" s="170"/>
      <c r="UKE31" s="170"/>
      <c r="UKG31" s="170"/>
      <c r="UKI31" s="170"/>
      <c r="UKK31" s="170"/>
      <c r="UKM31" s="170"/>
      <c r="UKO31" s="170"/>
      <c r="UKQ31" s="170"/>
      <c r="UKS31" s="170"/>
      <c r="UKU31" s="170"/>
      <c r="UKW31" s="170"/>
      <c r="UKY31" s="170"/>
      <c r="ULA31" s="170"/>
      <c r="ULC31" s="170"/>
      <c r="ULE31" s="170"/>
      <c r="ULG31" s="170"/>
      <c r="ULI31" s="170"/>
      <c r="ULK31" s="170"/>
      <c r="ULM31" s="170"/>
      <c r="ULO31" s="170"/>
      <c r="ULQ31" s="170"/>
      <c r="ULS31" s="170"/>
      <c r="ULU31" s="170"/>
      <c r="ULW31" s="170"/>
      <c r="ULY31" s="170"/>
      <c r="UMA31" s="170"/>
      <c r="UMC31" s="170"/>
      <c r="UME31" s="170"/>
      <c r="UMG31" s="170"/>
      <c r="UMI31" s="170"/>
      <c r="UMK31" s="170"/>
      <c r="UMM31" s="170"/>
      <c r="UMO31" s="170"/>
      <c r="UMQ31" s="170"/>
      <c r="UMS31" s="170"/>
      <c r="UMU31" s="170"/>
      <c r="UMW31" s="170"/>
      <c r="UMY31" s="170"/>
      <c r="UNA31" s="170"/>
      <c r="UNC31" s="170"/>
      <c r="UNE31" s="170"/>
      <c r="UNG31" s="170"/>
      <c r="UNI31" s="170"/>
      <c r="UNK31" s="170"/>
      <c r="UNM31" s="170"/>
      <c r="UNO31" s="170"/>
      <c r="UNQ31" s="170"/>
      <c r="UNS31" s="170"/>
      <c r="UNU31" s="170"/>
      <c r="UNW31" s="170"/>
      <c r="UNY31" s="170"/>
      <c r="UOA31" s="170"/>
      <c r="UOC31" s="170"/>
      <c r="UOE31" s="170"/>
      <c r="UOG31" s="170"/>
      <c r="UOI31" s="170"/>
      <c r="UOK31" s="170"/>
      <c r="UOM31" s="170"/>
      <c r="UOO31" s="170"/>
      <c r="UOQ31" s="170"/>
      <c r="UOS31" s="170"/>
      <c r="UOU31" s="170"/>
      <c r="UOW31" s="170"/>
      <c r="UOY31" s="170"/>
      <c r="UPA31" s="170"/>
      <c r="UPC31" s="170"/>
      <c r="UPE31" s="170"/>
      <c r="UPG31" s="170"/>
      <c r="UPI31" s="170"/>
      <c r="UPK31" s="170"/>
      <c r="UPM31" s="170"/>
      <c r="UPO31" s="170"/>
      <c r="UPQ31" s="170"/>
      <c r="UPS31" s="170"/>
      <c r="UPU31" s="170"/>
      <c r="UPW31" s="170"/>
      <c r="UPY31" s="170"/>
      <c r="UQA31" s="170"/>
      <c r="UQC31" s="170"/>
      <c r="UQE31" s="170"/>
      <c r="UQG31" s="170"/>
      <c r="UQI31" s="170"/>
      <c r="UQK31" s="170"/>
      <c r="UQM31" s="170"/>
      <c r="UQO31" s="170"/>
      <c r="UQQ31" s="170"/>
      <c r="UQS31" s="170"/>
      <c r="UQU31" s="170"/>
      <c r="UQW31" s="170"/>
      <c r="UQY31" s="170"/>
      <c r="URA31" s="170"/>
      <c r="URC31" s="170"/>
      <c r="URE31" s="170"/>
      <c r="URG31" s="170"/>
      <c r="URI31" s="170"/>
      <c r="URK31" s="170"/>
      <c r="URM31" s="170"/>
      <c r="URO31" s="170"/>
      <c r="URQ31" s="170"/>
      <c r="URS31" s="170"/>
      <c r="URU31" s="170"/>
      <c r="URW31" s="170"/>
      <c r="URY31" s="170"/>
      <c r="USA31" s="170"/>
      <c r="USC31" s="170"/>
      <c r="USE31" s="170"/>
      <c r="USG31" s="170"/>
      <c r="USI31" s="170"/>
      <c r="USK31" s="170"/>
      <c r="USM31" s="170"/>
      <c r="USO31" s="170"/>
      <c r="USQ31" s="170"/>
      <c r="USS31" s="170"/>
      <c r="USU31" s="170"/>
      <c r="USW31" s="170"/>
      <c r="USY31" s="170"/>
      <c r="UTA31" s="170"/>
      <c r="UTC31" s="170"/>
      <c r="UTE31" s="170"/>
      <c r="UTG31" s="170"/>
      <c r="UTI31" s="170"/>
      <c r="UTK31" s="170"/>
      <c r="UTM31" s="170"/>
      <c r="UTO31" s="170"/>
      <c r="UTQ31" s="170"/>
      <c r="UTS31" s="170"/>
      <c r="UTU31" s="170"/>
      <c r="UTW31" s="170"/>
      <c r="UTY31" s="170"/>
      <c r="UUA31" s="170"/>
      <c r="UUC31" s="170"/>
      <c r="UUE31" s="170"/>
      <c r="UUG31" s="170"/>
      <c r="UUI31" s="170"/>
      <c r="UUK31" s="170"/>
      <c r="UUM31" s="170"/>
      <c r="UUO31" s="170"/>
      <c r="UUQ31" s="170"/>
      <c r="UUS31" s="170"/>
      <c r="UUU31" s="170"/>
      <c r="UUW31" s="170"/>
      <c r="UUY31" s="170"/>
      <c r="UVA31" s="170"/>
      <c r="UVC31" s="170"/>
      <c r="UVE31" s="170"/>
      <c r="UVG31" s="170"/>
      <c r="UVI31" s="170"/>
      <c r="UVK31" s="170"/>
      <c r="UVM31" s="170"/>
      <c r="UVO31" s="170"/>
      <c r="UVQ31" s="170"/>
      <c r="UVS31" s="170"/>
      <c r="UVU31" s="170"/>
      <c r="UVW31" s="170"/>
      <c r="UVY31" s="170"/>
      <c r="UWA31" s="170"/>
      <c r="UWC31" s="170"/>
      <c r="UWE31" s="170"/>
      <c r="UWG31" s="170"/>
      <c r="UWI31" s="170"/>
      <c r="UWK31" s="170"/>
      <c r="UWM31" s="170"/>
      <c r="UWO31" s="170"/>
      <c r="UWQ31" s="170"/>
      <c r="UWS31" s="170"/>
      <c r="UWU31" s="170"/>
      <c r="UWW31" s="170"/>
      <c r="UWY31" s="170"/>
      <c r="UXA31" s="170"/>
      <c r="UXC31" s="170"/>
      <c r="UXE31" s="170"/>
      <c r="UXG31" s="170"/>
      <c r="UXI31" s="170"/>
      <c r="UXK31" s="170"/>
      <c r="UXM31" s="170"/>
      <c r="UXO31" s="170"/>
      <c r="UXQ31" s="170"/>
      <c r="UXS31" s="170"/>
      <c r="UXU31" s="170"/>
      <c r="UXW31" s="170"/>
      <c r="UXY31" s="170"/>
      <c r="UYA31" s="170"/>
      <c r="UYC31" s="170"/>
      <c r="UYE31" s="170"/>
      <c r="UYG31" s="170"/>
      <c r="UYI31" s="170"/>
      <c r="UYK31" s="170"/>
      <c r="UYM31" s="170"/>
      <c r="UYO31" s="170"/>
      <c r="UYQ31" s="170"/>
      <c r="UYS31" s="170"/>
      <c r="UYU31" s="170"/>
      <c r="UYW31" s="170"/>
      <c r="UYY31" s="170"/>
      <c r="UZA31" s="170"/>
      <c r="UZC31" s="170"/>
      <c r="UZE31" s="170"/>
      <c r="UZG31" s="170"/>
      <c r="UZI31" s="170"/>
      <c r="UZK31" s="170"/>
      <c r="UZM31" s="170"/>
      <c r="UZO31" s="170"/>
      <c r="UZQ31" s="170"/>
      <c r="UZS31" s="170"/>
      <c r="UZU31" s="170"/>
      <c r="UZW31" s="170"/>
      <c r="UZY31" s="170"/>
      <c r="VAA31" s="170"/>
      <c r="VAC31" s="170"/>
      <c r="VAE31" s="170"/>
      <c r="VAG31" s="170"/>
      <c r="VAI31" s="170"/>
      <c r="VAK31" s="170"/>
      <c r="VAM31" s="170"/>
      <c r="VAO31" s="170"/>
      <c r="VAQ31" s="170"/>
      <c r="VAS31" s="170"/>
      <c r="VAU31" s="170"/>
      <c r="VAW31" s="170"/>
      <c r="VAY31" s="170"/>
      <c r="VBA31" s="170"/>
      <c r="VBC31" s="170"/>
      <c r="VBE31" s="170"/>
      <c r="VBG31" s="170"/>
      <c r="VBI31" s="170"/>
      <c r="VBK31" s="170"/>
      <c r="VBM31" s="170"/>
      <c r="VBO31" s="170"/>
      <c r="VBQ31" s="170"/>
      <c r="VBS31" s="170"/>
      <c r="VBU31" s="170"/>
      <c r="VBW31" s="170"/>
      <c r="VBY31" s="170"/>
      <c r="VCA31" s="170"/>
      <c r="VCC31" s="170"/>
      <c r="VCE31" s="170"/>
      <c r="VCG31" s="170"/>
      <c r="VCI31" s="170"/>
      <c r="VCK31" s="170"/>
      <c r="VCM31" s="170"/>
      <c r="VCO31" s="170"/>
      <c r="VCQ31" s="170"/>
      <c r="VCS31" s="170"/>
      <c r="VCU31" s="170"/>
      <c r="VCW31" s="170"/>
      <c r="VCY31" s="170"/>
      <c r="VDA31" s="170"/>
      <c r="VDC31" s="170"/>
      <c r="VDE31" s="170"/>
      <c r="VDG31" s="170"/>
      <c r="VDI31" s="170"/>
      <c r="VDK31" s="170"/>
      <c r="VDM31" s="170"/>
      <c r="VDO31" s="170"/>
      <c r="VDQ31" s="170"/>
      <c r="VDS31" s="170"/>
      <c r="VDU31" s="170"/>
      <c r="VDW31" s="170"/>
      <c r="VDY31" s="170"/>
      <c r="VEA31" s="170"/>
      <c r="VEC31" s="170"/>
      <c r="VEE31" s="170"/>
      <c r="VEG31" s="170"/>
      <c r="VEI31" s="170"/>
      <c r="VEK31" s="170"/>
      <c r="VEM31" s="170"/>
      <c r="VEO31" s="170"/>
      <c r="VEQ31" s="170"/>
      <c r="VES31" s="170"/>
      <c r="VEU31" s="170"/>
      <c r="VEW31" s="170"/>
      <c r="VEY31" s="170"/>
      <c r="VFA31" s="170"/>
      <c r="VFC31" s="170"/>
      <c r="VFE31" s="170"/>
      <c r="VFG31" s="170"/>
      <c r="VFI31" s="170"/>
      <c r="VFK31" s="170"/>
      <c r="VFM31" s="170"/>
      <c r="VFO31" s="170"/>
      <c r="VFQ31" s="170"/>
      <c r="VFS31" s="170"/>
      <c r="VFU31" s="170"/>
      <c r="VFW31" s="170"/>
      <c r="VFY31" s="170"/>
      <c r="VGA31" s="170"/>
      <c r="VGC31" s="170"/>
      <c r="VGE31" s="170"/>
      <c r="VGG31" s="170"/>
      <c r="VGI31" s="170"/>
      <c r="VGK31" s="170"/>
      <c r="VGM31" s="170"/>
      <c r="VGO31" s="170"/>
      <c r="VGQ31" s="170"/>
      <c r="VGS31" s="170"/>
      <c r="VGU31" s="170"/>
      <c r="VGW31" s="170"/>
      <c r="VGY31" s="170"/>
      <c r="VHA31" s="170"/>
      <c r="VHC31" s="170"/>
      <c r="VHE31" s="170"/>
      <c r="VHG31" s="170"/>
      <c r="VHI31" s="170"/>
      <c r="VHK31" s="170"/>
      <c r="VHM31" s="170"/>
      <c r="VHO31" s="170"/>
      <c r="VHQ31" s="170"/>
      <c r="VHS31" s="170"/>
      <c r="VHU31" s="170"/>
      <c r="VHW31" s="170"/>
      <c r="VHY31" s="170"/>
      <c r="VIA31" s="170"/>
      <c r="VIC31" s="170"/>
      <c r="VIE31" s="170"/>
      <c r="VIG31" s="170"/>
      <c r="VII31" s="170"/>
      <c r="VIK31" s="170"/>
      <c r="VIM31" s="170"/>
      <c r="VIO31" s="170"/>
      <c r="VIQ31" s="170"/>
      <c r="VIS31" s="170"/>
      <c r="VIU31" s="170"/>
      <c r="VIW31" s="170"/>
      <c r="VIY31" s="170"/>
      <c r="VJA31" s="170"/>
      <c r="VJC31" s="170"/>
      <c r="VJE31" s="170"/>
      <c r="VJG31" s="170"/>
      <c r="VJI31" s="170"/>
      <c r="VJK31" s="170"/>
      <c r="VJM31" s="170"/>
      <c r="VJO31" s="170"/>
      <c r="VJQ31" s="170"/>
      <c r="VJS31" s="170"/>
      <c r="VJU31" s="170"/>
      <c r="VJW31" s="170"/>
      <c r="VJY31" s="170"/>
      <c r="VKA31" s="170"/>
      <c r="VKC31" s="170"/>
      <c r="VKE31" s="170"/>
      <c r="VKG31" s="170"/>
      <c r="VKI31" s="170"/>
      <c r="VKK31" s="170"/>
      <c r="VKM31" s="170"/>
      <c r="VKO31" s="170"/>
      <c r="VKQ31" s="170"/>
      <c r="VKS31" s="170"/>
      <c r="VKU31" s="170"/>
      <c r="VKW31" s="170"/>
      <c r="VKY31" s="170"/>
      <c r="VLA31" s="170"/>
      <c r="VLC31" s="170"/>
      <c r="VLE31" s="170"/>
      <c r="VLG31" s="170"/>
      <c r="VLI31" s="170"/>
      <c r="VLK31" s="170"/>
      <c r="VLM31" s="170"/>
      <c r="VLO31" s="170"/>
      <c r="VLQ31" s="170"/>
      <c r="VLS31" s="170"/>
      <c r="VLU31" s="170"/>
      <c r="VLW31" s="170"/>
      <c r="VLY31" s="170"/>
      <c r="VMA31" s="170"/>
      <c r="VMC31" s="170"/>
      <c r="VME31" s="170"/>
      <c r="VMG31" s="170"/>
      <c r="VMI31" s="170"/>
      <c r="VMK31" s="170"/>
      <c r="VMM31" s="170"/>
      <c r="VMO31" s="170"/>
      <c r="VMQ31" s="170"/>
      <c r="VMS31" s="170"/>
      <c r="VMU31" s="170"/>
      <c r="VMW31" s="170"/>
      <c r="VMY31" s="170"/>
      <c r="VNA31" s="170"/>
      <c r="VNC31" s="170"/>
      <c r="VNE31" s="170"/>
      <c r="VNG31" s="170"/>
      <c r="VNI31" s="170"/>
      <c r="VNK31" s="170"/>
      <c r="VNM31" s="170"/>
      <c r="VNO31" s="170"/>
      <c r="VNQ31" s="170"/>
      <c r="VNS31" s="170"/>
      <c r="VNU31" s="170"/>
      <c r="VNW31" s="170"/>
      <c r="VNY31" s="170"/>
      <c r="VOA31" s="170"/>
      <c r="VOC31" s="170"/>
      <c r="VOE31" s="170"/>
      <c r="VOG31" s="170"/>
      <c r="VOI31" s="170"/>
      <c r="VOK31" s="170"/>
      <c r="VOM31" s="170"/>
      <c r="VOO31" s="170"/>
      <c r="VOQ31" s="170"/>
      <c r="VOS31" s="170"/>
      <c r="VOU31" s="170"/>
      <c r="VOW31" s="170"/>
      <c r="VOY31" s="170"/>
      <c r="VPA31" s="170"/>
      <c r="VPC31" s="170"/>
      <c r="VPE31" s="170"/>
      <c r="VPG31" s="170"/>
      <c r="VPI31" s="170"/>
      <c r="VPK31" s="170"/>
      <c r="VPM31" s="170"/>
      <c r="VPO31" s="170"/>
      <c r="VPQ31" s="170"/>
      <c r="VPS31" s="170"/>
      <c r="VPU31" s="170"/>
      <c r="VPW31" s="170"/>
      <c r="VPY31" s="170"/>
      <c r="VQA31" s="170"/>
      <c r="VQC31" s="170"/>
      <c r="VQE31" s="170"/>
      <c r="VQG31" s="170"/>
      <c r="VQI31" s="170"/>
      <c r="VQK31" s="170"/>
      <c r="VQM31" s="170"/>
      <c r="VQO31" s="170"/>
      <c r="VQQ31" s="170"/>
      <c r="VQS31" s="170"/>
      <c r="VQU31" s="170"/>
      <c r="VQW31" s="170"/>
      <c r="VQY31" s="170"/>
      <c r="VRA31" s="170"/>
      <c r="VRC31" s="170"/>
      <c r="VRE31" s="170"/>
      <c r="VRG31" s="170"/>
      <c r="VRI31" s="170"/>
      <c r="VRK31" s="170"/>
      <c r="VRM31" s="170"/>
      <c r="VRO31" s="170"/>
      <c r="VRQ31" s="170"/>
      <c r="VRS31" s="170"/>
      <c r="VRU31" s="170"/>
      <c r="VRW31" s="170"/>
      <c r="VRY31" s="170"/>
      <c r="VSA31" s="170"/>
      <c r="VSC31" s="170"/>
      <c r="VSE31" s="170"/>
      <c r="VSG31" s="170"/>
      <c r="VSI31" s="170"/>
      <c r="VSK31" s="170"/>
      <c r="VSM31" s="170"/>
      <c r="VSO31" s="170"/>
      <c r="VSQ31" s="170"/>
      <c r="VSS31" s="170"/>
      <c r="VSU31" s="170"/>
      <c r="VSW31" s="170"/>
      <c r="VSY31" s="170"/>
      <c r="VTA31" s="170"/>
      <c r="VTC31" s="170"/>
      <c r="VTE31" s="170"/>
      <c r="VTG31" s="170"/>
      <c r="VTI31" s="170"/>
      <c r="VTK31" s="170"/>
      <c r="VTM31" s="170"/>
      <c r="VTO31" s="170"/>
      <c r="VTQ31" s="170"/>
      <c r="VTS31" s="170"/>
      <c r="VTU31" s="170"/>
      <c r="VTW31" s="170"/>
      <c r="VTY31" s="170"/>
      <c r="VUA31" s="170"/>
      <c r="VUC31" s="170"/>
      <c r="VUE31" s="170"/>
      <c r="VUG31" s="170"/>
      <c r="VUI31" s="170"/>
      <c r="VUK31" s="170"/>
      <c r="VUM31" s="170"/>
      <c r="VUO31" s="170"/>
      <c r="VUQ31" s="170"/>
      <c r="VUS31" s="170"/>
      <c r="VUU31" s="170"/>
      <c r="VUW31" s="170"/>
      <c r="VUY31" s="170"/>
      <c r="VVA31" s="170"/>
      <c r="VVC31" s="170"/>
      <c r="VVE31" s="170"/>
      <c r="VVG31" s="170"/>
      <c r="VVI31" s="170"/>
      <c r="VVK31" s="170"/>
      <c r="VVM31" s="170"/>
      <c r="VVO31" s="170"/>
      <c r="VVQ31" s="170"/>
      <c r="VVS31" s="170"/>
      <c r="VVU31" s="170"/>
      <c r="VVW31" s="170"/>
      <c r="VVY31" s="170"/>
      <c r="VWA31" s="170"/>
      <c r="VWC31" s="170"/>
      <c r="VWE31" s="170"/>
      <c r="VWG31" s="170"/>
      <c r="VWI31" s="170"/>
      <c r="VWK31" s="170"/>
      <c r="VWM31" s="170"/>
      <c r="VWO31" s="170"/>
      <c r="VWQ31" s="170"/>
      <c r="VWS31" s="170"/>
      <c r="VWU31" s="170"/>
      <c r="VWW31" s="170"/>
      <c r="VWY31" s="170"/>
      <c r="VXA31" s="170"/>
      <c r="VXC31" s="170"/>
      <c r="VXE31" s="170"/>
      <c r="VXG31" s="170"/>
      <c r="VXI31" s="170"/>
      <c r="VXK31" s="170"/>
      <c r="VXM31" s="170"/>
      <c r="VXO31" s="170"/>
      <c r="VXQ31" s="170"/>
      <c r="VXS31" s="170"/>
      <c r="VXU31" s="170"/>
      <c r="VXW31" s="170"/>
      <c r="VXY31" s="170"/>
      <c r="VYA31" s="170"/>
      <c r="VYC31" s="170"/>
      <c r="VYE31" s="170"/>
      <c r="VYG31" s="170"/>
      <c r="VYI31" s="170"/>
      <c r="VYK31" s="170"/>
      <c r="VYM31" s="170"/>
      <c r="VYO31" s="170"/>
      <c r="VYQ31" s="170"/>
      <c r="VYS31" s="170"/>
      <c r="VYU31" s="170"/>
      <c r="VYW31" s="170"/>
      <c r="VYY31" s="170"/>
      <c r="VZA31" s="170"/>
      <c r="VZC31" s="170"/>
      <c r="VZE31" s="170"/>
      <c r="VZG31" s="170"/>
      <c r="VZI31" s="170"/>
      <c r="VZK31" s="170"/>
      <c r="VZM31" s="170"/>
      <c r="VZO31" s="170"/>
      <c r="VZQ31" s="170"/>
      <c r="VZS31" s="170"/>
      <c r="VZU31" s="170"/>
      <c r="VZW31" s="170"/>
      <c r="VZY31" s="170"/>
      <c r="WAA31" s="170"/>
      <c r="WAC31" s="170"/>
      <c r="WAE31" s="170"/>
      <c r="WAG31" s="170"/>
      <c r="WAI31" s="170"/>
      <c r="WAK31" s="170"/>
      <c r="WAM31" s="170"/>
      <c r="WAO31" s="170"/>
      <c r="WAQ31" s="170"/>
      <c r="WAS31" s="170"/>
      <c r="WAU31" s="170"/>
      <c r="WAW31" s="170"/>
      <c r="WAY31" s="170"/>
      <c r="WBA31" s="170"/>
      <c r="WBC31" s="170"/>
      <c r="WBE31" s="170"/>
      <c r="WBG31" s="170"/>
      <c r="WBI31" s="170"/>
      <c r="WBK31" s="170"/>
      <c r="WBM31" s="170"/>
      <c r="WBO31" s="170"/>
      <c r="WBQ31" s="170"/>
      <c r="WBS31" s="170"/>
      <c r="WBU31" s="170"/>
      <c r="WBW31" s="170"/>
      <c r="WBY31" s="170"/>
      <c r="WCA31" s="170"/>
      <c r="WCC31" s="170"/>
      <c r="WCE31" s="170"/>
      <c r="WCG31" s="170"/>
      <c r="WCI31" s="170"/>
      <c r="WCK31" s="170"/>
      <c r="WCM31" s="170"/>
      <c r="WCO31" s="170"/>
      <c r="WCQ31" s="170"/>
      <c r="WCS31" s="170"/>
      <c r="WCU31" s="170"/>
      <c r="WCW31" s="170"/>
      <c r="WCY31" s="170"/>
      <c r="WDA31" s="170"/>
      <c r="WDC31" s="170"/>
      <c r="WDE31" s="170"/>
      <c r="WDG31" s="170"/>
      <c r="WDI31" s="170"/>
      <c r="WDK31" s="170"/>
      <c r="WDM31" s="170"/>
      <c r="WDO31" s="170"/>
      <c r="WDQ31" s="170"/>
      <c r="WDS31" s="170"/>
      <c r="WDU31" s="170"/>
      <c r="WDW31" s="170"/>
      <c r="WDY31" s="170"/>
      <c r="WEA31" s="170"/>
      <c r="WEC31" s="170"/>
      <c r="WEE31" s="170"/>
      <c r="WEG31" s="170"/>
      <c r="WEI31" s="170"/>
      <c r="WEK31" s="170"/>
      <c r="WEM31" s="170"/>
      <c r="WEO31" s="170"/>
      <c r="WEQ31" s="170"/>
      <c r="WES31" s="170"/>
      <c r="WEU31" s="170"/>
      <c r="WEW31" s="170"/>
      <c r="WEY31" s="170"/>
      <c r="WFA31" s="170"/>
      <c r="WFC31" s="170"/>
      <c r="WFE31" s="170"/>
      <c r="WFG31" s="170"/>
      <c r="WFI31" s="170"/>
      <c r="WFK31" s="170"/>
      <c r="WFM31" s="170"/>
      <c r="WFO31" s="170"/>
      <c r="WFQ31" s="170"/>
      <c r="WFS31" s="170"/>
      <c r="WFU31" s="170"/>
      <c r="WFW31" s="170"/>
      <c r="WFY31" s="170"/>
      <c r="WGA31" s="170"/>
      <c r="WGC31" s="170"/>
      <c r="WGE31" s="170"/>
      <c r="WGG31" s="170"/>
      <c r="WGI31" s="170"/>
      <c r="WGK31" s="170"/>
      <c r="WGM31" s="170"/>
      <c r="WGO31" s="170"/>
      <c r="WGQ31" s="170"/>
      <c r="WGS31" s="170"/>
      <c r="WGU31" s="170"/>
      <c r="WGW31" s="170"/>
      <c r="WGY31" s="170"/>
      <c r="WHA31" s="170"/>
      <c r="WHC31" s="170"/>
      <c r="WHE31" s="170"/>
      <c r="WHG31" s="170"/>
      <c r="WHI31" s="170"/>
      <c r="WHK31" s="170"/>
      <c r="WHM31" s="170"/>
      <c r="WHO31" s="170"/>
      <c r="WHQ31" s="170"/>
      <c r="WHS31" s="170"/>
      <c r="WHU31" s="170"/>
      <c r="WHW31" s="170"/>
      <c r="WHY31" s="170"/>
      <c r="WIA31" s="170"/>
      <c r="WIC31" s="170"/>
      <c r="WIE31" s="170"/>
      <c r="WIG31" s="170"/>
      <c r="WII31" s="170"/>
      <c r="WIK31" s="170"/>
      <c r="WIM31" s="170"/>
      <c r="WIO31" s="170"/>
      <c r="WIQ31" s="170"/>
      <c r="WIS31" s="170"/>
      <c r="WIU31" s="170"/>
      <c r="WIW31" s="170"/>
      <c r="WIY31" s="170"/>
      <c r="WJA31" s="170"/>
      <c r="WJC31" s="170"/>
      <c r="WJE31" s="170"/>
      <c r="WJG31" s="170"/>
      <c r="WJI31" s="170"/>
      <c r="WJK31" s="170"/>
      <c r="WJM31" s="170"/>
      <c r="WJO31" s="170"/>
      <c r="WJQ31" s="170"/>
      <c r="WJS31" s="170"/>
      <c r="WJU31" s="170"/>
      <c r="WJW31" s="170"/>
      <c r="WJY31" s="170"/>
      <c r="WKA31" s="170"/>
      <c r="WKC31" s="170"/>
      <c r="WKE31" s="170"/>
      <c r="WKG31" s="170"/>
      <c r="WKI31" s="170"/>
      <c r="WKK31" s="170"/>
      <c r="WKM31" s="170"/>
      <c r="WKO31" s="170"/>
      <c r="WKQ31" s="170"/>
      <c r="WKS31" s="170"/>
      <c r="WKU31" s="170"/>
      <c r="WKW31" s="170"/>
      <c r="WKY31" s="170"/>
      <c r="WLA31" s="170"/>
      <c r="WLC31" s="170"/>
      <c r="WLE31" s="170"/>
      <c r="WLG31" s="170"/>
      <c r="WLI31" s="170"/>
      <c r="WLK31" s="170"/>
      <c r="WLM31" s="170"/>
      <c r="WLO31" s="170"/>
      <c r="WLQ31" s="170"/>
      <c r="WLS31" s="170"/>
      <c r="WLU31" s="170"/>
      <c r="WLW31" s="170"/>
      <c r="WLY31" s="170"/>
      <c r="WMA31" s="170"/>
      <c r="WMC31" s="170"/>
      <c r="WME31" s="170"/>
      <c r="WMG31" s="170"/>
      <c r="WMI31" s="170"/>
      <c r="WMK31" s="170"/>
      <c r="WMM31" s="170"/>
      <c r="WMO31" s="170"/>
      <c r="WMQ31" s="170"/>
      <c r="WMS31" s="170"/>
      <c r="WMU31" s="170"/>
      <c r="WMW31" s="170"/>
      <c r="WMY31" s="170"/>
      <c r="WNA31" s="170"/>
      <c r="WNC31" s="170"/>
      <c r="WNE31" s="170"/>
      <c r="WNG31" s="170"/>
      <c r="WNI31" s="170"/>
      <c r="WNK31" s="170"/>
      <c r="WNM31" s="170"/>
      <c r="WNO31" s="170"/>
      <c r="WNQ31" s="170"/>
      <c r="WNS31" s="170"/>
      <c r="WNU31" s="170"/>
      <c r="WNW31" s="170"/>
      <c r="WNY31" s="170"/>
      <c r="WOA31" s="170"/>
      <c r="WOC31" s="170"/>
      <c r="WOE31" s="170"/>
      <c r="WOG31" s="170"/>
      <c r="WOI31" s="170"/>
      <c r="WOK31" s="170"/>
      <c r="WOM31" s="170"/>
      <c r="WOO31" s="170"/>
      <c r="WOQ31" s="170"/>
      <c r="WOS31" s="170"/>
      <c r="WOU31" s="170"/>
      <c r="WOW31" s="170"/>
      <c r="WOY31" s="170"/>
      <c r="WPA31" s="170"/>
      <c r="WPC31" s="170"/>
      <c r="WPE31" s="170"/>
      <c r="WPG31" s="170"/>
      <c r="WPI31" s="170"/>
      <c r="WPK31" s="170"/>
      <c r="WPM31" s="170"/>
      <c r="WPO31" s="170"/>
      <c r="WPQ31" s="170"/>
      <c r="WPS31" s="170"/>
      <c r="WPU31" s="170"/>
      <c r="WPW31" s="170"/>
      <c r="WPY31" s="170"/>
      <c r="WQA31" s="170"/>
      <c r="WQC31" s="170"/>
      <c r="WQE31" s="170"/>
      <c r="WQG31" s="170"/>
      <c r="WQI31" s="170"/>
      <c r="WQK31" s="170"/>
      <c r="WQM31" s="170"/>
      <c r="WQO31" s="170"/>
      <c r="WQQ31" s="170"/>
      <c r="WQS31" s="170"/>
      <c r="WQU31" s="170"/>
      <c r="WQW31" s="170"/>
      <c r="WQY31" s="170"/>
      <c r="WRA31" s="170"/>
      <c r="WRC31" s="170"/>
      <c r="WRE31" s="170"/>
      <c r="WRG31" s="170"/>
      <c r="WRI31" s="170"/>
      <c r="WRK31" s="170"/>
      <c r="WRM31" s="170"/>
      <c r="WRO31" s="170"/>
      <c r="WRQ31" s="170"/>
      <c r="WRS31" s="170"/>
      <c r="WRU31" s="170"/>
      <c r="WRW31" s="170"/>
      <c r="WRY31" s="170"/>
      <c r="WSA31" s="170"/>
      <c r="WSC31" s="170"/>
      <c r="WSE31" s="170"/>
      <c r="WSG31" s="170"/>
      <c r="WSI31" s="170"/>
      <c r="WSK31" s="170"/>
      <c r="WSM31" s="170"/>
      <c r="WSO31" s="170"/>
      <c r="WSQ31" s="170"/>
      <c r="WSS31" s="170"/>
      <c r="WSU31" s="170"/>
      <c r="WSW31" s="170"/>
      <c r="WSY31" s="170"/>
      <c r="WTA31" s="170"/>
      <c r="WTC31" s="170"/>
      <c r="WTE31" s="170"/>
      <c r="WTG31" s="170"/>
      <c r="WTI31" s="170"/>
      <c r="WTK31" s="170"/>
      <c r="WTM31" s="170"/>
      <c r="WTO31" s="170"/>
      <c r="WTQ31" s="170"/>
      <c r="WTS31" s="170"/>
      <c r="WTU31" s="170"/>
      <c r="WTW31" s="170"/>
      <c r="WTY31" s="170"/>
      <c r="WUA31" s="170"/>
      <c r="WUC31" s="170"/>
      <c r="WUE31" s="170"/>
      <c r="WUG31" s="170"/>
      <c r="WUI31" s="170"/>
      <c r="WUK31" s="170"/>
      <c r="WUM31" s="170"/>
      <c r="WUO31" s="170"/>
      <c r="WUQ31" s="170"/>
      <c r="WUS31" s="170"/>
      <c r="WUU31" s="170"/>
      <c r="WUW31" s="170"/>
      <c r="WUY31" s="170"/>
      <c r="WVA31" s="170"/>
      <c r="WVC31" s="170"/>
      <c r="WVE31" s="170"/>
      <c r="WVG31" s="170"/>
      <c r="WVI31" s="170"/>
      <c r="WVK31" s="170"/>
      <c r="WVM31" s="170"/>
      <c r="WVO31" s="170"/>
      <c r="WVQ31" s="170"/>
      <c r="WVS31" s="170"/>
      <c r="WVU31" s="170"/>
      <c r="WVW31" s="170"/>
      <c r="WVY31" s="170"/>
      <c r="WWA31" s="170"/>
      <c r="WWC31" s="170"/>
      <c r="WWE31" s="170"/>
      <c r="WWG31" s="170"/>
      <c r="WWI31" s="170"/>
      <c r="WWK31" s="170"/>
      <c r="WWM31" s="170"/>
      <c r="WWO31" s="170"/>
      <c r="WWQ31" s="170"/>
      <c r="WWS31" s="170"/>
      <c r="WWU31" s="170"/>
      <c r="WWW31" s="170"/>
      <c r="WWY31" s="170"/>
      <c r="WXA31" s="170"/>
      <c r="WXC31" s="170"/>
      <c r="WXE31" s="170"/>
      <c r="WXG31" s="170"/>
      <c r="WXI31" s="170"/>
      <c r="WXK31" s="170"/>
      <c r="WXM31" s="170"/>
      <c r="WXO31" s="170"/>
      <c r="WXQ31" s="170"/>
      <c r="WXS31" s="170"/>
      <c r="WXU31" s="170"/>
      <c r="WXW31" s="170"/>
      <c r="WXY31" s="170"/>
      <c r="WYA31" s="170"/>
      <c r="WYC31" s="170"/>
      <c r="WYE31" s="170"/>
      <c r="WYG31" s="170"/>
      <c r="WYI31" s="170"/>
      <c r="WYK31" s="170"/>
      <c r="WYM31" s="170"/>
      <c r="WYO31" s="170"/>
      <c r="WYQ31" s="170"/>
      <c r="WYS31" s="170"/>
      <c r="WYU31" s="170"/>
      <c r="WYW31" s="170"/>
      <c r="WYY31" s="170"/>
      <c r="WZA31" s="170"/>
      <c r="WZC31" s="170"/>
      <c r="WZE31" s="170"/>
      <c r="WZG31" s="170"/>
      <c r="WZI31" s="170"/>
      <c r="WZK31" s="170"/>
      <c r="WZM31" s="170"/>
      <c r="WZO31" s="170"/>
      <c r="WZQ31" s="170"/>
      <c r="WZS31" s="170"/>
      <c r="WZU31" s="170"/>
      <c r="WZW31" s="170"/>
      <c r="WZY31" s="170"/>
      <c r="XAA31" s="170"/>
      <c r="XAC31" s="170"/>
      <c r="XAE31" s="170"/>
      <c r="XAG31" s="170"/>
      <c r="XAI31" s="170"/>
      <c r="XAK31" s="170"/>
      <c r="XAM31" s="170"/>
      <c r="XAO31" s="170"/>
      <c r="XAQ31" s="170"/>
      <c r="XAS31" s="170"/>
      <c r="XAU31" s="170"/>
      <c r="XAW31" s="170"/>
      <c r="XAY31" s="170"/>
      <c r="XBA31" s="170"/>
      <c r="XBC31" s="170"/>
      <c r="XBE31" s="170"/>
      <c r="XBG31" s="170"/>
      <c r="XBI31" s="170"/>
      <c r="XBK31" s="170"/>
      <c r="XBM31" s="170"/>
      <c r="XBO31" s="170"/>
      <c r="XBQ31" s="170"/>
      <c r="XBS31" s="170"/>
      <c r="XBU31" s="170"/>
      <c r="XBW31" s="170"/>
      <c r="XBY31" s="170"/>
      <c r="XCA31" s="170"/>
      <c r="XCC31" s="170"/>
      <c r="XCE31" s="170"/>
      <c r="XCG31" s="170"/>
      <c r="XCI31" s="170"/>
      <c r="XCK31" s="170"/>
      <c r="XCM31" s="170"/>
      <c r="XCO31" s="170"/>
      <c r="XCQ31" s="170"/>
      <c r="XCS31" s="170"/>
      <c r="XCU31" s="170"/>
      <c r="XCW31" s="170"/>
      <c r="XCY31" s="170"/>
      <c r="XDA31" s="170"/>
      <c r="XDC31" s="170"/>
      <c r="XDE31" s="170"/>
      <c r="XDG31" s="170"/>
      <c r="XDI31" s="170"/>
      <c r="XDK31" s="170"/>
      <c r="XDM31" s="170"/>
      <c r="XDO31" s="170"/>
      <c r="XDQ31" s="170"/>
      <c r="XDS31" s="170"/>
      <c r="XDU31" s="170"/>
      <c r="XDW31" s="170"/>
      <c r="XDY31" s="170"/>
      <c r="XEA31" s="170"/>
      <c r="XEC31" s="170"/>
      <c r="XEE31" s="170"/>
      <c r="XEG31" s="170"/>
      <c r="XEI31" s="170"/>
      <c r="XEK31" s="170"/>
      <c r="XEM31" s="170"/>
      <c r="XEO31" s="170"/>
      <c r="XEQ31" s="170"/>
      <c r="XES31" s="170"/>
      <c r="XEU31" s="170"/>
      <c r="XEW31" s="170"/>
      <c r="XEY31" s="170"/>
      <c r="XFA31" s="170"/>
    </row>
    <row r="32" spans="1:16382" ht="3" customHeight="1" thickBot="1" x14ac:dyDescent="0.25">
      <c r="A32" s="388"/>
      <c r="B32" s="388"/>
      <c r="C32" s="388"/>
      <c r="D32" s="388"/>
      <c r="E32" s="388"/>
      <c r="F32" s="388"/>
      <c r="G32" s="388"/>
      <c r="H32" s="388"/>
      <c r="I32" s="388"/>
      <c r="J32" s="388"/>
      <c r="K32" s="388"/>
      <c r="L32" s="388"/>
      <c r="M32" s="170"/>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c r="CV32" s="388"/>
      <c r="CW32" s="388"/>
      <c r="CX32" s="388"/>
      <c r="CY32" s="388"/>
      <c r="CZ32" s="388"/>
      <c r="DA32" s="388"/>
      <c r="DB32" s="388"/>
      <c r="DC32" s="388"/>
      <c r="DD32" s="388"/>
      <c r="DE32" s="388"/>
      <c r="DF32" s="388"/>
      <c r="DG32" s="388"/>
      <c r="DH32" s="388"/>
      <c r="DI32" s="388"/>
      <c r="DJ32" s="388"/>
      <c r="DK32" s="388"/>
      <c r="DL32" s="388"/>
      <c r="DM32" s="388"/>
      <c r="DN32" s="388"/>
      <c r="DO32" s="388"/>
      <c r="DP32" s="388"/>
      <c r="DQ32" s="388"/>
      <c r="DR32" s="388"/>
      <c r="DS32" s="388"/>
      <c r="DT32" s="388"/>
      <c r="DU32" s="388"/>
      <c r="DV32" s="388"/>
      <c r="DW32" s="388"/>
      <c r="DX32" s="388"/>
      <c r="DY32" s="388"/>
      <c r="DZ32" s="388"/>
      <c r="EA32" s="388"/>
      <c r="EB32" s="388"/>
      <c r="EC32" s="388"/>
      <c r="ED32" s="388"/>
      <c r="EE32" s="388"/>
      <c r="EF32" s="388"/>
      <c r="EG32" s="388"/>
      <c r="EH32" s="388"/>
      <c r="EI32" s="388"/>
      <c r="EJ32" s="388"/>
      <c r="EK32" s="388"/>
      <c r="EL32" s="388"/>
      <c r="EM32" s="388"/>
      <c r="EN32" s="388"/>
      <c r="EO32" s="388"/>
      <c r="EP32" s="388"/>
      <c r="EQ32" s="388"/>
      <c r="ER32" s="388"/>
      <c r="ES32" s="388"/>
      <c r="ET32" s="388"/>
      <c r="EU32" s="388"/>
      <c r="EV32" s="388"/>
      <c r="EW32" s="388"/>
      <c r="EX32" s="388"/>
      <c r="EY32" s="388"/>
      <c r="EZ32" s="388"/>
      <c r="FA32" s="388"/>
      <c r="FB32" s="388"/>
      <c r="FC32" s="388"/>
      <c r="FD32" s="388"/>
      <c r="FE32" s="388"/>
      <c r="FF32" s="388"/>
      <c r="FG32" s="388"/>
      <c r="FH32" s="388"/>
      <c r="FI32" s="388"/>
      <c r="FJ32" s="388"/>
      <c r="FK32" s="388"/>
      <c r="FL32" s="388"/>
      <c r="FM32" s="388"/>
      <c r="FN32" s="388"/>
      <c r="FO32" s="388"/>
      <c r="FP32" s="388"/>
      <c r="FQ32" s="388"/>
      <c r="FR32" s="388"/>
      <c r="FS32" s="388"/>
      <c r="FT32" s="388"/>
      <c r="FU32" s="388"/>
      <c r="FV32" s="388"/>
      <c r="FW32" s="388"/>
      <c r="FX32" s="388"/>
      <c r="FY32" s="388"/>
      <c r="FZ32" s="388"/>
      <c r="GA32" s="388"/>
      <c r="GB32" s="388"/>
      <c r="GC32" s="388"/>
      <c r="GD32" s="388"/>
      <c r="GE32" s="388"/>
      <c r="GF32" s="388"/>
      <c r="GG32" s="388"/>
      <c r="GH32" s="388"/>
      <c r="GI32" s="388"/>
      <c r="GJ32" s="388"/>
      <c r="GK32" s="388"/>
      <c r="GL32" s="388"/>
      <c r="GM32" s="388"/>
      <c r="GN32" s="388"/>
      <c r="GO32" s="388"/>
      <c r="GP32" s="388"/>
      <c r="GQ32" s="388"/>
      <c r="GR32" s="388"/>
      <c r="GS32" s="388"/>
      <c r="GT32" s="388"/>
      <c r="GU32" s="388"/>
      <c r="GV32" s="388"/>
      <c r="GW32" s="388"/>
      <c r="GX32" s="388"/>
      <c r="GY32" s="388"/>
      <c r="GZ32" s="388"/>
      <c r="HA32" s="388"/>
      <c r="HB32" s="388"/>
      <c r="HC32" s="388"/>
      <c r="HD32" s="388"/>
      <c r="HE32" s="388"/>
      <c r="HF32" s="388"/>
      <c r="HG32" s="388"/>
      <c r="HH32" s="388"/>
      <c r="HI32" s="388"/>
      <c r="HJ32" s="388"/>
      <c r="HK32" s="388"/>
      <c r="HL32" s="388"/>
      <c r="HM32" s="388"/>
      <c r="HN32" s="388"/>
      <c r="HO32" s="388"/>
      <c r="HP32" s="388"/>
      <c r="HQ32" s="388"/>
      <c r="HR32" s="388"/>
      <c r="HS32" s="388"/>
      <c r="HT32" s="388"/>
      <c r="HU32" s="388"/>
      <c r="HV32" s="388"/>
      <c r="HW32" s="388"/>
      <c r="HX32" s="388"/>
      <c r="HY32" s="388"/>
      <c r="HZ32" s="388"/>
      <c r="IA32" s="388"/>
      <c r="IB32" s="388"/>
      <c r="IC32" s="388"/>
      <c r="ID32" s="388"/>
      <c r="IE32" s="388"/>
      <c r="IF32" s="388"/>
      <c r="IG32" s="388"/>
      <c r="IH32" s="388"/>
      <c r="II32" s="388"/>
      <c r="IJ32" s="388"/>
      <c r="IK32" s="388"/>
      <c r="IL32" s="388"/>
      <c r="IM32" s="388"/>
      <c r="IN32" s="388"/>
      <c r="IO32" s="388"/>
      <c r="IP32" s="388"/>
      <c r="IQ32" s="388"/>
      <c r="IR32" s="388"/>
      <c r="IS32" s="388"/>
      <c r="IT32" s="388"/>
      <c r="IU32" s="388"/>
      <c r="IV32" s="388"/>
      <c r="IW32" s="388"/>
      <c r="IX32" s="388"/>
      <c r="IY32" s="388"/>
      <c r="IZ32" s="388"/>
      <c r="JA32" s="388"/>
      <c r="JB32" s="388"/>
      <c r="JC32" s="388"/>
      <c r="JD32" s="388"/>
      <c r="JE32" s="388"/>
      <c r="JF32" s="388"/>
      <c r="JG32" s="388"/>
      <c r="JH32" s="388"/>
      <c r="JI32" s="388"/>
      <c r="JJ32" s="388"/>
      <c r="JK32" s="388"/>
      <c r="JL32" s="388"/>
      <c r="JM32" s="388"/>
      <c r="JN32" s="388"/>
      <c r="JO32" s="388"/>
      <c r="JP32" s="388"/>
      <c r="JQ32" s="388"/>
      <c r="JR32" s="388"/>
      <c r="JS32" s="388"/>
      <c r="JT32" s="388"/>
      <c r="JU32" s="388"/>
      <c r="JV32" s="388"/>
      <c r="JW32" s="388"/>
      <c r="JX32" s="388"/>
      <c r="JY32" s="388"/>
      <c r="JZ32" s="388"/>
      <c r="KA32" s="388"/>
      <c r="KB32" s="388"/>
      <c r="KC32" s="388"/>
      <c r="KD32" s="388"/>
      <c r="KE32" s="388"/>
      <c r="KF32" s="388"/>
      <c r="KG32" s="388"/>
      <c r="KH32" s="388"/>
      <c r="KI32" s="388"/>
      <c r="KJ32" s="388"/>
      <c r="KK32" s="388"/>
      <c r="KL32" s="388"/>
      <c r="KM32" s="388"/>
      <c r="KN32" s="388"/>
      <c r="KO32" s="388"/>
      <c r="KP32" s="388"/>
      <c r="KQ32" s="388"/>
      <c r="KR32" s="388"/>
      <c r="KS32" s="388"/>
      <c r="KT32" s="388"/>
      <c r="KU32" s="388"/>
      <c r="KV32" s="388"/>
      <c r="KW32" s="388"/>
      <c r="KX32" s="388"/>
      <c r="KY32" s="388"/>
      <c r="KZ32" s="388"/>
      <c r="LA32" s="388"/>
      <c r="LB32" s="388"/>
      <c r="LC32" s="388"/>
      <c r="LD32" s="388"/>
      <c r="LE32" s="388"/>
      <c r="LF32" s="388"/>
      <c r="LG32" s="388"/>
      <c r="LH32" s="388"/>
      <c r="LI32" s="388"/>
      <c r="LJ32" s="388"/>
      <c r="LK32" s="388"/>
      <c r="LL32" s="388"/>
      <c r="LM32" s="388"/>
      <c r="LN32" s="388"/>
      <c r="LO32" s="388"/>
      <c r="LP32" s="388"/>
      <c r="LQ32" s="388"/>
      <c r="LR32" s="388"/>
      <c r="LS32" s="388"/>
      <c r="LT32" s="388"/>
      <c r="LU32" s="388"/>
      <c r="LV32" s="388"/>
      <c r="LW32" s="388"/>
      <c r="LX32" s="388"/>
      <c r="LY32" s="388"/>
      <c r="LZ32" s="388"/>
      <c r="MA32" s="388"/>
      <c r="MB32" s="388"/>
      <c r="MC32" s="388"/>
      <c r="MD32" s="388"/>
      <c r="ME32" s="388"/>
      <c r="MF32" s="388"/>
      <c r="MG32" s="388"/>
      <c r="MH32" s="388"/>
      <c r="MI32" s="388"/>
      <c r="MJ32" s="388"/>
      <c r="MK32" s="388"/>
      <c r="ML32" s="388"/>
      <c r="MM32" s="388"/>
      <c r="MN32" s="388"/>
      <c r="MO32" s="388"/>
      <c r="MP32" s="388"/>
      <c r="MQ32" s="388"/>
      <c r="MR32" s="388"/>
      <c r="MS32" s="388"/>
      <c r="MT32" s="388"/>
      <c r="MU32" s="388"/>
      <c r="MV32" s="388"/>
      <c r="MW32" s="388"/>
      <c r="MX32" s="388"/>
      <c r="MY32" s="388"/>
      <c r="MZ32" s="388"/>
      <c r="NA32" s="388"/>
      <c r="NB32" s="388"/>
      <c r="NC32" s="388"/>
      <c r="ND32" s="388"/>
      <c r="NE32" s="388"/>
      <c r="NF32" s="388"/>
      <c r="NG32" s="388"/>
      <c r="NH32" s="388"/>
      <c r="NI32" s="388"/>
      <c r="NJ32" s="388"/>
      <c r="NK32" s="388"/>
      <c r="NL32" s="388"/>
      <c r="NM32" s="388"/>
      <c r="NN32" s="388"/>
      <c r="NO32" s="388"/>
      <c r="NP32" s="388"/>
      <c r="NQ32" s="388"/>
      <c r="NR32" s="388"/>
      <c r="NS32" s="388"/>
      <c r="NT32" s="388"/>
      <c r="NU32" s="388"/>
      <c r="NV32" s="388"/>
      <c r="NW32" s="388"/>
      <c r="NX32" s="388"/>
      <c r="NY32" s="388"/>
      <c r="NZ32" s="388"/>
      <c r="OA32" s="388"/>
      <c r="OB32" s="388"/>
      <c r="OC32" s="388"/>
      <c r="OD32" s="388"/>
      <c r="OE32" s="388"/>
      <c r="OF32" s="388"/>
      <c r="OG32" s="388"/>
      <c r="OH32" s="388"/>
      <c r="OI32" s="388"/>
      <c r="OJ32" s="388"/>
      <c r="OK32" s="388"/>
      <c r="OL32" s="388"/>
      <c r="OM32" s="388"/>
      <c r="ON32" s="388"/>
      <c r="OO32" s="388"/>
      <c r="OP32" s="388"/>
      <c r="OQ32" s="388"/>
      <c r="OR32" s="388"/>
      <c r="OS32" s="388"/>
      <c r="OT32" s="388"/>
      <c r="OU32" s="388"/>
      <c r="OV32" s="388"/>
      <c r="OW32" s="388"/>
      <c r="OX32" s="388"/>
      <c r="OY32" s="388"/>
      <c r="OZ32" s="388"/>
      <c r="PA32" s="388"/>
      <c r="PB32" s="388"/>
      <c r="PC32" s="388"/>
      <c r="PD32" s="388"/>
      <c r="PE32" s="388"/>
      <c r="PF32" s="388"/>
      <c r="PG32" s="388"/>
      <c r="PH32" s="388"/>
      <c r="PI32" s="388"/>
      <c r="PJ32" s="388"/>
      <c r="PK32" s="388"/>
      <c r="PL32" s="388"/>
      <c r="PM32" s="388"/>
      <c r="PN32" s="388"/>
      <c r="PO32" s="388"/>
      <c r="PP32" s="388"/>
      <c r="PQ32" s="388"/>
      <c r="PR32" s="388"/>
      <c r="PS32" s="388"/>
      <c r="PT32" s="388"/>
      <c r="PU32" s="388"/>
      <c r="PV32" s="388"/>
      <c r="PW32" s="388"/>
      <c r="PX32" s="388"/>
      <c r="PY32" s="388"/>
      <c r="PZ32" s="388"/>
      <c r="QA32" s="388"/>
      <c r="QB32" s="388"/>
      <c r="QC32" s="388"/>
      <c r="QD32" s="388"/>
      <c r="QE32" s="388"/>
      <c r="QF32" s="388"/>
      <c r="QG32" s="388"/>
      <c r="QH32" s="388"/>
      <c r="QI32" s="388"/>
      <c r="QJ32" s="388"/>
      <c r="QK32" s="388"/>
      <c r="QL32" s="388"/>
      <c r="QM32" s="388"/>
      <c r="QN32" s="388"/>
      <c r="QO32" s="388"/>
      <c r="QP32" s="388"/>
      <c r="QQ32" s="388"/>
      <c r="QR32" s="388"/>
      <c r="QS32" s="388"/>
      <c r="QT32" s="388"/>
      <c r="QU32" s="388"/>
      <c r="QV32" s="388"/>
      <c r="QW32" s="388"/>
      <c r="QX32" s="388"/>
      <c r="QY32" s="388"/>
      <c r="QZ32" s="388"/>
      <c r="RA32" s="388"/>
      <c r="RB32" s="388"/>
      <c r="RC32" s="388"/>
      <c r="RD32" s="388"/>
      <c r="RE32" s="388"/>
      <c r="RF32" s="388"/>
      <c r="RG32" s="388"/>
      <c r="RH32" s="388"/>
      <c r="RI32" s="388"/>
      <c r="RJ32" s="388"/>
      <c r="RK32" s="388"/>
      <c r="RL32" s="388"/>
      <c r="RM32" s="388"/>
      <c r="RN32" s="388"/>
      <c r="RO32" s="388"/>
      <c r="RP32" s="388"/>
      <c r="RQ32" s="388"/>
      <c r="RR32" s="388"/>
      <c r="RS32" s="388"/>
      <c r="RT32" s="388"/>
      <c r="RU32" s="388"/>
      <c r="RV32" s="388"/>
      <c r="RW32" s="388"/>
      <c r="RX32" s="388"/>
      <c r="RY32" s="388"/>
      <c r="RZ32" s="388"/>
      <c r="SA32" s="388"/>
      <c r="SB32" s="388"/>
      <c r="SC32" s="388"/>
      <c r="SD32" s="388"/>
      <c r="SE32" s="388"/>
      <c r="SF32" s="388"/>
      <c r="SG32" s="388"/>
      <c r="SH32" s="388"/>
      <c r="SI32" s="388"/>
      <c r="SJ32" s="388"/>
      <c r="SK32" s="388"/>
      <c r="SL32" s="388"/>
      <c r="SM32" s="388"/>
      <c r="SN32" s="388"/>
      <c r="SO32" s="388"/>
      <c r="SP32" s="388"/>
      <c r="SQ32" s="388"/>
      <c r="SR32" s="388"/>
      <c r="SS32" s="388"/>
      <c r="ST32" s="388"/>
      <c r="SU32" s="388"/>
      <c r="SV32" s="388"/>
      <c r="SW32" s="388"/>
      <c r="SX32" s="388"/>
      <c r="SY32" s="388"/>
      <c r="SZ32" s="388"/>
      <c r="TA32" s="388"/>
      <c r="TB32" s="388"/>
      <c r="TC32" s="388"/>
      <c r="TD32" s="388"/>
      <c r="TE32" s="388"/>
      <c r="TF32" s="388"/>
      <c r="TG32" s="388"/>
      <c r="TH32" s="388"/>
      <c r="TI32" s="388"/>
      <c r="TJ32" s="388"/>
      <c r="TK32" s="388"/>
      <c r="TL32" s="388"/>
      <c r="TM32" s="388"/>
      <c r="TN32" s="388"/>
      <c r="TO32" s="388"/>
      <c r="TP32" s="388"/>
      <c r="TQ32" s="388"/>
      <c r="TR32" s="388"/>
      <c r="TS32" s="388"/>
      <c r="TT32" s="388"/>
      <c r="TU32" s="388"/>
      <c r="TV32" s="388"/>
      <c r="TW32" s="388"/>
      <c r="TX32" s="388"/>
      <c r="TY32" s="388"/>
      <c r="TZ32" s="388"/>
      <c r="UA32" s="388"/>
      <c r="UB32" s="388"/>
      <c r="UC32" s="388"/>
      <c r="UD32" s="388"/>
      <c r="UE32" s="388"/>
      <c r="UF32" s="388"/>
      <c r="UG32" s="388"/>
      <c r="UH32" s="388"/>
      <c r="UI32" s="388"/>
      <c r="UJ32" s="388"/>
      <c r="UK32" s="388"/>
      <c r="UL32" s="388"/>
      <c r="UM32" s="388"/>
      <c r="UN32" s="388"/>
      <c r="UO32" s="388"/>
      <c r="UP32" s="388"/>
      <c r="UQ32" s="388"/>
      <c r="UR32" s="388"/>
      <c r="US32" s="388"/>
      <c r="UT32" s="388"/>
      <c r="UU32" s="388"/>
      <c r="UV32" s="388"/>
      <c r="UW32" s="388"/>
      <c r="UX32" s="388"/>
      <c r="UY32" s="388"/>
      <c r="UZ32" s="388"/>
      <c r="VA32" s="388"/>
      <c r="VB32" s="388"/>
      <c r="VC32" s="388"/>
      <c r="VD32" s="388"/>
      <c r="VE32" s="388"/>
      <c r="VF32" s="388"/>
      <c r="VG32" s="388"/>
      <c r="VH32" s="388"/>
      <c r="VI32" s="388"/>
      <c r="VJ32" s="388"/>
      <c r="VK32" s="388"/>
      <c r="VL32" s="388"/>
      <c r="VM32" s="388"/>
      <c r="VN32" s="388"/>
      <c r="VO32" s="388"/>
      <c r="VP32" s="388"/>
      <c r="VQ32" s="388"/>
      <c r="VR32" s="388"/>
      <c r="VS32" s="388"/>
      <c r="VT32" s="388"/>
      <c r="VU32" s="388"/>
      <c r="VV32" s="388"/>
      <c r="VW32" s="388"/>
      <c r="VX32" s="388"/>
      <c r="VY32" s="388"/>
      <c r="VZ32" s="388"/>
      <c r="WA32" s="388"/>
      <c r="WB32" s="388"/>
      <c r="WC32" s="388"/>
      <c r="WD32" s="388"/>
      <c r="WE32" s="388"/>
      <c r="WF32" s="388"/>
      <c r="WG32" s="388"/>
      <c r="WH32" s="388"/>
      <c r="WI32" s="388"/>
      <c r="WJ32" s="388"/>
      <c r="WK32" s="388"/>
      <c r="WL32" s="388"/>
      <c r="WM32" s="388"/>
      <c r="WN32" s="388"/>
      <c r="WO32" s="388"/>
      <c r="WP32" s="388"/>
      <c r="WQ32" s="388"/>
      <c r="WR32" s="388"/>
      <c r="WS32" s="388"/>
      <c r="WT32" s="388"/>
      <c r="WU32" s="388"/>
      <c r="WV32" s="388"/>
      <c r="WW32" s="388"/>
      <c r="WX32" s="388"/>
      <c r="WY32" s="388"/>
      <c r="WZ32" s="388"/>
      <c r="XA32" s="388"/>
      <c r="XB32" s="388"/>
      <c r="XC32" s="388"/>
      <c r="XD32" s="388"/>
      <c r="XE32" s="388"/>
      <c r="XF32" s="388"/>
      <c r="XG32" s="388"/>
      <c r="XH32" s="388"/>
      <c r="XI32" s="388"/>
      <c r="XJ32" s="388"/>
      <c r="XK32" s="388"/>
      <c r="XL32" s="388"/>
      <c r="XM32" s="388"/>
      <c r="XN32" s="388"/>
      <c r="XO32" s="388"/>
      <c r="XP32" s="388"/>
      <c r="XQ32" s="388"/>
      <c r="XR32" s="388"/>
      <c r="XS32" s="388"/>
      <c r="XT32" s="388"/>
      <c r="XU32" s="388"/>
      <c r="XV32" s="388"/>
      <c r="XW32" s="388"/>
      <c r="XX32" s="388"/>
      <c r="XY32" s="388"/>
      <c r="XZ32" s="388"/>
      <c r="YA32" s="388"/>
      <c r="YB32" s="388"/>
      <c r="YC32" s="388"/>
      <c r="YD32" s="388"/>
      <c r="YE32" s="388"/>
      <c r="YF32" s="388"/>
      <c r="YG32" s="388"/>
      <c r="YH32" s="388"/>
      <c r="YI32" s="388"/>
      <c r="YJ32" s="388"/>
      <c r="YK32" s="388"/>
      <c r="YL32" s="388"/>
      <c r="YM32" s="388"/>
      <c r="YN32" s="388"/>
      <c r="YO32" s="388"/>
      <c r="YP32" s="388"/>
      <c r="YQ32" s="388"/>
      <c r="YR32" s="388"/>
      <c r="YS32" s="388"/>
      <c r="YT32" s="388"/>
      <c r="YU32" s="388"/>
      <c r="YV32" s="388"/>
      <c r="YW32" s="388"/>
      <c r="YX32" s="388"/>
      <c r="YY32" s="388"/>
      <c r="YZ32" s="388"/>
      <c r="ZA32" s="388"/>
      <c r="ZB32" s="388"/>
      <c r="ZC32" s="388"/>
      <c r="ZD32" s="388"/>
      <c r="ZE32" s="388"/>
      <c r="ZF32" s="388"/>
      <c r="ZG32" s="388"/>
      <c r="ZH32" s="388"/>
      <c r="ZI32" s="388"/>
      <c r="ZJ32" s="388"/>
      <c r="ZK32" s="388"/>
      <c r="ZL32" s="388"/>
      <c r="ZM32" s="388"/>
      <c r="ZN32" s="388"/>
      <c r="ZO32" s="388"/>
      <c r="ZP32" s="388"/>
      <c r="ZQ32" s="388"/>
      <c r="ZR32" s="388"/>
      <c r="ZS32" s="388"/>
      <c r="ZT32" s="388"/>
      <c r="ZU32" s="388"/>
      <c r="ZV32" s="388"/>
      <c r="ZW32" s="388"/>
      <c r="ZX32" s="388"/>
      <c r="ZY32" s="388"/>
      <c r="ZZ32" s="388"/>
      <c r="AAA32" s="388"/>
      <c r="AAB32" s="388"/>
      <c r="AAC32" s="388"/>
      <c r="AAD32" s="388"/>
      <c r="AAE32" s="388"/>
      <c r="AAF32" s="388"/>
      <c r="AAG32" s="388"/>
      <c r="AAH32" s="388"/>
      <c r="AAI32" s="388"/>
      <c r="AAJ32" s="388"/>
      <c r="AAK32" s="388"/>
      <c r="AAL32" s="388"/>
      <c r="AAM32" s="388"/>
      <c r="AAN32" s="388"/>
      <c r="AAO32" s="388"/>
      <c r="AAP32" s="388"/>
      <c r="AAQ32" s="388"/>
      <c r="AAR32" s="388"/>
      <c r="AAS32" s="388"/>
      <c r="AAT32" s="388"/>
      <c r="AAU32" s="388"/>
      <c r="AAV32" s="388"/>
      <c r="AAW32" s="388"/>
      <c r="AAX32" s="388"/>
      <c r="AAY32" s="388"/>
      <c r="AAZ32" s="388"/>
      <c r="ABA32" s="388"/>
      <c r="ABB32" s="388"/>
      <c r="ABC32" s="388"/>
      <c r="ABD32" s="388"/>
      <c r="ABE32" s="388"/>
      <c r="ABF32" s="388"/>
      <c r="ABG32" s="388"/>
      <c r="ABH32" s="388"/>
      <c r="ABI32" s="388"/>
      <c r="ABJ32" s="388"/>
      <c r="ABK32" s="388"/>
      <c r="ABL32" s="388"/>
      <c r="ABM32" s="388"/>
      <c r="ABN32" s="388"/>
      <c r="ABO32" s="388"/>
      <c r="ABP32" s="388"/>
      <c r="ABQ32" s="388"/>
      <c r="ABR32" s="388"/>
      <c r="ABS32" s="388"/>
      <c r="ABT32" s="388"/>
      <c r="ABU32" s="388"/>
      <c r="ABV32" s="388"/>
      <c r="ABW32" s="388"/>
      <c r="ABX32" s="388"/>
      <c r="ABY32" s="388"/>
      <c r="ABZ32" s="388"/>
      <c r="ACA32" s="388"/>
      <c r="ACB32" s="388"/>
      <c r="ACC32" s="388"/>
      <c r="ACD32" s="388"/>
      <c r="ACE32" s="388"/>
      <c r="ACF32" s="388"/>
      <c r="ACG32" s="388"/>
      <c r="ACH32" s="388"/>
      <c r="ACI32" s="388"/>
      <c r="ACJ32" s="388"/>
      <c r="ACK32" s="388"/>
      <c r="ACL32" s="388"/>
      <c r="ACM32" s="388"/>
      <c r="ACN32" s="388"/>
      <c r="ACO32" s="388"/>
      <c r="ACP32" s="388"/>
      <c r="ACQ32" s="388"/>
      <c r="ACR32" s="388"/>
      <c r="ACS32" s="388"/>
      <c r="ACT32" s="388"/>
      <c r="ACU32" s="388"/>
      <c r="ACV32" s="388"/>
      <c r="ACW32" s="388"/>
      <c r="ACX32" s="388"/>
      <c r="ACY32" s="388"/>
      <c r="ACZ32" s="388"/>
      <c r="ADA32" s="388"/>
      <c r="ADB32" s="388"/>
      <c r="ADC32" s="388"/>
      <c r="ADD32" s="388"/>
      <c r="ADE32" s="388"/>
      <c r="ADF32" s="388"/>
      <c r="ADG32" s="388"/>
      <c r="ADH32" s="388"/>
      <c r="ADI32" s="388"/>
      <c r="ADJ32" s="388"/>
      <c r="ADK32" s="388"/>
      <c r="ADL32" s="388"/>
      <c r="ADM32" s="388"/>
      <c r="ADN32" s="388"/>
      <c r="ADO32" s="388"/>
      <c r="ADP32" s="388"/>
      <c r="ADQ32" s="388"/>
      <c r="ADR32" s="388"/>
      <c r="ADS32" s="388"/>
      <c r="ADT32" s="388"/>
      <c r="ADU32" s="388"/>
      <c r="ADV32" s="388"/>
      <c r="ADW32" s="388"/>
      <c r="ADX32" s="388"/>
      <c r="ADY32" s="388"/>
      <c r="ADZ32" s="388"/>
      <c r="AEA32" s="388"/>
      <c r="AEB32" s="388"/>
      <c r="AEC32" s="388"/>
      <c r="AED32" s="388"/>
      <c r="AEE32" s="388"/>
      <c r="AEF32" s="388"/>
      <c r="AEG32" s="388"/>
      <c r="AEH32" s="388"/>
      <c r="AEI32" s="388"/>
      <c r="AEJ32" s="388"/>
      <c r="AEK32" s="388"/>
      <c r="AEL32" s="388"/>
      <c r="AEM32" s="388"/>
      <c r="AEN32" s="388"/>
      <c r="AEO32" s="388"/>
      <c r="AEP32" s="388"/>
      <c r="AEQ32" s="388"/>
      <c r="AER32" s="388"/>
      <c r="AES32" s="388"/>
      <c r="AET32" s="388"/>
      <c r="AEU32" s="388"/>
      <c r="AEV32" s="388"/>
      <c r="AEW32" s="388"/>
      <c r="AEX32" s="388"/>
      <c r="AEY32" s="388"/>
      <c r="AEZ32" s="388"/>
      <c r="AFA32" s="388"/>
      <c r="AFB32" s="388"/>
      <c r="AFC32" s="388"/>
      <c r="AFD32" s="388"/>
      <c r="AFE32" s="388"/>
      <c r="AFF32" s="388"/>
      <c r="AFG32" s="388"/>
      <c r="AFH32" s="388"/>
      <c r="AFI32" s="388"/>
      <c r="AFJ32" s="388"/>
      <c r="AFK32" s="388"/>
      <c r="AFL32" s="388"/>
      <c r="AFM32" s="388"/>
      <c r="AFN32" s="388"/>
      <c r="AFO32" s="388"/>
      <c r="AFP32" s="388"/>
      <c r="AFQ32" s="388"/>
      <c r="AFR32" s="388"/>
      <c r="AFS32" s="388"/>
      <c r="AFT32" s="388"/>
      <c r="AFU32" s="388"/>
      <c r="AFV32" s="388"/>
      <c r="AFW32" s="388"/>
      <c r="AFX32" s="388"/>
      <c r="AFY32" s="388"/>
      <c r="AFZ32" s="388"/>
      <c r="AGA32" s="388"/>
      <c r="AGB32" s="388"/>
      <c r="AGC32" s="388"/>
      <c r="AGD32" s="388"/>
      <c r="AGE32" s="388"/>
      <c r="AGF32" s="388"/>
      <c r="AGG32" s="388"/>
      <c r="AGH32" s="388"/>
      <c r="AGI32" s="388"/>
      <c r="AGJ32" s="388"/>
      <c r="AGK32" s="388"/>
      <c r="AGL32" s="388"/>
      <c r="AGM32" s="388"/>
      <c r="AGN32" s="388"/>
      <c r="AGO32" s="388"/>
      <c r="AGP32" s="388"/>
      <c r="AGQ32" s="388"/>
      <c r="AGR32" s="388"/>
      <c r="AGS32" s="388"/>
      <c r="AGT32" s="388"/>
      <c r="AGU32" s="388"/>
      <c r="AGV32" s="388"/>
      <c r="AGW32" s="388"/>
      <c r="AGX32" s="388"/>
      <c r="AGY32" s="388"/>
      <c r="AGZ32" s="388"/>
      <c r="AHA32" s="388"/>
      <c r="AHB32" s="388"/>
      <c r="AHC32" s="388"/>
      <c r="AHD32" s="388"/>
      <c r="AHE32" s="388"/>
      <c r="AHF32" s="388"/>
      <c r="AHG32" s="388"/>
      <c r="AHH32" s="388"/>
      <c r="AHI32" s="388"/>
      <c r="AHJ32" s="388"/>
      <c r="AHK32" s="388"/>
      <c r="AHL32" s="388"/>
      <c r="AHM32" s="388"/>
      <c r="AHN32" s="388"/>
      <c r="AHO32" s="388"/>
      <c r="AHP32" s="388"/>
      <c r="AHQ32" s="388"/>
      <c r="AHR32" s="388"/>
      <c r="AHS32" s="388"/>
      <c r="AHT32" s="388"/>
      <c r="AHU32" s="388"/>
      <c r="AHV32" s="388"/>
      <c r="AHW32" s="388"/>
      <c r="AHX32" s="388"/>
      <c r="AHY32" s="388"/>
      <c r="AHZ32" s="388"/>
      <c r="AIA32" s="388"/>
      <c r="AIB32" s="388"/>
      <c r="AIC32" s="388"/>
      <c r="AID32" s="388"/>
      <c r="AIE32" s="388"/>
      <c r="AIF32" s="388"/>
      <c r="AIG32" s="388"/>
      <c r="AIH32" s="388"/>
      <c r="AII32" s="388"/>
      <c r="AIJ32" s="388"/>
      <c r="AIK32" s="388"/>
      <c r="AIL32" s="388"/>
      <c r="AIM32" s="388"/>
      <c r="AIN32" s="388"/>
      <c r="AIO32" s="388"/>
      <c r="AIP32" s="388"/>
      <c r="AIQ32" s="388"/>
      <c r="AIR32" s="388"/>
      <c r="AIS32" s="388"/>
      <c r="AIT32" s="388"/>
      <c r="AIU32" s="388"/>
      <c r="AIV32" s="388"/>
      <c r="AIW32" s="388"/>
      <c r="AIX32" s="388"/>
      <c r="AIY32" s="388"/>
      <c r="AIZ32" s="388"/>
      <c r="AJA32" s="388"/>
      <c r="AJB32" s="388"/>
      <c r="AJC32" s="388"/>
      <c r="AJD32" s="388"/>
      <c r="AJE32" s="388"/>
      <c r="AJF32" s="388"/>
      <c r="AJG32" s="388"/>
      <c r="AJH32" s="388"/>
      <c r="AJI32" s="388"/>
      <c r="AJJ32" s="388"/>
      <c r="AJK32" s="388"/>
      <c r="AJL32" s="388"/>
      <c r="AJM32" s="388"/>
      <c r="AJN32" s="388"/>
      <c r="AJO32" s="388"/>
      <c r="AJP32" s="388"/>
      <c r="AJQ32" s="388"/>
      <c r="AJR32" s="388"/>
      <c r="AJS32" s="388"/>
      <c r="AJT32" s="388"/>
      <c r="AJU32" s="388"/>
      <c r="AJV32" s="388"/>
      <c r="AJW32" s="388"/>
      <c r="AJX32" s="388"/>
      <c r="AJY32" s="388"/>
      <c r="AJZ32" s="388"/>
      <c r="AKA32" s="388"/>
      <c r="AKB32" s="388"/>
      <c r="AKC32" s="388"/>
      <c r="AKD32" s="388"/>
      <c r="AKE32" s="388"/>
      <c r="AKF32" s="388"/>
      <c r="AKG32" s="388"/>
      <c r="AKH32" s="388"/>
      <c r="AKI32" s="388"/>
      <c r="AKJ32" s="388"/>
      <c r="AKK32" s="388"/>
      <c r="AKL32" s="388"/>
      <c r="AKM32" s="388"/>
      <c r="AKN32" s="388"/>
      <c r="AKO32" s="388"/>
      <c r="AKP32" s="388"/>
      <c r="AKQ32" s="388"/>
      <c r="AKR32" s="388"/>
      <c r="AKS32" s="388"/>
      <c r="AKT32" s="388"/>
      <c r="AKU32" s="388"/>
      <c r="AKV32" s="388"/>
      <c r="AKW32" s="388"/>
      <c r="AKX32" s="388"/>
      <c r="AKY32" s="388"/>
      <c r="AKZ32" s="388"/>
      <c r="ALA32" s="388"/>
      <c r="ALB32" s="388"/>
      <c r="ALC32" s="388"/>
      <c r="ALD32" s="388"/>
      <c r="ALE32" s="388"/>
      <c r="ALF32" s="388"/>
      <c r="ALG32" s="388"/>
      <c r="ALH32" s="388"/>
      <c r="ALI32" s="388"/>
      <c r="ALJ32" s="388"/>
      <c r="ALK32" s="388"/>
      <c r="ALL32" s="388"/>
      <c r="ALM32" s="388"/>
      <c r="ALN32" s="388"/>
      <c r="ALO32" s="388"/>
      <c r="ALP32" s="388"/>
      <c r="ALQ32" s="388"/>
      <c r="ALR32" s="388"/>
      <c r="ALS32" s="388"/>
      <c r="ALT32" s="388"/>
      <c r="ALU32" s="388"/>
      <c r="ALV32" s="388"/>
      <c r="ALW32" s="388"/>
      <c r="ALX32" s="388"/>
      <c r="ALY32" s="388"/>
      <c r="ALZ32" s="388"/>
      <c r="AMA32" s="388"/>
      <c r="AMB32" s="388"/>
      <c r="AMC32" s="388"/>
      <c r="AMD32" s="388"/>
      <c r="AME32" s="388"/>
      <c r="AMF32" s="388"/>
      <c r="AMG32" s="388"/>
      <c r="AMH32" s="388"/>
      <c r="AMI32" s="388"/>
      <c r="AMJ32" s="388"/>
      <c r="AMK32" s="388"/>
      <c r="AML32" s="388"/>
      <c r="AMM32" s="388"/>
      <c r="AMN32" s="388"/>
      <c r="AMO32" s="388"/>
      <c r="AMP32" s="388"/>
      <c r="AMQ32" s="388"/>
      <c r="AMR32" s="388"/>
      <c r="AMS32" s="388"/>
      <c r="AMT32" s="388"/>
      <c r="AMU32" s="388"/>
      <c r="AMV32" s="388"/>
      <c r="AMW32" s="388"/>
      <c r="AMX32" s="388"/>
      <c r="AMY32" s="388"/>
      <c r="AMZ32" s="388"/>
      <c r="ANA32" s="388"/>
      <c r="ANB32" s="388"/>
      <c r="ANC32" s="388"/>
      <c r="AND32" s="388"/>
      <c r="ANE32" s="388"/>
      <c r="ANF32" s="388"/>
      <c r="ANG32" s="388"/>
      <c r="ANH32" s="388"/>
      <c r="ANI32" s="388"/>
      <c r="ANJ32" s="388"/>
      <c r="ANK32" s="388"/>
      <c r="ANL32" s="388"/>
      <c r="ANM32" s="388"/>
      <c r="ANN32" s="388"/>
      <c r="ANO32" s="388"/>
      <c r="ANP32" s="388"/>
      <c r="ANQ32" s="388"/>
      <c r="ANR32" s="388"/>
      <c r="ANS32" s="388"/>
      <c r="ANT32" s="388"/>
      <c r="ANU32" s="388"/>
      <c r="ANV32" s="388"/>
      <c r="ANW32" s="388"/>
      <c r="ANX32" s="388"/>
      <c r="ANY32" s="388"/>
      <c r="ANZ32" s="388"/>
      <c r="AOA32" s="388"/>
      <c r="AOB32" s="388"/>
      <c r="AOC32" s="388"/>
      <c r="AOD32" s="388"/>
      <c r="AOE32" s="388"/>
      <c r="AOF32" s="388"/>
      <c r="AOG32" s="388"/>
      <c r="AOH32" s="388"/>
      <c r="AOI32" s="388"/>
      <c r="AOJ32" s="388"/>
      <c r="AOK32" s="388"/>
      <c r="AOL32" s="388"/>
      <c r="AOM32" s="388"/>
      <c r="AON32" s="388"/>
      <c r="AOO32" s="388"/>
      <c r="AOP32" s="388"/>
      <c r="AOQ32" s="388"/>
      <c r="AOR32" s="388"/>
      <c r="AOS32" s="388"/>
      <c r="AOT32" s="388"/>
      <c r="AOU32" s="388"/>
      <c r="AOV32" s="388"/>
      <c r="AOW32" s="388"/>
      <c r="AOX32" s="388"/>
      <c r="AOY32" s="388"/>
      <c r="AOZ32" s="388"/>
      <c r="APA32" s="388"/>
      <c r="APB32" s="388"/>
      <c r="APC32" s="388"/>
      <c r="APD32" s="388"/>
      <c r="APE32" s="388"/>
      <c r="APF32" s="388"/>
      <c r="APG32" s="388"/>
      <c r="APH32" s="388"/>
      <c r="API32" s="388"/>
      <c r="APJ32" s="388"/>
      <c r="APK32" s="388"/>
      <c r="APL32" s="388"/>
      <c r="APM32" s="388"/>
      <c r="APN32" s="388"/>
      <c r="APO32" s="388"/>
      <c r="APP32" s="388"/>
      <c r="APQ32" s="388"/>
      <c r="APR32" s="388"/>
      <c r="APS32" s="388"/>
      <c r="APT32" s="388"/>
      <c r="APU32" s="388"/>
      <c r="APV32" s="388"/>
      <c r="APW32" s="388"/>
      <c r="APX32" s="388"/>
      <c r="APY32" s="388"/>
      <c r="APZ32" s="388"/>
      <c r="AQA32" s="388"/>
      <c r="AQB32" s="388"/>
      <c r="AQC32" s="388"/>
      <c r="AQD32" s="388"/>
      <c r="AQE32" s="388"/>
      <c r="AQF32" s="388"/>
      <c r="AQG32" s="388"/>
      <c r="AQH32" s="388"/>
      <c r="AQI32" s="388"/>
      <c r="AQJ32" s="388"/>
      <c r="AQK32" s="388"/>
      <c r="AQL32" s="388"/>
      <c r="AQM32" s="388"/>
      <c r="AQN32" s="388"/>
      <c r="AQO32" s="388"/>
      <c r="AQP32" s="388"/>
      <c r="AQQ32" s="388"/>
      <c r="AQR32" s="388"/>
      <c r="AQS32" s="388"/>
      <c r="AQT32" s="388"/>
      <c r="AQU32" s="388"/>
      <c r="AQV32" s="388"/>
      <c r="AQW32" s="388"/>
      <c r="AQX32" s="388"/>
      <c r="AQY32" s="388"/>
      <c r="AQZ32" s="388"/>
      <c r="ARA32" s="388"/>
      <c r="ARB32" s="388"/>
      <c r="ARC32" s="388"/>
      <c r="ARD32" s="388"/>
      <c r="ARE32" s="388"/>
      <c r="ARF32" s="388"/>
      <c r="ARG32" s="388"/>
      <c r="ARH32" s="388"/>
      <c r="ARI32" s="388"/>
      <c r="ARJ32" s="388"/>
      <c r="ARK32" s="388"/>
      <c r="ARL32" s="388"/>
      <c r="ARM32" s="388"/>
      <c r="ARN32" s="388"/>
      <c r="ARO32" s="388"/>
      <c r="ARP32" s="388"/>
      <c r="ARQ32" s="388"/>
      <c r="ARR32" s="388"/>
      <c r="ARS32" s="388"/>
      <c r="ART32" s="388"/>
      <c r="ARU32" s="388"/>
      <c r="ARV32" s="388"/>
      <c r="ARW32" s="388"/>
      <c r="ARX32" s="388"/>
      <c r="ARY32" s="388"/>
      <c r="ARZ32" s="388"/>
      <c r="ASA32" s="388"/>
      <c r="ASB32" s="388"/>
      <c r="ASC32" s="388"/>
      <c r="ASD32" s="388"/>
      <c r="ASE32" s="388"/>
      <c r="ASF32" s="388"/>
      <c r="ASG32" s="388"/>
      <c r="ASH32" s="388"/>
      <c r="ASI32" s="388"/>
      <c r="ASJ32" s="388"/>
      <c r="ASK32" s="388"/>
      <c r="ASL32" s="388"/>
      <c r="ASM32" s="388"/>
      <c r="ASN32" s="388"/>
      <c r="ASO32" s="388"/>
      <c r="ASP32" s="388"/>
      <c r="ASQ32" s="388"/>
      <c r="ASR32" s="388"/>
      <c r="ASS32" s="388"/>
      <c r="AST32" s="388"/>
      <c r="ASU32" s="388"/>
      <c r="ASV32" s="388"/>
      <c r="ASW32" s="388"/>
      <c r="ASX32" s="388"/>
      <c r="ASY32" s="388"/>
      <c r="ASZ32" s="388"/>
      <c r="ATA32" s="388"/>
      <c r="ATB32" s="388"/>
      <c r="ATC32" s="388"/>
      <c r="ATD32" s="388"/>
      <c r="ATE32" s="388"/>
      <c r="ATF32" s="388"/>
      <c r="ATG32" s="388"/>
      <c r="ATH32" s="388"/>
      <c r="ATI32" s="388"/>
      <c r="ATJ32" s="388"/>
      <c r="ATK32" s="388"/>
      <c r="ATL32" s="388"/>
      <c r="ATM32" s="388"/>
      <c r="ATN32" s="388"/>
      <c r="ATO32" s="388"/>
      <c r="ATP32" s="388"/>
      <c r="ATQ32" s="388"/>
      <c r="ATR32" s="388"/>
      <c r="ATS32" s="388"/>
      <c r="ATT32" s="388"/>
      <c r="ATU32" s="388"/>
      <c r="ATV32" s="388"/>
      <c r="ATW32" s="388"/>
      <c r="ATX32" s="388"/>
      <c r="ATY32" s="388"/>
      <c r="ATZ32" s="388"/>
      <c r="AUA32" s="388"/>
      <c r="AUB32" s="388"/>
      <c r="AUC32" s="388"/>
      <c r="AUD32" s="388"/>
      <c r="AUE32" s="388"/>
      <c r="AUF32" s="388"/>
      <c r="AUG32" s="388"/>
      <c r="AUH32" s="388"/>
      <c r="AUI32" s="388"/>
      <c r="AUJ32" s="388"/>
      <c r="AUK32" s="388"/>
      <c r="AUL32" s="388"/>
      <c r="AUM32" s="388"/>
      <c r="AUN32" s="388"/>
      <c r="AUO32" s="388"/>
      <c r="AUP32" s="388"/>
      <c r="AUQ32" s="388"/>
      <c r="AUR32" s="388"/>
      <c r="AUS32" s="388"/>
      <c r="AUT32" s="388"/>
      <c r="AUU32" s="388"/>
      <c r="AUV32" s="388"/>
      <c r="AUW32" s="388"/>
      <c r="AUX32" s="388"/>
      <c r="AUY32" s="388"/>
      <c r="AUZ32" s="388"/>
      <c r="AVA32" s="388"/>
      <c r="AVB32" s="388"/>
      <c r="AVC32" s="388"/>
      <c r="AVD32" s="388"/>
      <c r="AVE32" s="388"/>
      <c r="AVF32" s="388"/>
      <c r="AVG32" s="388"/>
      <c r="AVH32" s="388"/>
      <c r="AVI32" s="388"/>
      <c r="AVJ32" s="388"/>
      <c r="AVK32" s="388"/>
      <c r="AVL32" s="388"/>
      <c r="AVM32" s="388"/>
      <c r="AVN32" s="388"/>
      <c r="AVO32" s="388"/>
      <c r="AVP32" s="388"/>
      <c r="AVQ32" s="388"/>
      <c r="AVR32" s="388"/>
      <c r="AVS32" s="388"/>
      <c r="AVT32" s="388"/>
      <c r="AVU32" s="388"/>
      <c r="AVV32" s="388"/>
      <c r="AVW32" s="388"/>
      <c r="AVX32" s="388"/>
      <c r="AVY32" s="388"/>
      <c r="AVZ32" s="388"/>
      <c r="AWA32" s="388"/>
      <c r="AWB32" s="388"/>
      <c r="AWC32" s="388"/>
      <c r="AWD32" s="388"/>
      <c r="AWE32" s="388"/>
      <c r="AWF32" s="388"/>
      <c r="AWG32" s="388"/>
      <c r="AWH32" s="388"/>
      <c r="AWI32" s="388"/>
      <c r="AWJ32" s="388"/>
      <c r="AWK32" s="388"/>
      <c r="AWL32" s="388"/>
      <c r="AWM32" s="388"/>
      <c r="AWN32" s="388"/>
      <c r="AWO32" s="388"/>
      <c r="AWP32" s="388"/>
      <c r="AWQ32" s="388"/>
      <c r="AWR32" s="388"/>
      <c r="AWS32" s="388"/>
      <c r="AWT32" s="388"/>
      <c r="AWU32" s="388"/>
      <c r="AWV32" s="388"/>
      <c r="AWW32" s="388"/>
      <c r="AWX32" s="388"/>
      <c r="AWY32" s="388"/>
      <c r="AWZ32" s="388"/>
      <c r="AXA32" s="388"/>
      <c r="AXB32" s="388"/>
      <c r="AXC32" s="388"/>
      <c r="AXD32" s="388"/>
      <c r="AXE32" s="388"/>
      <c r="AXF32" s="388"/>
      <c r="AXG32" s="388"/>
      <c r="AXH32" s="388"/>
      <c r="AXI32" s="388"/>
      <c r="AXJ32" s="388"/>
      <c r="AXK32" s="388"/>
      <c r="AXL32" s="388"/>
      <c r="AXM32" s="388"/>
      <c r="AXN32" s="388"/>
      <c r="AXO32" s="388"/>
      <c r="AXP32" s="388"/>
      <c r="AXQ32" s="388"/>
      <c r="AXR32" s="388"/>
      <c r="AXS32" s="388"/>
      <c r="AXT32" s="388"/>
      <c r="AXU32" s="388"/>
      <c r="AXV32" s="388"/>
      <c r="AXW32" s="388"/>
      <c r="AXX32" s="388"/>
      <c r="AXY32" s="388"/>
      <c r="AXZ32" s="388"/>
      <c r="AYA32" s="388"/>
      <c r="AYB32" s="388"/>
      <c r="AYC32" s="388"/>
      <c r="AYD32" s="388"/>
      <c r="AYE32" s="388"/>
      <c r="AYF32" s="388"/>
      <c r="AYG32" s="388"/>
      <c r="AYH32" s="388"/>
      <c r="AYI32" s="388"/>
      <c r="AYJ32" s="388"/>
      <c r="AYK32" s="388"/>
      <c r="AYL32" s="388"/>
      <c r="AYM32" s="388"/>
      <c r="AYN32" s="388"/>
      <c r="AYO32" s="388"/>
      <c r="AYP32" s="388"/>
      <c r="AYQ32" s="388"/>
      <c r="AYR32" s="388"/>
      <c r="AYS32" s="388"/>
      <c r="AYT32" s="388"/>
      <c r="AYU32" s="388"/>
      <c r="AYV32" s="388"/>
      <c r="AYW32" s="388"/>
      <c r="AYX32" s="388"/>
      <c r="AYY32" s="388"/>
      <c r="AYZ32" s="388"/>
      <c r="AZA32" s="388"/>
      <c r="AZB32" s="388"/>
      <c r="AZC32" s="388"/>
      <c r="AZD32" s="388"/>
      <c r="AZE32" s="388"/>
      <c r="AZF32" s="388"/>
      <c r="AZG32" s="388"/>
      <c r="AZH32" s="388"/>
      <c r="AZI32" s="388"/>
      <c r="AZJ32" s="388"/>
      <c r="AZK32" s="388"/>
      <c r="AZL32" s="388"/>
      <c r="AZM32" s="388"/>
      <c r="AZN32" s="388"/>
      <c r="AZO32" s="388"/>
      <c r="AZP32" s="388"/>
      <c r="AZQ32" s="388"/>
      <c r="AZR32" s="388"/>
      <c r="AZS32" s="388"/>
      <c r="AZT32" s="388"/>
      <c r="AZU32" s="388"/>
      <c r="AZV32" s="388"/>
      <c r="AZW32" s="388"/>
      <c r="AZX32" s="388"/>
      <c r="AZY32" s="388"/>
      <c r="AZZ32" s="388"/>
      <c r="BAA32" s="388"/>
      <c r="BAB32" s="388"/>
      <c r="BAC32" s="388"/>
      <c r="BAD32" s="388"/>
      <c r="BAE32" s="388"/>
      <c r="BAF32" s="388"/>
      <c r="BAG32" s="388"/>
      <c r="BAH32" s="388"/>
      <c r="BAI32" s="388"/>
      <c r="BAJ32" s="388"/>
      <c r="BAK32" s="388"/>
      <c r="BAL32" s="388"/>
      <c r="BAM32" s="388"/>
      <c r="BAN32" s="388"/>
      <c r="BAO32" s="388"/>
      <c r="BAP32" s="388"/>
      <c r="BAQ32" s="388"/>
      <c r="BAR32" s="388"/>
      <c r="BAS32" s="388"/>
      <c r="BAT32" s="388"/>
      <c r="BAU32" s="388"/>
      <c r="BAV32" s="388"/>
      <c r="BAW32" s="388"/>
      <c r="BAX32" s="388"/>
      <c r="BAY32" s="388"/>
      <c r="BAZ32" s="388"/>
      <c r="BBA32" s="388"/>
      <c r="BBB32" s="388"/>
      <c r="BBC32" s="388"/>
      <c r="BBD32" s="388"/>
      <c r="BBE32" s="388"/>
      <c r="BBF32" s="388"/>
      <c r="BBG32" s="388"/>
      <c r="BBH32" s="388"/>
      <c r="BBI32" s="388"/>
      <c r="BBJ32" s="388"/>
      <c r="BBK32" s="388"/>
      <c r="BBL32" s="388"/>
      <c r="BBM32" s="388"/>
      <c r="BBN32" s="388"/>
      <c r="BBO32" s="388"/>
      <c r="BBP32" s="388"/>
      <c r="BBQ32" s="388"/>
      <c r="BBR32" s="388"/>
      <c r="BBS32" s="388"/>
      <c r="BBT32" s="388"/>
      <c r="BBU32" s="388"/>
      <c r="BBV32" s="388"/>
      <c r="BBW32" s="388"/>
      <c r="BBX32" s="388"/>
      <c r="BBY32" s="388"/>
      <c r="BBZ32" s="388"/>
      <c r="BCA32" s="388"/>
      <c r="BCB32" s="388"/>
      <c r="BCC32" s="388"/>
      <c r="BCD32" s="388"/>
      <c r="BCE32" s="388"/>
      <c r="BCF32" s="388"/>
      <c r="BCG32" s="388"/>
      <c r="BCH32" s="388"/>
      <c r="BCI32" s="388"/>
      <c r="BCJ32" s="388"/>
      <c r="BCK32" s="388"/>
      <c r="BCL32" s="388"/>
      <c r="BCM32" s="388"/>
      <c r="BCN32" s="388"/>
      <c r="BCO32" s="388"/>
      <c r="BCP32" s="388"/>
      <c r="BCQ32" s="388"/>
      <c r="BCR32" s="388"/>
      <c r="BCS32" s="388"/>
      <c r="BCT32" s="388"/>
      <c r="BCU32" s="388"/>
      <c r="BCV32" s="388"/>
      <c r="BCW32" s="388"/>
      <c r="BCX32" s="388"/>
      <c r="BCY32" s="388"/>
      <c r="BCZ32" s="388"/>
      <c r="BDA32" s="388"/>
      <c r="BDB32" s="388"/>
      <c r="BDC32" s="388"/>
      <c r="BDD32" s="388"/>
      <c r="BDE32" s="388"/>
      <c r="BDF32" s="388"/>
      <c r="BDG32" s="388"/>
      <c r="BDH32" s="388"/>
      <c r="BDI32" s="388"/>
      <c r="BDJ32" s="388"/>
      <c r="BDK32" s="388"/>
      <c r="BDL32" s="388"/>
      <c r="BDM32" s="388"/>
      <c r="BDN32" s="388"/>
      <c r="BDO32" s="388"/>
      <c r="BDP32" s="388"/>
      <c r="BDQ32" s="388"/>
      <c r="BDR32" s="388"/>
      <c r="BDS32" s="388"/>
      <c r="BDT32" s="388"/>
      <c r="BDU32" s="388"/>
      <c r="BDV32" s="388"/>
      <c r="BDW32" s="388"/>
      <c r="BDX32" s="388"/>
      <c r="BDY32" s="388"/>
      <c r="BDZ32" s="388"/>
      <c r="BEA32" s="388"/>
      <c r="BEB32" s="388"/>
      <c r="BEC32" s="388"/>
      <c r="BED32" s="388"/>
      <c r="BEE32" s="388"/>
      <c r="BEF32" s="388"/>
      <c r="BEG32" s="388"/>
      <c r="BEH32" s="388"/>
      <c r="BEI32" s="388"/>
      <c r="BEJ32" s="388"/>
      <c r="BEK32" s="388"/>
      <c r="BEL32" s="388"/>
      <c r="BEM32" s="388"/>
      <c r="BEN32" s="388"/>
      <c r="BEO32" s="388"/>
      <c r="BEP32" s="388"/>
      <c r="BEQ32" s="388"/>
      <c r="BER32" s="388"/>
      <c r="BES32" s="388"/>
      <c r="BET32" s="388"/>
      <c r="BEU32" s="388"/>
      <c r="BEV32" s="388"/>
      <c r="BEW32" s="388"/>
      <c r="BEX32" s="388"/>
      <c r="BEY32" s="388"/>
      <c r="BEZ32" s="388"/>
      <c r="BFA32" s="388"/>
      <c r="BFB32" s="388"/>
      <c r="BFC32" s="388"/>
      <c r="BFD32" s="388"/>
      <c r="BFE32" s="388"/>
      <c r="BFF32" s="388"/>
      <c r="BFG32" s="388"/>
      <c r="BFH32" s="388"/>
      <c r="BFI32" s="388"/>
      <c r="BFJ32" s="388"/>
      <c r="BFK32" s="388"/>
      <c r="BFL32" s="388"/>
      <c r="BFM32" s="388"/>
      <c r="BFN32" s="388"/>
      <c r="BFO32" s="388"/>
      <c r="BFP32" s="388"/>
      <c r="BFQ32" s="388"/>
      <c r="BFR32" s="388"/>
      <c r="BFS32" s="388"/>
      <c r="BFT32" s="388"/>
      <c r="BFU32" s="388"/>
      <c r="BFV32" s="388"/>
      <c r="BFW32" s="388"/>
      <c r="BFX32" s="388"/>
      <c r="BFY32" s="388"/>
      <c r="BFZ32" s="388"/>
      <c r="BGA32" s="388"/>
      <c r="BGB32" s="388"/>
      <c r="BGC32" s="388"/>
      <c r="BGD32" s="388"/>
      <c r="BGE32" s="388"/>
      <c r="BGF32" s="388"/>
      <c r="BGG32" s="388"/>
      <c r="BGH32" s="388"/>
      <c r="BGI32" s="388"/>
      <c r="BGJ32" s="388"/>
      <c r="BGK32" s="388"/>
      <c r="BGL32" s="388"/>
      <c r="BGM32" s="388"/>
      <c r="BGN32" s="388"/>
      <c r="BGO32" s="388"/>
      <c r="BGP32" s="388"/>
      <c r="BGQ32" s="388"/>
      <c r="BGR32" s="388"/>
      <c r="BGS32" s="388"/>
      <c r="BGT32" s="388"/>
      <c r="BGU32" s="388"/>
      <c r="BGV32" s="388"/>
      <c r="BGW32" s="388"/>
      <c r="BGX32" s="388"/>
      <c r="BGY32" s="388"/>
      <c r="BGZ32" s="388"/>
      <c r="BHA32" s="388"/>
      <c r="BHB32" s="388"/>
      <c r="BHC32" s="388"/>
      <c r="BHD32" s="388"/>
      <c r="BHE32" s="388"/>
      <c r="BHF32" s="388"/>
      <c r="BHG32" s="388"/>
      <c r="BHH32" s="388"/>
      <c r="BHI32" s="388"/>
      <c r="BHJ32" s="388"/>
      <c r="BHK32" s="388"/>
      <c r="BHL32" s="388"/>
      <c r="BHM32" s="388"/>
      <c r="BHN32" s="388"/>
      <c r="BHO32" s="388"/>
      <c r="BHP32" s="388"/>
      <c r="BHQ32" s="388"/>
      <c r="BHR32" s="388"/>
      <c r="BHS32" s="388"/>
      <c r="BHT32" s="388"/>
      <c r="BHU32" s="388"/>
      <c r="BHV32" s="388"/>
      <c r="BHW32" s="388"/>
      <c r="BHX32" s="388"/>
      <c r="BHY32" s="388"/>
      <c r="BHZ32" s="388"/>
      <c r="BIA32" s="388"/>
      <c r="BIB32" s="388"/>
      <c r="BIC32" s="388"/>
      <c r="BID32" s="388"/>
      <c r="BIE32" s="388"/>
      <c r="BIF32" s="388"/>
      <c r="BIG32" s="388"/>
      <c r="BIH32" s="388"/>
      <c r="BII32" s="388"/>
      <c r="BIJ32" s="388"/>
      <c r="BIK32" s="388"/>
      <c r="BIL32" s="388"/>
      <c r="BIM32" s="388"/>
      <c r="BIN32" s="388"/>
      <c r="BIO32" s="388"/>
      <c r="BIP32" s="388"/>
      <c r="BIQ32" s="388"/>
      <c r="BIR32" s="388"/>
      <c r="BIS32" s="388"/>
      <c r="BIT32" s="388"/>
      <c r="BIU32" s="388"/>
      <c r="BIV32" s="388"/>
      <c r="BIW32" s="388"/>
      <c r="BIX32" s="388"/>
      <c r="BIY32" s="388"/>
      <c r="BIZ32" s="388"/>
      <c r="BJA32" s="388"/>
      <c r="BJB32" s="388"/>
      <c r="BJC32" s="388"/>
      <c r="BJD32" s="388"/>
      <c r="BJE32" s="388"/>
      <c r="BJF32" s="388"/>
      <c r="BJG32" s="388"/>
      <c r="BJH32" s="388"/>
      <c r="BJI32" s="388"/>
      <c r="BJJ32" s="388"/>
      <c r="BJK32" s="388"/>
      <c r="BJL32" s="388"/>
      <c r="BJM32" s="388"/>
      <c r="BJN32" s="388"/>
      <c r="BJO32" s="388"/>
      <c r="BJP32" s="388"/>
      <c r="BJQ32" s="388"/>
      <c r="BJR32" s="388"/>
      <c r="BJS32" s="388"/>
      <c r="BJT32" s="388"/>
      <c r="BJU32" s="388"/>
      <c r="BJV32" s="388"/>
      <c r="BJW32" s="388"/>
      <c r="BJX32" s="388"/>
      <c r="BJY32" s="388"/>
      <c r="BJZ32" s="388"/>
      <c r="BKA32" s="388"/>
      <c r="BKB32" s="388"/>
      <c r="BKC32" s="388"/>
      <c r="BKD32" s="388"/>
      <c r="BKE32" s="388"/>
      <c r="BKF32" s="388"/>
      <c r="BKG32" s="388"/>
      <c r="BKH32" s="388"/>
      <c r="BKI32" s="388"/>
      <c r="BKJ32" s="388"/>
      <c r="BKK32" s="388"/>
      <c r="BKL32" s="388"/>
      <c r="BKM32" s="388"/>
      <c r="BKN32" s="388"/>
      <c r="BKO32" s="388"/>
      <c r="BKP32" s="388"/>
      <c r="BKQ32" s="388"/>
      <c r="BKR32" s="388"/>
      <c r="BKS32" s="388"/>
      <c r="BKT32" s="388"/>
      <c r="BKU32" s="388"/>
      <c r="BKV32" s="388"/>
      <c r="BKW32" s="388"/>
      <c r="BKX32" s="388"/>
      <c r="BKY32" s="388"/>
      <c r="BKZ32" s="388"/>
      <c r="BLA32" s="388"/>
      <c r="BLB32" s="388"/>
      <c r="BLC32" s="388"/>
      <c r="BLD32" s="388"/>
      <c r="BLE32" s="388"/>
      <c r="BLF32" s="388"/>
      <c r="BLG32" s="388"/>
      <c r="BLH32" s="388"/>
      <c r="BLI32" s="388"/>
      <c r="BLJ32" s="388"/>
      <c r="BLK32" s="388"/>
      <c r="BLL32" s="388"/>
      <c r="BLM32" s="388"/>
      <c r="BLN32" s="388"/>
      <c r="BLO32" s="388"/>
      <c r="BLP32" s="388"/>
      <c r="BLQ32" s="388"/>
      <c r="BLR32" s="388"/>
      <c r="BLS32" s="388"/>
      <c r="BLT32" s="388"/>
      <c r="BLU32" s="388"/>
      <c r="BLV32" s="388"/>
      <c r="BLW32" s="388"/>
      <c r="BLX32" s="388"/>
      <c r="BLY32" s="388"/>
      <c r="BLZ32" s="388"/>
      <c r="BMA32" s="388"/>
      <c r="BMB32" s="388"/>
      <c r="BMC32" s="388"/>
      <c r="BMD32" s="388"/>
      <c r="BME32" s="388"/>
      <c r="BMF32" s="388"/>
      <c r="BMG32" s="388"/>
      <c r="BMH32" s="388"/>
      <c r="BMI32" s="388"/>
      <c r="BMJ32" s="388"/>
      <c r="BMK32" s="388"/>
      <c r="BML32" s="388"/>
      <c r="BMM32" s="388"/>
      <c r="BMN32" s="388"/>
      <c r="BMO32" s="388"/>
      <c r="BMP32" s="388"/>
      <c r="BMQ32" s="388"/>
      <c r="BMR32" s="388"/>
      <c r="BMS32" s="388"/>
      <c r="BMT32" s="388"/>
      <c r="BMU32" s="388"/>
      <c r="BMV32" s="388"/>
      <c r="BMW32" s="388"/>
      <c r="BMX32" s="388"/>
      <c r="BMY32" s="388"/>
      <c r="BMZ32" s="388"/>
      <c r="BNA32" s="388"/>
      <c r="BNB32" s="388"/>
      <c r="BNC32" s="388"/>
      <c r="BND32" s="388"/>
      <c r="BNE32" s="388"/>
      <c r="BNF32" s="388"/>
      <c r="BNG32" s="388"/>
      <c r="BNH32" s="388"/>
      <c r="BNI32" s="388"/>
      <c r="BNJ32" s="388"/>
      <c r="BNK32" s="388"/>
      <c r="BNL32" s="388"/>
      <c r="BNM32" s="388"/>
      <c r="BNN32" s="388"/>
      <c r="BNO32" s="388"/>
      <c r="BNP32" s="388"/>
      <c r="BNQ32" s="388"/>
      <c r="BNR32" s="388"/>
      <c r="BNS32" s="388"/>
      <c r="BNT32" s="388"/>
      <c r="BNU32" s="388"/>
      <c r="BNV32" s="388"/>
      <c r="BNW32" s="388"/>
      <c r="BNX32" s="388"/>
      <c r="BNY32" s="388"/>
      <c r="BNZ32" s="388"/>
      <c r="BOA32" s="388"/>
      <c r="BOB32" s="388"/>
      <c r="BOC32" s="388"/>
      <c r="BOD32" s="388"/>
      <c r="BOE32" s="388"/>
      <c r="BOF32" s="388"/>
      <c r="BOG32" s="388"/>
      <c r="BOH32" s="388"/>
      <c r="BOI32" s="388"/>
      <c r="BOJ32" s="388"/>
      <c r="BOK32" s="388"/>
      <c r="BOL32" s="388"/>
      <c r="BOM32" s="388"/>
      <c r="BON32" s="388"/>
      <c r="BOO32" s="388"/>
      <c r="BOP32" s="388"/>
      <c r="BOQ32" s="388"/>
      <c r="BOR32" s="388"/>
      <c r="BOS32" s="388"/>
      <c r="BOT32" s="388"/>
      <c r="BOU32" s="388"/>
      <c r="BOV32" s="388"/>
      <c r="BOW32" s="388"/>
      <c r="BOX32" s="388"/>
      <c r="BOY32" s="388"/>
      <c r="BOZ32" s="388"/>
      <c r="BPA32" s="388"/>
      <c r="BPB32" s="388"/>
      <c r="BPC32" s="388"/>
      <c r="BPD32" s="388"/>
      <c r="BPE32" s="388"/>
      <c r="BPF32" s="388"/>
      <c r="BPG32" s="388"/>
      <c r="BPH32" s="388"/>
      <c r="BPI32" s="388"/>
      <c r="BPJ32" s="388"/>
      <c r="BPK32" s="388"/>
      <c r="BPL32" s="388"/>
      <c r="BPM32" s="388"/>
      <c r="BPN32" s="388"/>
      <c r="BPO32" s="388"/>
      <c r="BPP32" s="388"/>
      <c r="BPQ32" s="388"/>
      <c r="BPR32" s="388"/>
      <c r="BPS32" s="388"/>
      <c r="BPT32" s="388"/>
      <c r="BPU32" s="388"/>
      <c r="BPV32" s="388"/>
      <c r="BPW32" s="388"/>
      <c r="BPX32" s="388"/>
      <c r="BPY32" s="388"/>
      <c r="BPZ32" s="388"/>
      <c r="BQA32" s="388"/>
      <c r="BQB32" s="388"/>
      <c r="BQC32" s="388"/>
      <c r="BQD32" s="388"/>
      <c r="BQE32" s="388"/>
      <c r="BQF32" s="388"/>
      <c r="BQG32" s="388"/>
      <c r="BQH32" s="388"/>
      <c r="BQI32" s="388"/>
      <c r="BQJ32" s="388"/>
      <c r="BQK32" s="388"/>
      <c r="BQL32" s="388"/>
      <c r="BQM32" s="388"/>
      <c r="BQN32" s="388"/>
      <c r="BQO32" s="388"/>
      <c r="BQP32" s="388"/>
      <c r="BQQ32" s="388"/>
      <c r="BQR32" s="388"/>
      <c r="BQS32" s="388"/>
      <c r="BQT32" s="388"/>
      <c r="BQU32" s="388"/>
      <c r="BQV32" s="388"/>
      <c r="BQW32" s="388"/>
      <c r="BQX32" s="388"/>
      <c r="BQY32" s="388"/>
      <c r="BQZ32" s="388"/>
      <c r="BRA32" s="388"/>
      <c r="BRB32" s="388"/>
      <c r="BRC32" s="388"/>
      <c r="BRD32" s="388"/>
      <c r="BRE32" s="388"/>
      <c r="BRF32" s="388"/>
      <c r="BRG32" s="388"/>
      <c r="BRH32" s="388"/>
      <c r="BRI32" s="388"/>
      <c r="BRJ32" s="388"/>
      <c r="BRK32" s="388"/>
      <c r="BRL32" s="388"/>
      <c r="BRM32" s="388"/>
      <c r="BRN32" s="388"/>
      <c r="BRO32" s="388"/>
      <c r="BRP32" s="388"/>
      <c r="BRQ32" s="388"/>
      <c r="BRR32" s="388"/>
      <c r="BRS32" s="388"/>
      <c r="BRT32" s="388"/>
      <c r="BRU32" s="388"/>
      <c r="BRV32" s="388"/>
      <c r="BRW32" s="388"/>
      <c r="BRX32" s="388"/>
      <c r="BRY32" s="388"/>
      <c r="BRZ32" s="388"/>
      <c r="BSA32" s="388"/>
      <c r="BSB32" s="388"/>
      <c r="BSC32" s="388"/>
      <c r="BSD32" s="388"/>
      <c r="BSE32" s="388"/>
      <c r="BSF32" s="388"/>
      <c r="BSG32" s="388"/>
      <c r="BSH32" s="388"/>
      <c r="BSI32" s="388"/>
      <c r="BSJ32" s="388"/>
      <c r="BSK32" s="388"/>
      <c r="BSL32" s="388"/>
      <c r="BSM32" s="388"/>
      <c r="BSN32" s="388"/>
      <c r="BSO32" s="388"/>
      <c r="BSP32" s="388"/>
      <c r="BSQ32" s="388"/>
      <c r="BSR32" s="388"/>
      <c r="BSS32" s="388"/>
      <c r="BST32" s="388"/>
      <c r="BSU32" s="388"/>
      <c r="BSV32" s="388"/>
      <c r="BSW32" s="388"/>
      <c r="BSX32" s="388"/>
      <c r="BSY32" s="388"/>
      <c r="BSZ32" s="388"/>
      <c r="BTA32" s="388"/>
      <c r="BTB32" s="388"/>
      <c r="BTC32" s="388"/>
      <c r="BTD32" s="388"/>
      <c r="BTE32" s="388"/>
      <c r="BTF32" s="388"/>
      <c r="BTG32" s="388"/>
      <c r="BTH32" s="388"/>
      <c r="BTI32" s="388"/>
      <c r="BTJ32" s="388"/>
      <c r="BTK32" s="388"/>
      <c r="BTL32" s="388"/>
      <c r="BTM32" s="388"/>
      <c r="BTN32" s="388"/>
      <c r="BTO32" s="388"/>
      <c r="BTP32" s="388"/>
      <c r="BTQ32" s="388"/>
      <c r="BTR32" s="388"/>
      <c r="BTS32" s="388"/>
      <c r="BTT32" s="388"/>
      <c r="BTU32" s="388"/>
      <c r="BTV32" s="388"/>
      <c r="BTW32" s="388"/>
      <c r="BTX32" s="388"/>
      <c r="BTY32" s="388"/>
      <c r="BTZ32" s="388"/>
      <c r="BUA32" s="388"/>
      <c r="BUB32" s="388"/>
      <c r="BUC32" s="388"/>
      <c r="BUD32" s="388"/>
      <c r="BUE32" s="388"/>
      <c r="BUF32" s="388"/>
      <c r="BUG32" s="388"/>
      <c r="BUH32" s="388"/>
      <c r="BUI32" s="388"/>
      <c r="BUJ32" s="388"/>
      <c r="BUK32" s="388"/>
      <c r="BUL32" s="388"/>
      <c r="BUM32" s="388"/>
      <c r="BUN32" s="388"/>
      <c r="BUO32" s="388"/>
      <c r="BUP32" s="388"/>
      <c r="BUQ32" s="388"/>
      <c r="BUR32" s="388"/>
      <c r="BUS32" s="388"/>
      <c r="BUT32" s="388"/>
      <c r="BUU32" s="388"/>
      <c r="BUV32" s="388"/>
      <c r="BUW32" s="388"/>
      <c r="BUX32" s="388"/>
      <c r="BUY32" s="388"/>
      <c r="BUZ32" s="388"/>
      <c r="BVA32" s="388"/>
      <c r="BVB32" s="388"/>
      <c r="BVC32" s="388"/>
      <c r="BVD32" s="388"/>
      <c r="BVE32" s="388"/>
      <c r="BVF32" s="388"/>
      <c r="BVG32" s="388"/>
      <c r="BVH32" s="388"/>
      <c r="BVI32" s="388"/>
      <c r="BVJ32" s="388"/>
      <c r="BVK32" s="388"/>
      <c r="BVL32" s="388"/>
      <c r="BVM32" s="388"/>
      <c r="BVN32" s="388"/>
      <c r="BVO32" s="388"/>
      <c r="BVP32" s="388"/>
      <c r="BVQ32" s="388"/>
      <c r="BVR32" s="388"/>
      <c r="BVS32" s="388"/>
      <c r="BVT32" s="388"/>
      <c r="BVU32" s="388"/>
      <c r="BVV32" s="388"/>
      <c r="BVW32" s="388"/>
      <c r="BVX32" s="388"/>
      <c r="BVY32" s="388"/>
      <c r="BVZ32" s="388"/>
      <c r="BWA32" s="388"/>
      <c r="BWB32" s="388"/>
      <c r="BWC32" s="388"/>
      <c r="BWD32" s="388"/>
      <c r="BWE32" s="388"/>
      <c r="BWF32" s="388"/>
      <c r="BWG32" s="388"/>
      <c r="BWH32" s="388"/>
      <c r="BWI32" s="388"/>
      <c r="BWJ32" s="388"/>
      <c r="BWK32" s="388"/>
      <c r="BWL32" s="388"/>
      <c r="BWM32" s="388"/>
      <c r="BWN32" s="388"/>
      <c r="BWO32" s="388"/>
      <c r="BWP32" s="388"/>
      <c r="BWQ32" s="388"/>
      <c r="BWR32" s="388"/>
      <c r="BWS32" s="388"/>
      <c r="BWT32" s="388"/>
      <c r="BWU32" s="388"/>
      <c r="BWV32" s="388"/>
      <c r="BWW32" s="388"/>
      <c r="BWX32" s="388"/>
      <c r="BWY32" s="388"/>
      <c r="BWZ32" s="388"/>
      <c r="BXA32" s="388"/>
      <c r="BXB32" s="388"/>
      <c r="BXC32" s="388"/>
      <c r="BXD32" s="388"/>
      <c r="BXE32" s="388"/>
      <c r="BXF32" s="388"/>
      <c r="BXG32" s="388"/>
      <c r="BXH32" s="388"/>
      <c r="BXI32" s="388"/>
      <c r="BXJ32" s="388"/>
      <c r="BXK32" s="388"/>
      <c r="BXL32" s="388"/>
      <c r="BXM32" s="388"/>
      <c r="BXN32" s="388"/>
      <c r="BXO32" s="388"/>
      <c r="BXP32" s="388"/>
      <c r="BXQ32" s="388"/>
      <c r="BXR32" s="388"/>
      <c r="BXS32" s="388"/>
      <c r="BXT32" s="388"/>
      <c r="BXU32" s="388"/>
      <c r="BXV32" s="388"/>
      <c r="BXW32" s="388"/>
      <c r="BXX32" s="388"/>
      <c r="BXY32" s="388"/>
      <c r="BXZ32" s="388"/>
      <c r="BYA32" s="388"/>
      <c r="BYB32" s="388"/>
      <c r="BYC32" s="388"/>
      <c r="BYD32" s="388"/>
      <c r="BYE32" s="388"/>
      <c r="BYF32" s="388"/>
      <c r="BYG32" s="388"/>
      <c r="BYH32" s="388"/>
      <c r="BYI32" s="388"/>
      <c r="BYJ32" s="388"/>
      <c r="BYK32" s="388"/>
      <c r="BYL32" s="388"/>
      <c r="BYM32" s="388"/>
      <c r="BYN32" s="388"/>
      <c r="BYO32" s="388"/>
      <c r="BYP32" s="388"/>
      <c r="BYQ32" s="388"/>
      <c r="BYR32" s="388"/>
      <c r="BYS32" s="388"/>
      <c r="BYT32" s="388"/>
      <c r="BYU32" s="388"/>
      <c r="BYV32" s="388"/>
      <c r="BYW32" s="388"/>
      <c r="BYX32" s="388"/>
      <c r="BYY32" s="388"/>
      <c r="BYZ32" s="388"/>
      <c r="BZA32" s="388"/>
      <c r="BZB32" s="388"/>
      <c r="BZC32" s="388"/>
      <c r="BZD32" s="388"/>
      <c r="BZE32" s="388"/>
      <c r="BZF32" s="388"/>
      <c r="BZG32" s="388"/>
      <c r="BZH32" s="388"/>
      <c r="BZI32" s="388"/>
      <c r="BZJ32" s="388"/>
      <c r="BZK32" s="388"/>
      <c r="BZL32" s="388"/>
      <c r="BZM32" s="388"/>
      <c r="BZN32" s="388"/>
      <c r="BZO32" s="388"/>
      <c r="BZP32" s="388"/>
      <c r="BZQ32" s="388"/>
      <c r="BZR32" s="388"/>
      <c r="BZS32" s="388"/>
      <c r="BZT32" s="388"/>
      <c r="BZU32" s="388"/>
      <c r="BZV32" s="388"/>
      <c r="BZW32" s="388"/>
      <c r="BZX32" s="388"/>
      <c r="BZY32" s="388"/>
      <c r="BZZ32" s="388"/>
      <c r="CAA32" s="388"/>
      <c r="CAB32" s="388"/>
      <c r="CAC32" s="388"/>
      <c r="CAD32" s="388"/>
      <c r="CAE32" s="388"/>
      <c r="CAF32" s="388"/>
      <c r="CAG32" s="388"/>
      <c r="CAH32" s="388"/>
      <c r="CAI32" s="388"/>
      <c r="CAJ32" s="388"/>
      <c r="CAK32" s="388"/>
      <c r="CAL32" s="388"/>
      <c r="CAM32" s="388"/>
      <c r="CAN32" s="388"/>
      <c r="CAO32" s="388"/>
      <c r="CAP32" s="388"/>
      <c r="CAQ32" s="388"/>
      <c r="CAR32" s="388"/>
      <c r="CAS32" s="388"/>
      <c r="CAT32" s="388"/>
      <c r="CAU32" s="388"/>
      <c r="CAV32" s="388"/>
      <c r="CAW32" s="388"/>
      <c r="CAX32" s="388"/>
      <c r="CAY32" s="388"/>
      <c r="CAZ32" s="388"/>
      <c r="CBA32" s="388"/>
      <c r="CBB32" s="388"/>
      <c r="CBC32" s="388"/>
      <c r="CBD32" s="388"/>
      <c r="CBE32" s="388"/>
      <c r="CBF32" s="388"/>
      <c r="CBG32" s="388"/>
      <c r="CBH32" s="388"/>
      <c r="CBI32" s="388"/>
      <c r="CBJ32" s="388"/>
      <c r="CBK32" s="388"/>
      <c r="CBL32" s="388"/>
      <c r="CBM32" s="388"/>
      <c r="CBN32" s="388"/>
      <c r="CBO32" s="388"/>
      <c r="CBP32" s="388"/>
      <c r="CBQ32" s="388"/>
      <c r="CBR32" s="388"/>
      <c r="CBS32" s="388"/>
      <c r="CBT32" s="388"/>
      <c r="CBU32" s="388"/>
      <c r="CBV32" s="388"/>
      <c r="CBW32" s="388"/>
      <c r="CBX32" s="388"/>
      <c r="CBY32" s="388"/>
      <c r="CBZ32" s="388"/>
      <c r="CCA32" s="388"/>
      <c r="CCB32" s="388"/>
      <c r="CCC32" s="388"/>
      <c r="CCD32" s="388"/>
      <c r="CCE32" s="388"/>
      <c r="CCF32" s="388"/>
      <c r="CCG32" s="388"/>
      <c r="CCH32" s="388"/>
      <c r="CCI32" s="388"/>
      <c r="CCJ32" s="388"/>
      <c r="CCK32" s="388"/>
      <c r="CCL32" s="388"/>
      <c r="CCM32" s="388"/>
      <c r="CCN32" s="388"/>
      <c r="CCO32" s="388"/>
      <c r="CCP32" s="388"/>
      <c r="CCQ32" s="388"/>
      <c r="CCR32" s="388"/>
      <c r="CCS32" s="388"/>
      <c r="CCT32" s="388"/>
      <c r="CCU32" s="388"/>
      <c r="CCV32" s="388"/>
      <c r="CCW32" s="388"/>
      <c r="CCX32" s="388"/>
      <c r="CCY32" s="388"/>
      <c r="CCZ32" s="388"/>
      <c r="CDA32" s="388"/>
      <c r="CDB32" s="388"/>
      <c r="CDC32" s="388"/>
      <c r="CDD32" s="388"/>
      <c r="CDE32" s="388"/>
      <c r="CDF32" s="388"/>
      <c r="CDG32" s="388"/>
      <c r="CDH32" s="388"/>
      <c r="CDI32" s="388"/>
      <c r="CDJ32" s="388"/>
      <c r="CDK32" s="388"/>
      <c r="CDL32" s="388"/>
      <c r="CDM32" s="388"/>
      <c r="CDN32" s="388"/>
      <c r="CDO32" s="388"/>
      <c r="CDP32" s="388"/>
      <c r="CDQ32" s="388"/>
      <c r="CDR32" s="388"/>
      <c r="CDS32" s="388"/>
      <c r="CDT32" s="388"/>
      <c r="CDU32" s="388"/>
      <c r="CDV32" s="388"/>
      <c r="CDW32" s="388"/>
      <c r="CDX32" s="388"/>
      <c r="CDY32" s="388"/>
      <c r="CDZ32" s="388"/>
      <c r="CEA32" s="388"/>
      <c r="CEB32" s="388"/>
      <c r="CEC32" s="388"/>
      <c r="CED32" s="388"/>
      <c r="CEE32" s="388"/>
      <c r="CEF32" s="388"/>
      <c r="CEG32" s="388"/>
      <c r="CEH32" s="388"/>
      <c r="CEI32" s="388"/>
      <c r="CEJ32" s="388"/>
      <c r="CEK32" s="388"/>
      <c r="CEL32" s="388"/>
      <c r="CEM32" s="388"/>
      <c r="CEN32" s="388"/>
      <c r="CEO32" s="388"/>
      <c r="CEP32" s="388"/>
      <c r="CEQ32" s="388"/>
      <c r="CER32" s="388"/>
      <c r="CES32" s="388"/>
      <c r="CET32" s="388"/>
      <c r="CEU32" s="388"/>
      <c r="CEV32" s="388"/>
      <c r="CEW32" s="388"/>
      <c r="CEX32" s="388"/>
      <c r="CEY32" s="388"/>
      <c r="CEZ32" s="388"/>
      <c r="CFA32" s="388"/>
      <c r="CFB32" s="388"/>
      <c r="CFC32" s="388"/>
      <c r="CFD32" s="388"/>
      <c r="CFE32" s="388"/>
      <c r="CFF32" s="388"/>
      <c r="CFG32" s="388"/>
      <c r="CFH32" s="388"/>
      <c r="CFI32" s="388"/>
      <c r="CFJ32" s="388"/>
      <c r="CFK32" s="388"/>
      <c r="CFL32" s="388"/>
      <c r="CFM32" s="388"/>
      <c r="CFN32" s="388"/>
      <c r="CFO32" s="388"/>
      <c r="CFP32" s="388"/>
      <c r="CFQ32" s="388"/>
      <c r="CFR32" s="388"/>
      <c r="CFS32" s="388"/>
      <c r="CFT32" s="388"/>
      <c r="CFU32" s="388"/>
      <c r="CFV32" s="388"/>
      <c r="CFW32" s="388"/>
      <c r="CFX32" s="388"/>
      <c r="CFY32" s="388"/>
      <c r="CFZ32" s="388"/>
      <c r="CGA32" s="388"/>
      <c r="CGB32" s="388"/>
      <c r="CGC32" s="388"/>
      <c r="CGD32" s="388"/>
      <c r="CGE32" s="388"/>
      <c r="CGF32" s="388"/>
      <c r="CGG32" s="388"/>
      <c r="CGH32" s="388"/>
      <c r="CGI32" s="388"/>
      <c r="CGJ32" s="388"/>
      <c r="CGK32" s="388"/>
      <c r="CGL32" s="388"/>
      <c r="CGM32" s="388"/>
      <c r="CGN32" s="388"/>
      <c r="CGO32" s="388"/>
      <c r="CGP32" s="388"/>
      <c r="CGQ32" s="388"/>
      <c r="CGR32" s="388"/>
      <c r="CGS32" s="388"/>
      <c r="CGT32" s="388"/>
      <c r="CGU32" s="388"/>
      <c r="CGV32" s="388"/>
      <c r="CGW32" s="388"/>
      <c r="CGX32" s="388"/>
      <c r="CGY32" s="388"/>
      <c r="CGZ32" s="388"/>
      <c r="CHA32" s="388"/>
      <c r="CHB32" s="388"/>
      <c r="CHC32" s="388"/>
      <c r="CHD32" s="388"/>
      <c r="CHE32" s="388"/>
      <c r="CHF32" s="388"/>
      <c r="CHG32" s="388"/>
      <c r="CHH32" s="388"/>
      <c r="CHI32" s="388"/>
      <c r="CHJ32" s="388"/>
      <c r="CHK32" s="388"/>
      <c r="CHL32" s="388"/>
      <c r="CHM32" s="388"/>
      <c r="CHN32" s="388"/>
      <c r="CHO32" s="388"/>
      <c r="CHP32" s="388"/>
      <c r="CHQ32" s="388"/>
      <c r="CHR32" s="388"/>
      <c r="CHS32" s="388"/>
      <c r="CHT32" s="388"/>
      <c r="CHU32" s="388"/>
      <c r="CHV32" s="388"/>
      <c r="CHW32" s="388"/>
      <c r="CHX32" s="388"/>
      <c r="CHY32" s="388"/>
      <c r="CHZ32" s="388"/>
      <c r="CIA32" s="388"/>
      <c r="CIB32" s="388"/>
      <c r="CIC32" s="388"/>
      <c r="CID32" s="388"/>
      <c r="CIE32" s="388"/>
      <c r="CIF32" s="388"/>
      <c r="CIG32" s="388"/>
      <c r="CIH32" s="388"/>
      <c r="CII32" s="388"/>
      <c r="CIJ32" s="388"/>
      <c r="CIK32" s="388"/>
      <c r="CIL32" s="388"/>
      <c r="CIM32" s="388"/>
      <c r="CIN32" s="388"/>
      <c r="CIO32" s="388"/>
      <c r="CIP32" s="388"/>
      <c r="CIQ32" s="388"/>
      <c r="CIR32" s="388"/>
      <c r="CIS32" s="388"/>
      <c r="CIT32" s="388"/>
      <c r="CIU32" s="388"/>
      <c r="CIV32" s="388"/>
      <c r="CIW32" s="388"/>
      <c r="CIX32" s="388"/>
      <c r="CIY32" s="388"/>
      <c r="CIZ32" s="388"/>
      <c r="CJA32" s="388"/>
      <c r="CJB32" s="388"/>
      <c r="CJC32" s="388"/>
      <c r="CJD32" s="388"/>
      <c r="CJE32" s="388"/>
      <c r="CJF32" s="388"/>
      <c r="CJG32" s="388"/>
      <c r="CJH32" s="388"/>
      <c r="CJI32" s="388"/>
      <c r="CJJ32" s="388"/>
      <c r="CJK32" s="388"/>
      <c r="CJL32" s="388"/>
      <c r="CJM32" s="388"/>
      <c r="CJN32" s="388"/>
      <c r="CJO32" s="388"/>
      <c r="CJP32" s="388"/>
      <c r="CJQ32" s="388"/>
      <c r="CJR32" s="388"/>
      <c r="CJS32" s="388"/>
      <c r="CJT32" s="388"/>
      <c r="CJU32" s="388"/>
      <c r="CJV32" s="388"/>
      <c r="CJW32" s="388"/>
      <c r="CJX32" s="388"/>
      <c r="CJY32" s="388"/>
      <c r="CJZ32" s="388"/>
      <c r="CKA32" s="388"/>
      <c r="CKB32" s="388"/>
      <c r="CKC32" s="388"/>
      <c r="CKD32" s="388"/>
      <c r="CKE32" s="388"/>
      <c r="CKF32" s="388"/>
      <c r="CKG32" s="388"/>
      <c r="CKH32" s="388"/>
      <c r="CKI32" s="388"/>
      <c r="CKJ32" s="388"/>
      <c r="CKK32" s="388"/>
      <c r="CKL32" s="388"/>
      <c r="CKM32" s="388"/>
      <c r="CKN32" s="388"/>
      <c r="CKO32" s="388"/>
      <c r="CKP32" s="388"/>
      <c r="CKQ32" s="388"/>
      <c r="CKR32" s="388"/>
      <c r="CKS32" s="388"/>
      <c r="CKT32" s="388"/>
      <c r="CKU32" s="388"/>
      <c r="CKV32" s="388"/>
      <c r="CKW32" s="388"/>
      <c r="CKX32" s="388"/>
      <c r="CKY32" s="388"/>
      <c r="CKZ32" s="388"/>
      <c r="CLA32" s="388"/>
      <c r="CLB32" s="388"/>
      <c r="CLC32" s="388"/>
      <c r="CLD32" s="388"/>
      <c r="CLE32" s="388"/>
      <c r="CLF32" s="388"/>
      <c r="CLG32" s="388"/>
      <c r="CLH32" s="388"/>
      <c r="CLI32" s="388"/>
      <c r="CLJ32" s="388"/>
      <c r="CLK32" s="388"/>
      <c r="CLL32" s="388"/>
      <c r="CLM32" s="388"/>
      <c r="CLN32" s="388"/>
      <c r="CLO32" s="388"/>
      <c r="CLP32" s="388"/>
      <c r="CLQ32" s="388"/>
      <c r="CLR32" s="388"/>
      <c r="CLS32" s="388"/>
      <c r="CLT32" s="388"/>
      <c r="CLU32" s="388"/>
      <c r="CLV32" s="388"/>
      <c r="CLW32" s="388"/>
      <c r="CLX32" s="388"/>
      <c r="CLY32" s="388"/>
      <c r="CLZ32" s="388"/>
      <c r="CMA32" s="388"/>
      <c r="CMB32" s="388"/>
      <c r="CMC32" s="388"/>
      <c r="CMD32" s="388"/>
      <c r="CME32" s="388"/>
      <c r="CMF32" s="388"/>
      <c r="CMG32" s="388"/>
      <c r="CMH32" s="388"/>
      <c r="CMI32" s="388"/>
      <c r="CMJ32" s="388"/>
      <c r="CMK32" s="388"/>
      <c r="CML32" s="388"/>
      <c r="CMM32" s="388"/>
      <c r="CMN32" s="388"/>
      <c r="CMO32" s="388"/>
      <c r="CMP32" s="388"/>
      <c r="CMQ32" s="388"/>
      <c r="CMR32" s="388"/>
      <c r="CMS32" s="388"/>
      <c r="CMT32" s="388"/>
      <c r="CMU32" s="388"/>
      <c r="CMV32" s="388"/>
      <c r="CMW32" s="388"/>
      <c r="CMX32" s="388"/>
      <c r="CMY32" s="388"/>
      <c r="CMZ32" s="388"/>
      <c r="CNA32" s="388"/>
      <c r="CNB32" s="388"/>
      <c r="CNC32" s="388"/>
      <c r="CND32" s="388"/>
      <c r="CNE32" s="388"/>
      <c r="CNF32" s="388"/>
      <c r="CNG32" s="388"/>
      <c r="CNH32" s="388"/>
      <c r="CNI32" s="388"/>
      <c r="CNJ32" s="388"/>
      <c r="CNK32" s="388"/>
      <c r="CNL32" s="388"/>
      <c r="CNM32" s="388"/>
      <c r="CNN32" s="388"/>
      <c r="CNO32" s="388"/>
      <c r="CNP32" s="388"/>
      <c r="CNQ32" s="388"/>
      <c r="CNR32" s="388"/>
      <c r="CNS32" s="388"/>
      <c r="CNT32" s="388"/>
      <c r="CNU32" s="388"/>
      <c r="CNV32" s="388"/>
      <c r="CNW32" s="388"/>
      <c r="CNX32" s="388"/>
      <c r="CNY32" s="388"/>
      <c r="CNZ32" s="388"/>
      <c r="COA32" s="388"/>
      <c r="COB32" s="388"/>
      <c r="COC32" s="388"/>
      <c r="COD32" s="388"/>
      <c r="COE32" s="388"/>
      <c r="COF32" s="388"/>
      <c r="COG32" s="388"/>
      <c r="COH32" s="388"/>
      <c r="COI32" s="388"/>
      <c r="COJ32" s="388"/>
      <c r="COK32" s="388"/>
      <c r="COL32" s="388"/>
      <c r="COM32" s="388"/>
      <c r="CON32" s="388"/>
      <c r="COO32" s="388"/>
      <c r="COP32" s="388"/>
      <c r="COQ32" s="388"/>
      <c r="COR32" s="388"/>
      <c r="COS32" s="388"/>
      <c r="COT32" s="388"/>
      <c r="COU32" s="388"/>
      <c r="COV32" s="388"/>
      <c r="COW32" s="388"/>
      <c r="COX32" s="388"/>
      <c r="COY32" s="388"/>
      <c r="COZ32" s="388"/>
      <c r="CPA32" s="388"/>
      <c r="CPB32" s="388"/>
      <c r="CPC32" s="388"/>
      <c r="CPD32" s="388"/>
      <c r="CPE32" s="388"/>
      <c r="CPF32" s="388"/>
      <c r="CPG32" s="388"/>
      <c r="CPH32" s="388"/>
      <c r="CPI32" s="388"/>
      <c r="CPJ32" s="388"/>
      <c r="CPK32" s="388"/>
      <c r="CPL32" s="388"/>
      <c r="CPM32" s="388"/>
      <c r="CPN32" s="388"/>
      <c r="CPO32" s="388"/>
      <c r="CPP32" s="388"/>
      <c r="CPQ32" s="388"/>
      <c r="CPR32" s="388"/>
      <c r="CPS32" s="388"/>
      <c r="CPT32" s="388"/>
      <c r="CPU32" s="388"/>
      <c r="CPV32" s="388"/>
      <c r="CPW32" s="388"/>
      <c r="CPX32" s="388"/>
      <c r="CPY32" s="388"/>
      <c r="CPZ32" s="388"/>
      <c r="CQA32" s="388"/>
      <c r="CQB32" s="388"/>
      <c r="CQC32" s="388"/>
      <c r="CQD32" s="388"/>
      <c r="CQE32" s="388"/>
      <c r="CQF32" s="388"/>
      <c r="CQG32" s="388"/>
      <c r="CQH32" s="388"/>
      <c r="CQI32" s="388"/>
      <c r="CQJ32" s="388"/>
      <c r="CQK32" s="388"/>
      <c r="CQL32" s="388"/>
      <c r="CQM32" s="388"/>
      <c r="CQN32" s="388"/>
      <c r="CQO32" s="388"/>
      <c r="CQP32" s="388"/>
      <c r="CQQ32" s="388"/>
      <c r="CQR32" s="388"/>
      <c r="CQS32" s="388"/>
      <c r="CQT32" s="388"/>
      <c r="CQU32" s="388"/>
      <c r="CQV32" s="388"/>
      <c r="CQW32" s="388"/>
      <c r="CQX32" s="388"/>
      <c r="CQY32" s="388"/>
      <c r="CQZ32" s="388"/>
      <c r="CRA32" s="388"/>
      <c r="CRB32" s="388"/>
      <c r="CRC32" s="388"/>
      <c r="CRD32" s="388"/>
      <c r="CRE32" s="388"/>
      <c r="CRF32" s="388"/>
      <c r="CRG32" s="388"/>
      <c r="CRH32" s="388"/>
      <c r="CRI32" s="388"/>
      <c r="CRJ32" s="388"/>
      <c r="CRK32" s="388"/>
      <c r="CRL32" s="388"/>
      <c r="CRM32" s="388"/>
      <c r="CRN32" s="388"/>
      <c r="CRO32" s="388"/>
      <c r="CRP32" s="388"/>
      <c r="CRQ32" s="388"/>
      <c r="CRR32" s="388"/>
      <c r="CRS32" s="388"/>
      <c r="CRT32" s="388"/>
      <c r="CRU32" s="388"/>
      <c r="CRV32" s="388"/>
      <c r="CRW32" s="388"/>
      <c r="CRX32" s="388"/>
      <c r="CRY32" s="388"/>
      <c r="CRZ32" s="388"/>
      <c r="CSA32" s="388"/>
      <c r="CSB32" s="388"/>
      <c r="CSC32" s="388"/>
      <c r="CSD32" s="388"/>
      <c r="CSE32" s="388"/>
      <c r="CSF32" s="388"/>
      <c r="CSG32" s="388"/>
      <c r="CSH32" s="388"/>
      <c r="CSI32" s="388"/>
      <c r="CSJ32" s="388"/>
      <c r="CSK32" s="388"/>
      <c r="CSL32" s="388"/>
      <c r="CSM32" s="388"/>
      <c r="CSN32" s="388"/>
      <c r="CSO32" s="388"/>
      <c r="CSP32" s="388"/>
      <c r="CSQ32" s="388"/>
      <c r="CSR32" s="388"/>
      <c r="CSS32" s="388"/>
      <c r="CST32" s="388"/>
      <c r="CSU32" s="388"/>
      <c r="CSV32" s="388"/>
      <c r="CSW32" s="388"/>
      <c r="CSX32" s="388"/>
      <c r="CSY32" s="388"/>
      <c r="CSZ32" s="388"/>
      <c r="CTA32" s="388"/>
      <c r="CTB32" s="388"/>
      <c r="CTC32" s="388"/>
      <c r="CTD32" s="388"/>
      <c r="CTE32" s="388"/>
      <c r="CTF32" s="388"/>
      <c r="CTG32" s="388"/>
      <c r="CTH32" s="388"/>
      <c r="CTI32" s="388"/>
      <c r="CTJ32" s="388"/>
      <c r="CTK32" s="388"/>
      <c r="CTL32" s="388"/>
      <c r="CTM32" s="388"/>
      <c r="CTN32" s="388"/>
      <c r="CTO32" s="388"/>
      <c r="CTP32" s="388"/>
      <c r="CTQ32" s="388"/>
      <c r="CTR32" s="388"/>
      <c r="CTS32" s="388"/>
      <c r="CTT32" s="388"/>
      <c r="CTU32" s="388"/>
      <c r="CTV32" s="388"/>
      <c r="CTW32" s="388"/>
      <c r="CTX32" s="388"/>
      <c r="CTY32" s="388"/>
      <c r="CTZ32" s="388"/>
      <c r="CUA32" s="388"/>
      <c r="CUB32" s="388"/>
      <c r="CUC32" s="388"/>
      <c r="CUD32" s="388"/>
      <c r="CUE32" s="388"/>
      <c r="CUF32" s="388"/>
      <c r="CUG32" s="388"/>
      <c r="CUH32" s="388"/>
      <c r="CUI32" s="388"/>
      <c r="CUJ32" s="388"/>
      <c r="CUK32" s="388"/>
      <c r="CUL32" s="388"/>
      <c r="CUM32" s="388"/>
      <c r="CUN32" s="388"/>
      <c r="CUO32" s="388"/>
      <c r="CUP32" s="388"/>
      <c r="CUQ32" s="388"/>
      <c r="CUR32" s="388"/>
      <c r="CUS32" s="388"/>
      <c r="CUT32" s="388"/>
      <c r="CUU32" s="388"/>
      <c r="CUV32" s="388"/>
      <c r="CUW32" s="388"/>
      <c r="CUX32" s="388"/>
      <c r="CUY32" s="388"/>
      <c r="CUZ32" s="388"/>
      <c r="CVA32" s="388"/>
      <c r="CVB32" s="388"/>
      <c r="CVC32" s="388"/>
      <c r="CVD32" s="388"/>
      <c r="CVE32" s="388"/>
      <c r="CVF32" s="388"/>
      <c r="CVG32" s="388"/>
      <c r="CVH32" s="388"/>
      <c r="CVI32" s="388"/>
      <c r="CVJ32" s="388"/>
      <c r="CVK32" s="388"/>
      <c r="CVL32" s="388"/>
      <c r="CVM32" s="388"/>
      <c r="CVN32" s="388"/>
      <c r="CVO32" s="388"/>
      <c r="CVP32" s="388"/>
      <c r="CVQ32" s="388"/>
      <c r="CVR32" s="388"/>
      <c r="CVS32" s="388"/>
      <c r="CVT32" s="388"/>
      <c r="CVU32" s="388"/>
      <c r="CVV32" s="388"/>
      <c r="CVW32" s="388"/>
      <c r="CVX32" s="388"/>
      <c r="CVY32" s="388"/>
      <c r="CVZ32" s="388"/>
      <c r="CWA32" s="388"/>
      <c r="CWB32" s="388"/>
      <c r="CWC32" s="388"/>
      <c r="CWD32" s="388"/>
      <c r="CWE32" s="388"/>
      <c r="CWF32" s="388"/>
      <c r="CWG32" s="388"/>
      <c r="CWH32" s="388"/>
      <c r="CWI32" s="388"/>
      <c r="CWJ32" s="388"/>
      <c r="CWK32" s="388"/>
      <c r="CWL32" s="388"/>
      <c r="CWM32" s="388"/>
      <c r="CWN32" s="388"/>
      <c r="CWO32" s="388"/>
      <c r="CWP32" s="388"/>
      <c r="CWQ32" s="388"/>
      <c r="CWR32" s="388"/>
      <c r="CWS32" s="388"/>
      <c r="CWT32" s="388"/>
      <c r="CWU32" s="388"/>
      <c r="CWV32" s="388"/>
      <c r="CWW32" s="388"/>
      <c r="CWX32" s="388"/>
      <c r="CWY32" s="388"/>
      <c r="CWZ32" s="388"/>
      <c r="CXA32" s="388"/>
      <c r="CXB32" s="388"/>
      <c r="CXC32" s="388"/>
      <c r="CXD32" s="388"/>
      <c r="CXE32" s="388"/>
      <c r="CXF32" s="388"/>
      <c r="CXG32" s="388"/>
      <c r="CXH32" s="388"/>
      <c r="CXI32" s="388"/>
      <c r="CXJ32" s="388"/>
      <c r="CXK32" s="388"/>
      <c r="CXL32" s="388"/>
      <c r="CXM32" s="388"/>
      <c r="CXN32" s="388"/>
      <c r="CXO32" s="388"/>
      <c r="CXP32" s="388"/>
      <c r="CXQ32" s="388"/>
      <c r="CXR32" s="388"/>
      <c r="CXS32" s="388"/>
      <c r="CXT32" s="388"/>
      <c r="CXU32" s="388"/>
      <c r="CXV32" s="388"/>
      <c r="CXW32" s="388"/>
      <c r="CXX32" s="388"/>
      <c r="CXY32" s="388"/>
      <c r="CXZ32" s="388"/>
      <c r="CYA32" s="388"/>
      <c r="CYB32" s="388"/>
      <c r="CYC32" s="388"/>
      <c r="CYD32" s="388"/>
      <c r="CYE32" s="388"/>
      <c r="CYF32" s="388"/>
      <c r="CYG32" s="388"/>
      <c r="CYH32" s="388"/>
      <c r="CYI32" s="388"/>
      <c r="CYJ32" s="388"/>
      <c r="CYK32" s="388"/>
      <c r="CYL32" s="388"/>
      <c r="CYM32" s="388"/>
      <c r="CYN32" s="388"/>
      <c r="CYO32" s="388"/>
      <c r="CYP32" s="388"/>
      <c r="CYQ32" s="388"/>
      <c r="CYR32" s="388"/>
      <c r="CYS32" s="388"/>
      <c r="CYT32" s="388"/>
      <c r="CYU32" s="388"/>
      <c r="CYV32" s="388"/>
      <c r="CYW32" s="388"/>
      <c r="CYX32" s="388"/>
      <c r="CYY32" s="388"/>
      <c r="CYZ32" s="388"/>
      <c r="CZA32" s="388"/>
      <c r="CZB32" s="388"/>
      <c r="CZC32" s="388"/>
      <c r="CZD32" s="388"/>
      <c r="CZE32" s="388"/>
      <c r="CZF32" s="388"/>
      <c r="CZG32" s="388"/>
      <c r="CZH32" s="388"/>
      <c r="CZI32" s="388"/>
      <c r="CZJ32" s="388"/>
      <c r="CZK32" s="388"/>
      <c r="CZL32" s="388"/>
      <c r="CZM32" s="388"/>
      <c r="CZN32" s="388"/>
      <c r="CZO32" s="388"/>
      <c r="CZP32" s="388"/>
      <c r="CZQ32" s="388"/>
      <c r="CZR32" s="388"/>
      <c r="CZS32" s="388"/>
      <c r="CZT32" s="388"/>
      <c r="CZU32" s="388"/>
      <c r="CZV32" s="388"/>
      <c r="CZW32" s="388"/>
      <c r="CZX32" s="388"/>
      <c r="CZY32" s="388"/>
      <c r="CZZ32" s="388"/>
      <c r="DAA32" s="388"/>
      <c r="DAB32" s="388"/>
      <c r="DAC32" s="388"/>
      <c r="DAD32" s="388"/>
      <c r="DAE32" s="388"/>
      <c r="DAF32" s="388"/>
      <c r="DAG32" s="388"/>
      <c r="DAH32" s="388"/>
      <c r="DAI32" s="388"/>
      <c r="DAJ32" s="388"/>
      <c r="DAK32" s="388"/>
      <c r="DAL32" s="388"/>
      <c r="DAM32" s="388"/>
      <c r="DAN32" s="388"/>
      <c r="DAO32" s="388"/>
      <c r="DAP32" s="388"/>
      <c r="DAQ32" s="388"/>
      <c r="DAR32" s="388"/>
      <c r="DAS32" s="388"/>
      <c r="DAT32" s="388"/>
      <c r="DAU32" s="388"/>
      <c r="DAV32" s="388"/>
      <c r="DAW32" s="388"/>
      <c r="DAX32" s="388"/>
      <c r="DAY32" s="388"/>
      <c r="DAZ32" s="388"/>
      <c r="DBA32" s="388"/>
      <c r="DBB32" s="388"/>
      <c r="DBC32" s="388"/>
      <c r="DBD32" s="388"/>
      <c r="DBE32" s="388"/>
      <c r="DBF32" s="388"/>
      <c r="DBG32" s="388"/>
      <c r="DBH32" s="388"/>
      <c r="DBI32" s="388"/>
      <c r="DBJ32" s="388"/>
      <c r="DBK32" s="388"/>
      <c r="DBL32" s="388"/>
      <c r="DBM32" s="388"/>
      <c r="DBN32" s="388"/>
      <c r="DBO32" s="388"/>
      <c r="DBP32" s="388"/>
      <c r="DBQ32" s="388"/>
      <c r="DBR32" s="388"/>
      <c r="DBS32" s="388"/>
      <c r="DBT32" s="388"/>
      <c r="DBU32" s="388"/>
      <c r="DBV32" s="388"/>
      <c r="DBW32" s="388"/>
      <c r="DBX32" s="388"/>
      <c r="DBY32" s="388"/>
      <c r="DBZ32" s="388"/>
      <c r="DCA32" s="388"/>
      <c r="DCB32" s="388"/>
      <c r="DCC32" s="388"/>
      <c r="DCD32" s="388"/>
      <c r="DCE32" s="388"/>
      <c r="DCF32" s="388"/>
      <c r="DCG32" s="388"/>
      <c r="DCH32" s="388"/>
      <c r="DCI32" s="388"/>
      <c r="DCJ32" s="388"/>
      <c r="DCK32" s="388"/>
      <c r="DCL32" s="388"/>
      <c r="DCM32" s="388"/>
      <c r="DCN32" s="388"/>
      <c r="DCO32" s="388"/>
      <c r="DCP32" s="388"/>
      <c r="DCQ32" s="388"/>
      <c r="DCR32" s="388"/>
      <c r="DCS32" s="388"/>
      <c r="DCT32" s="388"/>
      <c r="DCU32" s="388"/>
      <c r="DCV32" s="388"/>
      <c r="DCW32" s="388"/>
      <c r="DCX32" s="388"/>
      <c r="DCY32" s="388"/>
      <c r="DCZ32" s="388"/>
      <c r="DDA32" s="388"/>
      <c r="DDB32" s="388"/>
      <c r="DDC32" s="388"/>
      <c r="DDD32" s="388"/>
      <c r="DDE32" s="388"/>
      <c r="DDF32" s="388"/>
      <c r="DDG32" s="388"/>
      <c r="DDH32" s="388"/>
      <c r="DDI32" s="388"/>
      <c r="DDJ32" s="388"/>
      <c r="DDK32" s="388"/>
      <c r="DDL32" s="388"/>
      <c r="DDM32" s="388"/>
      <c r="DDN32" s="388"/>
      <c r="DDO32" s="388"/>
      <c r="DDP32" s="388"/>
      <c r="DDQ32" s="388"/>
      <c r="DDR32" s="388"/>
      <c r="DDS32" s="388"/>
      <c r="DDT32" s="388"/>
      <c r="DDU32" s="388"/>
      <c r="DDV32" s="388"/>
      <c r="DDW32" s="388"/>
      <c r="DDX32" s="388"/>
      <c r="DDY32" s="388"/>
      <c r="DDZ32" s="388"/>
      <c r="DEA32" s="388"/>
      <c r="DEB32" s="388"/>
      <c r="DEC32" s="388"/>
      <c r="DED32" s="388"/>
      <c r="DEE32" s="388"/>
      <c r="DEF32" s="388"/>
      <c r="DEG32" s="388"/>
      <c r="DEH32" s="388"/>
      <c r="DEI32" s="388"/>
      <c r="DEJ32" s="388"/>
      <c r="DEK32" s="388"/>
      <c r="DEL32" s="388"/>
      <c r="DEM32" s="388"/>
      <c r="DEN32" s="388"/>
      <c r="DEO32" s="388"/>
      <c r="DEP32" s="388"/>
      <c r="DEQ32" s="388"/>
      <c r="DER32" s="388"/>
      <c r="DES32" s="388"/>
      <c r="DET32" s="388"/>
      <c r="DEU32" s="388"/>
      <c r="DEV32" s="388"/>
      <c r="DEW32" s="388"/>
      <c r="DEX32" s="388"/>
      <c r="DEY32" s="388"/>
      <c r="DEZ32" s="388"/>
      <c r="DFA32" s="388"/>
      <c r="DFB32" s="388"/>
      <c r="DFC32" s="388"/>
      <c r="DFD32" s="388"/>
      <c r="DFE32" s="388"/>
      <c r="DFF32" s="388"/>
      <c r="DFG32" s="388"/>
      <c r="DFH32" s="388"/>
      <c r="DFI32" s="388"/>
      <c r="DFJ32" s="388"/>
      <c r="DFK32" s="388"/>
      <c r="DFL32" s="388"/>
      <c r="DFM32" s="388"/>
      <c r="DFN32" s="388"/>
      <c r="DFO32" s="388"/>
      <c r="DFP32" s="388"/>
      <c r="DFQ32" s="388"/>
      <c r="DFR32" s="388"/>
      <c r="DFS32" s="388"/>
      <c r="DFT32" s="388"/>
      <c r="DFU32" s="388"/>
      <c r="DFV32" s="388"/>
      <c r="DFW32" s="388"/>
      <c r="DFX32" s="388"/>
      <c r="DFY32" s="388"/>
      <c r="DFZ32" s="388"/>
      <c r="DGA32" s="388"/>
      <c r="DGB32" s="388"/>
      <c r="DGC32" s="388"/>
      <c r="DGD32" s="388"/>
      <c r="DGE32" s="388"/>
      <c r="DGF32" s="388"/>
      <c r="DGG32" s="388"/>
      <c r="DGH32" s="388"/>
      <c r="DGI32" s="388"/>
      <c r="DGJ32" s="388"/>
      <c r="DGK32" s="388"/>
      <c r="DGL32" s="388"/>
      <c r="DGM32" s="388"/>
      <c r="DGN32" s="388"/>
      <c r="DGO32" s="388"/>
      <c r="DGP32" s="388"/>
      <c r="DGQ32" s="388"/>
      <c r="DGR32" s="388"/>
      <c r="DGS32" s="388"/>
      <c r="DGT32" s="388"/>
      <c r="DGU32" s="388"/>
      <c r="DGV32" s="388"/>
      <c r="DGW32" s="388"/>
      <c r="DGX32" s="388"/>
      <c r="DGY32" s="388"/>
      <c r="DGZ32" s="388"/>
      <c r="DHA32" s="388"/>
      <c r="DHB32" s="388"/>
      <c r="DHC32" s="388"/>
      <c r="DHD32" s="388"/>
      <c r="DHE32" s="388"/>
      <c r="DHF32" s="388"/>
      <c r="DHG32" s="388"/>
      <c r="DHH32" s="388"/>
      <c r="DHI32" s="388"/>
      <c r="DHJ32" s="388"/>
      <c r="DHK32" s="388"/>
      <c r="DHL32" s="388"/>
      <c r="DHM32" s="388"/>
      <c r="DHN32" s="388"/>
      <c r="DHO32" s="388"/>
      <c r="DHP32" s="388"/>
      <c r="DHQ32" s="388"/>
      <c r="DHR32" s="388"/>
      <c r="DHS32" s="388"/>
      <c r="DHT32" s="388"/>
      <c r="DHU32" s="388"/>
      <c r="DHV32" s="388"/>
      <c r="DHW32" s="388"/>
      <c r="DHX32" s="388"/>
      <c r="DHY32" s="388"/>
      <c r="DHZ32" s="388"/>
      <c r="DIA32" s="388"/>
      <c r="DIB32" s="388"/>
      <c r="DIC32" s="388"/>
      <c r="DID32" s="388"/>
      <c r="DIE32" s="388"/>
      <c r="DIF32" s="388"/>
      <c r="DIG32" s="388"/>
      <c r="DIH32" s="388"/>
      <c r="DII32" s="388"/>
      <c r="DIJ32" s="388"/>
      <c r="DIK32" s="388"/>
      <c r="DIL32" s="388"/>
      <c r="DIM32" s="388"/>
      <c r="DIN32" s="388"/>
      <c r="DIO32" s="388"/>
      <c r="DIP32" s="388"/>
      <c r="DIQ32" s="388"/>
      <c r="DIR32" s="388"/>
      <c r="DIS32" s="388"/>
      <c r="DIT32" s="388"/>
      <c r="DIU32" s="388"/>
      <c r="DIV32" s="388"/>
      <c r="DIW32" s="388"/>
      <c r="DIX32" s="388"/>
      <c r="DIY32" s="388"/>
      <c r="DIZ32" s="388"/>
      <c r="DJA32" s="388"/>
      <c r="DJB32" s="388"/>
      <c r="DJC32" s="388"/>
      <c r="DJD32" s="388"/>
      <c r="DJE32" s="388"/>
      <c r="DJF32" s="388"/>
      <c r="DJG32" s="388"/>
      <c r="DJH32" s="388"/>
      <c r="DJI32" s="388"/>
      <c r="DJJ32" s="388"/>
      <c r="DJK32" s="388"/>
      <c r="DJL32" s="388"/>
      <c r="DJM32" s="388"/>
      <c r="DJN32" s="388"/>
      <c r="DJO32" s="388"/>
      <c r="DJP32" s="388"/>
      <c r="DJQ32" s="388"/>
      <c r="DJR32" s="388"/>
      <c r="DJS32" s="388"/>
      <c r="DJT32" s="388"/>
      <c r="DJU32" s="388"/>
      <c r="DJV32" s="388"/>
      <c r="DJW32" s="388"/>
      <c r="DJX32" s="388"/>
      <c r="DJY32" s="388"/>
      <c r="DJZ32" s="388"/>
      <c r="DKA32" s="388"/>
      <c r="DKB32" s="388"/>
      <c r="DKC32" s="388"/>
      <c r="DKD32" s="388"/>
      <c r="DKE32" s="388"/>
      <c r="DKF32" s="388"/>
      <c r="DKG32" s="388"/>
      <c r="DKH32" s="388"/>
      <c r="DKI32" s="388"/>
      <c r="DKJ32" s="388"/>
      <c r="DKK32" s="388"/>
      <c r="DKL32" s="388"/>
      <c r="DKM32" s="388"/>
      <c r="DKN32" s="388"/>
      <c r="DKO32" s="388"/>
      <c r="DKP32" s="388"/>
      <c r="DKQ32" s="388"/>
      <c r="DKR32" s="388"/>
      <c r="DKS32" s="388"/>
      <c r="DKT32" s="388"/>
      <c r="DKU32" s="388"/>
      <c r="DKV32" s="388"/>
      <c r="DKW32" s="388"/>
      <c r="DKX32" s="388"/>
      <c r="DKY32" s="388"/>
      <c r="DKZ32" s="388"/>
      <c r="DLA32" s="388"/>
      <c r="DLB32" s="388"/>
      <c r="DLC32" s="388"/>
      <c r="DLD32" s="388"/>
      <c r="DLE32" s="388"/>
      <c r="DLF32" s="388"/>
      <c r="DLG32" s="388"/>
      <c r="DLH32" s="388"/>
      <c r="DLI32" s="388"/>
      <c r="DLJ32" s="388"/>
      <c r="DLK32" s="388"/>
      <c r="DLL32" s="388"/>
      <c r="DLM32" s="388"/>
      <c r="DLN32" s="388"/>
      <c r="DLO32" s="388"/>
      <c r="DLP32" s="388"/>
      <c r="DLQ32" s="388"/>
      <c r="DLR32" s="388"/>
      <c r="DLS32" s="388"/>
      <c r="DLT32" s="388"/>
      <c r="DLU32" s="388"/>
      <c r="DLV32" s="388"/>
      <c r="DLW32" s="388"/>
      <c r="DLX32" s="388"/>
      <c r="DLY32" s="388"/>
      <c r="DLZ32" s="388"/>
      <c r="DMA32" s="388"/>
      <c r="DMB32" s="388"/>
      <c r="DMC32" s="388"/>
      <c r="DMD32" s="388"/>
      <c r="DME32" s="388"/>
      <c r="DMF32" s="388"/>
      <c r="DMG32" s="388"/>
      <c r="DMH32" s="388"/>
      <c r="DMI32" s="388"/>
      <c r="DMJ32" s="388"/>
      <c r="DMK32" s="388"/>
      <c r="DML32" s="388"/>
      <c r="DMM32" s="388"/>
      <c r="DMN32" s="388"/>
      <c r="DMO32" s="388"/>
      <c r="DMP32" s="388"/>
      <c r="DMQ32" s="388"/>
      <c r="DMR32" s="388"/>
      <c r="DMS32" s="388"/>
      <c r="DMT32" s="388"/>
      <c r="DMU32" s="388"/>
      <c r="DMV32" s="388"/>
      <c r="DMW32" s="388"/>
      <c r="DMX32" s="388"/>
      <c r="DMY32" s="388"/>
      <c r="DMZ32" s="388"/>
      <c r="DNA32" s="388"/>
      <c r="DNB32" s="388"/>
      <c r="DNC32" s="388"/>
      <c r="DND32" s="388"/>
      <c r="DNE32" s="388"/>
      <c r="DNF32" s="388"/>
      <c r="DNG32" s="388"/>
      <c r="DNH32" s="388"/>
      <c r="DNI32" s="388"/>
      <c r="DNJ32" s="388"/>
      <c r="DNK32" s="388"/>
      <c r="DNL32" s="388"/>
      <c r="DNM32" s="388"/>
      <c r="DNN32" s="388"/>
      <c r="DNO32" s="388"/>
      <c r="DNP32" s="388"/>
      <c r="DNQ32" s="388"/>
      <c r="DNR32" s="388"/>
      <c r="DNS32" s="388"/>
      <c r="DNT32" s="388"/>
      <c r="DNU32" s="388"/>
      <c r="DNV32" s="388"/>
      <c r="DNW32" s="388"/>
      <c r="DNX32" s="388"/>
      <c r="DNY32" s="388"/>
      <c r="DNZ32" s="388"/>
      <c r="DOA32" s="388"/>
      <c r="DOB32" s="388"/>
      <c r="DOC32" s="388"/>
      <c r="DOD32" s="388"/>
      <c r="DOE32" s="388"/>
      <c r="DOF32" s="388"/>
      <c r="DOG32" s="388"/>
      <c r="DOH32" s="388"/>
      <c r="DOI32" s="388"/>
      <c r="DOJ32" s="388"/>
      <c r="DOK32" s="388"/>
      <c r="DOL32" s="388"/>
      <c r="DOM32" s="388"/>
      <c r="DON32" s="388"/>
      <c r="DOO32" s="388"/>
      <c r="DOP32" s="388"/>
      <c r="DOQ32" s="388"/>
      <c r="DOR32" s="388"/>
      <c r="DOS32" s="388"/>
      <c r="DOT32" s="388"/>
      <c r="DOU32" s="388"/>
      <c r="DOV32" s="388"/>
      <c r="DOW32" s="388"/>
      <c r="DOX32" s="388"/>
      <c r="DOY32" s="388"/>
      <c r="DOZ32" s="388"/>
      <c r="DPA32" s="388"/>
      <c r="DPB32" s="388"/>
      <c r="DPC32" s="388"/>
      <c r="DPD32" s="388"/>
      <c r="DPE32" s="388"/>
      <c r="DPF32" s="388"/>
      <c r="DPG32" s="388"/>
      <c r="DPH32" s="388"/>
      <c r="DPI32" s="388"/>
      <c r="DPJ32" s="388"/>
      <c r="DPK32" s="388"/>
      <c r="DPL32" s="388"/>
      <c r="DPM32" s="388"/>
      <c r="DPN32" s="388"/>
      <c r="DPO32" s="388"/>
      <c r="DPP32" s="388"/>
      <c r="DPQ32" s="388"/>
      <c r="DPR32" s="388"/>
      <c r="DPS32" s="388"/>
      <c r="DPT32" s="388"/>
      <c r="DPU32" s="388"/>
      <c r="DPV32" s="388"/>
      <c r="DPW32" s="388"/>
      <c r="DPX32" s="388"/>
      <c r="DPY32" s="388"/>
      <c r="DPZ32" s="388"/>
      <c r="DQA32" s="388"/>
      <c r="DQB32" s="388"/>
      <c r="DQC32" s="388"/>
      <c r="DQD32" s="388"/>
      <c r="DQE32" s="388"/>
      <c r="DQF32" s="388"/>
      <c r="DQG32" s="388"/>
      <c r="DQH32" s="388"/>
      <c r="DQI32" s="388"/>
      <c r="DQJ32" s="388"/>
      <c r="DQK32" s="388"/>
      <c r="DQL32" s="388"/>
      <c r="DQM32" s="388"/>
      <c r="DQN32" s="388"/>
      <c r="DQO32" s="388"/>
      <c r="DQP32" s="388"/>
      <c r="DQQ32" s="388"/>
      <c r="DQR32" s="388"/>
      <c r="DQS32" s="388"/>
      <c r="DQT32" s="388"/>
      <c r="DQU32" s="388"/>
      <c r="DQV32" s="388"/>
      <c r="DQW32" s="388"/>
      <c r="DQX32" s="388"/>
      <c r="DQY32" s="388"/>
      <c r="DQZ32" s="388"/>
      <c r="DRA32" s="388"/>
      <c r="DRB32" s="388"/>
      <c r="DRC32" s="388"/>
      <c r="DRD32" s="388"/>
      <c r="DRE32" s="388"/>
      <c r="DRF32" s="388"/>
      <c r="DRG32" s="388"/>
      <c r="DRH32" s="388"/>
      <c r="DRI32" s="388"/>
      <c r="DRJ32" s="388"/>
      <c r="DRK32" s="388"/>
      <c r="DRL32" s="388"/>
      <c r="DRM32" s="388"/>
      <c r="DRN32" s="388"/>
      <c r="DRO32" s="388"/>
      <c r="DRP32" s="388"/>
      <c r="DRQ32" s="388"/>
      <c r="DRR32" s="388"/>
      <c r="DRS32" s="388"/>
      <c r="DRT32" s="388"/>
      <c r="DRU32" s="388"/>
      <c r="DRV32" s="388"/>
      <c r="DRW32" s="388"/>
      <c r="DRX32" s="388"/>
      <c r="DRY32" s="388"/>
      <c r="DRZ32" s="388"/>
      <c r="DSA32" s="388"/>
      <c r="DSB32" s="388"/>
      <c r="DSC32" s="388"/>
      <c r="DSD32" s="388"/>
      <c r="DSE32" s="388"/>
      <c r="DSF32" s="388"/>
      <c r="DSG32" s="388"/>
      <c r="DSH32" s="388"/>
      <c r="DSI32" s="388"/>
      <c r="DSJ32" s="388"/>
      <c r="DSK32" s="388"/>
      <c r="DSL32" s="388"/>
      <c r="DSM32" s="388"/>
      <c r="DSN32" s="388"/>
      <c r="DSO32" s="388"/>
      <c r="DSP32" s="388"/>
      <c r="DSQ32" s="388"/>
      <c r="DSR32" s="388"/>
      <c r="DSS32" s="388"/>
      <c r="DST32" s="388"/>
      <c r="DSU32" s="388"/>
      <c r="DSV32" s="388"/>
      <c r="DSW32" s="388"/>
      <c r="DSX32" s="388"/>
      <c r="DSY32" s="388"/>
      <c r="DSZ32" s="388"/>
      <c r="DTA32" s="388"/>
      <c r="DTB32" s="388"/>
      <c r="DTC32" s="388"/>
      <c r="DTD32" s="388"/>
      <c r="DTE32" s="388"/>
      <c r="DTF32" s="388"/>
      <c r="DTG32" s="388"/>
      <c r="DTH32" s="388"/>
      <c r="DTI32" s="388"/>
      <c r="DTJ32" s="388"/>
      <c r="DTK32" s="388"/>
      <c r="DTL32" s="388"/>
      <c r="DTM32" s="388"/>
      <c r="DTN32" s="388"/>
      <c r="DTO32" s="388"/>
      <c r="DTP32" s="388"/>
      <c r="DTQ32" s="388"/>
      <c r="DTR32" s="388"/>
      <c r="DTS32" s="388"/>
      <c r="DTT32" s="388"/>
      <c r="DTU32" s="388"/>
      <c r="DTV32" s="388"/>
      <c r="DTW32" s="388"/>
      <c r="DTX32" s="388"/>
      <c r="DTY32" s="388"/>
      <c r="DTZ32" s="388"/>
      <c r="DUA32" s="388"/>
      <c r="DUB32" s="388"/>
      <c r="DUC32" s="388"/>
      <c r="DUD32" s="388"/>
      <c r="DUE32" s="388"/>
      <c r="DUF32" s="388"/>
      <c r="DUG32" s="388"/>
      <c r="DUH32" s="388"/>
      <c r="DUI32" s="388"/>
      <c r="DUJ32" s="388"/>
      <c r="DUK32" s="388"/>
      <c r="DUL32" s="388"/>
      <c r="DUM32" s="388"/>
      <c r="DUN32" s="388"/>
      <c r="DUO32" s="388"/>
      <c r="DUP32" s="388"/>
      <c r="DUQ32" s="388"/>
      <c r="DUR32" s="388"/>
      <c r="DUS32" s="388"/>
      <c r="DUT32" s="388"/>
      <c r="DUU32" s="388"/>
      <c r="DUV32" s="388"/>
      <c r="DUW32" s="388"/>
      <c r="DUX32" s="388"/>
      <c r="DUY32" s="388"/>
      <c r="DUZ32" s="388"/>
      <c r="DVA32" s="388"/>
      <c r="DVB32" s="388"/>
      <c r="DVC32" s="388"/>
      <c r="DVD32" s="388"/>
      <c r="DVE32" s="388"/>
      <c r="DVF32" s="388"/>
      <c r="DVG32" s="388"/>
      <c r="DVH32" s="388"/>
      <c r="DVI32" s="388"/>
      <c r="DVJ32" s="388"/>
      <c r="DVK32" s="388"/>
      <c r="DVL32" s="388"/>
      <c r="DVM32" s="388"/>
      <c r="DVN32" s="388"/>
      <c r="DVO32" s="388"/>
      <c r="DVP32" s="388"/>
      <c r="DVQ32" s="388"/>
      <c r="DVR32" s="388"/>
      <c r="DVS32" s="388"/>
      <c r="DVT32" s="388"/>
      <c r="DVU32" s="388"/>
      <c r="DVV32" s="388"/>
      <c r="DVW32" s="388"/>
      <c r="DVX32" s="388"/>
      <c r="DVY32" s="388"/>
      <c r="DVZ32" s="388"/>
      <c r="DWA32" s="388"/>
      <c r="DWB32" s="388"/>
      <c r="DWC32" s="388"/>
      <c r="DWD32" s="388"/>
      <c r="DWE32" s="388"/>
      <c r="DWF32" s="388"/>
      <c r="DWG32" s="388"/>
      <c r="DWH32" s="388"/>
      <c r="DWI32" s="388"/>
      <c r="DWJ32" s="388"/>
      <c r="DWK32" s="388"/>
      <c r="DWL32" s="388"/>
      <c r="DWM32" s="388"/>
      <c r="DWN32" s="388"/>
      <c r="DWO32" s="388"/>
      <c r="DWP32" s="388"/>
      <c r="DWQ32" s="388"/>
      <c r="DWR32" s="388"/>
      <c r="DWS32" s="388"/>
      <c r="DWT32" s="388"/>
      <c r="DWU32" s="388"/>
      <c r="DWV32" s="388"/>
      <c r="DWW32" s="388"/>
      <c r="DWX32" s="388"/>
      <c r="DWY32" s="388"/>
      <c r="DWZ32" s="388"/>
      <c r="DXA32" s="388"/>
      <c r="DXB32" s="388"/>
      <c r="DXC32" s="388"/>
      <c r="DXD32" s="388"/>
      <c r="DXE32" s="388"/>
      <c r="DXF32" s="388"/>
      <c r="DXG32" s="388"/>
      <c r="DXH32" s="388"/>
      <c r="DXI32" s="388"/>
      <c r="DXJ32" s="388"/>
      <c r="DXK32" s="388"/>
      <c r="DXL32" s="388"/>
      <c r="DXM32" s="388"/>
      <c r="DXN32" s="388"/>
      <c r="DXO32" s="388"/>
      <c r="DXP32" s="388"/>
      <c r="DXQ32" s="388"/>
      <c r="DXR32" s="388"/>
      <c r="DXS32" s="388"/>
      <c r="DXT32" s="388"/>
      <c r="DXU32" s="388"/>
      <c r="DXV32" s="388"/>
      <c r="DXW32" s="388"/>
      <c r="DXX32" s="388"/>
      <c r="DXY32" s="388"/>
      <c r="DXZ32" s="388"/>
      <c r="DYA32" s="388"/>
      <c r="DYB32" s="388"/>
      <c r="DYC32" s="388"/>
      <c r="DYD32" s="388"/>
      <c r="DYE32" s="388"/>
      <c r="DYF32" s="388"/>
      <c r="DYG32" s="388"/>
      <c r="DYH32" s="388"/>
      <c r="DYI32" s="388"/>
      <c r="DYJ32" s="388"/>
      <c r="DYK32" s="388"/>
      <c r="DYL32" s="388"/>
      <c r="DYM32" s="388"/>
      <c r="DYN32" s="388"/>
      <c r="DYO32" s="388"/>
      <c r="DYP32" s="388"/>
      <c r="DYQ32" s="388"/>
      <c r="DYR32" s="388"/>
      <c r="DYS32" s="388"/>
      <c r="DYT32" s="388"/>
      <c r="DYU32" s="388"/>
      <c r="DYV32" s="388"/>
      <c r="DYW32" s="388"/>
      <c r="DYX32" s="388"/>
      <c r="DYY32" s="388"/>
      <c r="DYZ32" s="388"/>
      <c r="DZA32" s="388"/>
      <c r="DZB32" s="388"/>
      <c r="DZC32" s="388"/>
      <c r="DZD32" s="388"/>
      <c r="DZE32" s="388"/>
      <c r="DZF32" s="388"/>
      <c r="DZG32" s="388"/>
      <c r="DZH32" s="388"/>
      <c r="DZI32" s="388"/>
      <c r="DZJ32" s="388"/>
      <c r="DZK32" s="388"/>
      <c r="DZL32" s="388"/>
      <c r="DZM32" s="388"/>
      <c r="DZN32" s="388"/>
      <c r="DZO32" s="388"/>
      <c r="DZP32" s="388"/>
      <c r="DZQ32" s="388"/>
      <c r="DZR32" s="388"/>
      <c r="DZS32" s="388"/>
      <c r="DZT32" s="388"/>
      <c r="DZU32" s="388"/>
      <c r="DZV32" s="388"/>
      <c r="DZW32" s="388"/>
      <c r="DZX32" s="388"/>
      <c r="DZY32" s="388"/>
      <c r="DZZ32" s="388"/>
      <c r="EAA32" s="388"/>
      <c r="EAB32" s="388"/>
      <c r="EAC32" s="388"/>
      <c r="EAD32" s="388"/>
      <c r="EAE32" s="388"/>
      <c r="EAF32" s="388"/>
      <c r="EAG32" s="388"/>
      <c r="EAH32" s="388"/>
      <c r="EAI32" s="388"/>
      <c r="EAJ32" s="388"/>
      <c r="EAK32" s="388"/>
      <c r="EAL32" s="388"/>
      <c r="EAM32" s="388"/>
      <c r="EAN32" s="388"/>
      <c r="EAO32" s="388"/>
      <c r="EAP32" s="388"/>
      <c r="EAQ32" s="388"/>
      <c r="EAR32" s="388"/>
      <c r="EAS32" s="388"/>
      <c r="EAT32" s="388"/>
      <c r="EAU32" s="388"/>
      <c r="EAV32" s="388"/>
      <c r="EAW32" s="388"/>
      <c r="EAX32" s="388"/>
      <c r="EAY32" s="388"/>
      <c r="EAZ32" s="388"/>
      <c r="EBA32" s="388"/>
      <c r="EBB32" s="388"/>
      <c r="EBC32" s="388"/>
      <c r="EBD32" s="388"/>
      <c r="EBE32" s="388"/>
      <c r="EBF32" s="388"/>
      <c r="EBG32" s="388"/>
      <c r="EBH32" s="388"/>
      <c r="EBI32" s="388"/>
      <c r="EBJ32" s="388"/>
      <c r="EBK32" s="388"/>
      <c r="EBL32" s="388"/>
      <c r="EBM32" s="388"/>
      <c r="EBN32" s="388"/>
      <c r="EBO32" s="388"/>
      <c r="EBP32" s="388"/>
      <c r="EBQ32" s="388"/>
      <c r="EBR32" s="388"/>
      <c r="EBS32" s="388"/>
      <c r="EBT32" s="388"/>
      <c r="EBU32" s="388"/>
      <c r="EBV32" s="388"/>
      <c r="EBW32" s="388"/>
      <c r="EBX32" s="388"/>
      <c r="EBY32" s="388"/>
      <c r="EBZ32" s="388"/>
      <c r="ECA32" s="388"/>
      <c r="ECB32" s="388"/>
      <c r="ECC32" s="388"/>
      <c r="ECD32" s="388"/>
      <c r="ECE32" s="388"/>
      <c r="ECF32" s="388"/>
      <c r="ECG32" s="388"/>
      <c r="ECH32" s="388"/>
      <c r="ECI32" s="388"/>
      <c r="ECJ32" s="388"/>
      <c r="ECK32" s="388"/>
      <c r="ECL32" s="388"/>
      <c r="ECM32" s="388"/>
      <c r="ECN32" s="388"/>
      <c r="ECO32" s="388"/>
      <c r="ECP32" s="388"/>
      <c r="ECQ32" s="388"/>
      <c r="ECR32" s="388"/>
      <c r="ECS32" s="388"/>
      <c r="ECT32" s="388"/>
      <c r="ECU32" s="388"/>
      <c r="ECV32" s="388"/>
      <c r="ECW32" s="388"/>
      <c r="ECX32" s="388"/>
      <c r="ECY32" s="388"/>
      <c r="ECZ32" s="388"/>
      <c r="EDA32" s="388"/>
      <c r="EDB32" s="388"/>
      <c r="EDC32" s="388"/>
      <c r="EDD32" s="388"/>
      <c r="EDE32" s="388"/>
      <c r="EDF32" s="388"/>
      <c r="EDG32" s="388"/>
      <c r="EDH32" s="388"/>
      <c r="EDI32" s="388"/>
      <c r="EDJ32" s="388"/>
      <c r="EDK32" s="388"/>
      <c r="EDL32" s="388"/>
      <c r="EDM32" s="388"/>
      <c r="EDN32" s="388"/>
      <c r="EDO32" s="388"/>
      <c r="EDP32" s="388"/>
      <c r="EDQ32" s="388"/>
      <c r="EDR32" s="388"/>
      <c r="EDS32" s="388"/>
      <c r="EDT32" s="388"/>
      <c r="EDU32" s="388"/>
      <c r="EDV32" s="388"/>
      <c r="EDW32" s="388"/>
      <c r="EDX32" s="388"/>
      <c r="EDY32" s="388"/>
      <c r="EDZ32" s="388"/>
      <c r="EEA32" s="388"/>
      <c r="EEB32" s="388"/>
      <c r="EEC32" s="388"/>
      <c r="EED32" s="388"/>
      <c r="EEE32" s="388"/>
      <c r="EEF32" s="388"/>
      <c r="EEG32" s="388"/>
      <c r="EEH32" s="388"/>
      <c r="EEI32" s="388"/>
      <c r="EEJ32" s="388"/>
      <c r="EEK32" s="388"/>
      <c r="EEL32" s="388"/>
      <c r="EEM32" s="388"/>
      <c r="EEN32" s="388"/>
      <c r="EEO32" s="388"/>
      <c r="EEP32" s="388"/>
      <c r="EEQ32" s="388"/>
      <c r="EER32" s="388"/>
      <c r="EES32" s="388"/>
      <c r="EET32" s="388"/>
      <c r="EEU32" s="388"/>
      <c r="EEV32" s="388"/>
      <c r="EEW32" s="388"/>
      <c r="EEX32" s="388"/>
      <c r="EEY32" s="388"/>
      <c r="EEZ32" s="388"/>
      <c r="EFA32" s="388"/>
      <c r="EFB32" s="388"/>
      <c r="EFC32" s="388"/>
      <c r="EFD32" s="388"/>
      <c r="EFE32" s="388"/>
      <c r="EFF32" s="388"/>
      <c r="EFG32" s="388"/>
      <c r="EFH32" s="388"/>
      <c r="EFI32" s="388"/>
      <c r="EFJ32" s="388"/>
      <c r="EFK32" s="388"/>
      <c r="EFL32" s="388"/>
      <c r="EFM32" s="388"/>
      <c r="EFN32" s="388"/>
      <c r="EFO32" s="388"/>
      <c r="EFP32" s="388"/>
      <c r="EFQ32" s="388"/>
      <c r="EFR32" s="388"/>
      <c r="EFS32" s="388"/>
      <c r="EFT32" s="388"/>
      <c r="EFU32" s="388"/>
      <c r="EFV32" s="388"/>
      <c r="EFW32" s="388"/>
      <c r="EFX32" s="388"/>
      <c r="EFY32" s="388"/>
      <c r="EFZ32" s="388"/>
      <c r="EGA32" s="388"/>
      <c r="EGB32" s="388"/>
      <c r="EGC32" s="388"/>
      <c r="EGD32" s="388"/>
      <c r="EGE32" s="388"/>
      <c r="EGF32" s="388"/>
      <c r="EGG32" s="388"/>
      <c r="EGH32" s="388"/>
      <c r="EGI32" s="388"/>
      <c r="EGJ32" s="388"/>
      <c r="EGK32" s="388"/>
      <c r="EGL32" s="388"/>
      <c r="EGM32" s="388"/>
      <c r="EGN32" s="388"/>
      <c r="EGO32" s="388"/>
      <c r="EGP32" s="388"/>
      <c r="EGQ32" s="388"/>
      <c r="EGR32" s="388"/>
      <c r="EGS32" s="388"/>
      <c r="EGT32" s="388"/>
      <c r="EGU32" s="388"/>
      <c r="EGV32" s="388"/>
      <c r="EGW32" s="388"/>
      <c r="EGX32" s="388"/>
      <c r="EGY32" s="388"/>
      <c r="EGZ32" s="388"/>
      <c r="EHA32" s="388"/>
      <c r="EHB32" s="388"/>
      <c r="EHC32" s="388"/>
      <c r="EHD32" s="388"/>
      <c r="EHE32" s="388"/>
      <c r="EHF32" s="388"/>
      <c r="EHG32" s="388"/>
      <c r="EHH32" s="388"/>
      <c r="EHI32" s="388"/>
      <c r="EHJ32" s="388"/>
      <c r="EHK32" s="388"/>
      <c r="EHL32" s="388"/>
      <c r="EHM32" s="388"/>
      <c r="EHN32" s="388"/>
      <c r="EHO32" s="388"/>
      <c r="EHP32" s="388"/>
      <c r="EHQ32" s="388"/>
      <c r="EHR32" s="388"/>
      <c r="EHS32" s="388"/>
      <c r="EHT32" s="388"/>
      <c r="EHU32" s="388"/>
      <c r="EHV32" s="388"/>
      <c r="EHW32" s="388"/>
      <c r="EHX32" s="388"/>
      <c r="EHY32" s="388"/>
      <c r="EHZ32" s="388"/>
      <c r="EIA32" s="388"/>
      <c r="EIB32" s="388"/>
      <c r="EIC32" s="388"/>
      <c r="EID32" s="388"/>
      <c r="EIE32" s="388"/>
      <c r="EIF32" s="388"/>
      <c r="EIG32" s="388"/>
      <c r="EIH32" s="388"/>
      <c r="EII32" s="388"/>
      <c r="EIJ32" s="388"/>
      <c r="EIK32" s="388"/>
      <c r="EIL32" s="388"/>
      <c r="EIM32" s="388"/>
      <c r="EIN32" s="388"/>
      <c r="EIO32" s="388"/>
      <c r="EIP32" s="388"/>
      <c r="EIQ32" s="388"/>
      <c r="EIR32" s="388"/>
      <c r="EIS32" s="388"/>
      <c r="EIT32" s="388"/>
      <c r="EIU32" s="388"/>
      <c r="EIV32" s="388"/>
      <c r="EIW32" s="388"/>
      <c r="EIX32" s="388"/>
      <c r="EIY32" s="388"/>
      <c r="EIZ32" s="388"/>
      <c r="EJA32" s="388"/>
      <c r="EJB32" s="388"/>
      <c r="EJC32" s="388"/>
      <c r="EJD32" s="388"/>
      <c r="EJE32" s="388"/>
      <c r="EJF32" s="388"/>
      <c r="EJG32" s="388"/>
      <c r="EJH32" s="388"/>
      <c r="EJI32" s="388"/>
      <c r="EJJ32" s="388"/>
      <c r="EJK32" s="388"/>
      <c r="EJL32" s="388"/>
      <c r="EJM32" s="388"/>
      <c r="EJN32" s="388"/>
      <c r="EJO32" s="388"/>
      <c r="EJP32" s="388"/>
      <c r="EJQ32" s="388"/>
      <c r="EJR32" s="388"/>
      <c r="EJS32" s="388"/>
      <c r="EJT32" s="388"/>
      <c r="EJU32" s="388"/>
      <c r="EJV32" s="388"/>
      <c r="EJW32" s="388"/>
      <c r="EJX32" s="388"/>
      <c r="EJY32" s="388"/>
      <c r="EJZ32" s="388"/>
      <c r="EKA32" s="388"/>
      <c r="EKB32" s="388"/>
      <c r="EKC32" s="388"/>
      <c r="EKD32" s="388"/>
      <c r="EKE32" s="388"/>
      <c r="EKF32" s="388"/>
      <c r="EKG32" s="388"/>
      <c r="EKH32" s="388"/>
      <c r="EKI32" s="388"/>
      <c r="EKJ32" s="388"/>
      <c r="EKK32" s="388"/>
      <c r="EKL32" s="388"/>
      <c r="EKM32" s="388"/>
      <c r="EKN32" s="388"/>
      <c r="EKO32" s="388"/>
      <c r="EKP32" s="388"/>
      <c r="EKQ32" s="388"/>
      <c r="EKR32" s="388"/>
      <c r="EKS32" s="388"/>
      <c r="EKT32" s="388"/>
      <c r="EKU32" s="388"/>
      <c r="EKV32" s="388"/>
      <c r="EKW32" s="388"/>
      <c r="EKX32" s="388"/>
      <c r="EKY32" s="388"/>
      <c r="EKZ32" s="388"/>
      <c r="ELA32" s="388"/>
      <c r="ELB32" s="388"/>
      <c r="ELC32" s="388"/>
      <c r="ELD32" s="388"/>
      <c r="ELE32" s="388"/>
      <c r="ELF32" s="388"/>
      <c r="ELG32" s="388"/>
      <c r="ELH32" s="388"/>
      <c r="ELI32" s="388"/>
      <c r="ELJ32" s="388"/>
      <c r="ELK32" s="388"/>
      <c r="ELL32" s="388"/>
      <c r="ELM32" s="388"/>
      <c r="ELN32" s="388"/>
      <c r="ELO32" s="388"/>
      <c r="ELP32" s="388"/>
      <c r="ELQ32" s="388"/>
      <c r="ELR32" s="388"/>
      <c r="ELS32" s="388"/>
      <c r="ELT32" s="388"/>
      <c r="ELU32" s="388"/>
      <c r="ELV32" s="388"/>
      <c r="ELW32" s="388"/>
      <c r="ELX32" s="388"/>
      <c r="ELY32" s="388"/>
      <c r="ELZ32" s="388"/>
      <c r="EMA32" s="388"/>
      <c r="EMB32" s="388"/>
      <c r="EMC32" s="388"/>
      <c r="EMD32" s="388"/>
      <c r="EME32" s="388"/>
      <c r="EMF32" s="388"/>
      <c r="EMG32" s="388"/>
      <c r="EMH32" s="388"/>
      <c r="EMI32" s="388"/>
      <c r="EMJ32" s="388"/>
      <c r="EMK32" s="388"/>
      <c r="EML32" s="388"/>
      <c r="EMM32" s="388"/>
      <c r="EMN32" s="388"/>
      <c r="EMO32" s="388"/>
      <c r="EMP32" s="388"/>
      <c r="EMQ32" s="388"/>
      <c r="EMR32" s="388"/>
      <c r="EMS32" s="388"/>
      <c r="EMT32" s="388"/>
      <c r="EMU32" s="388"/>
      <c r="EMV32" s="388"/>
      <c r="EMW32" s="388"/>
      <c r="EMX32" s="388"/>
      <c r="EMY32" s="388"/>
      <c r="EMZ32" s="388"/>
      <c r="ENA32" s="388"/>
      <c r="ENB32" s="388"/>
      <c r="ENC32" s="388"/>
      <c r="END32" s="388"/>
      <c r="ENE32" s="388"/>
      <c r="ENF32" s="388"/>
      <c r="ENG32" s="388"/>
      <c r="ENH32" s="388"/>
      <c r="ENI32" s="388"/>
      <c r="ENJ32" s="388"/>
      <c r="ENK32" s="388"/>
      <c r="ENL32" s="388"/>
      <c r="ENM32" s="388"/>
      <c r="ENN32" s="388"/>
      <c r="ENO32" s="388"/>
      <c r="ENP32" s="388"/>
      <c r="ENQ32" s="388"/>
      <c r="ENR32" s="388"/>
      <c r="ENS32" s="388"/>
      <c r="ENT32" s="388"/>
      <c r="ENU32" s="388"/>
      <c r="ENV32" s="388"/>
      <c r="ENW32" s="388"/>
      <c r="ENX32" s="388"/>
      <c r="ENY32" s="388"/>
      <c r="ENZ32" s="388"/>
      <c r="EOA32" s="388"/>
      <c r="EOB32" s="388"/>
      <c r="EOC32" s="388"/>
      <c r="EOD32" s="388"/>
      <c r="EOE32" s="388"/>
      <c r="EOF32" s="388"/>
      <c r="EOG32" s="388"/>
      <c r="EOH32" s="388"/>
      <c r="EOI32" s="388"/>
      <c r="EOJ32" s="388"/>
      <c r="EOK32" s="388"/>
      <c r="EOL32" s="388"/>
      <c r="EOM32" s="388"/>
      <c r="EON32" s="388"/>
      <c r="EOO32" s="388"/>
      <c r="EOP32" s="388"/>
      <c r="EOQ32" s="388"/>
      <c r="EOR32" s="388"/>
      <c r="EOS32" s="388"/>
      <c r="EOT32" s="388"/>
      <c r="EOU32" s="388"/>
      <c r="EOV32" s="388"/>
      <c r="EOW32" s="388"/>
      <c r="EOX32" s="388"/>
      <c r="EOY32" s="388"/>
      <c r="EOZ32" s="388"/>
      <c r="EPA32" s="388"/>
      <c r="EPB32" s="388"/>
      <c r="EPC32" s="388"/>
      <c r="EPD32" s="388"/>
      <c r="EPE32" s="388"/>
      <c r="EPF32" s="388"/>
      <c r="EPG32" s="388"/>
      <c r="EPH32" s="388"/>
      <c r="EPI32" s="388"/>
      <c r="EPJ32" s="388"/>
      <c r="EPK32" s="388"/>
      <c r="EPL32" s="388"/>
      <c r="EPM32" s="388"/>
      <c r="EPN32" s="388"/>
      <c r="EPO32" s="388"/>
      <c r="EPP32" s="388"/>
      <c r="EPQ32" s="388"/>
      <c r="EPR32" s="388"/>
      <c r="EPS32" s="388"/>
      <c r="EPT32" s="388"/>
      <c r="EPU32" s="388"/>
      <c r="EPV32" s="388"/>
      <c r="EPW32" s="388"/>
      <c r="EPX32" s="388"/>
      <c r="EPY32" s="388"/>
      <c r="EPZ32" s="388"/>
      <c r="EQA32" s="388"/>
      <c r="EQB32" s="388"/>
      <c r="EQC32" s="388"/>
      <c r="EQD32" s="388"/>
      <c r="EQE32" s="388"/>
      <c r="EQF32" s="388"/>
      <c r="EQG32" s="388"/>
      <c r="EQH32" s="388"/>
      <c r="EQI32" s="388"/>
      <c r="EQJ32" s="388"/>
      <c r="EQK32" s="388"/>
      <c r="EQL32" s="388"/>
      <c r="EQM32" s="388"/>
      <c r="EQN32" s="388"/>
      <c r="EQO32" s="388"/>
      <c r="EQP32" s="388"/>
      <c r="EQQ32" s="388"/>
      <c r="EQR32" s="388"/>
      <c r="EQS32" s="388"/>
      <c r="EQT32" s="388"/>
      <c r="EQU32" s="388"/>
      <c r="EQV32" s="388"/>
      <c r="EQW32" s="388"/>
      <c r="EQX32" s="388"/>
      <c r="EQY32" s="388"/>
      <c r="EQZ32" s="388"/>
      <c r="ERA32" s="388"/>
      <c r="ERB32" s="388"/>
      <c r="ERC32" s="388"/>
      <c r="ERD32" s="388"/>
      <c r="ERE32" s="388"/>
      <c r="ERF32" s="388"/>
      <c r="ERG32" s="388"/>
      <c r="ERH32" s="388"/>
      <c r="ERI32" s="388"/>
      <c r="ERJ32" s="388"/>
      <c r="ERK32" s="388"/>
      <c r="ERL32" s="388"/>
      <c r="ERM32" s="388"/>
      <c r="ERN32" s="388"/>
      <c r="ERO32" s="388"/>
      <c r="ERP32" s="388"/>
      <c r="ERQ32" s="388"/>
      <c r="ERR32" s="388"/>
      <c r="ERS32" s="388"/>
      <c r="ERT32" s="388"/>
      <c r="ERU32" s="388"/>
      <c r="ERV32" s="388"/>
      <c r="ERW32" s="388"/>
      <c r="ERX32" s="388"/>
      <c r="ERY32" s="388"/>
      <c r="ERZ32" s="388"/>
      <c r="ESA32" s="388"/>
      <c r="ESB32" s="388"/>
      <c r="ESC32" s="388"/>
      <c r="ESD32" s="388"/>
      <c r="ESE32" s="388"/>
      <c r="ESF32" s="388"/>
      <c r="ESG32" s="388"/>
      <c r="ESH32" s="388"/>
      <c r="ESI32" s="388"/>
      <c r="ESJ32" s="388"/>
      <c r="ESK32" s="388"/>
      <c r="ESL32" s="388"/>
      <c r="ESM32" s="388"/>
      <c r="ESN32" s="388"/>
      <c r="ESO32" s="388"/>
      <c r="ESP32" s="388"/>
      <c r="ESQ32" s="388"/>
      <c r="ESR32" s="388"/>
      <c r="ESS32" s="388"/>
      <c r="EST32" s="388"/>
      <c r="ESU32" s="388"/>
      <c r="ESV32" s="388"/>
      <c r="ESW32" s="388"/>
      <c r="ESX32" s="388"/>
      <c r="ESY32" s="388"/>
      <c r="ESZ32" s="388"/>
      <c r="ETA32" s="388"/>
      <c r="ETB32" s="388"/>
      <c r="ETC32" s="388"/>
      <c r="ETD32" s="388"/>
      <c r="ETE32" s="388"/>
      <c r="ETF32" s="388"/>
      <c r="ETG32" s="388"/>
      <c r="ETH32" s="388"/>
      <c r="ETI32" s="388"/>
      <c r="ETJ32" s="388"/>
      <c r="ETK32" s="388"/>
      <c r="ETL32" s="388"/>
      <c r="ETM32" s="388"/>
      <c r="ETN32" s="388"/>
      <c r="ETO32" s="388"/>
      <c r="ETP32" s="388"/>
      <c r="ETQ32" s="388"/>
      <c r="ETR32" s="388"/>
      <c r="ETS32" s="388"/>
      <c r="ETT32" s="388"/>
      <c r="ETU32" s="388"/>
      <c r="ETV32" s="388"/>
      <c r="ETW32" s="388"/>
      <c r="ETX32" s="388"/>
      <c r="ETY32" s="388"/>
      <c r="ETZ32" s="388"/>
      <c r="EUA32" s="388"/>
      <c r="EUB32" s="388"/>
      <c r="EUC32" s="388"/>
      <c r="EUD32" s="388"/>
      <c r="EUE32" s="388"/>
      <c r="EUF32" s="388"/>
      <c r="EUG32" s="388"/>
      <c r="EUH32" s="388"/>
      <c r="EUI32" s="388"/>
      <c r="EUJ32" s="388"/>
      <c r="EUK32" s="388"/>
      <c r="EUL32" s="388"/>
      <c r="EUM32" s="388"/>
      <c r="EUN32" s="388"/>
      <c r="EUO32" s="388"/>
      <c r="EUP32" s="388"/>
      <c r="EUQ32" s="388"/>
      <c r="EUR32" s="388"/>
      <c r="EUS32" s="388"/>
      <c r="EUT32" s="388"/>
      <c r="EUU32" s="388"/>
      <c r="EUV32" s="388"/>
      <c r="EUW32" s="388"/>
      <c r="EUX32" s="388"/>
      <c r="EUY32" s="388"/>
      <c r="EUZ32" s="388"/>
      <c r="EVA32" s="388"/>
      <c r="EVB32" s="388"/>
      <c r="EVC32" s="388"/>
      <c r="EVD32" s="388"/>
      <c r="EVE32" s="388"/>
      <c r="EVF32" s="388"/>
      <c r="EVG32" s="388"/>
      <c r="EVH32" s="388"/>
      <c r="EVI32" s="388"/>
      <c r="EVJ32" s="388"/>
      <c r="EVK32" s="388"/>
      <c r="EVL32" s="388"/>
      <c r="EVM32" s="388"/>
      <c r="EVN32" s="388"/>
      <c r="EVO32" s="388"/>
      <c r="EVP32" s="388"/>
      <c r="EVQ32" s="388"/>
      <c r="EVR32" s="388"/>
      <c r="EVS32" s="388"/>
      <c r="EVT32" s="388"/>
      <c r="EVU32" s="388"/>
      <c r="EVV32" s="388"/>
      <c r="EVW32" s="388"/>
      <c r="EVX32" s="388"/>
      <c r="EVY32" s="388"/>
      <c r="EVZ32" s="388"/>
      <c r="EWA32" s="388"/>
      <c r="EWB32" s="388"/>
      <c r="EWC32" s="388"/>
      <c r="EWD32" s="388"/>
      <c r="EWE32" s="388"/>
      <c r="EWF32" s="388"/>
      <c r="EWG32" s="388"/>
      <c r="EWH32" s="388"/>
      <c r="EWI32" s="388"/>
      <c r="EWJ32" s="388"/>
      <c r="EWK32" s="388"/>
      <c r="EWL32" s="388"/>
      <c r="EWM32" s="388"/>
      <c r="EWN32" s="388"/>
      <c r="EWO32" s="388"/>
      <c r="EWP32" s="388"/>
      <c r="EWQ32" s="388"/>
      <c r="EWR32" s="388"/>
      <c r="EWS32" s="388"/>
      <c r="EWT32" s="388"/>
      <c r="EWU32" s="388"/>
      <c r="EWV32" s="388"/>
      <c r="EWW32" s="388"/>
      <c r="EWX32" s="388"/>
      <c r="EWY32" s="388"/>
      <c r="EWZ32" s="388"/>
      <c r="EXA32" s="388"/>
      <c r="EXB32" s="388"/>
      <c r="EXC32" s="388"/>
      <c r="EXD32" s="388"/>
      <c r="EXE32" s="388"/>
      <c r="EXF32" s="388"/>
      <c r="EXG32" s="388"/>
      <c r="EXH32" s="388"/>
      <c r="EXI32" s="388"/>
      <c r="EXJ32" s="388"/>
      <c r="EXK32" s="388"/>
      <c r="EXL32" s="388"/>
      <c r="EXM32" s="388"/>
      <c r="EXN32" s="388"/>
      <c r="EXO32" s="388"/>
      <c r="EXP32" s="388"/>
      <c r="EXQ32" s="388"/>
      <c r="EXR32" s="388"/>
      <c r="EXS32" s="388"/>
      <c r="EXT32" s="388"/>
      <c r="EXU32" s="388"/>
      <c r="EXV32" s="388"/>
      <c r="EXW32" s="388"/>
      <c r="EXX32" s="388"/>
      <c r="EXY32" s="388"/>
      <c r="EXZ32" s="388"/>
      <c r="EYA32" s="388"/>
      <c r="EYB32" s="388"/>
      <c r="EYC32" s="388"/>
      <c r="EYD32" s="388"/>
      <c r="EYE32" s="388"/>
      <c r="EYF32" s="388"/>
      <c r="EYG32" s="388"/>
      <c r="EYH32" s="388"/>
      <c r="EYI32" s="388"/>
      <c r="EYJ32" s="388"/>
      <c r="EYK32" s="388"/>
      <c r="EYL32" s="388"/>
      <c r="EYM32" s="388"/>
      <c r="EYN32" s="388"/>
      <c r="EYO32" s="388"/>
      <c r="EYP32" s="388"/>
      <c r="EYQ32" s="388"/>
      <c r="EYR32" s="388"/>
      <c r="EYS32" s="388"/>
      <c r="EYT32" s="388"/>
      <c r="EYU32" s="388"/>
      <c r="EYV32" s="388"/>
      <c r="EYW32" s="388"/>
      <c r="EYX32" s="388"/>
      <c r="EYY32" s="388"/>
      <c r="EYZ32" s="388"/>
      <c r="EZA32" s="388"/>
      <c r="EZB32" s="388"/>
      <c r="EZC32" s="388"/>
      <c r="EZD32" s="388"/>
      <c r="EZE32" s="388"/>
      <c r="EZF32" s="388"/>
      <c r="EZG32" s="388"/>
      <c r="EZH32" s="388"/>
      <c r="EZI32" s="388"/>
      <c r="EZJ32" s="388"/>
      <c r="EZK32" s="388"/>
      <c r="EZL32" s="388"/>
      <c r="EZM32" s="388"/>
      <c r="EZN32" s="388"/>
      <c r="EZO32" s="388"/>
      <c r="EZP32" s="388"/>
      <c r="EZQ32" s="388"/>
      <c r="EZR32" s="388"/>
      <c r="EZS32" s="388"/>
      <c r="EZT32" s="388"/>
      <c r="EZU32" s="388"/>
      <c r="EZV32" s="388"/>
      <c r="EZW32" s="388"/>
      <c r="EZX32" s="388"/>
      <c r="EZY32" s="388"/>
      <c r="EZZ32" s="388"/>
      <c r="FAA32" s="388"/>
      <c r="FAB32" s="388"/>
      <c r="FAC32" s="388"/>
      <c r="FAD32" s="388"/>
      <c r="FAE32" s="388"/>
      <c r="FAF32" s="388"/>
      <c r="FAG32" s="388"/>
      <c r="FAH32" s="388"/>
      <c r="FAI32" s="388"/>
      <c r="FAJ32" s="388"/>
      <c r="FAK32" s="388"/>
      <c r="FAL32" s="388"/>
      <c r="FAM32" s="388"/>
      <c r="FAN32" s="388"/>
      <c r="FAO32" s="388"/>
      <c r="FAP32" s="388"/>
      <c r="FAQ32" s="388"/>
      <c r="FAR32" s="388"/>
      <c r="FAS32" s="388"/>
      <c r="FAT32" s="388"/>
      <c r="FAU32" s="388"/>
      <c r="FAV32" s="388"/>
      <c r="FAW32" s="388"/>
      <c r="FAX32" s="388"/>
      <c r="FAY32" s="388"/>
      <c r="FAZ32" s="388"/>
      <c r="FBA32" s="388"/>
      <c r="FBB32" s="388"/>
      <c r="FBC32" s="388"/>
      <c r="FBD32" s="388"/>
      <c r="FBE32" s="388"/>
      <c r="FBF32" s="388"/>
      <c r="FBG32" s="388"/>
      <c r="FBH32" s="388"/>
      <c r="FBI32" s="388"/>
      <c r="FBJ32" s="388"/>
      <c r="FBK32" s="388"/>
      <c r="FBL32" s="388"/>
      <c r="FBM32" s="388"/>
      <c r="FBN32" s="388"/>
      <c r="FBO32" s="388"/>
      <c r="FBP32" s="388"/>
      <c r="FBQ32" s="388"/>
      <c r="FBR32" s="388"/>
      <c r="FBS32" s="388"/>
      <c r="FBT32" s="388"/>
      <c r="FBU32" s="388"/>
      <c r="FBV32" s="388"/>
      <c r="FBW32" s="388"/>
      <c r="FBX32" s="388"/>
      <c r="FBY32" s="388"/>
      <c r="FBZ32" s="388"/>
      <c r="FCA32" s="388"/>
      <c r="FCB32" s="388"/>
      <c r="FCC32" s="388"/>
      <c r="FCD32" s="388"/>
      <c r="FCE32" s="388"/>
      <c r="FCF32" s="388"/>
      <c r="FCG32" s="388"/>
      <c r="FCH32" s="388"/>
      <c r="FCI32" s="388"/>
      <c r="FCJ32" s="388"/>
      <c r="FCK32" s="388"/>
      <c r="FCL32" s="388"/>
      <c r="FCM32" s="388"/>
      <c r="FCN32" s="388"/>
      <c r="FCO32" s="388"/>
      <c r="FCP32" s="388"/>
      <c r="FCQ32" s="388"/>
      <c r="FCR32" s="388"/>
      <c r="FCS32" s="388"/>
      <c r="FCT32" s="388"/>
      <c r="FCU32" s="388"/>
      <c r="FCV32" s="388"/>
      <c r="FCW32" s="388"/>
      <c r="FCX32" s="388"/>
      <c r="FCY32" s="388"/>
      <c r="FCZ32" s="388"/>
      <c r="FDA32" s="388"/>
      <c r="FDB32" s="388"/>
      <c r="FDC32" s="388"/>
      <c r="FDD32" s="388"/>
      <c r="FDE32" s="388"/>
      <c r="FDF32" s="388"/>
      <c r="FDG32" s="388"/>
      <c r="FDH32" s="388"/>
      <c r="FDI32" s="388"/>
      <c r="FDJ32" s="388"/>
      <c r="FDK32" s="388"/>
      <c r="FDL32" s="388"/>
      <c r="FDM32" s="388"/>
      <c r="FDN32" s="388"/>
      <c r="FDO32" s="388"/>
      <c r="FDP32" s="388"/>
      <c r="FDQ32" s="388"/>
      <c r="FDR32" s="388"/>
      <c r="FDS32" s="388"/>
      <c r="FDT32" s="388"/>
      <c r="FDU32" s="388"/>
      <c r="FDV32" s="388"/>
      <c r="FDW32" s="388"/>
      <c r="FDX32" s="388"/>
      <c r="FDY32" s="388"/>
      <c r="FDZ32" s="388"/>
      <c r="FEA32" s="388"/>
      <c r="FEB32" s="388"/>
      <c r="FEC32" s="388"/>
      <c r="FED32" s="388"/>
      <c r="FEE32" s="388"/>
      <c r="FEF32" s="388"/>
      <c r="FEG32" s="388"/>
      <c r="FEH32" s="388"/>
      <c r="FEI32" s="388"/>
      <c r="FEJ32" s="388"/>
      <c r="FEK32" s="388"/>
      <c r="FEL32" s="388"/>
      <c r="FEM32" s="388"/>
      <c r="FEN32" s="388"/>
      <c r="FEO32" s="388"/>
      <c r="FEP32" s="388"/>
      <c r="FEQ32" s="388"/>
      <c r="FER32" s="388"/>
      <c r="FES32" s="388"/>
      <c r="FET32" s="388"/>
      <c r="FEU32" s="388"/>
      <c r="FEV32" s="388"/>
      <c r="FEW32" s="388"/>
      <c r="FEX32" s="388"/>
      <c r="FEY32" s="388"/>
      <c r="FEZ32" s="388"/>
      <c r="FFA32" s="388"/>
      <c r="FFB32" s="388"/>
      <c r="FFC32" s="388"/>
      <c r="FFD32" s="388"/>
      <c r="FFE32" s="388"/>
      <c r="FFF32" s="388"/>
      <c r="FFG32" s="388"/>
      <c r="FFH32" s="388"/>
      <c r="FFI32" s="388"/>
      <c r="FFJ32" s="388"/>
      <c r="FFK32" s="388"/>
      <c r="FFL32" s="388"/>
      <c r="FFM32" s="388"/>
      <c r="FFN32" s="388"/>
      <c r="FFO32" s="388"/>
      <c r="FFP32" s="388"/>
      <c r="FFQ32" s="388"/>
      <c r="FFR32" s="388"/>
      <c r="FFS32" s="388"/>
      <c r="FFT32" s="388"/>
      <c r="FFU32" s="388"/>
      <c r="FFV32" s="388"/>
      <c r="FFW32" s="388"/>
      <c r="FFX32" s="388"/>
      <c r="FFY32" s="388"/>
      <c r="FFZ32" s="388"/>
      <c r="FGA32" s="388"/>
      <c r="FGB32" s="388"/>
      <c r="FGC32" s="388"/>
      <c r="FGD32" s="388"/>
      <c r="FGE32" s="388"/>
      <c r="FGF32" s="388"/>
      <c r="FGG32" s="388"/>
      <c r="FGH32" s="388"/>
      <c r="FGI32" s="388"/>
      <c r="FGJ32" s="388"/>
      <c r="FGK32" s="388"/>
      <c r="FGL32" s="388"/>
      <c r="FGM32" s="388"/>
      <c r="FGN32" s="388"/>
      <c r="FGO32" s="388"/>
      <c r="FGP32" s="388"/>
      <c r="FGQ32" s="388"/>
      <c r="FGR32" s="388"/>
      <c r="FGS32" s="388"/>
      <c r="FGT32" s="388"/>
      <c r="FGU32" s="388"/>
      <c r="FGV32" s="388"/>
      <c r="FGW32" s="388"/>
      <c r="FGX32" s="388"/>
      <c r="FGY32" s="388"/>
      <c r="FGZ32" s="388"/>
      <c r="FHA32" s="388"/>
      <c r="FHB32" s="388"/>
      <c r="FHC32" s="388"/>
      <c r="FHD32" s="388"/>
      <c r="FHE32" s="388"/>
      <c r="FHF32" s="388"/>
      <c r="FHG32" s="388"/>
      <c r="FHH32" s="388"/>
      <c r="FHI32" s="388"/>
      <c r="FHJ32" s="388"/>
      <c r="FHK32" s="388"/>
      <c r="FHL32" s="388"/>
      <c r="FHM32" s="388"/>
      <c r="FHN32" s="388"/>
      <c r="FHO32" s="388"/>
      <c r="FHP32" s="388"/>
      <c r="FHQ32" s="388"/>
      <c r="FHR32" s="388"/>
      <c r="FHS32" s="388"/>
      <c r="FHT32" s="388"/>
      <c r="FHU32" s="388"/>
      <c r="FHV32" s="388"/>
      <c r="FHW32" s="388"/>
      <c r="FHX32" s="388"/>
      <c r="FHY32" s="388"/>
      <c r="FHZ32" s="388"/>
      <c r="FIA32" s="388"/>
      <c r="FIB32" s="388"/>
      <c r="FIC32" s="388"/>
      <c r="FID32" s="388"/>
      <c r="FIE32" s="388"/>
      <c r="FIF32" s="388"/>
      <c r="FIG32" s="388"/>
      <c r="FIH32" s="388"/>
      <c r="FII32" s="388"/>
      <c r="FIJ32" s="388"/>
      <c r="FIK32" s="388"/>
      <c r="FIL32" s="388"/>
      <c r="FIM32" s="388"/>
      <c r="FIN32" s="388"/>
      <c r="FIO32" s="388"/>
      <c r="FIP32" s="388"/>
      <c r="FIQ32" s="388"/>
      <c r="FIR32" s="388"/>
      <c r="FIS32" s="388"/>
      <c r="FIT32" s="388"/>
      <c r="FIU32" s="388"/>
      <c r="FIV32" s="388"/>
      <c r="FIW32" s="388"/>
      <c r="FIX32" s="388"/>
      <c r="FIY32" s="388"/>
      <c r="FIZ32" s="388"/>
      <c r="FJA32" s="388"/>
      <c r="FJB32" s="388"/>
      <c r="FJC32" s="388"/>
      <c r="FJD32" s="388"/>
      <c r="FJE32" s="388"/>
      <c r="FJF32" s="388"/>
      <c r="FJG32" s="388"/>
      <c r="FJH32" s="388"/>
      <c r="FJI32" s="388"/>
      <c r="FJJ32" s="388"/>
      <c r="FJK32" s="388"/>
      <c r="FJL32" s="388"/>
      <c r="FJM32" s="388"/>
      <c r="FJN32" s="388"/>
      <c r="FJO32" s="388"/>
      <c r="FJP32" s="388"/>
      <c r="FJQ32" s="388"/>
      <c r="FJR32" s="388"/>
      <c r="FJS32" s="388"/>
      <c r="FJT32" s="388"/>
      <c r="FJU32" s="388"/>
      <c r="FJV32" s="388"/>
      <c r="FJW32" s="388"/>
      <c r="FJX32" s="388"/>
      <c r="FJY32" s="388"/>
      <c r="FJZ32" s="388"/>
      <c r="FKA32" s="388"/>
      <c r="FKB32" s="388"/>
      <c r="FKC32" s="388"/>
      <c r="FKD32" s="388"/>
      <c r="FKE32" s="388"/>
      <c r="FKF32" s="388"/>
      <c r="FKG32" s="388"/>
      <c r="FKH32" s="388"/>
      <c r="FKI32" s="388"/>
      <c r="FKJ32" s="388"/>
      <c r="FKK32" s="388"/>
      <c r="FKL32" s="388"/>
      <c r="FKM32" s="388"/>
      <c r="FKN32" s="388"/>
      <c r="FKO32" s="388"/>
      <c r="FKP32" s="388"/>
      <c r="FKQ32" s="388"/>
      <c r="FKR32" s="388"/>
      <c r="FKS32" s="388"/>
      <c r="FKT32" s="388"/>
      <c r="FKU32" s="388"/>
      <c r="FKV32" s="388"/>
      <c r="FKW32" s="388"/>
      <c r="FKX32" s="388"/>
      <c r="FKY32" s="388"/>
      <c r="FKZ32" s="388"/>
      <c r="FLA32" s="388"/>
      <c r="FLB32" s="388"/>
      <c r="FLC32" s="388"/>
      <c r="FLD32" s="388"/>
      <c r="FLE32" s="388"/>
      <c r="FLF32" s="388"/>
      <c r="FLG32" s="388"/>
      <c r="FLH32" s="388"/>
      <c r="FLI32" s="388"/>
      <c r="FLJ32" s="388"/>
      <c r="FLK32" s="388"/>
      <c r="FLL32" s="388"/>
      <c r="FLM32" s="388"/>
      <c r="FLN32" s="388"/>
      <c r="FLO32" s="388"/>
      <c r="FLP32" s="388"/>
      <c r="FLQ32" s="388"/>
      <c r="FLR32" s="388"/>
      <c r="FLS32" s="388"/>
      <c r="FLT32" s="388"/>
      <c r="FLU32" s="388"/>
      <c r="FLV32" s="388"/>
      <c r="FLW32" s="388"/>
      <c r="FLX32" s="388"/>
      <c r="FLY32" s="388"/>
      <c r="FLZ32" s="388"/>
      <c r="FMA32" s="388"/>
      <c r="FMB32" s="388"/>
      <c r="FMC32" s="388"/>
      <c r="FMD32" s="388"/>
      <c r="FME32" s="388"/>
      <c r="FMF32" s="388"/>
      <c r="FMG32" s="388"/>
      <c r="FMH32" s="388"/>
      <c r="FMI32" s="388"/>
      <c r="FMJ32" s="388"/>
      <c r="FMK32" s="388"/>
      <c r="FML32" s="388"/>
      <c r="FMM32" s="388"/>
      <c r="FMN32" s="388"/>
      <c r="FMO32" s="388"/>
      <c r="FMP32" s="388"/>
      <c r="FMQ32" s="388"/>
      <c r="FMR32" s="388"/>
      <c r="FMS32" s="388"/>
      <c r="FMT32" s="388"/>
      <c r="FMU32" s="388"/>
      <c r="FMV32" s="388"/>
      <c r="FMW32" s="388"/>
      <c r="FMX32" s="388"/>
      <c r="FMY32" s="388"/>
      <c r="FMZ32" s="388"/>
      <c r="FNA32" s="388"/>
      <c r="FNB32" s="388"/>
      <c r="FNC32" s="388"/>
      <c r="FND32" s="388"/>
      <c r="FNE32" s="388"/>
      <c r="FNF32" s="388"/>
      <c r="FNG32" s="388"/>
      <c r="FNH32" s="388"/>
      <c r="FNI32" s="388"/>
      <c r="FNJ32" s="388"/>
      <c r="FNK32" s="388"/>
      <c r="FNL32" s="388"/>
      <c r="FNM32" s="388"/>
      <c r="FNN32" s="388"/>
      <c r="FNO32" s="388"/>
      <c r="FNP32" s="388"/>
      <c r="FNQ32" s="388"/>
      <c r="FNR32" s="388"/>
      <c r="FNS32" s="388"/>
      <c r="FNT32" s="388"/>
      <c r="FNU32" s="388"/>
      <c r="FNV32" s="388"/>
      <c r="FNW32" s="388"/>
      <c r="FNX32" s="388"/>
      <c r="FNY32" s="388"/>
      <c r="FNZ32" s="388"/>
      <c r="FOA32" s="388"/>
      <c r="FOB32" s="388"/>
      <c r="FOC32" s="388"/>
      <c r="FOD32" s="388"/>
      <c r="FOE32" s="388"/>
      <c r="FOF32" s="388"/>
      <c r="FOG32" s="388"/>
      <c r="FOH32" s="388"/>
      <c r="FOI32" s="388"/>
      <c r="FOJ32" s="388"/>
      <c r="FOK32" s="388"/>
      <c r="FOL32" s="388"/>
      <c r="FOM32" s="388"/>
      <c r="FON32" s="388"/>
      <c r="FOO32" s="388"/>
      <c r="FOP32" s="388"/>
      <c r="FOQ32" s="388"/>
      <c r="FOR32" s="388"/>
      <c r="FOS32" s="388"/>
      <c r="FOT32" s="388"/>
      <c r="FOU32" s="388"/>
      <c r="FOV32" s="388"/>
      <c r="FOW32" s="388"/>
      <c r="FOX32" s="388"/>
      <c r="FOY32" s="388"/>
      <c r="FOZ32" s="388"/>
      <c r="FPA32" s="388"/>
      <c r="FPB32" s="388"/>
      <c r="FPC32" s="388"/>
      <c r="FPD32" s="388"/>
      <c r="FPE32" s="388"/>
      <c r="FPF32" s="388"/>
      <c r="FPG32" s="388"/>
      <c r="FPH32" s="388"/>
      <c r="FPI32" s="388"/>
      <c r="FPJ32" s="388"/>
      <c r="FPK32" s="388"/>
      <c r="FPL32" s="388"/>
      <c r="FPM32" s="388"/>
      <c r="FPN32" s="388"/>
      <c r="FPO32" s="388"/>
      <c r="FPP32" s="388"/>
      <c r="FPQ32" s="388"/>
      <c r="FPR32" s="388"/>
      <c r="FPS32" s="388"/>
      <c r="FPT32" s="388"/>
      <c r="FPU32" s="388"/>
      <c r="FPV32" s="388"/>
      <c r="FPW32" s="388"/>
      <c r="FPX32" s="388"/>
      <c r="FPY32" s="388"/>
      <c r="FPZ32" s="388"/>
      <c r="FQA32" s="388"/>
      <c r="FQB32" s="388"/>
      <c r="FQC32" s="388"/>
      <c r="FQD32" s="388"/>
      <c r="FQE32" s="388"/>
      <c r="FQF32" s="388"/>
      <c r="FQG32" s="388"/>
      <c r="FQH32" s="388"/>
      <c r="FQI32" s="388"/>
      <c r="FQJ32" s="388"/>
      <c r="FQK32" s="388"/>
      <c r="FQL32" s="388"/>
      <c r="FQM32" s="388"/>
      <c r="FQN32" s="388"/>
      <c r="FQO32" s="388"/>
      <c r="FQP32" s="388"/>
      <c r="FQQ32" s="388"/>
      <c r="FQR32" s="388"/>
      <c r="FQS32" s="388"/>
      <c r="FQT32" s="388"/>
      <c r="FQU32" s="388"/>
      <c r="FQV32" s="388"/>
      <c r="FQW32" s="388"/>
      <c r="FQX32" s="388"/>
      <c r="FQY32" s="388"/>
      <c r="FQZ32" s="388"/>
      <c r="FRA32" s="388"/>
      <c r="FRB32" s="388"/>
      <c r="FRC32" s="388"/>
      <c r="FRD32" s="388"/>
      <c r="FRE32" s="388"/>
      <c r="FRF32" s="388"/>
      <c r="FRG32" s="388"/>
      <c r="FRH32" s="388"/>
      <c r="FRI32" s="388"/>
      <c r="FRJ32" s="388"/>
      <c r="FRK32" s="388"/>
      <c r="FRL32" s="388"/>
      <c r="FRM32" s="388"/>
      <c r="FRN32" s="388"/>
      <c r="FRO32" s="388"/>
      <c r="FRP32" s="388"/>
      <c r="FRQ32" s="388"/>
      <c r="FRR32" s="388"/>
      <c r="FRS32" s="388"/>
      <c r="FRT32" s="388"/>
      <c r="FRU32" s="388"/>
      <c r="FRV32" s="388"/>
      <c r="FRW32" s="388"/>
      <c r="FRX32" s="388"/>
      <c r="FRY32" s="388"/>
      <c r="FRZ32" s="388"/>
      <c r="FSA32" s="388"/>
      <c r="FSB32" s="388"/>
      <c r="FSC32" s="388"/>
      <c r="FSD32" s="388"/>
      <c r="FSE32" s="388"/>
      <c r="FSF32" s="388"/>
      <c r="FSG32" s="388"/>
      <c r="FSH32" s="388"/>
      <c r="FSI32" s="388"/>
      <c r="FSJ32" s="388"/>
      <c r="FSK32" s="388"/>
      <c r="FSL32" s="388"/>
      <c r="FSM32" s="388"/>
      <c r="FSN32" s="388"/>
      <c r="FSO32" s="388"/>
      <c r="FSP32" s="388"/>
      <c r="FSQ32" s="388"/>
      <c r="FSR32" s="388"/>
      <c r="FSS32" s="388"/>
      <c r="FST32" s="388"/>
      <c r="FSU32" s="388"/>
      <c r="FSV32" s="388"/>
      <c r="FSW32" s="388"/>
      <c r="FSX32" s="388"/>
      <c r="FSY32" s="388"/>
      <c r="FSZ32" s="388"/>
      <c r="FTA32" s="388"/>
      <c r="FTB32" s="388"/>
      <c r="FTC32" s="388"/>
      <c r="FTD32" s="388"/>
      <c r="FTE32" s="388"/>
      <c r="FTF32" s="388"/>
      <c r="FTG32" s="388"/>
      <c r="FTH32" s="388"/>
      <c r="FTI32" s="388"/>
      <c r="FTJ32" s="388"/>
      <c r="FTK32" s="388"/>
      <c r="FTL32" s="388"/>
      <c r="FTM32" s="388"/>
      <c r="FTN32" s="388"/>
      <c r="FTO32" s="388"/>
      <c r="FTP32" s="388"/>
      <c r="FTQ32" s="388"/>
      <c r="FTR32" s="388"/>
      <c r="FTS32" s="388"/>
      <c r="FTT32" s="388"/>
      <c r="FTU32" s="388"/>
      <c r="FTV32" s="388"/>
      <c r="FTW32" s="388"/>
      <c r="FTX32" s="388"/>
      <c r="FTY32" s="388"/>
      <c r="FTZ32" s="388"/>
      <c r="FUA32" s="388"/>
      <c r="FUB32" s="388"/>
      <c r="FUC32" s="388"/>
      <c r="FUD32" s="388"/>
      <c r="FUE32" s="388"/>
      <c r="FUF32" s="388"/>
      <c r="FUG32" s="388"/>
      <c r="FUH32" s="388"/>
      <c r="FUI32" s="388"/>
      <c r="FUJ32" s="388"/>
      <c r="FUK32" s="388"/>
      <c r="FUL32" s="388"/>
      <c r="FUM32" s="388"/>
      <c r="FUN32" s="388"/>
      <c r="FUO32" s="388"/>
      <c r="FUP32" s="388"/>
      <c r="FUQ32" s="388"/>
      <c r="FUR32" s="388"/>
      <c r="FUS32" s="388"/>
      <c r="FUT32" s="388"/>
      <c r="FUU32" s="388"/>
      <c r="FUV32" s="388"/>
      <c r="FUW32" s="388"/>
      <c r="FUX32" s="388"/>
      <c r="FUY32" s="388"/>
      <c r="FUZ32" s="388"/>
      <c r="FVA32" s="388"/>
      <c r="FVB32" s="388"/>
      <c r="FVC32" s="388"/>
      <c r="FVD32" s="388"/>
      <c r="FVE32" s="388"/>
      <c r="FVF32" s="388"/>
      <c r="FVG32" s="388"/>
      <c r="FVH32" s="388"/>
      <c r="FVI32" s="388"/>
      <c r="FVJ32" s="388"/>
      <c r="FVK32" s="388"/>
      <c r="FVL32" s="388"/>
      <c r="FVM32" s="388"/>
      <c r="FVN32" s="388"/>
      <c r="FVO32" s="388"/>
      <c r="FVP32" s="388"/>
      <c r="FVQ32" s="388"/>
      <c r="FVR32" s="388"/>
      <c r="FVS32" s="388"/>
      <c r="FVT32" s="388"/>
      <c r="FVU32" s="388"/>
      <c r="FVV32" s="388"/>
      <c r="FVW32" s="388"/>
      <c r="FVX32" s="388"/>
      <c r="FVY32" s="388"/>
      <c r="FVZ32" s="388"/>
      <c r="FWA32" s="388"/>
      <c r="FWB32" s="388"/>
      <c r="FWC32" s="388"/>
      <c r="FWD32" s="388"/>
      <c r="FWE32" s="388"/>
      <c r="FWF32" s="388"/>
      <c r="FWG32" s="388"/>
      <c r="FWH32" s="388"/>
      <c r="FWI32" s="388"/>
      <c r="FWJ32" s="388"/>
      <c r="FWK32" s="388"/>
      <c r="FWL32" s="388"/>
      <c r="FWM32" s="388"/>
      <c r="FWN32" s="388"/>
      <c r="FWO32" s="388"/>
      <c r="FWP32" s="388"/>
      <c r="FWQ32" s="388"/>
      <c r="FWR32" s="388"/>
      <c r="FWS32" s="388"/>
      <c r="FWT32" s="388"/>
      <c r="FWU32" s="388"/>
      <c r="FWV32" s="388"/>
      <c r="FWW32" s="388"/>
      <c r="FWX32" s="388"/>
      <c r="FWY32" s="388"/>
      <c r="FWZ32" s="388"/>
      <c r="FXA32" s="388"/>
      <c r="FXB32" s="388"/>
      <c r="FXC32" s="388"/>
      <c r="FXD32" s="388"/>
      <c r="FXE32" s="388"/>
      <c r="FXF32" s="388"/>
      <c r="FXG32" s="388"/>
      <c r="FXH32" s="388"/>
      <c r="FXI32" s="388"/>
      <c r="FXJ32" s="388"/>
      <c r="FXK32" s="388"/>
      <c r="FXL32" s="388"/>
      <c r="FXM32" s="388"/>
      <c r="FXN32" s="388"/>
      <c r="FXO32" s="388"/>
      <c r="FXP32" s="388"/>
      <c r="FXQ32" s="388"/>
      <c r="FXR32" s="388"/>
      <c r="FXS32" s="388"/>
      <c r="FXT32" s="388"/>
      <c r="FXU32" s="388"/>
      <c r="FXV32" s="388"/>
      <c r="FXW32" s="388"/>
      <c r="FXX32" s="388"/>
      <c r="FXY32" s="388"/>
      <c r="FXZ32" s="388"/>
      <c r="FYA32" s="388"/>
      <c r="FYB32" s="388"/>
      <c r="FYC32" s="388"/>
      <c r="FYD32" s="388"/>
      <c r="FYE32" s="388"/>
      <c r="FYF32" s="388"/>
      <c r="FYG32" s="388"/>
      <c r="FYH32" s="388"/>
      <c r="FYI32" s="388"/>
      <c r="FYJ32" s="388"/>
      <c r="FYK32" s="388"/>
      <c r="FYL32" s="388"/>
      <c r="FYM32" s="388"/>
      <c r="FYN32" s="388"/>
      <c r="FYO32" s="388"/>
      <c r="FYP32" s="388"/>
      <c r="FYQ32" s="388"/>
      <c r="FYR32" s="388"/>
      <c r="FYS32" s="388"/>
      <c r="FYT32" s="388"/>
      <c r="FYU32" s="388"/>
      <c r="FYV32" s="388"/>
      <c r="FYW32" s="388"/>
      <c r="FYX32" s="388"/>
      <c r="FYY32" s="388"/>
      <c r="FYZ32" s="388"/>
      <c r="FZA32" s="388"/>
      <c r="FZB32" s="388"/>
      <c r="FZC32" s="388"/>
      <c r="FZD32" s="388"/>
      <c r="FZE32" s="388"/>
      <c r="FZF32" s="388"/>
      <c r="FZG32" s="388"/>
      <c r="FZH32" s="388"/>
      <c r="FZI32" s="388"/>
      <c r="FZJ32" s="388"/>
      <c r="FZK32" s="388"/>
      <c r="FZL32" s="388"/>
      <c r="FZM32" s="388"/>
      <c r="FZN32" s="388"/>
      <c r="FZO32" s="388"/>
      <c r="FZP32" s="388"/>
      <c r="FZQ32" s="388"/>
      <c r="FZR32" s="388"/>
      <c r="FZS32" s="388"/>
      <c r="FZT32" s="388"/>
      <c r="FZU32" s="388"/>
      <c r="FZV32" s="388"/>
      <c r="FZW32" s="388"/>
      <c r="FZX32" s="388"/>
      <c r="FZY32" s="388"/>
      <c r="FZZ32" s="388"/>
      <c r="GAA32" s="388"/>
      <c r="GAB32" s="388"/>
      <c r="GAC32" s="388"/>
      <c r="GAD32" s="388"/>
      <c r="GAE32" s="388"/>
      <c r="GAF32" s="388"/>
      <c r="GAG32" s="388"/>
      <c r="GAH32" s="388"/>
      <c r="GAI32" s="388"/>
      <c r="GAJ32" s="388"/>
      <c r="GAK32" s="388"/>
      <c r="GAL32" s="388"/>
      <c r="GAM32" s="388"/>
      <c r="GAN32" s="388"/>
      <c r="GAO32" s="388"/>
      <c r="GAP32" s="388"/>
      <c r="GAQ32" s="388"/>
      <c r="GAR32" s="388"/>
      <c r="GAS32" s="388"/>
      <c r="GAT32" s="388"/>
      <c r="GAU32" s="388"/>
      <c r="GAV32" s="388"/>
      <c r="GAW32" s="388"/>
      <c r="GAX32" s="388"/>
      <c r="GAY32" s="388"/>
      <c r="GAZ32" s="388"/>
      <c r="GBA32" s="388"/>
      <c r="GBB32" s="388"/>
      <c r="GBC32" s="388"/>
      <c r="GBD32" s="388"/>
      <c r="GBE32" s="388"/>
      <c r="GBF32" s="388"/>
      <c r="GBG32" s="388"/>
      <c r="GBH32" s="388"/>
      <c r="GBI32" s="388"/>
      <c r="GBJ32" s="388"/>
      <c r="GBK32" s="388"/>
      <c r="GBL32" s="388"/>
      <c r="GBM32" s="388"/>
      <c r="GBN32" s="388"/>
      <c r="GBO32" s="388"/>
      <c r="GBP32" s="388"/>
      <c r="GBQ32" s="388"/>
      <c r="GBR32" s="388"/>
      <c r="GBS32" s="388"/>
      <c r="GBT32" s="388"/>
      <c r="GBU32" s="388"/>
      <c r="GBV32" s="388"/>
      <c r="GBW32" s="388"/>
      <c r="GBX32" s="388"/>
      <c r="GBY32" s="388"/>
      <c r="GBZ32" s="388"/>
      <c r="GCA32" s="388"/>
      <c r="GCB32" s="388"/>
      <c r="GCC32" s="388"/>
      <c r="GCD32" s="388"/>
      <c r="GCE32" s="388"/>
      <c r="GCF32" s="388"/>
      <c r="GCG32" s="388"/>
      <c r="GCH32" s="388"/>
      <c r="GCI32" s="388"/>
      <c r="GCJ32" s="388"/>
      <c r="GCK32" s="388"/>
      <c r="GCL32" s="388"/>
      <c r="GCM32" s="388"/>
      <c r="GCN32" s="388"/>
      <c r="GCO32" s="388"/>
      <c r="GCP32" s="388"/>
      <c r="GCQ32" s="388"/>
      <c r="GCR32" s="388"/>
      <c r="GCS32" s="388"/>
      <c r="GCT32" s="388"/>
      <c r="GCU32" s="388"/>
      <c r="GCV32" s="388"/>
      <c r="GCW32" s="388"/>
      <c r="GCX32" s="388"/>
      <c r="GCY32" s="388"/>
      <c r="GCZ32" s="388"/>
      <c r="GDA32" s="388"/>
      <c r="GDB32" s="388"/>
      <c r="GDC32" s="388"/>
      <c r="GDD32" s="388"/>
      <c r="GDE32" s="388"/>
      <c r="GDF32" s="388"/>
      <c r="GDG32" s="388"/>
      <c r="GDH32" s="388"/>
      <c r="GDI32" s="388"/>
      <c r="GDJ32" s="388"/>
      <c r="GDK32" s="388"/>
      <c r="GDL32" s="388"/>
      <c r="GDM32" s="388"/>
      <c r="GDN32" s="388"/>
      <c r="GDO32" s="388"/>
      <c r="GDP32" s="388"/>
      <c r="GDQ32" s="388"/>
      <c r="GDR32" s="388"/>
      <c r="GDS32" s="388"/>
      <c r="GDT32" s="388"/>
      <c r="GDU32" s="388"/>
      <c r="GDV32" s="388"/>
      <c r="GDW32" s="388"/>
      <c r="GDX32" s="388"/>
      <c r="GDY32" s="388"/>
      <c r="GDZ32" s="388"/>
      <c r="GEA32" s="388"/>
      <c r="GEB32" s="388"/>
      <c r="GEC32" s="388"/>
      <c r="GED32" s="388"/>
      <c r="GEE32" s="388"/>
      <c r="GEF32" s="388"/>
      <c r="GEG32" s="388"/>
      <c r="GEH32" s="388"/>
      <c r="GEI32" s="388"/>
      <c r="GEJ32" s="388"/>
      <c r="GEK32" s="388"/>
      <c r="GEL32" s="388"/>
      <c r="GEM32" s="388"/>
      <c r="GEN32" s="388"/>
      <c r="GEO32" s="388"/>
      <c r="GEP32" s="388"/>
      <c r="GEQ32" s="388"/>
      <c r="GER32" s="388"/>
      <c r="GES32" s="388"/>
      <c r="GET32" s="388"/>
      <c r="GEU32" s="388"/>
      <c r="GEV32" s="388"/>
      <c r="GEW32" s="388"/>
      <c r="GEX32" s="388"/>
      <c r="GEY32" s="388"/>
      <c r="GEZ32" s="388"/>
      <c r="GFA32" s="388"/>
      <c r="GFB32" s="388"/>
      <c r="GFC32" s="388"/>
      <c r="GFD32" s="388"/>
      <c r="GFE32" s="388"/>
      <c r="GFF32" s="388"/>
      <c r="GFG32" s="388"/>
      <c r="GFH32" s="388"/>
      <c r="GFI32" s="388"/>
      <c r="GFJ32" s="388"/>
      <c r="GFK32" s="388"/>
      <c r="GFL32" s="388"/>
      <c r="GFM32" s="388"/>
      <c r="GFN32" s="388"/>
      <c r="GFO32" s="388"/>
      <c r="GFP32" s="388"/>
      <c r="GFQ32" s="388"/>
      <c r="GFR32" s="388"/>
      <c r="GFS32" s="388"/>
      <c r="GFT32" s="388"/>
      <c r="GFU32" s="388"/>
      <c r="GFV32" s="388"/>
      <c r="GFW32" s="388"/>
      <c r="GFX32" s="388"/>
      <c r="GFY32" s="388"/>
      <c r="GFZ32" s="388"/>
      <c r="GGA32" s="388"/>
      <c r="GGB32" s="388"/>
      <c r="GGC32" s="388"/>
      <c r="GGD32" s="388"/>
      <c r="GGE32" s="388"/>
      <c r="GGF32" s="388"/>
      <c r="GGG32" s="388"/>
      <c r="GGH32" s="388"/>
      <c r="GGI32" s="388"/>
      <c r="GGJ32" s="388"/>
      <c r="GGK32" s="388"/>
      <c r="GGL32" s="388"/>
      <c r="GGM32" s="388"/>
      <c r="GGN32" s="388"/>
      <c r="GGO32" s="388"/>
      <c r="GGP32" s="388"/>
      <c r="GGQ32" s="388"/>
      <c r="GGR32" s="388"/>
      <c r="GGS32" s="388"/>
      <c r="GGT32" s="388"/>
      <c r="GGU32" s="388"/>
      <c r="GGV32" s="388"/>
      <c r="GGW32" s="388"/>
      <c r="GGX32" s="388"/>
      <c r="GGY32" s="388"/>
      <c r="GGZ32" s="388"/>
      <c r="GHA32" s="388"/>
      <c r="GHB32" s="388"/>
      <c r="GHC32" s="388"/>
      <c r="GHD32" s="388"/>
      <c r="GHE32" s="388"/>
      <c r="GHF32" s="388"/>
      <c r="GHG32" s="388"/>
      <c r="GHH32" s="388"/>
      <c r="GHI32" s="388"/>
      <c r="GHJ32" s="388"/>
      <c r="GHK32" s="388"/>
      <c r="GHL32" s="388"/>
      <c r="GHM32" s="388"/>
      <c r="GHN32" s="388"/>
      <c r="GHO32" s="388"/>
      <c r="GHP32" s="388"/>
      <c r="GHQ32" s="388"/>
      <c r="GHR32" s="388"/>
      <c r="GHS32" s="388"/>
      <c r="GHT32" s="388"/>
      <c r="GHU32" s="388"/>
      <c r="GHV32" s="388"/>
      <c r="GHW32" s="388"/>
      <c r="GHX32" s="388"/>
      <c r="GHY32" s="388"/>
      <c r="GHZ32" s="388"/>
      <c r="GIA32" s="388"/>
      <c r="GIB32" s="388"/>
      <c r="GIC32" s="388"/>
      <c r="GID32" s="388"/>
      <c r="GIE32" s="388"/>
      <c r="GIF32" s="388"/>
      <c r="GIG32" s="388"/>
      <c r="GIH32" s="388"/>
      <c r="GII32" s="388"/>
      <c r="GIJ32" s="388"/>
      <c r="GIK32" s="388"/>
      <c r="GIL32" s="388"/>
      <c r="GIM32" s="388"/>
      <c r="GIN32" s="388"/>
      <c r="GIO32" s="388"/>
      <c r="GIP32" s="388"/>
      <c r="GIQ32" s="388"/>
      <c r="GIR32" s="388"/>
      <c r="GIS32" s="388"/>
      <c r="GIT32" s="388"/>
      <c r="GIU32" s="388"/>
      <c r="GIV32" s="388"/>
      <c r="GIW32" s="388"/>
      <c r="GIX32" s="388"/>
      <c r="GIY32" s="388"/>
      <c r="GIZ32" s="388"/>
      <c r="GJA32" s="388"/>
      <c r="GJB32" s="388"/>
      <c r="GJC32" s="388"/>
      <c r="GJD32" s="388"/>
      <c r="GJE32" s="388"/>
      <c r="GJF32" s="388"/>
      <c r="GJG32" s="388"/>
      <c r="GJH32" s="388"/>
      <c r="GJI32" s="388"/>
      <c r="GJJ32" s="388"/>
      <c r="GJK32" s="388"/>
      <c r="GJL32" s="388"/>
      <c r="GJM32" s="388"/>
      <c r="GJN32" s="388"/>
      <c r="GJO32" s="388"/>
      <c r="GJP32" s="388"/>
      <c r="GJQ32" s="388"/>
      <c r="GJR32" s="388"/>
      <c r="GJS32" s="388"/>
      <c r="GJT32" s="388"/>
      <c r="GJU32" s="388"/>
      <c r="GJV32" s="388"/>
      <c r="GJW32" s="388"/>
      <c r="GJX32" s="388"/>
      <c r="GJY32" s="388"/>
      <c r="GJZ32" s="388"/>
      <c r="GKA32" s="388"/>
      <c r="GKB32" s="388"/>
      <c r="GKC32" s="388"/>
      <c r="GKD32" s="388"/>
      <c r="GKE32" s="388"/>
      <c r="GKF32" s="388"/>
      <c r="GKG32" s="388"/>
      <c r="GKH32" s="388"/>
      <c r="GKI32" s="388"/>
      <c r="GKJ32" s="388"/>
      <c r="GKK32" s="388"/>
      <c r="GKL32" s="388"/>
      <c r="GKM32" s="388"/>
      <c r="GKN32" s="388"/>
      <c r="GKO32" s="388"/>
      <c r="GKP32" s="388"/>
      <c r="GKQ32" s="388"/>
      <c r="GKR32" s="388"/>
      <c r="GKS32" s="388"/>
      <c r="GKT32" s="388"/>
      <c r="GKU32" s="388"/>
      <c r="GKV32" s="388"/>
      <c r="GKW32" s="388"/>
      <c r="GKX32" s="388"/>
      <c r="GKY32" s="388"/>
      <c r="GKZ32" s="388"/>
      <c r="GLA32" s="388"/>
      <c r="GLB32" s="388"/>
      <c r="GLC32" s="388"/>
      <c r="GLD32" s="388"/>
      <c r="GLE32" s="388"/>
      <c r="GLF32" s="388"/>
      <c r="GLG32" s="388"/>
      <c r="GLH32" s="388"/>
      <c r="GLI32" s="388"/>
      <c r="GLJ32" s="388"/>
      <c r="GLK32" s="388"/>
      <c r="GLL32" s="388"/>
      <c r="GLM32" s="388"/>
      <c r="GLN32" s="388"/>
      <c r="GLO32" s="388"/>
      <c r="GLP32" s="388"/>
      <c r="GLQ32" s="388"/>
      <c r="GLR32" s="388"/>
      <c r="GLS32" s="388"/>
      <c r="GLT32" s="388"/>
      <c r="GLU32" s="388"/>
      <c r="GLV32" s="388"/>
      <c r="GLW32" s="388"/>
      <c r="GLX32" s="388"/>
      <c r="GLY32" s="388"/>
      <c r="GLZ32" s="388"/>
      <c r="GMA32" s="388"/>
      <c r="GMB32" s="388"/>
      <c r="GMC32" s="388"/>
      <c r="GMD32" s="388"/>
      <c r="GME32" s="388"/>
      <c r="GMF32" s="388"/>
      <c r="GMG32" s="388"/>
      <c r="GMH32" s="388"/>
      <c r="GMI32" s="388"/>
      <c r="GMJ32" s="388"/>
      <c r="GMK32" s="388"/>
      <c r="GML32" s="388"/>
      <c r="GMM32" s="388"/>
      <c r="GMN32" s="388"/>
      <c r="GMO32" s="388"/>
      <c r="GMP32" s="388"/>
      <c r="GMQ32" s="388"/>
      <c r="GMR32" s="388"/>
      <c r="GMS32" s="388"/>
      <c r="GMT32" s="388"/>
      <c r="GMU32" s="388"/>
      <c r="GMV32" s="388"/>
      <c r="GMW32" s="388"/>
      <c r="GMX32" s="388"/>
      <c r="GMY32" s="388"/>
      <c r="GMZ32" s="388"/>
      <c r="GNA32" s="388"/>
      <c r="GNB32" s="388"/>
      <c r="GNC32" s="388"/>
      <c r="GND32" s="388"/>
      <c r="GNE32" s="388"/>
      <c r="GNF32" s="388"/>
      <c r="GNG32" s="388"/>
      <c r="GNH32" s="388"/>
      <c r="GNI32" s="388"/>
      <c r="GNJ32" s="388"/>
      <c r="GNK32" s="388"/>
      <c r="GNL32" s="388"/>
      <c r="GNM32" s="388"/>
      <c r="GNN32" s="388"/>
      <c r="GNO32" s="388"/>
      <c r="GNP32" s="388"/>
      <c r="GNQ32" s="388"/>
      <c r="GNR32" s="388"/>
      <c r="GNS32" s="388"/>
      <c r="GNT32" s="388"/>
      <c r="GNU32" s="388"/>
      <c r="GNV32" s="388"/>
      <c r="GNW32" s="388"/>
      <c r="GNX32" s="388"/>
      <c r="GNY32" s="388"/>
      <c r="GNZ32" s="388"/>
      <c r="GOA32" s="388"/>
      <c r="GOB32" s="388"/>
      <c r="GOC32" s="388"/>
      <c r="GOD32" s="388"/>
      <c r="GOE32" s="388"/>
      <c r="GOF32" s="388"/>
      <c r="GOG32" s="388"/>
      <c r="GOH32" s="388"/>
      <c r="GOI32" s="388"/>
      <c r="GOJ32" s="388"/>
      <c r="GOK32" s="388"/>
      <c r="GOL32" s="388"/>
      <c r="GOM32" s="388"/>
      <c r="GON32" s="388"/>
      <c r="GOO32" s="388"/>
      <c r="GOP32" s="388"/>
      <c r="GOQ32" s="388"/>
      <c r="GOR32" s="388"/>
      <c r="GOS32" s="388"/>
      <c r="GOT32" s="388"/>
      <c r="GOU32" s="388"/>
      <c r="GOV32" s="388"/>
      <c r="GOW32" s="388"/>
      <c r="GOX32" s="388"/>
      <c r="GOY32" s="388"/>
      <c r="GOZ32" s="388"/>
      <c r="GPA32" s="388"/>
      <c r="GPB32" s="388"/>
      <c r="GPC32" s="388"/>
      <c r="GPD32" s="388"/>
      <c r="GPE32" s="388"/>
      <c r="GPF32" s="388"/>
      <c r="GPG32" s="388"/>
      <c r="GPH32" s="388"/>
      <c r="GPI32" s="388"/>
      <c r="GPJ32" s="388"/>
      <c r="GPK32" s="388"/>
      <c r="GPL32" s="388"/>
      <c r="GPM32" s="388"/>
      <c r="GPN32" s="388"/>
      <c r="GPO32" s="388"/>
      <c r="GPP32" s="388"/>
      <c r="GPQ32" s="388"/>
      <c r="GPR32" s="388"/>
      <c r="GPS32" s="388"/>
      <c r="GPT32" s="388"/>
      <c r="GPU32" s="388"/>
      <c r="GPV32" s="388"/>
      <c r="GPW32" s="388"/>
      <c r="GPX32" s="388"/>
      <c r="GPY32" s="388"/>
      <c r="GPZ32" s="388"/>
      <c r="GQA32" s="388"/>
      <c r="GQB32" s="388"/>
      <c r="GQC32" s="388"/>
      <c r="GQD32" s="388"/>
      <c r="GQE32" s="388"/>
      <c r="GQF32" s="388"/>
      <c r="GQG32" s="388"/>
      <c r="GQH32" s="388"/>
      <c r="GQI32" s="388"/>
      <c r="GQJ32" s="388"/>
      <c r="GQK32" s="388"/>
      <c r="GQL32" s="388"/>
      <c r="GQM32" s="388"/>
      <c r="GQN32" s="388"/>
      <c r="GQO32" s="388"/>
      <c r="GQP32" s="388"/>
      <c r="GQQ32" s="388"/>
      <c r="GQR32" s="388"/>
      <c r="GQS32" s="388"/>
      <c r="GQT32" s="388"/>
      <c r="GQU32" s="388"/>
      <c r="GQV32" s="388"/>
      <c r="GQW32" s="388"/>
      <c r="GQX32" s="388"/>
      <c r="GQY32" s="388"/>
      <c r="GQZ32" s="388"/>
      <c r="GRA32" s="388"/>
      <c r="GRB32" s="388"/>
      <c r="GRC32" s="388"/>
      <c r="GRD32" s="388"/>
      <c r="GRE32" s="388"/>
      <c r="GRF32" s="388"/>
      <c r="GRG32" s="388"/>
      <c r="GRH32" s="388"/>
      <c r="GRI32" s="388"/>
      <c r="GRJ32" s="388"/>
      <c r="GRK32" s="388"/>
      <c r="GRL32" s="388"/>
      <c r="GRM32" s="388"/>
      <c r="GRN32" s="388"/>
      <c r="GRO32" s="388"/>
      <c r="GRP32" s="388"/>
      <c r="GRQ32" s="388"/>
      <c r="GRR32" s="388"/>
      <c r="GRS32" s="388"/>
      <c r="GRT32" s="388"/>
      <c r="GRU32" s="388"/>
      <c r="GRV32" s="388"/>
      <c r="GRW32" s="388"/>
      <c r="GRX32" s="388"/>
      <c r="GRY32" s="388"/>
      <c r="GRZ32" s="388"/>
      <c r="GSA32" s="388"/>
      <c r="GSB32" s="388"/>
      <c r="GSC32" s="388"/>
      <c r="GSD32" s="388"/>
      <c r="GSE32" s="388"/>
      <c r="GSF32" s="388"/>
      <c r="GSG32" s="388"/>
      <c r="GSH32" s="388"/>
      <c r="GSI32" s="388"/>
      <c r="GSJ32" s="388"/>
      <c r="GSK32" s="388"/>
      <c r="GSL32" s="388"/>
      <c r="GSM32" s="388"/>
      <c r="GSN32" s="388"/>
      <c r="GSO32" s="388"/>
      <c r="GSP32" s="388"/>
      <c r="GSQ32" s="388"/>
      <c r="GSR32" s="388"/>
      <c r="GSS32" s="388"/>
      <c r="GST32" s="388"/>
      <c r="GSU32" s="388"/>
      <c r="GSV32" s="388"/>
      <c r="GSW32" s="388"/>
      <c r="GSX32" s="388"/>
      <c r="GSY32" s="388"/>
      <c r="GSZ32" s="388"/>
      <c r="GTA32" s="388"/>
      <c r="GTB32" s="388"/>
      <c r="GTC32" s="388"/>
      <c r="GTD32" s="388"/>
      <c r="GTE32" s="388"/>
      <c r="GTF32" s="388"/>
      <c r="GTG32" s="388"/>
      <c r="GTH32" s="388"/>
      <c r="GTI32" s="388"/>
      <c r="GTJ32" s="388"/>
      <c r="GTK32" s="388"/>
      <c r="GTL32" s="388"/>
      <c r="GTM32" s="388"/>
      <c r="GTN32" s="388"/>
      <c r="GTO32" s="388"/>
      <c r="GTP32" s="388"/>
      <c r="GTQ32" s="388"/>
      <c r="GTR32" s="388"/>
      <c r="GTS32" s="388"/>
      <c r="GTT32" s="388"/>
      <c r="GTU32" s="388"/>
      <c r="GTV32" s="388"/>
      <c r="GTW32" s="388"/>
      <c r="GTX32" s="388"/>
      <c r="GTY32" s="388"/>
      <c r="GTZ32" s="388"/>
      <c r="GUA32" s="388"/>
      <c r="GUB32" s="388"/>
      <c r="GUC32" s="388"/>
      <c r="GUD32" s="388"/>
      <c r="GUE32" s="388"/>
      <c r="GUF32" s="388"/>
      <c r="GUG32" s="388"/>
      <c r="GUH32" s="388"/>
      <c r="GUI32" s="388"/>
      <c r="GUJ32" s="388"/>
      <c r="GUK32" s="388"/>
      <c r="GUL32" s="388"/>
      <c r="GUM32" s="388"/>
      <c r="GUN32" s="388"/>
      <c r="GUO32" s="388"/>
      <c r="GUP32" s="388"/>
      <c r="GUQ32" s="388"/>
      <c r="GUR32" s="388"/>
      <c r="GUS32" s="388"/>
      <c r="GUT32" s="388"/>
      <c r="GUU32" s="388"/>
      <c r="GUV32" s="388"/>
      <c r="GUW32" s="388"/>
      <c r="GUX32" s="388"/>
      <c r="GUY32" s="388"/>
      <c r="GUZ32" s="388"/>
      <c r="GVA32" s="388"/>
      <c r="GVB32" s="388"/>
      <c r="GVC32" s="388"/>
      <c r="GVD32" s="388"/>
      <c r="GVE32" s="388"/>
      <c r="GVF32" s="388"/>
      <c r="GVG32" s="388"/>
      <c r="GVH32" s="388"/>
      <c r="GVI32" s="388"/>
      <c r="GVJ32" s="388"/>
      <c r="GVK32" s="388"/>
      <c r="GVL32" s="388"/>
      <c r="GVM32" s="388"/>
      <c r="GVN32" s="388"/>
      <c r="GVO32" s="388"/>
      <c r="GVP32" s="388"/>
      <c r="GVQ32" s="388"/>
      <c r="GVR32" s="388"/>
      <c r="GVS32" s="388"/>
      <c r="GVT32" s="388"/>
      <c r="GVU32" s="388"/>
      <c r="GVV32" s="388"/>
      <c r="GVW32" s="388"/>
      <c r="GVX32" s="388"/>
      <c r="GVY32" s="388"/>
      <c r="GVZ32" s="388"/>
      <c r="GWA32" s="388"/>
      <c r="GWB32" s="388"/>
      <c r="GWC32" s="388"/>
      <c r="GWD32" s="388"/>
      <c r="GWE32" s="388"/>
      <c r="GWF32" s="388"/>
      <c r="GWG32" s="388"/>
      <c r="GWH32" s="388"/>
      <c r="GWI32" s="388"/>
      <c r="GWJ32" s="388"/>
      <c r="GWK32" s="388"/>
      <c r="GWL32" s="388"/>
      <c r="GWM32" s="388"/>
      <c r="GWN32" s="388"/>
      <c r="GWO32" s="388"/>
      <c r="GWP32" s="388"/>
      <c r="GWQ32" s="388"/>
      <c r="GWR32" s="388"/>
      <c r="GWS32" s="388"/>
      <c r="GWT32" s="388"/>
      <c r="GWU32" s="388"/>
      <c r="GWV32" s="388"/>
      <c r="GWW32" s="388"/>
      <c r="GWX32" s="388"/>
      <c r="GWY32" s="388"/>
      <c r="GWZ32" s="388"/>
      <c r="GXA32" s="388"/>
      <c r="GXB32" s="388"/>
      <c r="GXC32" s="388"/>
      <c r="GXD32" s="388"/>
      <c r="GXE32" s="388"/>
      <c r="GXF32" s="388"/>
      <c r="GXG32" s="388"/>
      <c r="GXH32" s="388"/>
      <c r="GXI32" s="388"/>
      <c r="GXJ32" s="388"/>
      <c r="GXK32" s="388"/>
      <c r="GXL32" s="388"/>
      <c r="GXM32" s="388"/>
      <c r="GXN32" s="388"/>
      <c r="GXO32" s="388"/>
      <c r="GXP32" s="388"/>
      <c r="GXQ32" s="388"/>
      <c r="GXR32" s="388"/>
      <c r="GXS32" s="388"/>
      <c r="GXT32" s="388"/>
      <c r="GXU32" s="388"/>
      <c r="GXV32" s="388"/>
      <c r="GXW32" s="388"/>
      <c r="GXX32" s="388"/>
      <c r="GXY32" s="388"/>
      <c r="GXZ32" s="388"/>
      <c r="GYA32" s="388"/>
      <c r="GYB32" s="388"/>
      <c r="GYC32" s="388"/>
      <c r="GYD32" s="388"/>
      <c r="GYE32" s="388"/>
      <c r="GYF32" s="388"/>
      <c r="GYG32" s="388"/>
      <c r="GYH32" s="388"/>
      <c r="GYI32" s="388"/>
      <c r="GYJ32" s="388"/>
      <c r="GYK32" s="388"/>
      <c r="GYL32" s="388"/>
      <c r="GYM32" s="388"/>
      <c r="GYN32" s="388"/>
      <c r="GYO32" s="388"/>
      <c r="GYP32" s="388"/>
      <c r="GYQ32" s="388"/>
      <c r="GYR32" s="388"/>
      <c r="GYS32" s="388"/>
      <c r="GYT32" s="388"/>
      <c r="GYU32" s="388"/>
      <c r="GYV32" s="388"/>
      <c r="GYW32" s="388"/>
      <c r="GYX32" s="388"/>
      <c r="GYY32" s="388"/>
      <c r="GYZ32" s="388"/>
      <c r="GZA32" s="388"/>
      <c r="GZB32" s="388"/>
      <c r="GZC32" s="388"/>
      <c r="GZD32" s="388"/>
      <c r="GZE32" s="388"/>
      <c r="GZF32" s="388"/>
      <c r="GZG32" s="388"/>
      <c r="GZH32" s="388"/>
      <c r="GZI32" s="388"/>
      <c r="GZJ32" s="388"/>
      <c r="GZK32" s="388"/>
      <c r="GZL32" s="388"/>
      <c r="GZM32" s="388"/>
      <c r="GZN32" s="388"/>
      <c r="GZO32" s="388"/>
      <c r="GZP32" s="388"/>
      <c r="GZQ32" s="388"/>
      <c r="GZR32" s="388"/>
      <c r="GZS32" s="388"/>
      <c r="GZT32" s="388"/>
      <c r="GZU32" s="388"/>
      <c r="GZV32" s="388"/>
      <c r="GZW32" s="388"/>
      <c r="GZX32" s="388"/>
      <c r="GZY32" s="388"/>
      <c r="GZZ32" s="388"/>
      <c r="HAA32" s="388"/>
      <c r="HAB32" s="388"/>
      <c r="HAC32" s="388"/>
      <c r="HAD32" s="388"/>
      <c r="HAE32" s="388"/>
      <c r="HAF32" s="388"/>
      <c r="HAG32" s="388"/>
      <c r="HAH32" s="388"/>
      <c r="HAI32" s="388"/>
      <c r="HAJ32" s="388"/>
      <c r="HAK32" s="388"/>
      <c r="HAL32" s="388"/>
      <c r="HAM32" s="388"/>
      <c r="HAN32" s="388"/>
      <c r="HAO32" s="388"/>
      <c r="HAP32" s="388"/>
      <c r="HAQ32" s="388"/>
      <c r="HAR32" s="388"/>
      <c r="HAS32" s="388"/>
      <c r="HAT32" s="388"/>
      <c r="HAU32" s="388"/>
      <c r="HAV32" s="388"/>
      <c r="HAW32" s="388"/>
      <c r="HAX32" s="388"/>
      <c r="HAY32" s="388"/>
      <c r="HAZ32" s="388"/>
      <c r="HBA32" s="388"/>
      <c r="HBB32" s="388"/>
      <c r="HBC32" s="388"/>
      <c r="HBD32" s="388"/>
      <c r="HBE32" s="388"/>
      <c r="HBF32" s="388"/>
      <c r="HBG32" s="388"/>
      <c r="HBH32" s="388"/>
      <c r="HBI32" s="388"/>
      <c r="HBJ32" s="388"/>
      <c r="HBK32" s="388"/>
      <c r="HBL32" s="388"/>
      <c r="HBM32" s="388"/>
      <c r="HBN32" s="388"/>
      <c r="HBO32" s="388"/>
      <c r="HBP32" s="388"/>
      <c r="HBQ32" s="388"/>
      <c r="HBR32" s="388"/>
      <c r="HBS32" s="388"/>
      <c r="HBT32" s="388"/>
      <c r="HBU32" s="388"/>
      <c r="HBV32" s="388"/>
      <c r="HBW32" s="388"/>
      <c r="HBX32" s="388"/>
      <c r="HBY32" s="388"/>
      <c r="HBZ32" s="388"/>
      <c r="HCA32" s="388"/>
      <c r="HCB32" s="388"/>
      <c r="HCC32" s="388"/>
      <c r="HCD32" s="388"/>
      <c r="HCE32" s="388"/>
      <c r="HCF32" s="388"/>
      <c r="HCG32" s="388"/>
      <c r="HCH32" s="388"/>
      <c r="HCI32" s="388"/>
      <c r="HCJ32" s="388"/>
      <c r="HCK32" s="388"/>
      <c r="HCL32" s="388"/>
      <c r="HCM32" s="388"/>
      <c r="HCN32" s="388"/>
      <c r="HCO32" s="388"/>
      <c r="HCP32" s="388"/>
      <c r="HCQ32" s="388"/>
      <c r="HCR32" s="388"/>
      <c r="HCS32" s="388"/>
      <c r="HCT32" s="388"/>
      <c r="HCU32" s="388"/>
      <c r="HCV32" s="388"/>
      <c r="HCW32" s="388"/>
      <c r="HCX32" s="388"/>
      <c r="HCY32" s="388"/>
      <c r="HCZ32" s="388"/>
      <c r="HDA32" s="388"/>
      <c r="HDB32" s="388"/>
      <c r="HDC32" s="388"/>
      <c r="HDD32" s="388"/>
      <c r="HDE32" s="388"/>
      <c r="HDF32" s="388"/>
      <c r="HDG32" s="388"/>
      <c r="HDH32" s="388"/>
      <c r="HDI32" s="388"/>
      <c r="HDJ32" s="388"/>
      <c r="HDK32" s="388"/>
      <c r="HDL32" s="388"/>
      <c r="HDM32" s="388"/>
      <c r="HDN32" s="388"/>
      <c r="HDO32" s="388"/>
      <c r="HDP32" s="388"/>
      <c r="HDQ32" s="388"/>
      <c r="HDR32" s="388"/>
      <c r="HDS32" s="388"/>
      <c r="HDT32" s="388"/>
      <c r="HDU32" s="388"/>
      <c r="HDV32" s="388"/>
      <c r="HDW32" s="388"/>
      <c r="HDX32" s="388"/>
      <c r="HDY32" s="388"/>
      <c r="HDZ32" s="388"/>
      <c r="HEA32" s="388"/>
      <c r="HEB32" s="388"/>
      <c r="HEC32" s="388"/>
      <c r="HED32" s="388"/>
      <c r="HEE32" s="388"/>
      <c r="HEF32" s="388"/>
      <c r="HEG32" s="388"/>
      <c r="HEH32" s="388"/>
      <c r="HEI32" s="388"/>
      <c r="HEJ32" s="388"/>
      <c r="HEK32" s="388"/>
      <c r="HEL32" s="388"/>
      <c r="HEM32" s="388"/>
      <c r="HEN32" s="388"/>
      <c r="HEO32" s="388"/>
      <c r="HEP32" s="388"/>
      <c r="HEQ32" s="388"/>
      <c r="HER32" s="388"/>
      <c r="HES32" s="388"/>
      <c r="HET32" s="388"/>
      <c r="HEU32" s="388"/>
      <c r="HEV32" s="388"/>
      <c r="HEW32" s="388"/>
      <c r="HEX32" s="388"/>
      <c r="HEY32" s="388"/>
      <c r="HEZ32" s="388"/>
      <c r="HFA32" s="388"/>
      <c r="HFB32" s="388"/>
      <c r="HFC32" s="388"/>
      <c r="HFD32" s="388"/>
      <c r="HFE32" s="388"/>
      <c r="HFF32" s="388"/>
      <c r="HFG32" s="388"/>
      <c r="HFH32" s="388"/>
      <c r="HFI32" s="388"/>
      <c r="HFJ32" s="388"/>
      <c r="HFK32" s="388"/>
      <c r="HFL32" s="388"/>
      <c r="HFM32" s="388"/>
      <c r="HFN32" s="388"/>
      <c r="HFO32" s="388"/>
      <c r="HFP32" s="388"/>
      <c r="HFQ32" s="388"/>
      <c r="HFR32" s="388"/>
      <c r="HFS32" s="388"/>
      <c r="HFT32" s="388"/>
      <c r="HFU32" s="388"/>
      <c r="HFV32" s="388"/>
      <c r="HFW32" s="388"/>
      <c r="HFX32" s="388"/>
      <c r="HFY32" s="388"/>
      <c r="HFZ32" s="388"/>
      <c r="HGA32" s="388"/>
      <c r="HGB32" s="388"/>
      <c r="HGC32" s="388"/>
      <c r="HGD32" s="388"/>
      <c r="HGE32" s="388"/>
      <c r="HGF32" s="388"/>
      <c r="HGG32" s="388"/>
      <c r="HGH32" s="388"/>
      <c r="HGI32" s="388"/>
      <c r="HGJ32" s="388"/>
      <c r="HGK32" s="388"/>
      <c r="HGL32" s="388"/>
      <c r="HGM32" s="388"/>
      <c r="HGN32" s="388"/>
      <c r="HGO32" s="388"/>
      <c r="HGP32" s="388"/>
      <c r="HGQ32" s="388"/>
      <c r="HGR32" s="388"/>
      <c r="HGS32" s="388"/>
      <c r="HGT32" s="388"/>
      <c r="HGU32" s="388"/>
      <c r="HGV32" s="388"/>
      <c r="HGW32" s="388"/>
      <c r="HGX32" s="388"/>
      <c r="HGY32" s="388"/>
      <c r="HGZ32" s="388"/>
      <c r="HHA32" s="388"/>
      <c r="HHB32" s="388"/>
      <c r="HHC32" s="388"/>
      <c r="HHD32" s="388"/>
      <c r="HHE32" s="388"/>
      <c r="HHF32" s="388"/>
      <c r="HHG32" s="388"/>
      <c r="HHH32" s="388"/>
      <c r="HHI32" s="388"/>
      <c r="HHJ32" s="388"/>
      <c r="HHK32" s="388"/>
      <c r="HHL32" s="388"/>
      <c r="HHM32" s="388"/>
      <c r="HHN32" s="388"/>
      <c r="HHO32" s="388"/>
      <c r="HHP32" s="388"/>
      <c r="HHQ32" s="388"/>
      <c r="HHR32" s="388"/>
      <c r="HHS32" s="388"/>
      <c r="HHT32" s="388"/>
      <c r="HHU32" s="388"/>
      <c r="HHV32" s="388"/>
      <c r="HHW32" s="388"/>
      <c r="HHX32" s="388"/>
      <c r="HHY32" s="388"/>
      <c r="HHZ32" s="388"/>
      <c r="HIA32" s="388"/>
      <c r="HIB32" s="388"/>
      <c r="HIC32" s="388"/>
      <c r="HID32" s="388"/>
      <c r="HIE32" s="388"/>
      <c r="HIF32" s="388"/>
      <c r="HIG32" s="388"/>
      <c r="HIH32" s="388"/>
      <c r="HII32" s="388"/>
      <c r="HIJ32" s="388"/>
      <c r="HIK32" s="388"/>
      <c r="HIL32" s="388"/>
      <c r="HIM32" s="388"/>
      <c r="HIN32" s="388"/>
      <c r="HIO32" s="388"/>
      <c r="HIP32" s="388"/>
      <c r="HIQ32" s="388"/>
      <c r="HIR32" s="388"/>
      <c r="HIS32" s="388"/>
      <c r="HIT32" s="388"/>
      <c r="HIU32" s="388"/>
      <c r="HIV32" s="388"/>
      <c r="HIW32" s="388"/>
      <c r="HIX32" s="388"/>
      <c r="HIY32" s="388"/>
      <c r="HIZ32" s="388"/>
      <c r="HJA32" s="388"/>
      <c r="HJB32" s="388"/>
      <c r="HJC32" s="388"/>
      <c r="HJD32" s="388"/>
      <c r="HJE32" s="388"/>
      <c r="HJF32" s="388"/>
      <c r="HJG32" s="388"/>
      <c r="HJH32" s="388"/>
      <c r="HJI32" s="388"/>
      <c r="HJJ32" s="388"/>
      <c r="HJK32" s="388"/>
      <c r="HJL32" s="388"/>
      <c r="HJM32" s="388"/>
      <c r="HJN32" s="388"/>
      <c r="HJO32" s="388"/>
      <c r="HJP32" s="388"/>
      <c r="HJQ32" s="388"/>
      <c r="HJR32" s="388"/>
      <c r="HJS32" s="388"/>
      <c r="HJT32" s="388"/>
      <c r="HJU32" s="388"/>
      <c r="HJV32" s="388"/>
      <c r="HJW32" s="388"/>
      <c r="HJX32" s="388"/>
      <c r="HJY32" s="388"/>
      <c r="HJZ32" s="388"/>
      <c r="HKA32" s="388"/>
      <c r="HKB32" s="388"/>
      <c r="HKC32" s="388"/>
      <c r="HKD32" s="388"/>
      <c r="HKE32" s="388"/>
      <c r="HKF32" s="388"/>
      <c r="HKG32" s="388"/>
      <c r="HKH32" s="388"/>
      <c r="HKI32" s="388"/>
      <c r="HKJ32" s="388"/>
      <c r="HKK32" s="388"/>
      <c r="HKL32" s="388"/>
      <c r="HKM32" s="388"/>
      <c r="HKN32" s="388"/>
      <c r="HKO32" s="388"/>
      <c r="HKP32" s="388"/>
      <c r="HKQ32" s="388"/>
      <c r="HKR32" s="388"/>
      <c r="HKS32" s="388"/>
      <c r="HKT32" s="388"/>
      <c r="HKU32" s="388"/>
      <c r="HKV32" s="388"/>
      <c r="HKW32" s="388"/>
      <c r="HKX32" s="388"/>
      <c r="HKY32" s="388"/>
      <c r="HKZ32" s="388"/>
      <c r="HLA32" s="388"/>
      <c r="HLB32" s="388"/>
      <c r="HLC32" s="388"/>
      <c r="HLD32" s="388"/>
      <c r="HLE32" s="388"/>
      <c r="HLF32" s="388"/>
      <c r="HLG32" s="388"/>
      <c r="HLH32" s="388"/>
      <c r="HLI32" s="388"/>
      <c r="HLJ32" s="388"/>
      <c r="HLK32" s="388"/>
      <c r="HLL32" s="388"/>
      <c r="HLM32" s="388"/>
      <c r="HLN32" s="388"/>
      <c r="HLO32" s="388"/>
      <c r="HLP32" s="388"/>
      <c r="HLQ32" s="388"/>
      <c r="HLR32" s="388"/>
      <c r="HLS32" s="388"/>
      <c r="HLT32" s="388"/>
      <c r="HLU32" s="388"/>
      <c r="HLV32" s="388"/>
      <c r="HLW32" s="388"/>
      <c r="HLX32" s="388"/>
      <c r="HLY32" s="388"/>
      <c r="HLZ32" s="388"/>
      <c r="HMA32" s="388"/>
      <c r="HMB32" s="388"/>
      <c r="HMC32" s="388"/>
      <c r="HMD32" s="388"/>
      <c r="HME32" s="388"/>
      <c r="HMF32" s="388"/>
      <c r="HMG32" s="388"/>
      <c r="HMH32" s="388"/>
      <c r="HMI32" s="388"/>
      <c r="HMJ32" s="388"/>
      <c r="HMK32" s="388"/>
      <c r="HML32" s="388"/>
      <c r="HMM32" s="388"/>
      <c r="HMN32" s="388"/>
      <c r="HMO32" s="388"/>
      <c r="HMP32" s="388"/>
      <c r="HMQ32" s="388"/>
      <c r="HMR32" s="388"/>
      <c r="HMS32" s="388"/>
      <c r="HMT32" s="388"/>
      <c r="HMU32" s="388"/>
      <c r="HMV32" s="388"/>
      <c r="HMW32" s="388"/>
      <c r="HMX32" s="388"/>
      <c r="HMY32" s="388"/>
      <c r="HMZ32" s="388"/>
      <c r="HNA32" s="388"/>
      <c r="HNB32" s="388"/>
      <c r="HNC32" s="388"/>
      <c r="HND32" s="388"/>
      <c r="HNE32" s="388"/>
      <c r="HNF32" s="388"/>
      <c r="HNG32" s="388"/>
      <c r="HNH32" s="388"/>
      <c r="HNI32" s="388"/>
      <c r="HNJ32" s="388"/>
      <c r="HNK32" s="388"/>
      <c r="HNL32" s="388"/>
      <c r="HNM32" s="388"/>
      <c r="HNN32" s="388"/>
      <c r="HNO32" s="388"/>
      <c r="HNP32" s="388"/>
      <c r="HNQ32" s="388"/>
      <c r="HNR32" s="388"/>
      <c r="HNS32" s="388"/>
      <c r="HNT32" s="388"/>
      <c r="HNU32" s="388"/>
      <c r="HNV32" s="388"/>
      <c r="HNW32" s="388"/>
      <c r="HNX32" s="388"/>
      <c r="HNY32" s="388"/>
      <c r="HNZ32" s="388"/>
      <c r="HOA32" s="388"/>
      <c r="HOB32" s="388"/>
      <c r="HOC32" s="388"/>
      <c r="HOD32" s="388"/>
      <c r="HOE32" s="388"/>
      <c r="HOF32" s="388"/>
      <c r="HOG32" s="388"/>
      <c r="HOH32" s="388"/>
      <c r="HOI32" s="388"/>
      <c r="HOJ32" s="388"/>
      <c r="HOK32" s="388"/>
      <c r="HOL32" s="388"/>
      <c r="HOM32" s="388"/>
      <c r="HON32" s="388"/>
      <c r="HOO32" s="388"/>
      <c r="HOP32" s="388"/>
      <c r="HOQ32" s="388"/>
      <c r="HOR32" s="388"/>
      <c r="HOS32" s="388"/>
      <c r="HOT32" s="388"/>
      <c r="HOU32" s="388"/>
      <c r="HOV32" s="388"/>
      <c r="HOW32" s="388"/>
      <c r="HOX32" s="388"/>
      <c r="HOY32" s="388"/>
      <c r="HOZ32" s="388"/>
      <c r="HPA32" s="388"/>
      <c r="HPB32" s="388"/>
      <c r="HPC32" s="388"/>
      <c r="HPD32" s="388"/>
      <c r="HPE32" s="388"/>
      <c r="HPF32" s="388"/>
      <c r="HPG32" s="388"/>
      <c r="HPH32" s="388"/>
      <c r="HPI32" s="388"/>
      <c r="HPJ32" s="388"/>
      <c r="HPK32" s="388"/>
      <c r="HPL32" s="388"/>
      <c r="HPM32" s="388"/>
      <c r="HPN32" s="388"/>
      <c r="HPO32" s="388"/>
      <c r="HPP32" s="388"/>
      <c r="HPQ32" s="388"/>
      <c r="HPR32" s="388"/>
      <c r="HPS32" s="388"/>
      <c r="HPT32" s="388"/>
      <c r="HPU32" s="388"/>
      <c r="HPV32" s="388"/>
      <c r="HPW32" s="388"/>
      <c r="HPX32" s="388"/>
      <c r="HPY32" s="388"/>
      <c r="HPZ32" s="388"/>
      <c r="HQA32" s="388"/>
      <c r="HQB32" s="388"/>
      <c r="HQC32" s="388"/>
      <c r="HQD32" s="388"/>
      <c r="HQE32" s="388"/>
      <c r="HQF32" s="388"/>
      <c r="HQG32" s="388"/>
      <c r="HQH32" s="388"/>
      <c r="HQI32" s="388"/>
      <c r="HQJ32" s="388"/>
      <c r="HQK32" s="388"/>
      <c r="HQL32" s="388"/>
      <c r="HQM32" s="388"/>
      <c r="HQN32" s="388"/>
      <c r="HQO32" s="388"/>
      <c r="HQP32" s="388"/>
      <c r="HQQ32" s="388"/>
      <c r="HQR32" s="388"/>
      <c r="HQS32" s="388"/>
      <c r="HQT32" s="388"/>
      <c r="HQU32" s="388"/>
      <c r="HQV32" s="388"/>
      <c r="HQW32" s="388"/>
      <c r="HQX32" s="388"/>
      <c r="HQY32" s="388"/>
      <c r="HQZ32" s="388"/>
      <c r="HRA32" s="388"/>
      <c r="HRB32" s="388"/>
      <c r="HRC32" s="388"/>
      <c r="HRD32" s="388"/>
      <c r="HRE32" s="388"/>
      <c r="HRF32" s="388"/>
      <c r="HRG32" s="388"/>
      <c r="HRH32" s="388"/>
      <c r="HRI32" s="388"/>
      <c r="HRJ32" s="388"/>
      <c r="HRK32" s="388"/>
      <c r="HRL32" s="388"/>
      <c r="HRM32" s="388"/>
      <c r="HRN32" s="388"/>
      <c r="HRO32" s="388"/>
      <c r="HRP32" s="388"/>
      <c r="HRQ32" s="388"/>
      <c r="HRR32" s="388"/>
      <c r="HRS32" s="388"/>
      <c r="HRT32" s="388"/>
      <c r="HRU32" s="388"/>
      <c r="HRV32" s="388"/>
      <c r="HRW32" s="388"/>
      <c r="HRX32" s="388"/>
      <c r="HRY32" s="388"/>
      <c r="HRZ32" s="388"/>
      <c r="HSA32" s="388"/>
      <c r="HSB32" s="388"/>
      <c r="HSC32" s="388"/>
      <c r="HSD32" s="388"/>
      <c r="HSE32" s="388"/>
      <c r="HSF32" s="388"/>
      <c r="HSG32" s="388"/>
      <c r="HSH32" s="388"/>
      <c r="HSI32" s="388"/>
      <c r="HSJ32" s="388"/>
      <c r="HSK32" s="388"/>
      <c r="HSL32" s="388"/>
      <c r="HSM32" s="388"/>
      <c r="HSN32" s="388"/>
      <c r="HSO32" s="388"/>
      <c r="HSP32" s="388"/>
      <c r="HSQ32" s="388"/>
      <c r="HSR32" s="388"/>
      <c r="HSS32" s="388"/>
      <c r="HST32" s="388"/>
      <c r="HSU32" s="388"/>
      <c r="HSV32" s="388"/>
      <c r="HSW32" s="388"/>
      <c r="HSX32" s="388"/>
      <c r="HSY32" s="388"/>
      <c r="HSZ32" s="388"/>
      <c r="HTA32" s="388"/>
      <c r="HTB32" s="388"/>
      <c r="HTC32" s="388"/>
      <c r="HTD32" s="388"/>
      <c r="HTE32" s="388"/>
      <c r="HTF32" s="388"/>
      <c r="HTG32" s="388"/>
      <c r="HTH32" s="388"/>
      <c r="HTI32" s="388"/>
      <c r="HTJ32" s="388"/>
      <c r="HTK32" s="388"/>
      <c r="HTL32" s="388"/>
      <c r="HTM32" s="388"/>
      <c r="HTN32" s="388"/>
      <c r="HTO32" s="388"/>
      <c r="HTP32" s="388"/>
      <c r="HTQ32" s="388"/>
      <c r="HTR32" s="388"/>
      <c r="HTS32" s="388"/>
      <c r="HTT32" s="388"/>
      <c r="HTU32" s="388"/>
      <c r="HTV32" s="388"/>
      <c r="HTW32" s="388"/>
      <c r="HTX32" s="388"/>
      <c r="HTY32" s="388"/>
      <c r="HTZ32" s="388"/>
      <c r="HUA32" s="388"/>
      <c r="HUB32" s="388"/>
      <c r="HUC32" s="388"/>
      <c r="HUD32" s="388"/>
      <c r="HUE32" s="388"/>
      <c r="HUF32" s="388"/>
      <c r="HUG32" s="388"/>
      <c r="HUH32" s="388"/>
      <c r="HUI32" s="388"/>
      <c r="HUJ32" s="388"/>
      <c r="HUK32" s="388"/>
      <c r="HUL32" s="388"/>
      <c r="HUM32" s="388"/>
      <c r="HUN32" s="388"/>
      <c r="HUO32" s="388"/>
      <c r="HUP32" s="388"/>
      <c r="HUQ32" s="388"/>
      <c r="HUR32" s="388"/>
      <c r="HUS32" s="388"/>
      <c r="HUT32" s="388"/>
      <c r="HUU32" s="388"/>
      <c r="HUV32" s="388"/>
      <c r="HUW32" s="388"/>
      <c r="HUX32" s="388"/>
      <c r="HUY32" s="388"/>
      <c r="HUZ32" s="388"/>
      <c r="HVA32" s="388"/>
      <c r="HVB32" s="388"/>
      <c r="HVC32" s="388"/>
      <c r="HVD32" s="388"/>
      <c r="HVE32" s="388"/>
      <c r="HVF32" s="388"/>
      <c r="HVG32" s="388"/>
      <c r="HVH32" s="388"/>
      <c r="HVI32" s="388"/>
      <c r="HVJ32" s="388"/>
      <c r="HVK32" s="388"/>
      <c r="HVL32" s="388"/>
      <c r="HVM32" s="388"/>
      <c r="HVN32" s="388"/>
      <c r="HVO32" s="388"/>
      <c r="HVP32" s="388"/>
      <c r="HVQ32" s="388"/>
      <c r="HVR32" s="388"/>
      <c r="HVS32" s="388"/>
      <c r="HVT32" s="388"/>
      <c r="HVU32" s="388"/>
      <c r="HVV32" s="388"/>
      <c r="HVW32" s="388"/>
      <c r="HVX32" s="388"/>
      <c r="HVY32" s="388"/>
      <c r="HVZ32" s="388"/>
      <c r="HWA32" s="388"/>
      <c r="HWB32" s="388"/>
      <c r="HWC32" s="388"/>
      <c r="HWD32" s="388"/>
      <c r="HWE32" s="388"/>
      <c r="HWF32" s="388"/>
      <c r="HWG32" s="388"/>
      <c r="HWH32" s="388"/>
      <c r="HWI32" s="388"/>
      <c r="HWJ32" s="388"/>
      <c r="HWK32" s="388"/>
      <c r="HWL32" s="388"/>
      <c r="HWM32" s="388"/>
      <c r="HWN32" s="388"/>
      <c r="HWO32" s="388"/>
      <c r="HWP32" s="388"/>
      <c r="HWQ32" s="388"/>
      <c r="HWR32" s="388"/>
      <c r="HWS32" s="388"/>
      <c r="HWT32" s="388"/>
      <c r="HWU32" s="388"/>
      <c r="HWV32" s="388"/>
      <c r="HWW32" s="388"/>
      <c r="HWX32" s="388"/>
      <c r="HWY32" s="388"/>
      <c r="HWZ32" s="388"/>
      <c r="HXA32" s="388"/>
      <c r="HXB32" s="388"/>
      <c r="HXC32" s="388"/>
      <c r="HXD32" s="388"/>
      <c r="HXE32" s="388"/>
      <c r="HXF32" s="388"/>
      <c r="HXG32" s="388"/>
      <c r="HXH32" s="388"/>
      <c r="HXI32" s="388"/>
      <c r="HXJ32" s="388"/>
      <c r="HXK32" s="388"/>
      <c r="HXL32" s="388"/>
      <c r="HXM32" s="388"/>
      <c r="HXN32" s="388"/>
      <c r="HXO32" s="388"/>
      <c r="HXP32" s="388"/>
      <c r="HXQ32" s="388"/>
      <c r="HXR32" s="388"/>
      <c r="HXS32" s="388"/>
      <c r="HXT32" s="388"/>
      <c r="HXU32" s="388"/>
      <c r="HXV32" s="388"/>
      <c r="HXW32" s="388"/>
      <c r="HXX32" s="388"/>
      <c r="HXY32" s="388"/>
      <c r="HXZ32" s="388"/>
      <c r="HYA32" s="388"/>
      <c r="HYB32" s="388"/>
      <c r="HYC32" s="388"/>
      <c r="HYD32" s="388"/>
      <c r="HYE32" s="388"/>
      <c r="HYF32" s="388"/>
      <c r="HYG32" s="388"/>
      <c r="HYH32" s="388"/>
      <c r="HYI32" s="388"/>
      <c r="HYJ32" s="388"/>
      <c r="HYK32" s="388"/>
      <c r="HYL32" s="388"/>
      <c r="HYM32" s="388"/>
      <c r="HYN32" s="388"/>
      <c r="HYO32" s="388"/>
      <c r="HYP32" s="388"/>
      <c r="HYQ32" s="388"/>
      <c r="HYR32" s="388"/>
      <c r="HYS32" s="388"/>
      <c r="HYT32" s="388"/>
      <c r="HYU32" s="388"/>
      <c r="HYV32" s="388"/>
      <c r="HYW32" s="388"/>
      <c r="HYX32" s="388"/>
      <c r="HYY32" s="388"/>
      <c r="HYZ32" s="388"/>
      <c r="HZA32" s="388"/>
      <c r="HZB32" s="388"/>
      <c r="HZC32" s="388"/>
      <c r="HZD32" s="388"/>
      <c r="HZE32" s="388"/>
      <c r="HZF32" s="388"/>
      <c r="HZG32" s="388"/>
      <c r="HZH32" s="388"/>
      <c r="HZI32" s="388"/>
      <c r="HZJ32" s="388"/>
      <c r="HZK32" s="388"/>
      <c r="HZL32" s="388"/>
      <c r="HZM32" s="388"/>
      <c r="HZN32" s="388"/>
      <c r="HZO32" s="388"/>
      <c r="HZP32" s="388"/>
      <c r="HZQ32" s="388"/>
      <c r="HZR32" s="388"/>
      <c r="HZS32" s="388"/>
      <c r="HZT32" s="388"/>
      <c r="HZU32" s="388"/>
      <c r="HZV32" s="388"/>
      <c r="HZW32" s="388"/>
      <c r="HZX32" s="388"/>
      <c r="HZY32" s="388"/>
      <c r="HZZ32" s="388"/>
      <c r="IAA32" s="388"/>
      <c r="IAB32" s="388"/>
      <c r="IAC32" s="388"/>
      <c r="IAD32" s="388"/>
      <c r="IAE32" s="388"/>
      <c r="IAF32" s="388"/>
      <c r="IAG32" s="388"/>
      <c r="IAH32" s="388"/>
      <c r="IAI32" s="388"/>
      <c r="IAJ32" s="388"/>
      <c r="IAK32" s="388"/>
      <c r="IAL32" s="388"/>
      <c r="IAM32" s="388"/>
      <c r="IAN32" s="388"/>
      <c r="IAO32" s="388"/>
      <c r="IAP32" s="388"/>
      <c r="IAQ32" s="388"/>
      <c r="IAR32" s="388"/>
      <c r="IAS32" s="388"/>
      <c r="IAT32" s="388"/>
      <c r="IAU32" s="388"/>
      <c r="IAV32" s="388"/>
      <c r="IAW32" s="388"/>
      <c r="IAX32" s="388"/>
      <c r="IAY32" s="388"/>
      <c r="IAZ32" s="388"/>
      <c r="IBA32" s="388"/>
      <c r="IBB32" s="388"/>
      <c r="IBC32" s="388"/>
      <c r="IBD32" s="388"/>
      <c r="IBE32" s="388"/>
      <c r="IBF32" s="388"/>
      <c r="IBG32" s="388"/>
      <c r="IBH32" s="388"/>
      <c r="IBI32" s="388"/>
      <c r="IBJ32" s="388"/>
      <c r="IBK32" s="388"/>
      <c r="IBL32" s="388"/>
      <c r="IBM32" s="388"/>
      <c r="IBN32" s="388"/>
      <c r="IBO32" s="388"/>
      <c r="IBP32" s="388"/>
      <c r="IBQ32" s="388"/>
      <c r="IBR32" s="388"/>
      <c r="IBS32" s="388"/>
      <c r="IBT32" s="388"/>
      <c r="IBU32" s="388"/>
      <c r="IBV32" s="388"/>
      <c r="IBW32" s="388"/>
      <c r="IBX32" s="388"/>
      <c r="IBY32" s="388"/>
      <c r="IBZ32" s="388"/>
      <c r="ICA32" s="388"/>
      <c r="ICB32" s="388"/>
      <c r="ICC32" s="388"/>
      <c r="ICD32" s="388"/>
      <c r="ICE32" s="388"/>
      <c r="ICF32" s="388"/>
      <c r="ICG32" s="388"/>
      <c r="ICH32" s="388"/>
      <c r="ICI32" s="388"/>
      <c r="ICJ32" s="388"/>
      <c r="ICK32" s="388"/>
      <c r="ICL32" s="388"/>
      <c r="ICM32" s="388"/>
      <c r="ICN32" s="388"/>
      <c r="ICO32" s="388"/>
      <c r="ICP32" s="388"/>
      <c r="ICQ32" s="388"/>
      <c r="ICR32" s="388"/>
      <c r="ICS32" s="388"/>
      <c r="ICT32" s="388"/>
      <c r="ICU32" s="388"/>
      <c r="ICV32" s="388"/>
      <c r="ICW32" s="388"/>
      <c r="ICX32" s="388"/>
      <c r="ICY32" s="388"/>
      <c r="ICZ32" s="388"/>
      <c r="IDA32" s="388"/>
      <c r="IDB32" s="388"/>
      <c r="IDC32" s="388"/>
      <c r="IDD32" s="388"/>
      <c r="IDE32" s="388"/>
      <c r="IDF32" s="388"/>
      <c r="IDG32" s="388"/>
      <c r="IDH32" s="388"/>
      <c r="IDI32" s="388"/>
      <c r="IDJ32" s="388"/>
      <c r="IDK32" s="388"/>
      <c r="IDL32" s="388"/>
      <c r="IDM32" s="388"/>
      <c r="IDN32" s="388"/>
      <c r="IDO32" s="388"/>
      <c r="IDP32" s="388"/>
      <c r="IDQ32" s="388"/>
      <c r="IDR32" s="388"/>
      <c r="IDS32" s="388"/>
      <c r="IDT32" s="388"/>
      <c r="IDU32" s="388"/>
      <c r="IDV32" s="388"/>
      <c r="IDW32" s="388"/>
      <c r="IDX32" s="388"/>
      <c r="IDY32" s="388"/>
      <c r="IDZ32" s="388"/>
      <c r="IEA32" s="388"/>
      <c r="IEB32" s="388"/>
      <c r="IEC32" s="388"/>
      <c r="IED32" s="388"/>
      <c r="IEE32" s="388"/>
      <c r="IEF32" s="388"/>
      <c r="IEG32" s="388"/>
      <c r="IEH32" s="388"/>
      <c r="IEI32" s="388"/>
      <c r="IEJ32" s="388"/>
      <c r="IEK32" s="388"/>
      <c r="IEL32" s="388"/>
      <c r="IEM32" s="388"/>
      <c r="IEN32" s="388"/>
      <c r="IEO32" s="388"/>
      <c r="IEP32" s="388"/>
      <c r="IEQ32" s="388"/>
      <c r="IER32" s="388"/>
      <c r="IES32" s="388"/>
      <c r="IET32" s="388"/>
      <c r="IEU32" s="388"/>
      <c r="IEV32" s="388"/>
      <c r="IEW32" s="388"/>
      <c r="IEX32" s="388"/>
      <c r="IEY32" s="388"/>
      <c r="IEZ32" s="388"/>
      <c r="IFA32" s="388"/>
      <c r="IFB32" s="388"/>
      <c r="IFC32" s="388"/>
      <c r="IFD32" s="388"/>
      <c r="IFE32" s="388"/>
      <c r="IFF32" s="388"/>
      <c r="IFG32" s="388"/>
      <c r="IFH32" s="388"/>
      <c r="IFI32" s="388"/>
      <c r="IFJ32" s="388"/>
      <c r="IFK32" s="388"/>
      <c r="IFL32" s="388"/>
      <c r="IFM32" s="388"/>
      <c r="IFN32" s="388"/>
      <c r="IFO32" s="388"/>
      <c r="IFP32" s="388"/>
      <c r="IFQ32" s="388"/>
      <c r="IFR32" s="388"/>
      <c r="IFS32" s="388"/>
      <c r="IFT32" s="388"/>
      <c r="IFU32" s="388"/>
      <c r="IFV32" s="388"/>
      <c r="IFW32" s="388"/>
      <c r="IFX32" s="388"/>
      <c r="IFY32" s="388"/>
      <c r="IFZ32" s="388"/>
      <c r="IGA32" s="388"/>
      <c r="IGB32" s="388"/>
      <c r="IGC32" s="388"/>
      <c r="IGD32" s="388"/>
      <c r="IGE32" s="388"/>
      <c r="IGF32" s="388"/>
      <c r="IGG32" s="388"/>
      <c r="IGH32" s="388"/>
      <c r="IGI32" s="388"/>
      <c r="IGJ32" s="388"/>
      <c r="IGK32" s="388"/>
      <c r="IGL32" s="388"/>
      <c r="IGM32" s="388"/>
      <c r="IGN32" s="388"/>
      <c r="IGO32" s="388"/>
      <c r="IGP32" s="388"/>
      <c r="IGQ32" s="388"/>
      <c r="IGR32" s="388"/>
      <c r="IGS32" s="388"/>
      <c r="IGT32" s="388"/>
      <c r="IGU32" s="388"/>
      <c r="IGV32" s="388"/>
      <c r="IGW32" s="388"/>
      <c r="IGX32" s="388"/>
      <c r="IGY32" s="388"/>
      <c r="IGZ32" s="388"/>
      <c r="IHA32" s="388"/>
      <c r="IHB32" s="388"/>
      <c r="IHC32" s="388"/>
      <c r="IHD32" s="388"/>
      <c r="IHE32" s="388"/>
      <c r="IHF32" s="388"/>
      <c r="IHG32" s="388"/>
      <c r="IHH32" s="388"/>
      <c r="IHI32" s="388"/>
      <c r="IHJ32" s="388"/>
      <c r="IHK32" s="388"/>
      <c r="IHL32" s="388"/>
      <c r="IHM32" s="388"/>
      <c r="IHN32" s="388"/>
      <c r="IHO32" s="388"/>
      <c r="IHP32" s="388"/>
      <c r="IHQ32" s="388"/>
      <c r="IHR32" s="388"/>
      <c r="IHS32" s="388"/>
      <c r="IHT32" s="388"/>
      <c r="IHU32" s="388"/>
      <c r="IHV32" s="388"/>
      <c r="IHW32" s="388"/>
      <c r="IHX32" s="388"/>
      <c r="IHY32" s="388"/>
      <c r="IHZ32" s="388"/>
      <c r="IIA32" s="388"/>
      <c r="IIB32" s="388"/>
      <c r="IIC32" s="388"/>
      <c r="IID32" s="388"/>
      <c r="IIE32" s="388"/>
      <c r="IIF32" s="388"/>
      <c r="IIG32" s="388"/>
      <c r="IIH32" s="388"/>
      <c r="III32" s="388"/>
      <c r="IIJ32" s="388"/>
      <c r="IIK32" s="388"/>
      <c r="IIL32" s="388"/>
      <c r="IIM32" s="388"/>
      <c r="IIN32" s="388"/>
      <c r="IIO32" s="388"/>
      <c r="IIP32" s="388"/>
      <c r="IIQ32" s="388"/>
      <c r="IIR32" s="388"/>
      <c r="IIS32" s="388"/>
      <c r="IIT32" s="388"/>
      <c r="IIU32" s="388"/>
      <c r="IIV32" s="388"/>
      <c r="IIW32" s="388"/>
      <c r="IIX32" s="388"/>
      <c r="IIY32" s="388"/>
      <c r="IIZ32" s="388"/>
      <c r="IJA32" s="388"/>
      <c r="IJB32" s="388"/>
      <c r="IJC32" s="388"/>
      <c r="IJD32" s="388"/>
      <c r="IJE32" s="388"/>
      <c r="IJF32" s="388"/>
      <c r="IJG32" s="388"/>
      <c r="IJH32" s="388"/>
      <c r="IJI32" s="388"/>
      <c r="IJJ32" s="388"/>
      <c r="IJK32" s="388"/>
      <c r="IJL32" s="388"/>
      <c r="IJM32" s="388"/>
      <c r="IJN32" s="388"/>
      <c r="IJO32" s="388"/>
      <c r="IJP32" s="388"/>
      <c r="IJQ32" s="388"/>
      <c r="IJR32" s="388"/>
      <c r="IJS32" s="388"/>
      <c r="IJT32" s="388"/>
      <c r="IJU32" s="388"/>
      <c r="IJV32" s="388"/>
      <c r="IJW32" s="388"/>
      <c r="IJX32" s="388"/>
      <c r="IJY32" s="388"/>
      <c r="IJZ32" s="388"/>
      <c r="IKA32" s="388"/>
      <c r="IKB32" s="388"/>
      <c r="IKC32" s="388"/>
      <c r="IKD32" s="388"/>
      <c r="IKE32" s="388"/>
      <c r="IKF32" s="388"/>
      <c r="IKG32" s="388"/>
      <c r="IKH32" s="388"/>
      <c r="IKI32" s="388"/>
      <c r="IKJ32" s="388"/>
      <c r="IKK32" s="388"/>
      <c r="IKL32" s="388"/>
      <c r="IKM32" s="388"/>
      <c r="IKN32" s="388"/>
      <c r="IKO32" s="388"/>
      <c r="IKP32" s="388"/>
      <c r="IKQ32" s="388"/>
      <c r="IKR32" s="388"/>
      <c r="IKS32" s="388"/>
      <c r="IKT32" s="388"/>
      <c r="IKU32" s="388"/>
      <c r="IKV32" s="388"/>
      <c r="IKW32" s="388"/>
      <c r="IKX32" s="388"/>
      <c r="IKY32" s="388"/>
      <c r="IKZ32" s="388"/>
      <c r="ILA32" s="388"/>
      <c r="ILB32" s="388"/>
      <c r="ILC32" s="388"/>
      <c r="ILD32" s="388"/>
      <c r="ILE32" s="388"/>
      <c r="ILF32" s="388"/>
      <c r="ILG32" s="388"/>
      <c r="ILH32" s="388"/>
      <c r="ILI32" s="388"/>
      <c r="ILJ32" s="388"/>
      <c r="ILK32" s="388"/>
      <c r="ILL32" s="388"/>
      <c r="ILM32" s="388"/>
      <c r="ILN32" s="388"/>
      <c r="ILO32" s="388"/>
      <c r="ILP32" s="388"/>
      <c r="ILQ32" s="388"/>
      <c r="ILR32" s="388"/>
      <c r="ILS32" s="388"/>
      <c r="ILT32" s="388"/>
      <c r="ILU32" s="388"/>
      <c r="ILV32" s="388"/>
      <c r="ILW32" s="388"/>
      <c r="ILX32" s="388"/>
      <c r="ILY32" s="388"/>
      <c r="ILZ32" s="388"/>
      <c r="IMA32" s="388"/>
      <c r="IMB32" s="388"/>
      <c r="IMC32" s="388"/>
      <c r="IMD32" s="388"/>
      <c r="IME32" s="388"/>
      <c r="IMF32" s="388"/>
      <c r="IMG32" s="388"/>
      <c r="IMH32" s="388"/>
      <c r="IMI32" s="388"/>
      <c r="IMJ32" s="388"/>
      <c r="IMK32" s="388"/>
      <c r="IML32" s="388"/>
      <c r="IMM32" s="388"/>
      <c r="IMN32" s="388"/>
      <c r="IMO32" s="388"/>
      <c r="IMP32" s="388"/>
      <c r="IMQ32" s="388"/>
      <c r="IMR32" s="388"/>
      <c r="IMS32" s="388"/>
      <c r="IMT32" s="388"/>
      <c r="IMU32" s="388"/>
      <c r="IMV32" s="388"/>
      <c r="IMW32" s="388"/>
      <c r="IMX32" s="388"/>
      <c r="IMY32" s="388"/>
      <c r="IMZ32" s="388"/>
      <c r="INA32" s="388"/>
      <c r="INB32" s="388"/>
      <c r="INC32" s="388"/>
      <c r="IND32" s="388"/>
      <c r="INE32" s="388"/>
      <c r="INF32" s="388"/>
      <c r="ING32" s="388"/>
      <c r="INH32" s="388"/>
      <c r="INI32" s="388"/>
      <c r="INJ32" s="388"/>
      <c r="INK32" s="388"/>
      <c r="INL32" s="388"/>
      <c r="INM32" s="388"/>
      <c r="INN32" s="388"/>
      <c r="INO32" s="388"/>
      <c r="INP32" s="388"/>
      <c r="INQ32" s="388"/>
      <c r="INR32" s="388"/>
      <c r="INS32" s="388"/>
      <c r="INT32" s="388"/>
      <c r="INU32" s="388"/>
      <c r="INV32" s="388"/>
      <c r="INW32" s="388"/>
      <c r="INX32" s="388"/>
      <c r="INY32" s="388"/>
      <c r="INZ32" s="388"/>
      <c r="IOA32" s="388"/>
      <c r="IOB32" s="388"/>
      <c r="IOC32" s="388"/>
      <c r="IOD32" s="388"/>
      <c r="IOE32" s="388"/>
      <c r="IOF32" s="388"/>
      <c r="IOG32" s="388"/>
      <c r="IOH32" s="388"/>
      <c r="IOI32" s="388"/>
      <c r="IOJ32" s="388"/>
      <c r="IOK32" s="388"/>
      <c r="IOL32" s="388"/>
      <c r="IOM32" s="388"/>
      <c r="ION32" s="388"/>
      <c r="IOO32" s="388"/>
      <c r="IOP32" s="388"/>
      <c r="IOQ32" s="388"/>
      <c r="IOR32" s="388"/>
      <c r="IOS32" s="388"/>
      <c r="IOT32" s="388"/>
      <c r="IOU32" s="388"/>
      <c r="IOV32" s="388"/>
      <c r="IOW32" s="388"/>
      <c r="IOX32" s="388"/>
      <c r="IOY32" s="388"/>
      <c r="IOZ32" s="388"/>
      <c r="IPA32" s="388"/>
      <c r="IPB32" s="388"/>
      <c r="IPC32" s="388"/>
      <c r="IPD32" s="388"/>
      <c r="IPE32" s="388"/>
      <c r="IPF32" s="388"/>
      <c r="IPG32" s="388"/>
      <c r="IPH32" s="388"/>
      <c r="IPI32" s="388"/>
      <c r="IPJ32" s="388"/>
      <c r="IPK32" s="388"/>
      <c r="IPL32" s="388"/>
      <c r="IPM32" s="388"/>
      <c r="IPN32" s="388"/>
      <c r="IPO32" s="388"/>
      <c r="IPP32" s="388"/>
      <c r="IPQ32" s="388"/>
      <c r="IPR32" s="388"/>
      <c r="IPS32" s="388"/>
      <c r="IPT32" s="388"/>
      <c r="IPU32" s="388"/>
      <c r="IPV32" s="388"/>
      <c r="IPW32" s="388"/>
      <c r="IPX32" s="388"/>
      <c r="IPY32" s="388"/>
      <c r="IPZ32" s="388"/>
      <c r="IQA32" s="388"/>
      <c r="IQB32" s="388"/>
      <c r="IQC32" s="388"/>
      <c r="IQD32" s="388"/>
      <c r="IQE32" s="388"/>
      <c r="IQF32" s="388"/>
      <c r="IQG32" s="388"/>
      <c r="IQH32" s="388"/>
      <c r="IQI32" s="388"/>
      <c r="IQJ32" s="388"/>
      <c r="IQK32" s="388"/>
      <c r="IQL32" s="388"/>
      <c r="IQM32" s="388"/>
      <c r="IQN32" s="388"/>
      <c r="IQO32" s="388"/>
      <c r="IQP32" s="388"/>
      <c r="IQQ32" s="388"/>
      <c r="IQR32" s="388"/>
      <c r="IQS32" s="388"/>
      <c r="IQT32" s="388"/>
      <c r="IQU32" s="388"/>
      <c r="IQV32" s="388"/>
      <c r="IQW32" s="388"/>
      <c r="IQX32" s="388"/>
      <c r="IQY32" s="388"/>
      <c r="IQZ32" s="388"/>
      <c r="IRA32" s="388"/>
      <c r="IRB32" s="388"/>
      <c r="IRC32" s="388"/>
      <c r="IRD32" s="388"/>
      <c r="IRE32" s="388"/>
      <c r="IRF32" s="388"/>
      <c r="IRG32" s="388"/>
      <c r="IRH32" s="388"/>
      <c r="IRI32" s="388"/>
      <c r="IRJ32" s="388"/>
      <c r="IRK32" s="388"/>
      <c r="IRL32" s="388"/>
      <c r="IRM32" s="388"/>
      <c r="IRN32" s="388"/>
      <c r="IRO32" s="388"/>
      <c r="IRP32" s="388"/>
      <c r="IRQ32" s="388"/>
      <c r="IRR32" s="388"/>
      <c r="IRS32" s="388"/>
      <c r="IRT32" s="388"/>
      <c r="IRU32" s="388"/>
      <c r="IRV32" s="388"/>
      <c r="IRW32" s="388"/>
      <c r="IRX32" s="388"/>
      <c r="IRY32" s="388"/>
      <c r="IRZ32" s="388"/>
      <c r="ISA32" s="388"/>
      <c r="ISB32" s="388"/>
      <c r="ISC32" s="388"/>
      <c r="ISD32" s="388"/>
      <c r="ISE32" s="388"/>
      <c r="ISF32" s="388"/>
      <c r="ISG32" s="388"/>
      <c r="ISH32" s="388"/>
      <c r="ISI32" s="388"/>
      <c r="ISJ32" s="388"/>
      <c r="ISK32" s="388"/>
      <c r="ISL32" s="388"/>
      <c r="ISM32" s="388"/>
      <c r="ISN32" s="388"/>
      <c r="ISO32" s="388"/>
      <c r="ISP32" s="388"/>
      <c r="ISQ32" s="388"/>
      <c r="ISR32" s="388"/>
      <c r="ISS32" s="388"/>
      <c r="IST32" s="388"/>
      <c r="ISU32" s="388"/>
      <c r="ISV32" s="388"/>
      <c r="ISW32" s="388"/>
      <c r="ISX32" s="388"/>
      <c r="ISY32" s="388"/>
      <c r="ISZ32" s="388"/>
      <c r="ITA32" s="388"/>
      <c r="ITB32" s="388"/>
      <c r="ITC32" s="388"/>
      <c r="ITD32" s="388"/>
      <c r="ITE32" s="388"/>
      <c r="ITF32" s="388"/>
      <c r="ITG32" s="388"/>
      <c r="ITH32" s="388"/>
      <c r="ITI32" s="388"/>
      <c r="ITJ32" s="388"/>
      <c r="ITK32" s="388"/>
      <c r="ITL32" s="388"/>
      <c r="ITM32" s="388"/>
      <c r="ITN32" s="388"/>
      <c r="ITO32" s="388"/>
      <c r="ITP32" s="388"/>
      <c r="ITQ32" s="388"/>
      <c r="ITR32" s="388"/>
      <c r="ITS32" s="388"/>
      <c r="ITT32" s="388"/>
      <c r="ITU32" s="388"/>
      <c r="ITV32" s="388"/>
      <c r="ITW32" s="388"/>
      <c r="ITX32" s="388"/>
      <c r="ITY32" s="388"/>
      <c r="ITZ32" s="388"/>
      <c r="IUA32" s="388"/>
      <c r="IUB32" s="388"/>
      <c r="IUC32" s="388"/>
      <c r="IUD32" s="388"/>
      <c r="IUE32" s="388"/>
      <c r="IUF32" s="388"/>
      <c r="IUG32" s="388"/>
      <c r="IUH32" s="388"/>
      <c r="IUI32" s="388"/>
      <c r="IUJ32" s="388"/>
      <c r="IUK32" s="388"/>
      <c r="IUL32" s="388"/>
      <c r="IUM32" s="388"/>
      <c r="IUN32" s="388"/>
      <c r="IUO32" s="388"/>
      <c r="IUP32" s="388"/>
      <c r="IUQ32" s="388"/>
      <c r="IUR32" s="388"/>
      <c r="IUS32" s="388"/>
      <c r="IUT32" s="388"/>
      <c r="IUU32" s="388"/>
      <c r="IUV32" s="388"/>
      <c r="IUW32" s="388"/>
      <c r="IUX32" s="388"/>
      <c r="IUY32" s="388"/>
      <c r="IUZ32" s="388"/>
      <c r="IVA32" s="388"/>
      <c r="IVB32" s="388"/>
      <c r="IVC32" s="388"/>
      <c r="IVD32" s="388"/>
      <c r="IVE32" s="388"/>
      <c r="IVF32" s="388"/>
      <c r="IVG32" s="388"/>
      <c r="IVH32" s="388"/>
      <c r="IVI32" s="388"/>
      <c r="IVJ32" s="388"/>
      <c r="IVK32" s="388"/>
      <c r="IVL32" s="388"/>
      <c r="IVM32" s="388"/>
      <c r="IVN32" s="388"/>
      <c r="IVO32" s="388"/>
      <c r="IVP32" s="388"/>
      <c r="IVQ32" s="388"/>
      <c r="IVR32" s="388"/>
      <c r="IVS32" s="388"/>
      <c r="IVT32" s="388"/>
      <c r="IVU32" s="388"/>
      <c r="IVV32" s="388"/>
      <c r="IVW32" s="388"/>
      <c r="IVX32" s="388"/>
      <c r="IVY32" s="388"/>
      <c r="IVZ32" s="388"/>
      <c r="IWA32" s="388"/>
      <c r="IWB32" s="388"/>
      <c r="IWC32" s="388"/>
      <c r="IWD32" s="388"/>
      <c r="IWE32" s="388"/>
      <c r="IWF32" s="388"/>
      <c r="IWG32" s="388"/>
      <c r="IWH32" s="388"/>
      <c r="IWI32" s="388"/>
      <c r="IWJ32" s="388"/>
      <c r="IWK32" s="388"/>
      <c r="IWL32" s="388"/>
      <c r="IWM32" s="388"/>
      <c r="IWN32" s="388"/>
      <c r="IWO32" s="388"/>
      <c r="IWP32" s="388"/>
      <c r="IWQ32" s="388"/>
      <c r="IWR32" s="388"/>
      <c r="IWS32" s="388"/>
      <c r="IWT32" s="388"/>
      <c r="IWU32" s="388"/>
      <c r="IWV32" s="388"/>
      <c r="IWW32" s="388"/>
      <c r="IWX32" s="388"/>
      <c r="IWY32" s="388"/>
      <c r="IWZ32" s="388"/>
      <c r="IXA32" s="388"/>
      <c r="IXB32" s="388"/>
      <c r="IXC32" s="388"/>
      <c r="IXD32" s="388"/>
      <c r="IXE32" s="388"/>
      <c r="IXF32" s="388"/>
      <c r="IXG32" s="388"/>
      <c r="IXH32" s="388"/>
      <c r="IXI32" s="388"/>
      <c r="IXJ32" s="388"/>
      <c r="IXK32" s="388"/>
      <c r="IXL32" s="388"/>
      <c r="IXM32" s="388"/>
      <c r="IXN32" s="388"/>
      <c r="IXO32" s="388"/>
      <c r="IXP32" s="388"/>
      <c r="IXQ32" s="388"/>
      <c r="IXR32" s="388"/>
      <c r="IXS32" s="388"/>
      <c r="IXT32" s="388"/>
      <c r="IXU32" s="388"/>
      <c r="IXV32" s="388"/>
      <c r="IXW32" s="388"/>
      <c r="IXX32" s="388"/>
      <c r="IXY32" s="388"/>
      <c r="IXZ32" s="388"/>
      <c r="IYA32" s="388"/>
      <c r="IYB32" s="388"/>
      <c r="IYC32" s="388"/>
      <c r="IYD32" s="388"/>
      <c r="IYE32" s="388"/>
      <c r="IYF32" s="388"/>
      <c r="IYG32" s="388"/>
      <c r="IYH32" s="388"/>
      <c r="IYI32" s="388"/>
      <c r="IYJ32" s="388"/>
      <c r="IYK32" s="388"/>
      <c r="IYL32" s="388"/>
      <c r="IYM32" s="388"/>
      <c r="IYN32" s="388"/>
      <c r="IYO32" s="388"/>
      <c r="IYP32" s="388"/>
      <c r="IYQ32" s="388"/>
      <c r="IYR32" s="388"/>
      <c r="IYS32" s="388"/>
      <c r="IYT32" s="388"/>
      <c r="IYU32" s="388"/>
      <c r="IYV32" s="388"/>
      <c r="IYW32" s="388"/>
      <c r="IYX32" s="388"/>
      <c r="IYY32" s="388"/>
      <c r="IYZ32" s="388"/>
      <c r="IZA32" s="388"/>
      <c r="IZB32" s="388"/>
      <c r="IZC32" s="388"/>
      <c r="IZD32" s="388"/>
      <c r="IZE32" s="388"/>
      <c r="IZF32" s="388"/>
      <c r="IZG32" s="388"/>
      <c r="IZH32" s="388"/>
      <c r="IZI32" s="388"/>
      <c r="IZJ32" s="388"/>
      <c r="IZK32" s="388"/>
      <c r="IZL32" s="388"/>
      <c r="IZM32" s="388"/>
      <c r="IZN32" s="388"/>
      <c r="IZO32" s="388"/>
      <c r="IZP32" s="388"/>
      <c r="IZQ32" s="388"/>
      <c r="IZR32" s="388"/>
      <c r="IZS32" s="388"/>
      <c r="IZT32" s="388"/>
      <c r="IZU32" s="388"/>
      <c r="IZV32" s="388"/>
      <c r="IZW32" s="388"/>
      <c r="IZX32" s="388"/>
      <c r="IZY32" s="388"/>
      <c r="IZZ32" s="388"/>
      <c r="JAA32" s="388"/>
      <c r="JAB32" s="388"/>
      <c r="JAC32" s="388"/>
      <c r="JAD32" s="388"/>
      <c r="JAE32" s="388"/>
      <c r="JAF32" s="388"/>
      <c r="JAG32" s="388"/>
      <c r="JAH32" s="388"/>
      <c r="JAI32" s="388"/>
      <c r="JAJ32" s="388"/>
      <c r="JAK32" s="388"/>
      <c r="JAL32" s="388"/>
      <c r="JAM32" s="388"/>
      <c r="JAN32" s="388"/>
      <c r="JAO32" s="388"/>
      <c r="JAP32" s="388"/>
      <c r="JAQ32" s="388"/>
      <c r="JAR32" s="388"/>
      <c r="JAS32" s="388"/>
      <c r="JAT32" s="388"/>
      <c r="JAU32" s="388"/>
      <c r="JAV32" s="388"/>
      <c r="JAW32" s="388"/>
      <c r="JAX32" s="388"/>
      <c r="JAY32" s="388"/>
      <c r="JAZ32" s="388"/>
      <c r="JBA32" s="388"/>
      <c r="JBB32" s="388"/>
      <c r="JBC32" s="388"/>
      <c r="JBD32" s="388"/>
      <c r="JBE32" s="388"/>
      <c r="JBF32" s="388"/>
      <c r="JBG32" s="388"/>
      <c r="JBH32" s="388"/>
      <c r="JBI32" s="388"/>
      <c r="JBJ32" s="388"/>
      <c r="JBK32" s="388"/>
      <c r="JBL32" s="388"/>
      <c r="JBM32" s="388"/>
      <c r="JBN32" s="388"/>
      <c r="JBO32" s="388"/>
      <c r="JBP32" s="388"/>
      <c r="JBQ32" s="388"/>
      <c r="JBR32" s="388"/>
      <c r="JBS32" s="388"/>
      <c r="JBT32" s="388"/>
      <c r="JBU32" s="388"/>
      <c r="JBV32" s="388"/>
      <c r="JBW32" s="388"/>
      <c r="JBX32" s="388"/>
      <c r="JBY32" s="388"/>
      <c r="JBZ32" s="388"/>
      <c r="JCA32" s="388"/>
      <c r="JCB32" s="388"/>
      <c r="JCC32" s="388"/>
      <c r="JCD32" s="388"/>
      <c r="JCE32" s="388"/>
      <c r="JCF32" s="388"/>
      <c r="JCG32" s="388"/>
      <c r="JCH32" s="388"/>
      <c r="JCI32" s="388"/>
      <c r="JCJ32" s="388"/>
      <c r="JCK32" s="388"/>
      <c r="JCL32" s="388"/>
      <c r="JCM32" s="388"/>
      <c r="JCN32" s="388"/>
      <c r="JCO32" s="388"/>
      <c r="JCP32" s="388"/>
      <c r="JCQ32" s="388"/>
      <c r="JCR32" s="388"/>
      <c r="JCS32" s="388"/>
      <c r="JCT32" s="388"/>
      <c r="JCU32" s="388"/>
      <c r="JCV32" s="388"/>
      <c r="JCW32" s="388"/>
      <c r="JCX32" s="388"/>
      <c r="JCY32" s="388"/>
      <c r="JCZ32" s="388"/>
      <c r="JDA32" s="388"/>
      <c r="JDB32" s="388"/>
      <c r="JDC32" s="388"/>
      <c r="JDD32" s="388"/>
      <c r="JDE32" s="388"/>
      <c r="JDF32" s="388"/>
      <c r="JDG32" s="388"/>
      <c r="JDH32" s="388"/>
      <c r="JDI32" s="388"/>
      <c r="JDJ32" s="388"/>
      <c r="JDK32" s="388"/>
      <c r="JDL32" s="388"/>
      <c r="JDM32" s="388"/>
      <c r="JDN32" s="388"/>
      <c r="JDO32" s="388"/>
      <c r="JDP32" s="388"/>
      <c r="JDQ32" s="388"/>
      <c r="JDR32" s="388"/>
      <c r="JDS32" s="388"/>
      <c r="JDT32" s="388"/>
      <c r="JDU32" s="388"/>
      <c r="JDV32" s="388"/>
      <c r="JDW32" s="388"/>
      <c r="JDX32" s="388"/>
      <c r="JDY32" s="388"/>
      <c r="JDZ32" s="388"/>
      <c r="JEA32" s="388"/>
      <c r="JEB32" s="388"/>
      <c r="JEC32" s="388"/>
      <c r="JED32" s="388"/>
      <c r="JEE32" s="388"/>
      <c r="JEF32" s="388"/>
      <c r="JEG32" s="388"/>
      <c r="JEH32" s="388"/>
      <c r="JEI32" s="388"/>
      <c r="JEJ32" s="388"/>
      <c r="JEK32" s="388"/>
      <c r="JEL32" s="388"/>
      <c r="JEM32" s="388"/>
      <c r="JEN32" s="388"/>
      <c r="JEO32" s="388"/>
      <c r="JEP32" s="388"/>
      <c r="JEQ32" s="388"/>
      <c r="JER32" s="388"/>
      <c r="JES32" s="388"/>
      <c r="JET32" s="388"/>
      <c r="JEU32" s="388"/>
      <c r="JEV32" s="388"/>
      <c r="JEW32" s="388"/>
      <c r="JEX32" s="388"/>
      <c r="JEY32" s="388"/>
      <c r="JEZ32" s="388"/>
      <c r="JFA32" s="388"/>
      <c r="JFB32" s="388"/>
      <c r="JFC32" s="388"/>
      <c r="JFD32" s="388"/>
      <c r="JFE32" s="388"/>
      <c r="JFF32" s="388"/>
      <c r="JFG32" s="388"/>
      <c r="JFH32" s="388"/>
      <c r="JFI32" s="388"/>
      <c r="JFJ32" s="388"/>
      <c r="JFK32" s="388"/>
      <c r="JFL32" s="388"/>
      <c r="JFM32" s="388"/>
      <c r="JFN32" s="388"/>
      <c r="JFO32" s="388"/>
      <c r="JFP32" s="388"/>
      <c r="JFQ32" s="388"/>
      <c r="JFR32" s="388"/>
      <c r="JFS32" s="388"/>
      <c r="JFT32" s="388"/>
      <c r="JFU32" s="388"/>
      <c r="JFV32" s="388"/>
      <c r="JFW32" s="388"/>
      <c r="JFX32" s="388"/>
      <c r="JFY32" s="388"/>
      <c r="JFZ32" s="388"/>
      <c r="JGA32" s="388"/>
      <c r="JGB32" s="388"/>
      <c r="JGC32" s="388"/>
      <c r="JGD32" s="388"/>
      <c r="JGE32" s="388"/>
      <c r="JGF32" s="388"/>
      <c r="JGG32" s="388"/>
      <c r="JGH32" s="388"/>
      <c r="JGI32" s="388"/>
      <c r="JGJ32" s="388"/>
      <c r="JGK32" s="388"/>
      <c r="JGL32" s="388"/>
      <c r="JGM32" s="388"/>
      <c r="JGN32" s="388"/>
      <c r="JGO32" s="388"/>
      <c r="JGP32" s="388"/>
      <c r="JGQ32" s="388"/>
      <c r="JGR32" s="388"/>
      <c r="JGS32" s="388"/>
      <c r="JGT32" s="388"/>
      <c r="JGU32" s="388"/>
      <c r="JGV32" s="388"/>
      <c r="JGW32" s="388"/>
      <c r="JGX32" s="388"/>
      <c r="JGY32" s="388"/>
      <c r="JGZ32" s="388"/>
      <c r="JHA32" s="388"/>
      <c r="JHB32" s="388"/>
      <c r="JHC32" s="388"/>
      <c r="JHD32" s="388"/>
      <c r="JHE32" s="388"/>
      <c r="JHF32" s="388"/>
      <c r="JHG32" s="388"/>
      <c r="JHH32" s="388"/>
      <c r="JHI32" s="388"/>
      <c r="JHJ32" s="388"/>
      <c r="JHK32" s="388"/>
      <c r="JHL32" s="388"/>
      <c r="JHM32" s="388"/>
      <c r="JHN32" s="388"/>
      <c r="JHO32" s="388"/>
      <c r="JHP32" s="388"/>
      <c r="JHQ32" s="388"/>
      <c r="JHR32" s="388"/>
      <c r="JHS32" s="388"/>
      <c r="JHT32" s="388"/>
      <c r="JHU32" s="388"/>
      <c r="JHV32" s="388"/>
      <c r="JHW32" s="388"/>
      <c r="JHX32" s="388"/>
      <c r="JHY32" s="388"/>
      <c r="JHZ32" s="388"/>
      <c r="JIA32" s="388"/>
      <c r="JIB32" s="388"/>
      <c r="JIC32" s="388"/>
      <c r="JID32" s="388"/>
      <c r="JIE32" s="388"/>
      <c r="JIF32" s="388"/>
      <c r="JIG32" s="388"/>
      <c r="JIH32" s="388"/>
      <c r="JII32" s="388"/>
      <c r="JIJ32" s="388"/>
      <c r="JIK32" s="388"/>
      <c r="JIL32" s="388"/>
      <c r="JIM32" s="388"/>
      <c r="JIN32" s="388"/>
      <c r="JIO32" s="388"/>
      <c r="JIP32" s="388"/>
      <c r="JIQ32" s="388"/>
      <c r="JIR32" s="388"/>
      <c r="JIS32" s="388"/>
      <c r="JIT32" s="388"/>
      <c r="JIU32" s="388"/>
      <c r="JIV32" s="388"/>
      <c r="JIW32" s="388"/>
      <c r="JIX32" s="388"/>
      <c r="JIY32" s="388"/>
      <c r="JIZ32" s="388"/>
      <c r="JJA32" s="388"/>
      <c r="JJB32" s="388"/>
      <c r="JJC32" s="388"/>
      <c r="JJD32" s="388"/>
      <c r="JJE32" s="388"/>
      <c r="JJF32" s="388"/>
      <c r="JJG32" s="388"/>
      <c r="JJH32" s="388"/>
      <c r="JJI32" s="388"/>
      <c r="JJJ32" s="388"/>
      <c r="JJK32" s="388"/>
      <c r="JJL32" s="388"/>
      <c r="JJM32" s="388"/>
      <c r="JJN32" s="388"/>
      <c r="JJO32" s="388"/>
      <c r="JJP32" s="388"/>
      <c r="JJQ32" s="388"/>
      <c r="JJR32" s="388"/>
      <c r="JJS32" s="388"/>
      <c r="JJT32" s="388"/>
      <c r="JJU32" s="388"/>
      <c r="JJV32" s="388"/>
      <c r="JJW32" s="388"/>
      <c r="JJX32" s="388"/>
      <c r="JJY32" s="388"/>
      <c r="JJZ32" s="388"/>
      <c r="JKA32" s="388"/>
      <c r="JKB32" s="388"/>
      <c r="JKC32" s="388"/>
      <c r="JKD32" s="388"/>
      <c r="JKE32" s="388"/>
      <c r="JKF32" s="388"/>
      <c r="JKG32" s="388"/>
      <c r="JKH32" s="388"/>
      <c r="JKI32" s="388"/>
      <c r="JKJ32" s="388"/>
      <c r="JKK32" s="388"/>
      <c r="JKL32" s="388"/>
      <c r="JKM32" s="388"/>
      <c r="JKN32" s="388"/>
      <c r="JKO32" s="388"/>
      <c r="JKP32" s="388"/>
      <c r="JKQ32" s="388"/>
      <c r="JKR32" s="388"/>
      <c r="JKS32" s="388"/>
      <c r="JKT32" s="388"/>
      <c r="JKU32" s="388"/>
      <c r="JKV32" s="388"/>
      <c r="JKW32" s="388"/>
      <c r="JKX32" s="388"/>
      <c r="JKY32" s="388"/>
      <c r="JKZ32" s="388"/>
      <c r="JLA32" s="388"/>
      <c r="JLB32" s="388"/>
      <c r="JLC32" s="388"/>
      <c r="JLD32" s="388"/>
      <c r="JLE32" s="388"/>
      <c r="JLF32" s="388"/>
      <c r="JLG32" s="388"/>
      <c r="JLH32" s="388"/>
      <c r="JLI32" s="388"/>
      <c r="JLJ32" s="388"/>
      <c r="JLK32" s="388"/>
      <c r="JLL32" s="388"/>
      <c r="JLM32" s="388"/>
      <c r="JLN32" s="388"/>
      <c r="JLO32" s="388"/>
      <c r="JLP32" s="388"/>
      <c r="JLQ32" s="388"/>
      <c r="JLR32" s="388"/>
      <c r="JLS32" s="388"/>
      <c r="JLT32" s="388"/>
      <c r="JLU32" s="388"/>
      <c r="JLV32" s="388"/>
      <c r="JLW32" s="388"/>
      <c r="JLX32" s="388"/>
      <c r="JLY32" s="388"/>
      <c r="JLZ32" s="388"/>
      <c r="JMA32" s="388"/>
      <c r="JMB32" s="388"/>
      <c r="JMC32" s="388"/>
      <c r="JMD32" s="388"/>
      <c r="JME32" s="388"/>
      <c r="JMF32" s="388"/>
      <c r="JMG32" s="388"/>
      <c r="JMH32" s="388"/>
      <c r="JMI32" s="388"/>
      <c r="JMJ32" s="388"/>
      <c r="JMK32" s="388"/>
      <c r="JML32" s="388"/>
      <c r="JMM32" s="388"/>
      <c r="JMN32" s="388"/>
      <c r="JMO32" s="388"/>
      <c r="JMP32" s="388"/>
      <c r="JMQ32" s="388"/>
      <c r="JMR32" s="388"/>
      <c r="JMS32" s="388"/>
      <c r="JMT32" s="388"/>
      <c r="JMU32" s="388"/>
      <c r="JMV32" s="388"/>
      <c r="JMW32" s="388"/>
      <c r="JMX32" s="388"/>
      <c r="JMY32" s="388"/>
      <c r="JMZ32" s="388"/>
      <c r="JNA32" s="388"/>
      <c r="JNB32" s="388"/>
      <c r="JNC32" s="388"/>
      <c r="JND32" s="388"/>
      <c r="JNE32" s="388"/>
      <c r="JNF32" s="388"/>
      <c r="JNG32" s="388"/>
      <c r="JNH32" s="388"/>
      <c r="JNI32" s="388"/>
      <c r="JNJ32" s="388"/>
      <c r="JNK32" s="388"/>
      <c r="JNL32" s="388"/>
      <c r="JNM32" s="388"/>
      <c r="JNN32" s="388"/>
      <c r="JNO32" s="388"/>
      <c r="JNP32" s="388"/>
      <c r="JNQ32" s="388"/>
      <c r="JNR32" s="388"/>
      <c r="JNS32" s="388"/>
      <c r="JNT32" s="388"/>
      <c r="JNU32" s="388"/>
      <c r="JNV32" s="388"/>
      <c r="JNW32" s="388"/>
      <c r="JNX32" s="388"/>
      <c r="JNY32" s="388"/>
      <c r="JNZ32" s="388"/>
      <c r="JOA32" s="388"/>
      <c r="JOB32" s="388"/>
      <c r="JOC32" s="388"/>
      <c r="JOD32" s="388"/>
      <c r="JOE32" s="388"/>
      <c r="JOF32" s="388"/>
      <c r="JOG32" s="388"/>
      <c r="JOH32" s="388"/>
      <c r="JOI32" s="388"/>
      <c r="JOJ32" s="388"/>
      <c r="JOK32" s="388"/>
      <c r="JOL32" s="388"/>
      <c r="JOM32" s="388"/>
      <c r="JON32" s="388"/>
      <c r="JOO32" s="388"/>
      <c r="JOP32" s="388"/>
      <c r="JOQ32" s="388"/>
      <c r="JOR32" s="388"/>
      <c r="JOS32" s="388"/>
      <c r="JOT32" s="388"/>
      <c r="JOU32" s="388"/>
      <c r="JOV32" s="388"/>
      <c r="JOW32" s="388"/>
      <c r="JOX32" s="388"/>
      <c r="JOY32" s="388"/>
      <c r="JOZ32" s="388"/>
      <c r="JPA32" s="388"/>
      <c r="JPB32" s="388"/>
      <c r="JPC32" s="388"/>
      <c r="JPD32" s="388"/>
      <c r="JPE32" s="388"/>
      <c r="JPF32" s="388"/>
      <c r="JPG32" s="388"/>
      <c r="JPH32" s="388"/>
      <c r="JPI32" s="388"/>
      <c r="JPJ32" s="388"/>
      <c r="JPK32" s="388"/>
      <c r="JPL32" s="388"/>
      <c r="JPM32" s="388"/>
      <c r="JPN32" s="388"/>
      <c r="JPO32" s="388"/>
      <c r="JPP32" s="388"/>
      <c r="JPQ32" s="388"/>
      <c r="JPR32" s="388"/>
      <c r="JPS32" s="388"/>
      <c r="JPT32" s="388"/>
      <c r="JPU32" s="388"/>
      <c r="JPV32" s="388"/>
      <c r="JPW32" s="388"/>
      <c r="JPX32" s="388"/>
      <c r="JPY32" s="388"/>
      <c r="JPZ32" s="388"/>
      <c r="JQA32" s="388"/>
      <c r="JQB32" s="388"/>
      <c r="JQC32" s="388"/>
      <c r="JQD32" s="388"/>
      <c r="JQE32" s="388"/>
      <c r="JQF32" s="388"/>
      <c r="JQG32" s="388"/>
      <c r="JQH32" s="388"/>
      <c r="JQI32" s="388"/>
      <c r="JQJ32" s="388"/>
      <c r="JQK32" s="388"/>
      <c r="JQL32" s="388"/>
      <c r="JQM32" s="388"/>
      <c r="JQN32" s="388"/>
      <c r="JQO32" s="388"/>
      <c r="JQP32" s="388"/>
      <c r="JQQ32" s="388"/>
      <c r="JQR32" s="388"/>
      <c r="JQS32" s="388"/>
      <c r="JQT32" s="388"/>
      <c r="JQU32" s="388"/>
      <c r="JQV32" s="388"/>
      <c r="JQW32" s="388"/>
      <c r="JQX32" s="388"/>
      <c r="JQY32" s="388"/>
      <c r="JQZ32" s="388"/>
      <c r="JRA32" s="388"/>
      <c r="JRB32" s="388"/>
      <c r="JRC32" s="388"/>
      <c r="JRD32" s="388"/>
      <c r="JRE32" s="388"/>
      <c r="JRF32" s="388"/>
      <c r="JRG32" s="388"/>
      <c r="JRH32" s="388"/>
      <c r="JRI32" s="388"/>
      <c r="JRJ32" s="388"/>
      <c r="JRK32" s="388"/>
      <c r="JRL32" s="388"/>
      <c r="JRM32" s="388"/>
      <c r="JRN32" s="388"/>
      <c r="JRO32" s="388"/>
      <c r="JRP32" s="388"/>
      <c r="JRQ32" s="388"/>
      <c r="JRR32" s="388"/>
      <c r="JRS32" s="388"/>
      <c r="JRT32" s="388"/>
      <c r="JRU32" s="388"/>
      <c r="JRV32" s="388"/>
      <c r="JRW32" s="388"/>
      <c r="JRX32" s="388"/>
      <c r="JRY32" s="388"/>
      <c r="JRZ32" s="388"/>
      <c r="JSA32" s="388"/>
      <c r="JSB32" s="388"/>
      <c r="JSC32" s="388"/>
      <c r="JSD32" s="388"/>
      <c r="JSE32" s="388"/>
      <c r="JSF32" s="388"/>
      <c r="JSG32" s="388"/>
      <c r="JSH32" s="388"/>
      <c r="JSI32" s="388"/>
      <c r="JSJ32" s="388"/>
      <c r="JSK32" s="388"/>
      <c r="JSL32" s="388"/>
      <c r="JSM32" s="388"/>
      <c r="JSN32" s="388"/>
      <c r="JSO32" s="388"/>
      <c r="JSP32" s="388"/>
      <c r="JSQ32" s="388"/>
      <c r="JSR32" s="388"/>
      <c r="JSS32" s="388"/>
      <c r="JST32" s="388"/>
      <c r="JSU32" s="388"/>
      <c r="JSV32" s="388"/>
      <c r="JSW32" s="388"/>
      <c r="JSX32" s="388"/>
      <c r="JSY32" s="388"/>
      <c r="JSZ32" s="388"/>
      <c r="JTA32" s="388"/>
      <c r="JTB32" s="388"/>
      <c r="JTC32" s="388"/>
      <c r="JTD32" s="388"/>
      <c r="JTE32" s="388"/>
      <c r="JTF32" s="388"/>
      <c r="JTG32" s="388"/>
      <c r="JTH32" s="388"/>
      <c r="JTI32" s="388"/>
      <c r="JTJ32" s="388"/>
      <c r="JTK32" s="388"/>
      <c r="JTL32" s="388"/>
      <c r="JTM32" s="388"/>
      <c r="JTN32" s="388"/>
      <c r="JTO32" s="388"/>
      <c r="JTP32" s="388"/>
      <c r="JTQ32" s="388"/>
      <c r="JTR32" s="388"/>
      <c r="JTS32" s="388"/>
      <c r="JTT32" s="388"/>
      <c r="JTU32" s="388"/>
      <c r="JTV32" s="388"/>
      <c r="JTW32" s="388"/>
      <c r="JTX32" s="388"/>
      <c r="JTY32" s="388"/>
      <c r="JTZ32" s="388"/>
      <c r="JUA32" s="388"/>
      <c r="JUB32" s="388"/>
      <c r="JUC32" s="388"/>
      <c r="JUD32" s="388"/>
      <c r="JUE32" s="388"/>
      <c r="JUF32" s="388"/>
      <c r="JUG32" s="388"/>
      <c r="JUH32" s="388"/>
      <c r="JUI32" s="388"/>
      <c r="JUJ32" s="388"/>
      <c r="JUK32" s="388"/>
      <c r="JUL32" s="388"/>
      <c r="JUM32" s="388"/>
      <c r="JUN32" s="388"/>
      <c r="JUO32" s="388"/>
      <c r="JUP32" s="388"/>
      <c r="JUQ32" s="388"/>
      <c r="JUR32" s="388"/>
      <c r="JUS32" s="388"/>
      <c r="JUT32" s="388"/>
      <c r="JUU32" s="388"/>
      <c r="JUV32" s="388"/>
      <c r="JUW32" s="388"/>
      <c r="JUX32" s="388"/>
      <c r="JUY32" s="388"/>
      <c r="JUZ32" s="388"/>
      <c r="JVA32" s="388"/>
      <c r="JVB32" s="388"/>
      <c r="JVC32" s="388"/>
      <c r="JVD32" s="388"/>
      <c r="JVE32" s="388"/>
      <c r="JVF32" s="388"/>
      <c r="JVG32" s="388"/>
      <c r="JVH32" s="388"/>
      <c r="JVI32" s="388"/>
      <c r="JVJ32" s="388"/>
      <c r="JVK32" s="388"/>
      <c r="JVL32" s="388"/>
      <c r="JVM32" s="388"/>
      <c r="JVN32" s="388"/>
      <c r="JVO32" s="388"/>
      <c r="JVP32" s="388"/>
      <c r="JVQ32" s="388"/>
      <c r="JVR32" s="388"/>
      <c r="JVS32" s="388"/>
      <c r="JVT32" s="388"/>
      <c r="JVU32" s="388"/>
      <c r="JVV32" s="388"/>
      <c r="JVW32" s="388"/>
      <c r="JVX32" s="388"/>
      <c r="JVY32" s="388"/>
      <c r="JVZ32" s="388"/>
      <c r="JWA32" s="388"/>
      <c r="JWB32" s="388"/>
      <c r="JWC32" s="388"/>
      <c r="JWD32" s="388"/>
      <c r="JWE32" s="388"/>
      <c r="JWF32" s="388"/>
      <c r="JWG32" s="388"/>
      <c r="JWH32" s="388"/>
      <c r="JWI32" s="388"/>
      <c r="JWJ32" s="388"/>
      <c r="JWK32" s="388"/>
      <c r="JWL32" s="388"/>
      <c r="JWM32" s="388"/>
      <c r="JWN32" s="388"/>
      <c r="JWO32" s="388"/>
      <c r="JWP32" s="388"/>
      <c r="JWQ32" s="388"/>
      <c r="JWR32" s="388"/>
      <c r="JWS32" s="388"/>
      <c r="JWT32" s="388"/>
      <c r="JWU32" s="388"/>
      <c r="JWV32" s="388"/>
      <c r="JWW32" s="388"/>
      <c r="JWX32" s="388"/>
      <c r="JWY32" s="388"/>
      <c r="JWZ32" s="388"/>
      <c r="JXA32" s="388"/>
      <c r="JXB32" s="388"/>
      <c r="JXC32" s="388"/>
      <c r="JXD32" s="388"/>
      <c r="JXE32" s="388"/>
      <c r="JXF32" s="388"/>
      <c r="JXG32" s="388"/>
      <c r="JXH32" s="388"/>
      <c r="JXI32" s="388"/>
      <c r="JXJ32" s="388"/>
      <c r="JXK32" s="388"/>
      <c r="JXL32" s="388"/>
      <c r="JXM32" s="388"/>
      <c r="JXN32" s="388"/>
      <c r="JXO32" s="388"/>
      <c r="JXP32" s="388"/>
      <c r="JXQ32" s="388"/>
      <c r="JXR32" s="388"/>
      <c r="JXS32" s="388"/>
      <c r="JXT32" s="388"/>
      <c r="JXU32" s="388"/>
      <c r="JXV32" s="388"/>
      <c r="JXW32" s="388"/>
      <c r="JXX32" s="388"/>
      <c r="JXY32" s="388"/>
      <c r="JXZ32" s="388"/>
      <c r="JYA32" s="388"/>
      <c r="JYB32" s="388"/>
      <c r="JYC32" s="388"/>
      <c r="JYD32" s="388"/>
      <c r="JYE32" s="388"/>
      <c r="JYF32" s="388"/>
      <c r="JYG32" s="388"/>
      <c r="JYH32" s="388"/>
      <c r="JYI32" s="388"/>
      <c r="JYJ32" s="388"/>
      <c r="JYK32" s="388"/>
      <c r="JYL32" s="388"/>
      <c r="JYM32" s="388"/>
      <c r="JYN32" s="388"/>
      <c r="JYO32" s="388"/>
      <c r="JYP32" s="388"/>
      <c r="JYQ32" s="388"/>
      <c r="JYR32" s="388"/>
      <c r="JYS32" s="388"/>
      <c r="JYT32" s="388"/>
      <c r="JYU32" s="388"/>
      <c r="JYV32" s="388"/>
      <c r="JYW32" s="388"/>
      <c r="JYX32" s="388"/>
      <c r="JYY32" s="388"/>
      <c r="JYZ32" s="388"/>
      <c r="JZA32" s="388"/>
      <c r="JZB32" s="388"/>
      <c r="JZC32" s="388"/>
      <c r="JZD32" s="388"/>
      <c r="JZE32" s="388"/>
      <c r="JZF32" s="388"/>
      <c r="JZG32" s="388"/>
      <c r="JZH32" s="388"/>
      <c r="JZI32" s="388"/>
      <c r="JZJ32" s="388"/>
      <c r="JZK32" s="388"/>
      <c r="JZL32" s="388"/>
      <c r="JZM32" s="388"/>
      <c r="JZN32" s="388"/>
      <c r="JZO32" s="388"/>
      <c r="JZP32" s="388"/>
      <c r="JZQ32" s="388"/>
      <c r="JZR32" s="388"/>
      <c r="JZS32" s="388"/>
      <c r="JZT32" s="388"/>
      <c r="JZU32" s="388"/>
      <c r="JZV32" s="388"/>
      <c r="JZW32" s="388"/>
      <c r="JZX32" s="388"/>
      <c r="JZY32" s="388"/>
      <c r="JZZ32" s="388"/>
      <c r="KAA32" s="388"/>
      <c r="KAB32" s="388"/>
      <c r="KAC32" s="388"/>
      <c r="KAD32" s="388"/>
      <c r="KAE32" s="388"/>
      <c r="KAF32" s="388"/>
      <c r="KAG32" s="388"/>
      <c r="KAH32" s="388"/>
      <c r="KAI32" s="388"/>
      <c r="KAJ32" s="388"/>
      <c r="KAK32" s="388"/>
      <c r="KAL32" s="388"/>
      <c r="KAM32" s="388"/>
      <c r="KAN32" s="388"/>
      <c r="KAO32" s="388"/>
      <c r="KAP32" s="388"/>
      <c r="KAQ32" s="388"/>
      <c r="KAR32" s="388"/>
      <c r="KAS32" s="388"/>
      <c r="KAT32" s="388"/>
      <c r="KAU32" s="388"/>
      <c r="KAV32" s="388"/>
      <c r="KAW32" s="388"/>
      <c r="KAX32" s="388"/>
      <c r="KAY32" s="388"/>
      <c r="KAZ32" s="388"/>
      <c r="KBA32" s="388"/>
      <c r="KBB32" s="388"/>
      <c r="KBC32" s="388"/>
      <c r="KBD32" s="388"/>
      <c r="KBE32" s="388"/>
      <c r="KBF32" s="388"/>
      <c r="KBG32" s="388"/>
      <c r="KBH32" s="388"/>
      <c r="KBI32" s="388"/>
      <c r="KBJ32" s="388"/>
      <c r="KBK32" s="388"/>
      <c r="KBL32" s="388"/>
      <c r="KBM32" s="388"/>
      <c r="KBN32" s="388"/>
      <c r="KBO32" s="388"/>
      <c r="KBP32" s="388"/>
      <c r="KBQ32" s="388"/>
      <c r="KBR32" s="388"/>
      <c r="KBS32" s="388"/>
      <c r="KBT32" s="388"/>
      <c r="KBU32" s="388"/>
      <c r="KBV32" s="388"/>
      <c r="KBW32" s="388"/>
      <c r="KBX32" s="388"/>
      <c r="KBY32" s="388"/>
      <c r="KBZ32" s="388"/>
      <c r="KCA32" s="388"/>
      <c r="KCB32" s="388"/>
      <c r="KCC32" s="388"/>
      <c r="KCD32" s="388"/>
      <c r="KCE32" s="388"/>
      <c r="KCF32" s="388"/>
      <c r="KCG32" s="388"/>
      <c r="KCH32" s="388"/>
      <c r="KCI32" s="388"/>
      <c r="KCJ32" s="388"/>
      <c r="KCK32" s="388"/>
      <c r="KCL32" s="388"/>
      <c r="KCM32" s="388"/>
      <c r="KCN32" s="388"/>
      <c r="KCO32" s="388"/>
      <c r="KCP32" s="388"/>
      <c r="KCQ32" s="388"/>
      <c r="KCR32" s="388"/>
      <c r="KCS32" s="388"/>
      <c r="KCT32" s="388"/>
      <c r="KCU32" s="388"/>
      <c r="KCV32" s="388"/>
      <c r="KCW32" s="388"/>
      <c r="KCX32" s="388"/>
      <c r="KCY32" s="388"/>
      <c r="KCZ32" s="388"/>
      <c r="KDA32" s="388"/>
      <c r="KDB32" s="388"/>
      <c r="KDC32" s="388"/>
      <c r="KDD32" s="388"/>
      <c r="KDE32" s="388"/>
      <c r="KDF32" s="388"/>
      <c r="KDG32" s="388"/>
      <c r="KDH32" s="388"/>
      <c r="KDI32" s="388"/>
      <c r="KDJ32" s="388"/>
      <c r="KDK32" s="388"/>
      <c r="KDL32" s="388"/>
      <c r="KDM32" s="388"/>
      <c r="KDN32" s="388"/>
      <c r="KDO32" s="388"/>
      <c r="KDP32" s="388"/>
      <c r="KDQ32" s="388"/>
      <c r="KDR32" s="388"/>
      <c r="KDS32" s="388"/>
      <c r="KDT32" s="388"/>
      <c r="KDU32" s="388"/>
      <c r="KDV32" s="388"/>
      <c r="KDW32" s="388"/>
      <c r="KDX32" s="388"/>
      <c r="KDY32" s="388"/>
      <c r="KDZ32" s="388"/>
      <c r="KEA32" s="388"/>
      <c r="KEB32" s="388"/>
      <c r="KEC32" s="388"/>
      <c r="KED32" s="388"/>
      <c r="KEE32" s="388"/>
      <c r="KEF32" s="388"/>
      <c r="KEG32" s="388"/>
      <c r="KEH32" s="388"/>
      <c r="KEI32" s="388"/>
      <c r="KEJ32" s="388"/>
      <c r="KEK32" s="388"/>
      <c r="KEL32" s="388"/>
      <c r="KEM32" s="388"/>
      <c r="KEN32" s="388"/>
      <c r="KEO32" s="388"/>
      <c r="KEP32" s="388"/>
      <c r="KEQ32" s="388"/>
      <c r="KER32" s="388"/>
      <c r="KES32" s="388"/>
      <c r="KET32" s="388"/>
      <c r="KEU32" s="388"/>
      <c r="KEV32" s="388"/>
      <c r="KEW32" s="388"/>
      <c r="KEX32" s="388"/>
      <c r="KEY32" s="388"/>
      <c r="KEZ32" s="388"/>
      <c r="KFA32" s="388"/>
      <c r="KFB32" s="388"/>
      <c r="KFC32" s="388"/>
      <c r="KFD32" s="388"/>
      <c r="KFE32" s="388"/>
      <c r="KFF32" s="388"/>
      <c r="KFG32" s="388"/>
      <c r="KFH32" s="388"/>
      <c r="KFI32" s="388"/>
      <c r="KFJ32" s="388"/>
      <c r="KFK32" s="388"/>
      <c r="KFL32" s="388"/>
      <c r="KFM32" s="388"/>
      <c r="KFN32" s="388"/>
      <c r="KFO32" s="388"/>
      <c r="KFP32" s="388"/>
      <c r="KFQ32" s="388"/>
      <c r="KFR32" s="388"/>
      <c r="KFS32" s="388"/>
      <c r="KFT32" s="388"/>
      <c r="KFU32" s="388"/>
      <c r="KFV32" s="388"/>
      <c r="KFW32" s="388"/>
      <c r="KFX32" s="388"/>
      <c r="KFY32" s="388"/>
      <c r="KFZ32" s="388"/>
      <c r="KGA32" s="388"/>
      <c r="KGB32" s="388"/>
      <c r="KGC32" s="388"/>
      <c r="KGD32" s="388"/>
      <c r="KGE32" s="388"/>
      <c r="KGF32" s="388"/>
      <c r="KGG32" s="388"/>
      <c r="KGH32" s="388"/>
      <c r="KGI32" s="388"/>
      <c r="KGJ32" s="388"/>
      <c r="KGK32" s="388"/>
      <c r="KGL32" s="388"/>
      <c r="KGM32" s="388"/>
      <c r="KGN32" s="388"/>
      <c r="KGO32" s="388"/>
      <c r="KGP32" s="388"/>
      <c r="KGQ32" s="388"/>
      <c r="KGR32" s="388"/>
      <c r="KGS32" s="388"/>
      <c r="KGT32" s="388"/>
      <c r="KGU32" s="388"/>
      <c r="KGV32" s="388"/>
      <c r="KGW32" s="388"/>
      <c r="KGX32" s="388"/>
      <c r="KGY32" s="388"/>
      <c r="KGZ32" s="388"/>
      <c r="KHA32" s="388"/>
      <c r="KHB32" s="388"/>
      <c r="KHC32" s="388"/>
      <c r="KHD32" s="388"/>
      <c r="KHE32" s="388"/>
      <c r="KHF32" s="388"/>
      <c r="KHG32" s="388"/>
      <c r="KHH32" s="388"/>
      <c r="KHI32" s="388"/>
      <c r="KHJ32" s="388"/>
      <c r="KHK32" s="388"/>
      <c r="KHL32" s="388"/>
      <c r="KHM32" s="388"/>
      <c r="KHN32" s="388"/>
      <c r="KHO32" s="388"/>
      <c r="KHP32" s="388"/>
      <c r="KHQ32" s="388"/>
      <c r="KHR32" s="388"/>
      <c r="KHS32" s="388"/>
      <c r="KHT32" s="388"/>
      <c r="KHU32" s="388"/>
      <c r="KHV32" s="388"/>
      <c r="KHW32" s="388"/>
      <c r="KHX32" s="388"/>
      <c r="KHY32" s="388"/>
      <c r="KHZ32" s="388"/>
      <c r="KIA32" s="388"/>
      <c r="KIB32" s="388"/>
      <c r="KIC32" s="388"/>
      <c r="KID32" s="388"/>
      <c r="KIE32" s="388"/>
      <c r="KIF32" s="388"/>
      <c r="KIG32" s="388"/>
      <c r="KIH32" s="388"/>
      <c r="KII32" s="388"/>
      <c r="KIJ32" s="388"/>
      <c r="KIK32" s="388"/>
      <c r="KIL32" s="388"/>
      <c r="KIM32" s="388"/>
      <c r="KIN32" s="388"/>
      <c r="KIO32" s="388"/>
      <c r="KIP32" s="388"/>
      <c r="KIQ32" s="388"/>
      <c r="KIR32" s="388"/>
      <c r="KIS32" s="388"/>
      <c r="KIT32" s="388"/>
      <c r="KIU32" s="388"/>
      <c r="KIV32" s="388"/>
      <c r="KIW32" s="388"/>
      <c r="KIX32" s="388"/>
      <c r="KIY32" s="388"/>
      <c r="KIZ32" s="388"/>
      <c r="KJA32" s="388"/>
      <c r="KJB32" s="388"/>
      <c r="KJC32" s="388"/>
      <c r="KJD32" s="388"/>
      <c r="KJE32" s="388"/>
      <c r="KJF32" s="388"/>
      <c r="KJG32" s="388"/>
      <c r="KJH32" s="388"/>
      <c r="KJI32" s="388"/>
      <c r="KJJ32" s="388"/>
      <c r="KJK32" s="388"/>
      <c r="KJL32" s="388"/>
      <c r="KJM32" s="388"/>
      <c r="KJN32" s="388"/>
      <c r="KJO32" s="388"/>
      <c r="KJP32" s="388"/>
      <c r="KJQ32" s="388"/>
      <c r="KJR32" s="388"/>
      <c r="KJS32" s="388"/>
      <c r="KJT32" s="388"/>
      <c r="KJU32" s="388"/>
      <c r="KJV32" s="388"/>
      <c r="KJW32" s="388"/>
      <c r="KJX32" s="388"/>
      <c r="KJY32" s="388"/>
      <c r="KJZ32" s="388"/>
      <c r="KKA32" s="388"/>
      <c r="KKB32" s="388"/>
      <c r="KKC32" s="388"/>
      <c r="KKD32" s="388"/>
      <c r="KKE32" s="388"/>
      <c r="KKF32" s="388"/>
      <c r="KKG32" s="388"/>
      <c r="KKH32" s="388"/>
      <c r="KKI32" s="388"/>
      <c r="KKJ32" s="388"/>
      <c r="KKK32" s="388"/>
      <c r="KKL32" s="388"/>
      <c r="KKM32" s="388"/>
      <c r="KKN32" s="388"/>
      <c r="KKO32" s="388"/>
      <c r="KKP32" s="388"/>
      <c r="KKQ32" s="388"/>
      <c r="KKR32" s="388"/>
      <c r="KKS32" s="388"/>
      <c r="KKT32" s="388"/>
      <c r="KKU32" s="388"/>
      <c r="KKV32" s="388"/>
      <c r="KKW32" s="388"/>
      <c r="KKX32" s="388"/>
      <c r="KKY32" s="388"/>
      <c r="KKZ32" s="388"/>
      <c r="KLA32" s="388"/>
      <c r="KLB32" s="388"/>
      <c r="KLC32" s="388"/>
      <c r="KLD32" s="388"/>
      <c r="KLE32" s="388"/>
      <c r="KLF32" s="388"/>
      <c r="KLG32" s="388"/>
      <c r="KLH32" s="388"/>
      <c r="KLI32" s="388"/>
      <c r="KLJ32" s="388"/>
      <c r="KLK32" s="388"/>
      <c r="KLL32" s="388"/>
      <c r="KLM32" s="388"/>
      <c r="KLN32" s="388"/>
      <c r="KLO32" s="388"/>
      <c r="KLP32" s="388"/>
      <c r="KLQ32" s="388"/>
      <c r="KLR32" s="388"/>
      <c r="KLS32" s="388"/>
      <c r="KLT32" s="388"/>
      <c r="KLU32" s="388"/>
      <c r="KLV32" s="388"/>
      <c r="KLW32" s="388"/>
      <c r="KLX32" s="388"/>
      <c r="KLY32" s="388"/>
      <c r="KLZ32" s="388"/>
      <c r="KMA32" s="388"/>
      <c r="KMB32" s="388"/>
      <c r="KMC32" s="388"/>
      <c r="KMD32" s="388"/>
      <c r="KME32" s="388"/>
      <c r="KMF32" s="388"/>
      <c r="KMG32" s="388"/>
      <c r="KMH32" s="388"/>
      <c r="KMI32" s="388"/>
      <c r="KMJ32" s="388"/>
      <c r="KMK32" s="388"/>
      <c r="KML32" s="388"/>
      <c r="KMM32" s="388"/>
      <c r="KMN32" s="388"/>
      <c r="KMO32" s="388"/>
      <c r="KMP32" s="388"/>
      <c r="KMQ32" s="388"/>
      <c r="KMR32" s="388"/>
      <c r="KMS32" s="388"/>
      <c r="KMT32" s="388"/>
      <c r="KMU32" s="388"/>
      <c r="KMV32" s="388"/>
      <c r="KMW32" s="388"/>
      <c r="KMX32" s="388"/>
      <c r="KMY32" s="388"/>
      <c r="KMZ32" s="388"/>
      <c r="KNA32" s="388"/>
      <c r="KNB32" s="388"/>
      <c r="KNC32" s="388"/>
      <c r="KND32" s="388"/>
      <c r="KNE32" s="388"/>
      <c r="KNF32" s="388"/>
      <c r="KNG32" s="388"/>
      <c r="KNH32" s="388"/>
      <c r="KNI32" s="388"/>
      <c r="KNJ32" s="388"/>
      <c r="KNK32" s="388"/>
      <c r="KNL32" s="388"/>
      <c r="KNM32" s="388"/>
      <c r="KNN32" s="388"/>
      <c r="KNO32" s="388"/>
      <c r="KNP32" s="388"/>
      <c r="KNQ32" s="388"/>
      <c r="KNR32" s="388"/>
      <c r="KNS32" s="388"/>
      <c r="KNT32" s="388"/>
      <c r="KNU32" s="388"/>
      <c r="KNV32" s="388"/>
      <c r="KNW32" s="388"/>
      <c r="KNX32" s="388"/>
      <c r="KNY32" s="388"/>
      <c r="KNZ32" s="388"/>
      <c r="KOA32" s="388"/>
      <c r="KOB32" s="388"/>
      <c r="KOC32" s="388"/>
      <c r="KOD32" s="388"/>
      <c r="KOE32" s="388"/>
      <c r="KOF32" s="388"/>
      <c r="KOG32" s="388"/>
      <c r="KOH32" s="388"/>
      <c r="KOI32" s="388"/>
      <c r="KOJ32" s="388"/>
      <c r="KOK32" s="388"/>
      <c r="KOL32" s="388"/>
      <c r="KOM32" s="388"/>
      <c r="KON32" s="388"/>
      <c r="KOO32" s="388"/>
      <c r="KOP32" s="388"/>
      <c r="KOQ32" s="388"/>
      <c r="KOR32" s="388"/>
      <c r="KOS32" s="388"/>
      <c r="KOT32" s="388"/>
      <c r="KOU32" s="388"/>
      <c r="KOV32" s="388"/>
      <c r="KOW32" s="388"/>
      <c r="KOX32" s="388"/>
      <c r="KOY32" s="388"/>
      <c r="KOZ32" s="388"/>
      <c r="KPA32" s="388"/>
      <c r="KPB32" s="388"/>
      <c r="KPC32" s="388"/>
      <c r="KPD32" s="388"/>
      <c r="KPE32" s="388"/>
      <c r="KPF32" s="388"/>
      <c r="KPG32" s="388"/>
      <c r="KPH32" s="388"/>
      <c r="KPI32" s="388"/>
      <c r="KPJ32" s="388"/>
      <c r="KPK32" s="388"/>
      <c r="KPL32" s="388"/>
      <c r="KPM32" s="388"/>
      <c r="KPN32" s="388"/>
      <c r="KPO32" s="388"/>
      <c r="KPP32" s="388"/>
      <c r="KPQ32" s="388"/>
      <c r="KPR32" s="388"/>
      <c r="KPS32" s="388"/>
      <c r="KPT32" s="388"/>
      <c r="KPU32" s="388"/>
      <c r="KPV32" s="388"/>
      <c r="KPW32" s="388"/>
      <c r="KPX32" s="388"/>
      <c r="KPY32" s="388"/>
      <c r="KPZ32" s="388"/>
      <c r="KQA32" s="388"/>
      <c r="KQB32" s="388"/>
      <c r="KQC32" s="388"/>
      <c r="KQD32" s="388"/>
      <c r="KQE32" s="388"/>
      <c r="KQF32" s="388"/>
      <c r="KQG32" s="388"/>
      <c r="KQH32" s="388"/>
      <c r="KQI32" s="388"/>
      <c r="KQJ32" s="388"/>
      <c r="KQK32" s="388"/>
      <c r="KQL32" s="388"/>
      <c r="KQM32" s="388"/>
      <c r="KQN32" s="388"/>
      <c r="KQO32" s="388"/>
      <c r="KQP32" s="388"/>
      <c r="KQQ32" s="388"/>
      <c r="KQR32" s="388"/>
      <c r="KQS32" s="388"/>
      <c r="KQT32" s="388"/>
      <c r="KQU32" s="388"/>
      <c r="KQV32" s="388"/>
      <c r="KQW32" s="388"/>
      <c r="KQX32" s="388"/>
      <c r="KQY32" s="388"/>
      <c r="KQZ32" s="388"/>
      <c r="KRA32" s="388"/>
      <c r="KRB32" s="388"/>
      <c r="KRC32" s="388"/>
      <c r="KRD32" s="388"/>
      <c r="KRE32" s="388"/>
      <c r="KRF32" s="388"/>
      <c r="KRG32" s="388"/>
      <c r="KRH32" s="388"/>
      <c r="KRI32" s="388"/>
      <c r="KRJ32" s="388"/>
      <c r="KRK32" s="388"/>
      <c r="KRL32" s="388"/>
      <c r="KRM32" s="388"/>
      <c r="KRN32" s="388"/>
      <c r="KRO32" s="388"/>
      <c r="KRP32" s="388"/>
      <c r="KRQ32" s="388"/>
      <c r="KRR32" s="388"/>
      <c r="KRS32" s="388"/>
      <c r="KRT32" s="388"/>
      <c r="KRU32" s="388"/>
      <c r="KRV32" s="388"/>
      <c r="KRW32" s="388"/>
      <c r="KRX32" s="388"/>
      <c r="KRY32" s="388"/>
      <c r="KRZ32" s="388"/>
      <c r="KSA32" s="388"/>
      <c r="KSB32" s="388"/>
      <c r="KSC32" s="388"/>
      <c r="KSD32" s="388"/>
      <c r="KSE32" s="388"/>
      <c r="KSF32" s="388"/>
      <c r="KSG32" s="388"/>
      <c r="KSH32" s="388"/>
      <c r="KSI32" s="388"/>
      <c r="KSJ32" s="388"/>
      <c r="KSK32" s="388"/>
      <c r="KSL32" s="388"/>
      <c r="KSM32" s="388"/>
      <c r="KSN32" s="388"/>
      <c r="KSO32" s="388"/>
      <c r="KSP32" s="388"/>
      <c r="KSQ32" s="388"/>
      <c r="KSR32" s="388"/>
      <c r="KSS32" s="388"/>
      <c r="KST32" s="388"/>
      <c r="KSU32" s="388"/>
      <c r="KSV32" s="388"/>
      <c r="KSW32" s="388"/>
      <c r="KSX32" s="388"/>
      <c r="KSY32" s="388"/>
      <c r="KSZ32" s="388"/>
      <c r="KTA32" s="388"/>
      <c r="KTB32" s="388"/>
      <c r="KTC32" s="388"/>
      <c r="KTD32" s="388"/>
      <c r="KTE32" s="388"/>
      <c r="KTF32" s="388"/>
      <c r="KTG32" s="388"/>
      <c r="KTH32" s="388"/>
      <c r="KTI32" s="388"/>
      <c r="KTJ32" s="388"/>
      <c r="KTK32" s="388"/>
      <c r="KTL32" s="388"/>
      <c r="KTM32" s="388"/>
      <c r="KTN32" s="388"/>
      <c r="KTO32" s="388"/>
      <c r="KTP32" s="388"/>
      <c r="KTQ32" s="388"/>
      <c r="KTR32" s="388"/>
      <c r="KTS32" s="388"/>
      <c r="KTT32" s="388"/>
      <c r="KTU32" s="388"/>
      <c r="KTV32" s="388"/>
      <c r="KTW32" s="388"/>
      <c r="KTX32" s="388"/>
      <c r="KTY32" s="388"/>
      <c r="KTZ32" s="388"/>
      <c r="KUA32" s="388"/>
      <c r="KUB32" s="388"/>
      <c r="KUC32" s="388"/>
      <c r="KUD32" s="388"/>
      <c r="KUE32" s="388"/>
      <c r="KUF32" s="388"/>
      <c r="KUG32" s="388"/>
      <c r="KUH32" s="388"/>
      <c r="KUI32" s="388"/>
      <c r="KUJ32" s="388"/>
      <c r="KUK32" s="388"/>
      <c r="KUL32" s="388"/>
      <c r="KUM32" s="388"/>
      <c r="KUN32" s="388"/>
      <c r="KUO32" s="388"/>
      <c r="KUP32" s="388"/>
      <c r="KUQ32" s="388"/>
      <c r="KUR32" s="388"/>
      <c r="KUS32" s="388"/>
      <c r="KUT32" s="388"/>
      <c r="KUU32" s="388"/>
      <c r="KUV32" s="388"/>
      <c r="KUW32" s="388"/>
      <c r="KUX32" s="388"/>
      <c r="KUY32" s="388"/>
      <c r="KUZ32" s="388"/>
      <c r="KVA32" s="388"/>
      <c r="KVB32" s="388"/>
      <c r="KVC32" s="388"/>
      <c r="KVD32" s="388"/>
      <c r="KVE32" s="388"/>
      <c r="KVF32" s="388"/>
      <c r="KVG32" s="388"/>
      <c r="KVH32" s="388"/>
      <c r="KVI32" s="388"/>
      <c r="KVJ32" s="388"/>
      <c r="KVK32" s="388"/>
      <c r="KVL32" s="388"/>
      <c r="KVM32" s="388"/>
      <c r="KVN32" s="388"/>
      <c r="KVO32" s="388"/>
      <c r="KVP32" s="388"/>
      <c r="KVQ32" s="388"/>
      <c r="KVR32" s="388"/>
      <c r="KVS32" s="388"/>
      <c r="KVT32" s="388"/>
      <c r="KVU32" s="388"/>
      <c r="KVV32" s="388"/>
      <c r="KVW32" s="388"/>
      <c r="KVX32" s="388"/>
      <c r="KVY32" s="388"/>
      <c r="KVZ32" s="388"/>
      <c r="KWA32" s="388"/>
      <c r="KWB32" s="388"/>
      <c r="KWC32" s="388"/>
      <c r="KWD32" s="388"/>
      <c r="KWE32" s="388"/>
      <c r="KWF32" s="388"/>
      <c r="KWG32" s="388"/>
      <c r="KWH32" s="388"/>
      <c r="KWI32" s="388"/>
      <c r="KWJ32" s="388"/>
      <c r="KWK32" s="388"/>
      <c r="KWL32" s="388"/>
      <c r="KWM32" s="388"/>
      <c r="KWN32" s="388"/>
      <c r="KWO32" s="388"/>
      <c r="KWP32" s="388"/>
      <c r="KWQ32" s="388"/>
      <c r="KWR32" s="388"/>
      <c r="KWS32" s="388"/>
      <c r="KWT32" s="388"/>
      <c r="KWU32" s="388"/>
      <c r="KWV32" s="388"/>
      <c r="KWW32" s="388"/>
      <c r="KWX32" s="388"/>
      <c r="KWY32" s="388"/>
      <c r="KWZ32" s="388"/>
      <c r="KXA32" s="388"/>
      <c r="KXB32" s="388"/>
      <c r="KXC32" s="388"/>
      <c r="KXD32" s="388"/>
      <c r="KXE32" s="388"/>
      <c r="KXF32" s="388"/>
      <c r="KXG32" s="388"/>
      <c r="KXH32" s="388"/>
      <c r="KXI32" s="388"/>
      <c r="KXJ32" s="388"/>
      <c r="KXK32" s="388"/>
      <c r="KXL32" s="388"/>
      <c r="KXM32" s="388"/>
      <c r="KXN32" s="388"/>
      <c r="KXO32" s="388"/>
      <c r="KXP32" s="388"/>
      <c r="KXQ32" s="388"/>
      <c r="KXR32" s="388"/>
      <c r="KXS32" s="388"/>
      <c r="KXT32" s="388"/>
      <c r="KXU32" s="388"/>
      <c r="KXV32" s="388"/>
      <c r="KXW32" s="388"/>
      <c r="KXX32" s="388"/>
      <c r="KXY32" s="388"/>
      <c r="KXZ32" s="388"/>
      <c r="KYA32" s="388"/>
      <c r="KYB32" s="388"/>
      <c r="KYC32" s="388"/>
      <c r="KYD32" s="388"/>
      <c r="KYE32" s="388"/>
      <c r="KYF32" s="388"/>
      <c r="KYG32" s="388"/>
      <c r="KYH32" s="388"/>
      <c r="KYI32" s="388"/>
      <c r="KYJ32" s="388"/>
      <c r="KYK32" s="388"/>
      <c r="KYL32" s="388"/>
      <c r="KYM32" s="388"/>
      <c r="KYN32" s="388"/>
      <c r="KYO32" s="388"/>
      <c r="KYP32" s="388"/>
      <c r="KYQ32" s="388"/>
      <c r="KYR32" s="388"/>
      <c r="KYS32" s="388"/>
      <c r="KYT32" s="388"/>
      <c r="KYU32" s="388"/>
      <c r="KYV32" s="388"/>
      <c r="KYW32" s="388"/>
      <c r="KYX32" s="388"/>
      <c r="KYY32" s="388"/>
      <c r="KYZ32" s="388"/>
      <c r="KZA32" s="388"/>
      <c r="KZB32" s="388"/>
      <c r="KZC32" s="388"/>
      <c r="KZD32" s="388"/>
      <c r="KZE32" s="388"/>
      <c r="KZF32" s="388"/>
      <c r="KZG32" s="388"/>
      <c r="KZH32" s="388"/>
      <c r="KZI32" s="388"/>
      <c r="KZJ32" s="388"/>
      <c r="KZK32" s="388"/>
      <c r="KZL32" s="388"/>
      <c r="KZM32" s="388"/>
      <c r="KZN32" s="388"/>
      <c r="KZO32" s="388"/>
      <c r="KZP32" s="388"/>
      <c r="KZQ32" s="388"/>
      <c r="KZR32" s="388"/>
      <c r="KZS32" s="388"/>
      <c r="KZT32" s="388"/>
      <c r="KZU32" s="388"/>
      <c r="KZV32" s="388"/>
      <c r="KZW32" s="388"/>
      <c r="KZX32" s="388"/>
      <c r="KZY32" s="388"/>
      <c r="KZZ32" s="388"/>
      <c r="LAA32" s="388"/>
      <c r="LAB32" s="388"/>
      <c r="LAC32" s="388"/>
      <c r="LAD32" s="388"/>
      <c r="LAE32" s="388"/>
      <c r="LAF32" s="388"/>
      <c r="LAG32" s="388"/>
      <c r="LAH32" s="388"/>
      <c r="LAI32" s="388"/>
      <c r="LAJ32" s="388"/>
      <c r="LAK32" s="388"/>
      <c r="LAL32" s="388"/>
      <c r="LAM32" s="388"/>
      <c r="LAN32" s="388"/>
      <c r="LAO32" s="388"/>
      <c r="LAP32" s="388"/>
      <c r="LAQ32" s="388"/>
      <c r="LAR32" s="388"/>
      <c r="LAS32" s="388"/>
      <c r="LAT32" s="388"/>
      <c r="LAU32" s="388"/>
      <c r="LAV32" s="388"/>
      <c r="LAW32" s="388"/>
      <c r="LAX32" s="388"/>
      <c r="LAY32" s="388"/>
      <c r="LAZ32" s="388"/>
      <c r="LBA32" s="388"/>
      <c r="LBB32" s="388"/>
      <c r="LBC32" s="388"/>
      <c r="LBD32" s="388"/>
      <c r="LBE32" s="388"/>
      <c r="LBF32" s="388"/>
      <c r="LBG32" s="388"/>
      <c r="LBH32" s="388"/>
      <c r="LBI32" s="388"/>
      <c r="LBJ32" s="388"/>
      <c r="LBK32" s="388"/>
      <c r="LBL32" s="388"/>
      <c r="LBM32" s="388"/>
      <c r="LBN32" s="388"/>
      <c r="LBO32" s="388"/>
      <c r="LBP32" s="388"/>
      <c r="LBQ32" s="388"/>
      <c r="LBR32" s="388"/>
      <c r="LBS32" s="388"/>
      <c r="LBT32" s="388"/>
      <c r="LBU32" s="388"/>
      <c r="LBV32" s="388"/>
      <c r="LBW32" s="388"/>
      <c r="LBX32" s="388"/>
      <c r="LBY32" s="388"/>
      <c r="LBZ32" s="388"/>
      <c r="LCA32" s="388"/>
      <c r="LCB32" s="388"/>
      <c r="LCC32" s="388"/>
      <c r="LCD32" s="388"/>
      <c r="LCE32" s="388"/>
      <c r="LCF32" s="388"/>
      <c r="LCG32" s="388"/>
      <c r="LCH32" s="388"/>
      <c r="LCI32" s="388"/>
      <c r="LCJ32" s="388"/>
      <c r="LCK32" s="388"/>
      <c r="LCL32" s="388"/>
      <c r="LCM32" s="388"/>
      <c r="LCN32" s="388"/>
      <c r="LCO32" s="388"/>
      <c r="LCP32" s="388"/>
      <c r="LCQ32" s="388"/>
      <c r="LCR32" s="388"/>
      <c r="LCS32" s="388"/>
      <c r="LCT32" s="388"/>
      <c r="LCU32" s="388"/>
      <c r="LCV32" s="388"/>
      <c r="LCW32" s="388"/>
      <c r="LCX32" s="388"/>
      <c r="LCY32" s="388"/>
      <c r="LCZ32" s="388"/>
      <c r="LDA32" s="388"/>
      <c r="LDB32" s="388"/>
      <c r="LDC32" s="388"/>
      <c r="LDD32" s="388"/>
      <c r="LDE32" s="388"/>
      <c r="LDF32" s="388"/>
      <c r="LDG32" s="388"/>
      <c r="LDH32" s="388"/>
      <c r="LDI32" s="388"/>
      <c r="LDJ32" s="388"/>
      <c r="LDK32" s="388"/>
      <c r="LDL32" s="388"/>
      <c r="LDM32" s="388"/>
      <c r="LDN32" s="388"/>
      <c r="LDO32" s="388"/>
      <c r="LDP32" s="388"/>
      <c r="LDQ32" s="388"/>
      <c r="LDR32" s="388"/>
      <c r="LDS32" s="388"/>
      <c r="LDT32" s="388"/>
      <c r="LDU32" s="388"/>
      <c r="LDV32" s="388"/>
      <c r="LDW32" s="388"/>
      <c r="LDX32" s="388"/>
      <c r="LDY32" s="388"/>
      <c r="LDZ32" s="388"/>
      <c r="LEA32" s="388"/>
      <c r="LEB32" s="388"/>
      <c r="LEC32" s="388"/>
      <c r="LED32" s="388"/>
      <c r="LEE32" s="388"/>
      <c r="LEF32" s="388"/>
      <c r="LEG32" s="388"/>
      <c r="LEH32" s="388"/>
      <c r="LEI32" s="388"/>
      <c r="LEJ32" s="388"/>
      <c r="LEK32" s="388"/>
      <c r="LEL32" s="388"/>
      <c r="LEM32" s="388"/>
      <c r="LEN32" s="388"/>
      <c r="LEO32" s="388"/>
      <c r="LEP32" s="388"/>
      <c r="LEQ32" s="388"/>
      <c r="LER32" s="388"/>
      <c r="LES32" s="388"/>
      <c r="LET32" s="388"/>
      <c r="LEU32" s="388"/>
      <c r="LEV32" s="388"/>
      <c r="LEW32" s="388"/>
      <c r="LEX32" s="388"/>
      <c r="LEY32" s="388"/>
      <c r="LEZ32" s="388"/>
      <c r="LFA32" s="388"/>
      <c r="LFB32" s="388"/>
      <c r="LFC32" s="388"/>
      <c r="LFD32" s="388"/>
      <c r="LFE32" s="388"/>
      <c r="LFF32" s="388"/>
      <c r="LFG32" s="388"/>
      <c r="LFH32" s="388"/>
      <c r="LFI32" s="388"/>
      <c r="LFJ32" s="388"/>
      <c r="LFK32" s="388"/>
      <c r="LFL32" s="388"/>
      <c r="LFM32" s="388"/>
      <c r="LFN32" s="388"/>
      <c r="LFO32" s="388"/>
      <c r="LFP32" s="388"/>
      <c r="LFQ32" s="388"/>
      <c r="LFR32" s="388"/>
      <c r="LFS32" s="388"/>
      <c r="LFT32" s="388"/>
      <c r="LFU32" s="388"/>
      <c r="LFV32" s="388"/>
      <c r="LFW32" s="388"/>
      <c r="LFX32" s="388"/>
      <c r="LFY32" s="388"/>
      <c r="LFZ32" s="388"/>
      <c r="LGA32" s="388"/>
      <c r="LGB32" s="388"/>
      <c r="LGC32" s="388"/>
      <c r="LGD32" s="388"/>
      <c r="LGE32" s="388"/>
      <c r="LGF32" s="388"/>
      <c r="LGG32" s="388"/>
      <c r="LGH32" s="388"/>
      <c r="LGI32" s="388"/>
      <c r="LGJ32" s="388"/>
      <c r="LGK32" s="388"/>
      <c r="LGL32" s="388"/>
      <c r="LGM32" s="388"/>
      <c r="LGN32" s="388"/>
      <c r="LGO32" s="388"/>
      <c r="LGP32" s="388"/>
      <c r="LGQ32" s="388"/>
      <c r="LGR32" s="388"/>
      <c r="LGS32" s="388"/>
      <c r="LGT32" s="388"/>
      <c r="LGU32" s="388"/>
      <c r="LGV32" s="388"/>
      <c r="LGW32" s="388"/>
      <c r="LGX32" s="388"/>
      <c r="LGY32" s="388"/>
      <c r="LGZ32" s="388"/>
      <c r="LHA32" s="388"/>
      <c r="LHB32" s="388"/>
      <c r="LHC32" s="388"/>
      <c r="LHD32" s="388"/>
      <c r="LHE32" s="388"/>
      <c r="LHF32" s="388"/>
      <c r="LHG32" s="388"/>
      <c r="LHH32" s="388"/>
      <c r="LHI32" s="388"/>
      <c r="LHJ32" s="388"/>
      <c r="LHK32" s="388"/>
      <c r="LHL32" s="388"/>
      <c r="LHM32" s="388"/>
      <c r="LHN32" s="388"/>
      <c r="LHO32" s="388"/>
      <c r="LHP32" s="388"/>
      <c r="LHQ32" s="388"/>
      <c r="LHR32" s="388"/>
      <c r="LHS32" s="388"/>
      <c r="LHT32" s="388"/>
      <c r="LHU32" s="388"/>
      <c r="LHV32" s="388"/>
      <c r="LHW32" s="388"/>
      <c r="LHX32" s="388"/>
      <c r="LHY32" s="388"/>
      <c r="LHZ32" s="388"/>
      <c r="LIA32" s="388"/>
      <c r="LIB32" s="388"/>
      <c r="LIC32" s="388"/>
      <c r="LID32" s="388"/>
      <c r="LIE32" s="388"/>
      <c r="LIF32" s="388"/>
      <c r="LIG32" s="388"/>
      <c r="LIH32" s="388"/>
      <c r="LII32" s="388"/>
      <c r="LIJ32" s="388"/>
      <c r="LIK32" s="388"/>
      <c r="LIL32" s="388"/>
      <c r="LIM32" s="388"/>
      <c r="LIN32" s="388"/>
      <c r="LIO32" s="388"/>
      <c r="LIP32" s="388"/>
      <c r="LIQ32" s="388"/>
      <c r="LIR32" s="388"/>
      <c r="LIS32" s="388"/>
      <c r="LIT32" s="388"/>
      <c r="LIU32" s="388"/>
      <c r="LIV32" s="388"/>
      <c r="LIW32" s="388"/>
      <c r="LIX32" s="388"/>
      <c r="LIY32" s="388"/>
      <c r="LIZ32" s="388"/>
      <c r="LJA32" s="388"/>
      <c r="LJB32" s="388"/>
      <c r="LJC32" s="388"/>
      <c r="LJD32" s="388"/>
      <c r="LJE32" s="388"/>
      <c r="LJF32" s="388"/>
      <c r="LJG32" s="388"/>
      <c r="LJH32" s="388"/>
      <c r="LJI32" s="388"/>
      <c r="LJJ32" s="388"/>
      <c r="LJK32" s="388"/>
      <c r="LJL32" s="388"/>
      <c r="LJM32" s="388"/>
      <c r="LJN32" s="388"/>
      <c r="LJO32" s="388"/>
      <c r="LJP32" s="388"/>
      <c r="LJQ32" s="388"/>
      <c r="LJR32" s="388"/>
      <c r="LJS32" s="388"/>
      <c r="LJT32" s="388"/>
      <c r="LJU32" s="388"/>
      <c r="LJV32" s="388"/>
      <c r="LJW32" s="388"/>
      <c r="LJX32" s="388"/>
      <c r="LJY32" s="388"/>
      <c r="LJZ32" s="388"/>
      <c r="LKA32" s="388"/>
      <c r="LKB32" s="388"/>
      <c r="LKC32" s="388"/>
      <c r="LKD32" s="388"/>
      <c r="LKE32" s="388"/>
      <c r="LKF32" s="388"/>
      <c r="LKG32" s="388"/>
      <c r="LKH32" s="388"/>
      <c r="LKI32" s="388"/>
      <c r="LKJ32" s="388"/>
      <c r="LKK32" s="388"/>
      <c r="LKL32" s="388"/>
      <c r="LKM32" s="388"/>
      <c r="LKN32" s="388"/>
      <c r="LKO32" s="388"/>
      <c r="LKP32" s="388"/>
      <c r="LKQ32" s="388"/>
      <c r="LKR32" s="388"/>
      <c r="LKS32" s="388"/>
      <c r="LKT32" s="388"/>
      <c r="LKU32" s="388"/>
      <c r="LKV32" s="388"/>
      <c r="LKW32" s="388"/>
      <c r="LKX32" s="388"/>
      <c r="LKY32" s="388"/>
      <c r="LKZ32" s="388"/>
      <c r="LLA32" s="388"/>
      <c r="LLB32" s="388"/>
      <c r="LLC32" s="388"/>
      <c r="LLD32" s="388"/>
      <c r="LLE32" s="388"/>
      <c r="LLF32" s="388"/>
      <c r="LLG32" s="388"/>
      <c r="LLH32" s="388"/>
      <c r="LLI32" s="388"/>
      <c r="LLJ32" s="388"/>
      <c r="LLK32" s="388"/>
      <c r="LLL32" s="388"/>
      <c r="LLM32" s="388"/>
      <c r="LLN32" s="388"/>
      <c r="LLO32" s="388"/>
      <c r="LLP32" s="388"/>
      <c r="LLQ32" s="388"/>
      <c r="LLR32" s="388"/>
      <c r="LLS32" s="388"/>
      <c r="LLT32" s="388"/>
      <c r="LLU32" s="388"/>
      <c r="LLV32" s="388"/>
      <c r="LLW32" s="388"/>
      <c r="LLX32" s="388"/>
      <c r="LLY32" s="388"/>
      <c r="LLZ32" s="388"/>
      <c r="LMA32" s="388"/>
      <c r="LMB32" s="388"/>
      <c r="LMC32" s="388"/>
      <c r="LMD32" s="388"/>
      <c r="LME32" s="388"/>
      <c r="LMF32" s="388"/>
      <c r="LMG32" s="388"/>
      <c r="LMH32" s="388"/>
      <c r="LMI32" s="388"/>
      <c r="LMJ32" s="388"/>
      <c r="LMK32" s="388"/>
      <c r="LML32" s="388"/>
      <c r="LMM32" s="388"/>
      <c r="LMN32" s="388"/>
      <c r="LMO32" s="388"/>
      <c r="LMP32" s="388"/>
      <c r="LMQ32" s="388"/>
      <c r="LMR32" s="388"/>
      <c r="LMS32" s="388"/>
      <c r="LMT32" s="388"/>
      <c r="LMU32" s="388"/>
      <c r="LMV32" s="388"/>
      <c r="LMW32" s="388"/>
      <c r="LMX32" s="388"/>
      <c r="LMY32" s="388"/>
      <c r="LMZ32" s="388"/>
      <c r="LNA32" s="388"/>
      <c r="LNB32" s="388"/>
      <c r="LNC32" s="388"/>
      <c r="LND32" s="388"/>
      <c r="LNE32" s="388"/>
      <c r="LNF32" s="388"/>
      <c r="LNG32" s="388"/>
      <c r="LNH32" s="388"/>
      <c r="LNI32" s="388"/>
      <c r="LNJ32" s="388"/>
      <c r="LNK32" s="388"/>
      <c r="LNL32" s="388"/>
      <c r="LNM32" s="388"/>
      <c r="LNN32" s="388"/>
      <c r="LNO32" s="388"/>
      <c r="LNP32" s="388"/>
      <c r="LNQ32" s="388"/>
      <c r="LNR32" s="388"/>
      <c r="LNS32" s="388"/>
      <c r="LNT32" s="388"/>
      <c r="LNU32" s="388"/>
      <c r="LNV32" s="388"/>
      <c r="LNW32" s="388"/>
      <c r="LNX32" s="388"/>
      <c r="LNY32" s="388"/>
      <c r="LNZ32" s="388"/>
      <c r="LOA32" s="388"/>
      <c r="LOB32" s="388"/>
      <c r="LOC32" s="388"/>
      <c r="LOD32" s="388"/>
      <c r="LOE32" s="388"/>
      <c r="LOF32" s="388"/>
      <c r="LOG32" s="388"/>
      <c r="LOH32" s="388"/>
      <c r="LOI32" s="388"/>
      <c r="LOJ32" s="388"/>
      <c r="LOK32" s="388"/>
      <c r="LOL32" s="388"/>
      <c r="LOM32" s="388"/>
      <c r="LON32" s="388"/>
      <c r="LOO32" s="388"/>
      <c r="LOP32" s="388"/>
      <c r="LOQ32" s="388"/>
      <c r="LOR32" s="388"/>
      <c r="LOS32" s="388"/>
      <c r="LOT32" s="388"/>
      <c r="LOU32" s="388"/>
      <c r="LOV32" s="388"/>
      <c r="LOW32" s="388"/>
      <c r="LOX32" s="388"/>
      <c r="LOY32" s="388"/>
      <c r="LOZ32" s="388"/>
      <c r="LPA32" s="388"/>
      <c r="LPB32" s="388"/>
      <c r="LPC32" s="388"/>
      <c r="LPD32" s="388"/>
      <c r="LPE32" s="388"/>
      <c r="LPF32" s="388"/>
      <c r="LPG32" s="388"/>
      <c r="LPH32" s="388"/>
      <c r="LPI32" s="388"/>
      <c r="LPJ32" s="388"/>
      <c r="LPK32" s="388"/>
      <c r="LPL32" s="388"/>
      <c r="LPM32" s="388"/>
      <c r="LPN32" s="388"/>
      <c r="LPO32" s="388"/>
      <c r="LPP32" s="388"/>
      <c r="LPQ32" s="388"/>
      <c r="LPR32" s="388"/>
      <c r="LPS32" s="388"/>
      <c r="LPT32" s="388"/>
      <c r="LPU32" s="388"/>
      <c r="LPV32" s="388"/>
      <c r="LPW32" s="388"/>
      <c r="LPX32" s="388"/>
      <c r="LPY32" s="388"/>
      <c r="LPZ32" s="388"/>
      <c r="LQA32" s="388"/>
      <c r="LQB32" s="388"/>
      <c r="LQC32" s="388"/>
      <c r="LQD32" s="388"/>
      <c r="LQE32" s="388"/>
      <c r="LQF32" s="388"/>
      <c r="LQG32" s="388"/>
      <c r="LQH32" s="388"/>
      <c r="LQI32" s="388"/>
      <c r="LQJ32" s="388"/>
      <c r="LQK32" s="388"/>
      <c r="LQL32" s="388"/>
      <c r="LQM32" s="388"/>
      <c r="LQN32" s="388"/>
      <c r="LQO32" s="388"/>
      <c r="LQP32" s="388"/>
      <c r="LQQ32" s="388"/>
      <c r="LQR32" s="388"/>
      <c r="LQS32" s="388"/>
      <c r="LQT32" s="388"/>
      <c r="LQU32" s="388"/>
      <c r="LQV32" s="388"/>
      <c r="LQW32" s="388"/>
      <c r="LQX32" s="388"/>
      <c r="LQY32" s="388"/>
      <c r="LQZ32" s="388"/>
      <c r="LRA32" s="388"/>
      <c r="LRB32" s="388"/>
      <c r="LRC32" s="388"/>
      <c r="LRD32" s="388"/>
      <c r="LRE32" s="388"/>
      <c r="LRF32" s="388"/>
      <c r="LRG32" s="388"/>
      <c r="LRH32" s="388"/>
      <c r="LRI32" s="388"/>
      <c r="LRJ32" s="388"/>
      <c r="LRK32" s="388"/>
      <c r="LRL32" s="388"/>
      <c r="LRM32" s="388"/>
      <c r="LRN32" s="388"/>
      <c r="LRO32" s="388"/>
      <c r="LRP32" s="388"/>
      <c r="LRQ32" s="388"/>
      <c r="LRR32" s="388"/>
      <c r="LRS32" s="388"/>
      <c r="LRT32" s="388"/>
      <c r="LRU32" s="388"/>
      <c r="LRV32" s="388"/>
      <c r="LRW32" s="388"/>
      <c r="LRX32" s="388"/>
      <c r="LRY32" s="388"/>
      <c r="LRZ32" s="388"/>
      <c r="LSA32" s="388"/>
      <c r="LSB32" s="388"/>
      <c r="LSC32" s="388"/>
      <c r="LSD32" s="388"/>
      <c r="LSE32" s="388"/>
      <c r="LSF32" s="388"/>
      <c r="LSG32" s="388"/>
      <c r="LSH32" s="388"/>
      <c r="LSI32" s="388"/>
      <c r="LSJ32" s="388"/>
      <c r="LSK32" s="388"/>
      <c r="LSL32" s="388"/>
      <c r="LSM32" s="388"/>
      <c r="LSN32" s="388"/>
      <c r="LSO32" s="388"/>
      <c r="LSP32" s="388"/>
      <c r="LSQ32" s="388"/>
      <c r="LSR32" s="388"/>
      <c r="LSS32" s="388"/>
      <c r="LST32" s="388"/>
      <c r="LSU32" s="388"/>
      <c r="LSV32" s="388"/>
      <c r="LSW32" s="388"/>
      <c r="LSX32" s="388"/>
      <c r="LSY32" s="388"/>
      <c r="LSZ32" s="388"/>
      <c r="LTA32" s="388"/>
      <c r="LTB32" s="388"/>
      <c r="LTC32" s="388"/>
      <c r="LTD32" s="388"/>
      <c r="LTE32" s="388"/>
      <c r="LTF32" s="388"/>
      <c r="LTG32" s="388"/>
      <c r="LTH32" s="388"/>
      <c r="LTI32" s="388"/>
      <c r="LTJ32" s="388"/>
      <c r="LTK32" s="388"/>
      <c r="LTL32" s="388"/>
      <c r="LTM32" s="388"/>
      <c r="LTN32" s="388"/>
      <c r="LTO32" s="388"/>
      <c r="LTP32" s="388"/>
      <c r="LTQ32" s="388"/>
      <c r="LTR32" s="388"/>
      <c r="LTS32" s="388"/>
      <c r="LTT32" s="388"/>
      <c r="LTU32" s="388"/>
      <c r="LTV32" s="388"/>
      <c r="LTW32" s="388"/>
      <c r="LTX32" s="388"/>
      <c r="LTY32" s="388"/>
      <c r="LTZ32" s="388"/>
      <c r="LUA32" s="388"/>
      <c r="LUB32" s="388"/>
      <c r="LUC32" s="388"/>
      <c r="LUD32" s="388"/>
      <c r="LUE32" s="388"/>
      <c r="LUF32" s="388"/>
      <c r="LUG32" s="388"/>
      <c r="LUH32" s="388"/>
      <c r="LUI32" s="388"/>
      <c r="LUJ32" s="388"/>
      <c r="LUK32" s="388"/>
      <c r="LUL32" s="388"/>
      <c r="LUM32" s="388"/>
      <c r="LUN32" s="388"/>
      <c r="LUO32" s="388"/>
      <c r="LUP32" s="388"/>
      <c r="LUQ32" s="388"/>
      <c r="LUR32" s="388"/>
      <c r="LUS32" s="388"/>
      <c r="LUT32" s="388"/>
      <c r="LUU32" s="388"/>
      <c r="LUV32" s="388"/>
      <c r="LUW32" s="388"/>
      <c r="LUX32" s="388"/>
      <c r="LUY32" s="388"/>
      <c r="LUZ32" s="388"/>
      <c r="LVA32" s="388"/>
      <c r="LVB32" s="388"/>
      <c r="LVC32" s="388"/>
      <c r="LVD32" s="388"/>
      <c r="LVE32" s="388"/>
      <c r="LVF32" s="388"/>
      <c r="LVG32" s="388"/>
      <c r="LVH32" s="388"/>
      <c r="LVI32" s="388"/>
      <c r="LVJ32" s="388"/>
      <c r="LVK32" s="388"/>
      <c r="LVL32" s="388"/>
      <c r="LVM32" s="388"/>
      <c r="LVN32" s="388"/>
      <c r="LVO32" s="388"/>
      <c r="LVP32" s="388"/>
      <c r="LVQ32" s="388"/>
      <c r="LVR32" s="388"/>
      <c r="LVS32" s="388"/>
      <c r="LVT32" s="388"/>
      <c r="LVU32" s="388"/>
      <c r="LVV32" s="388"/>
      <c r="LVW32" s="388"/>
      <c r="LVX32" s="388"/>
      <c r="LVY32" s="388"/>
      <c r="LVZ32" s="388"/>
      <c r="LWA32" s="388"/>
      <c r="LWB32" s="388"/>
      <c r="LWC32" s="388"/>
      <c r="LWD32" s="388"/>
      <c r="LWE32" s="388"/>
      <c r="LWF32" s="388"/>
      <c r="LWG32" s="388"/>
      <c r="LWH32" s="388"/>
      <c r="LWI32" s="388"/>
      <c r="LWJ32" s="388"/>
      <c r="LWK32" s="388"/>
      <c r="LWL32" s="388"/>
      <c r="LWM32" s="388"/>
      <c r="LWN32" s="388"/>
      <c r="LWO32" s="388"/>
      <c r="LWP32" s="388"/>
      <c r="LWQ32" s="388"/>
      <c r="LWR32" s="388"/>
      <c r="LWS32" s="388"/>
      <c r="LWT32" s="388"/>
      <c r="LWU32" s="388"/>
      <c r="LWV32" s="388"/>
      <c r="LWW32" s="388"/>
      <c r="LWX32" s="388"/>
      <c r="LWY32" s="388"/>
      <c r="LWZ32" s="388"/>
      <c r="LXA32" s="388"/>
      <c r="LXB32" s="388"/>
      <c r="LXC32" s="388"/>
      <c r="LXD32" s="388"/>
      <c r="LXE32" s="388"/>
      <c r="LXF32" s="388"/>
      <c r="LXG32" s="388"/>
      <c r="LXH32" s="388"/>
      <c r="LXI32" s="388"/>
      <c r="LXJ32" s="388"/>
      <c r="LXK32" s="388"/>
      <c r="LXL32" s="388"/>
      <c r="LXM32" s="388"/>
      <c r="LXN32" s="388"/>
      <c r="LXO32" s="388"/>
      <c r="LXP32" s="388"/>
      <c r="LXQ32" s="388"/>
      <c r="LXR32" s="388"/>
      <c r="LXS32" s="388"/>
      <c r="LXT32" s="388"/>
      <c r="LXU32" s="388"/>
      <c r="LXV32" s="388"/>
      <c r="LXW32" s="388"/>
      <c r="LXX32" s="388"/>
      <c r="LXY32" s="388"/>
      <c r="LXZ32" s="388"/>
      <c r="LYA32" s="388"/>
      <c r="LYB32" s="388"/>
      <c r="LYC32" s="388"/>
      <c r="LYD32" s="388"/>
      <c r="LYE32" s="388"/>
      <c r="LYF32" s="388"/>
      <c r="LYG32" s="388"/>
      <c r="LYH32" s="388"/>
      <c r="LYI32" s="388"/>
      <c r="LYJ32" s="388"/>
      <c r="LYK32" s="388"/>
      <c r="LYL32" s="388"/>
      <c r="LYM32" s="388"/>
      <c r="LYN32" s="388"/>
      <c r="LYO32" s="388"/>
      <c r="LYP32" s="388"/>
      <c r="LYQ32" s="388"/>
      <c r="LYR32" s="388"/>
      <c r="LYS32" s="388"/>
      <c r="LYT32" s="388"/>
      <c r="LYU32" s="388"/>
      <c r="LYV32" s="388"/>
      <c r="LYW32" s="388"/>
      <c r="LYX32" s="388"/>
      <c r="LYY32" s="388"/>
      <c r="LYZ32" s="388"/>
      <c r="LZA32" s="388"/>
      <c r="LZB32" s="388"/>
      <c r="LZC32" s="388"/>
      <c r="LZD32" s="388"/>
      <c r="LZE32" s="388"/>
      <c r="LZF32" s="388"/>
      <c r="LZG32" s="388"/>
      <c r="LZH32" s="388"/>
      <c r="LZI32" s="388"/>
      <c r="LZJ32" s="388"/>
      <c r="LZK32" s="388"/>
      <c r="LZL32" s="388"/>
      <c r="LZM32" s="388"/>
      <c r="LZN32" s="388"/>
      <c r="LZO32" s="388"/>
      <c r="LZP32" s="388"/>
      <c r="LZQ32" s="388"/>
      <c r="LZR32" s="388"/>
      <c r="LZS32" s="388"/>
      <c r="LZT32" s="388"/>
      <c r="LZU32" s="388"/>
      <c r="LZV32" s="388"/>
      <c r="LZW32" s="388"/>
      <c r="LZX32" s="388"/>
      <c r="LZY32" s="388"/>
      <c r="LZZ32" s="388"/>
      <c r="MAA32" s="388"/>
      <c r="MAB32" s="388"/>
      <c r="MAC32" s="388"/>
      <c r="MAD32" s="388"/>
      <c r="MAE32" s="388"/>
      <c r="MAF32" s="388"/>
      <c r="MAG32" s="388"/>
      <c r="MAH32" s="388"/>
      <c r="MAI32" s="388"/>
      <c r="MAJ32" s="388"/>
      <c r="MAK32" s="388"/>
      <c r="MAL32" s="388"/>
      <c r="MAM32" s="388"/>
      <c r="MAN32" s="388"/>
      <c r="MAO32" s="388"/>
      <c r="MAP32" s="388"/>
      <c r="MAQ32" s="388"/>
      <c r="MAR32" s="388"/>
      <c r="MAS32" s="388"/>
      <c r="MAT32" s="388"/>
      <c r="MAU32" s="388"/>
      <c r="MAV32" s="388"/>
      <c r="MAW32" s="388"/>
      <c r="MAX32" s="388"/>
      <c r="MAY32" s="388"/>
      <c r="MAZ32" s="388"/>
      <c r="MBA32" s="388"/>
      <c r="MBB32" s="388"/>
      <c r="MBC32" s="388"/>
      <c r="MBD32" s="388"/>
      <c r="MBE32" s="388"/>
      <c r="MBF32" s="388"/>
      <c r="MBG32" s="388"/>
      <c r="MBH32" s="388"/>
      <c r="MBI32" s="388"/>
      <c r="MBJ32" s="388"/>
      <c r="MBK32" s="388"/>
      <c r="MBL32" s="388"/>
      <c r="MBM32" s="388"/>
      <c r="MBN32" s="388"/>
      <c r="MBO32" s="388"/>
      <c r="MBP32" s="388"/>
      <c r="MBQ32" s="388"/>
      <c r="MBR32" s="388"/>
      <c r="MBS32" s="388"/>
      <c r="MBT32" s="388"/>
      <c r="MBU32" s="388"/>
      <c r="MBV32" s="388"/>
      <c r="MBW32" s="388"/>
      <c r="MBX32" s="388"/>
      <c r="MBY32" s="388"/>
      <c r="MBZ32" s="388"/>
      <c r="MCA32" s="388"/>
      <c r="MCB32" s="388"/>
      <c r="MCC32" s="388"/>
      <c r="MCD32" s="388"/>
      <c r="MCE32" s="388"/>
      <c r="MCF32" s="388"/>
      <c r="MCG32" s="388"/>
      <c r="MCH32" s="388"/>
      <c r="MCI32" s="388"/>
      <c r="MCJ32" s="388"/>
      <c r="MCK32" s="388"/>
      <c r="MCL32" s="388"/>
      <c r="MCM32" s="388"/>
      <c r="MCN32" s="388"/>
      <c r="MCO32" s="388"/>
      <c r="MCP32" s="388"/>
      <c r="MCQ32" s="388"/>
      <c r="MCR32" s="388"/>
      <c r="MCS32" s="388"/>
      <c r="MCT32" s="388"/>
      <c r="MCU32" s="388"/>
      <c r="MCV32" s="388"/>
      <c r="MCW32" s="388"/>
      <c r="MCX32" s="388"/>
      <c r="MCY32" s="388"/>
      <c r="MCZ32" s="388"/>
      <c r="MDA32" s="388"/>
      <c r="MDB32" s="388"/>
      <c r="MDC32" s="388"/>
      <c r="MDD32" s="388"/>
      <c r="MDE32" s="388"/>
      <c r="MDF32" s="388"/>
      <c r="MDG32" s="388"/>
      <c r="MDH32" s="388"/>
      <c r="MDI32" s="388"/>
      <c r="MDJ32" s="388"/>
      <c r="MDK32" s="388"/>
      <c r="MDL32" s="388"/>
      <c r="MDM32" s="388"/>
      <c r="MDN32" s="388"/>
      <c r="MDO32" s="388"/>
      <c r="MDP32" s="388"/>
      <c r="MDQ32" s="388"/>
      <c r="MDR32" s="388"/>
      <c r="MDS32" s="388"/>
      <c r="MDT32" s="388"/>
      <c r="MDU32" s="388"/>
      <c r="MDV32" s="388"/>
      <c r="MDW32" s="388"/>
      <c r="MDX32" s="388"/>
      <c r="MDY32" s="388"/>
      <c r="MDZ32" s="388"/>
      <c r="MEA32" s="388"/>
      <c r="MEB32" s="388"/>
      <c r="MEC32" s="388"/>
      <c r="MED32" s="388"/>
      <c r="MEE32" s="388"/>
      <c r="MEF32" s="388"/>
      <c r="MEG32" s="388"/>
      <c r="MEH32" s="388"/>
      <c r="MEI32" s="388"/>
      <c r="MEJ32" s="388"/>
      <c r="MEK32" s="388"/>
      <c r="MEL32" s="388"/>
      <c r="MEM32" s="388"/>
      <c r="MEN32" s="388"/>
      <c r="MEO32" s="388"/>
      <c r="MEP32" s="388"/>
      <c r="MEQ32" s="388"/>
      <c r="MER32" s="388"/>
      <c r="MES32" s="388"/>
      <c r="MET32" s="388"/>
      <c r="MEU32" s="388"/>
      <c r="MEV32" s="388"/>
      <c r="MEW32" s="388"/>
      <c r="MEX32" s="388"/>
      <c r="MEY32" s="388"/>
      <c r="MEZ32" s="388"/>
      <c r="MFA32" s="388"/>
      <c r="MFB32" s="388"/>
      <c r="MFC32" s="388"/>
      <c r="MFD32" s="388"/>
      <c r="MFE32" s="388"/>
      <c r="MFF32" s="388"/>
      <c r="MFG32" s="388"/>
      <c r="MFH32" s="388"/>
      <c r="MFI32" s="388"/>
      <c r="MFJ32" s="388"/>
      <c r="MFK32" s="388"/>
      <c r="MFL32" s="388"/>
      <c r="MFM32" s="388"/>
      <c r="MFN32" s="388"/>
      <c r="MFO32" s="388"/>
      <c r="MFP32" s="388"/>
      <c r="MFQ32" s="388"/>
      <c r="MFR32" s="388"/>
      <c r="MFS32" s="388"/>
      <c r="MFT32" s="388"/>
      <c r="MFU32" s="388"/>
      <c r="MFV32" s="388"/>
      <c r="MFW32" s="388"/>
      <c r="MFX32" s="388"/>
      <c r="MFY32" s="388"/>
      <c r="MFZ32" s="388"/>
      <c r="MGA32" s="388"/>
      <c r="MGB32" s="388"/>
      <c r="MGC32" s="388"/>
      <c r="MGD32" s="388"/>
      <c r="MGE32" s="388"/>
      <c r="MGF32" s="388"/>
      <c r="MGG32" s="388"/>
      <c r="MGH32" s="388"/>
      <c r="MGI32" s="388"/>
      <c r="MGJ32" s="388"/>
      <c r="MGK32" s="388"/>
      <c r="MGL32" s="388"/>
      <c r="MGM32" s="388"/>
      <c r="MGN32" s="388"/>
      <c r="MGO32" s="388"/>
      <c r="MGP32" s="388"/>
      <c r="MGQ32" s="388"/>
      <c r="MGR32" s="388"/>
      <c r="MGS32" s="388"/>
      <c r="MGT32" s="388"/>
      <c r="MGU32" s="388"/>
      <c r="MGV32" s="388"/>
      <c r="MGW32" s="388"/>
      <c r="MGX32" s="388"/>
      <c r="MGY32" s="388"/>
      <c r="MGZ32" s="388"/>
      <c r="MHA32" s="388"/>
      <c r="MHB32" s="388"/>
      <c r="MHC32" s="388"/>
      <c r="MHD32" s="388"/>
      <c r="MHE32" s="388"/>
      <c r="MHF32" s="388"/>
      <c r="MHG32" s="388"/>
      <c r="MHH32" s="388"/>
      <c r="MHI32" s="388"/>
      <c r="MHJ32" s="388"/>
      <c r="MHK32" s="388"/>
      <c r="MHL32" s="388"/>
      <c r="MHM32" s="388"/>
      <c r="MHN32" s="388"/>
      <c r="MHO32" s="388"/>
      <c r="MHP32" s="388"/>
      <c r="MHQ32" s="388"/>
      <c r="MHR32" s="388"/>
      <c r="MHS32" s="388"/>
      <c r="MHT32" s="388"/>
      <c r="MHU32" s="388"/>
      <c r="MHV32" s="388"/>
      <c r="MHW32" s="388"/>
      <c r="MHX32" s="388"/>
      <c r="MHY32" s="388"/>
      <c r="MHZ32" s="388"/>
      <c r="MIA32" s="388"/>
      <c r="MIB32" s="388"/>
      <c r="MIC32" s="388"/>
      <c r="MID32" s="388"/>
      <c r="MIE32" s="388"/>
      <c r="MIF32" s="388"/>
      <c r="MIG32" s="388"/>
      <c r="MIH32" s="388"/>
      <c r="MII32" s="388"/>
      <c r="MIJ32" s="388"/>
      <c r="MIK32" s="388"/>
      <c r="MIL32" s="388"/>
      <c r="MIM32" s="388"/>
      <c r="MIN32" s="388"/>
      <c r="MIO32" s="388"/>
      <c r="MIP32" s="388"/>
      <c r="MIQ32" s="388"/>
      <c r="MIR32" s="388"/>
      <c r="MIS32" s="388"/>
      <c r="MIT32" s="388"/>
      <c r="MIU32" s="388"/>
      <c r="MIV32" s="388"/>
      <c r="MIW32" s="388"/>
      <c r="MIX32" s="388"/>
      <c r="MIY32" s="388"/>
      <c r="MIZ32" s="388"/>
      <c r="MJA32" s="388"/>
      <c r="MJB32" s="388"/>
      <c r="MJC32" s="388"/>
      <c r="MJD32" s="388"/>
      <c r="MJE32" s="388"/>
      <c r="MJF32" s="388"/>
      <c r="MJG32" s="388"/>
      <c r="MJH32" s="388"/>
      <c r="MJI32" s="388"/>
      <c r="MJJ32" s="388"/>
      <c r="MJK32" s="388"/>
      <c r="MJL32" s="388"/>
      <c r="MJM32" s="388"/>
      <c r="MJN32" s="388"/>
      <c r="MJO32" s="388"/>
      <c r="MJP32" s="388"/>
      <c r="MJQ32" s="388"/>
      <c r="MJR32" s="388"/>
      <c r="MJS32" s="388"/>
      <c r="MJT32" s="388"/>
      <c r="MJU32" s="388"/>
      <c r="MJV32" s="388"/>
      <c r="MJW32" s="388"/>
      <c r="MJX32" s="388"/>
      <c r="MJY32" s="388"/>
      <c r="MJZ32" s="388"/>
      <c r="MKA32" s="388"/>
      <c r="MKB32" s="388"/>
      <c r="MKC32" s="388"/>
      <c r="MKD32" s="388"/>
      <c r="MKE32" s="388"/>
      <c r="MKF32" s="388"/>
      <c r="MKG32" s="388"/>
      <c r="MKH32" s="388"/>
      <c r="MKI32" s="388"/>
      <c r="MKJ32" s="388"/>
      <c r="MKK32" s="388"/>
      <c r="MKL32" s="388"/>
      <c r="MKM32" s="388"/>
      <c r="MKN32" s="388"/>
      <c r="MKO32" s="388"/>
      <c r="MKP32" s="388"/>
      <c r="MKQ32" s="388"/>
      <c r="MKR32" s="388"/>
      <c r="MKS32" s="388"/>
      <c r="MKT32" s="388"/>
      <c r="MKU32" s="388"/>
      <c r="MKV32" s="388"/>
      <c r="MKW32" s="388"/>
      <c r="MKX32" s="388"/>
      <c r="MKY32" s="388"/>
      <c r="MKZ32" s="388"/>
      <c r="MLA32" s="388"/>
      <c r="MLB32" s="388"/>
      <c r="MLC32" s="388"/>
      <c r="MLD32" s="388"/>
      <c r="MLE32" s="388"/>
      <c r="MLF32" s="388"/>
      <c r="MLG32" s="388"/>
      <c r="MLH32" s="388"/>
      <c r="MLI32" s="388"/>
      <c r="MLJ32" s="388"/>
      <c r="MLK32" s="388"/>
      <c r="MLL32" s="388"/>
      <c r="MLM32" s="388"/>
      <c r="MLN32" s="388"/>
      <c r="MLO32" s="388"/>
      <c r="MLP32" s="388"/>
      <c r="MLQ32" s="388"/>
      <c r="MLR32" s="388"/>
      <c r="MLS32" s="388"/>
      <c r="MLT32" s="388"/>
      <c r="MLU32" s="388"/>
      <c r="MLV32" s="388"/>
      <c r="MLW32" s="388"/>
      <c r="MLX32" s="388"/>
      <c r="MLY32" s="388"/>
      <c r="MLZ32" s="388"/>
      <c r="MMA32" s="388"/>
      <c r="MMB32" s="388"/>
      <c r="MMC32" s="388"/>
      <c r="MMD32" s="388"/>
      <c r="MME32" s="388"/>
      <c r="MMF32" s="388"/>
      <c r="MMG32" s="388"/>
      <c r="MMH32" s="388"/>
      <c r="MMI32" s="388"/>
      <c r="MMJ32" s="388"/>
      <c r="MMK32" s="388"/>
      <c r="MML32" s="388"/>
      <c r="MMM32" s="388"/>
      <c r="MMN32" s="388"/>
      <c r="MMO32" s="388"/>
      <c r="MMP32" s="388"/>
      <c r="MMQ32" s="388"/>
      <c r="MMR32" s="388"/>
      <c r="MMS32" s="388"/>
      <c r="MMT32" s="388"/>
      <c r="MMU32" s="388"/>
      <c r="MMV32" s="388"/>
      <c r="MMW32" s="388"/>
      <c r="MMX32" s="388"/>
      <c r="MMY32" s="388"/>
      <c r="MMZ32" s="388"/>
      <c r="MNA32" s="388"/>
      <c r="MNB32" s="388"/>
      <c r="MNC32" s="388"/>
      <c r="MND32" s="388"/>
      <c r="MNE32" s="388"/>
      <c r="MNF32" s="388"/>
      <c r="MNG32" s="388"/>
      <c r="MNH32" s="388"/>
      <c r="MNI32" s="388"/>
      <c r="MNJ32" s="388"/>
      <c r="MNK32" s="388"/>
      <c r="MNL32" s="388"/>
      <c r="MNM32" s="388"/>
      <c r="MNN32" s="388"/>
      <c r="MNO32" s="388"/>
      <c r="MNP32" s="388"/>
      <c r="MNQ32" s="388"/>
      <c r="MNR32" s="388"/>
      <c r="MNS32" s="388"/>
      <c r="MNT32" s="388"/>
      <c r="MNU32" s="388"/>
      <c r="MNV32" s="388"/>
      <c r="MNW32" s="388"/>
      <c r="MNX32" s="388"/>
      <c r="MNY32" s="388"/>
      <c r="MNZ32" s="388"/>
      <c r="MOA32" s="388"/>
      <c r="MOB32" s="388"/>
      <c r="MOC32" s="388"/>
      <c r="MOD32" s="388"/>
      <c r="MOE32" s="388"/>
      <c r="MOF32" s="388"/>
      <c r="MOG32" s="388"/>
      <c r="MOH32" s="388"/>
      <c r="MOI32" s="388"/>
      <c r="MOJ32" s="388"/>
      <c r="MOK32" s="388"/>
      <c r="MOL32" s="388"/>
      <c r="MOM32" s="388"/>
      <c r="MON32" s="388"/>
      <c r="MOO32" s="388"/>
      <c r="MOP32" s="388"/>
      <c r="MOQ32" s="388"/>
      <c r="MOR32" s="388"/>
      <c r="MOS32" s="388"/>
      <c r="MOT32" s="388"/>
      <c r="MOU32" s="388"/>
      <c r="MOV32" s="388"/>
      <c r="MOW32" s="388"/>
      <c r="MOX32" s="388"/>
      <c r="MOY32" s="388"/>
      <c r="MOZ32" s="388"/>
      <c r="MPA32" s="388"/>
      <c r="MPB32" s="388"/>
      <c r="MPC32" s="388"/>
      <c r="MPD32" s="388"/>
      <c r="MPE32" s="388"/>
      <c r="MPF32" s="388"/>
      <c r="MPG32" s="388"/>
      <c r="MPH32" s="388"/>
      <c r="MPI32" s="388"/>
      <c r="MPJ32" s="388"/>
      <c r="MPK32" s="388"/>
      <c r="MPL32" s="388"/>
      <c r="MPM32" s="388"/>
      <c r="MPN32" s="388"/>
      <c r="MPO32" s="388"/>
      <c r="MPP32" s="388"/>
      <c r="MPQ32" s="388"/>
      <c r="MPR32" s="388"/>
      <c r="MPS32" s="388"/>
      <c r="MPT32" s="388"/>
      <c r="MPU32" s="388"/>
      <c r="MPV32" s="388"/>
      <c r="MPW32" s="388"/>
      <c r="MPX32" s="388"/>
      <c r="MPY32" s="388"/>
      <c r="MPZ32" s="388"/>
      <c r="MQA32" s="388"/>
      <c r="MQB32" s="388"/>
      <c r="MQC32" s="388"/>
      <c r="MQD32" s="388"/>
      <c r="MQE32" s="388"/>
      <c r="MQF32" s="388"/>
      <c r="MQG32" s="388"/>
      <c r="MQH32" s="388"/>
      <c r="MQI32" s="388"/>
      <c r="MQJ32" s="388"/>
      <c r="MQK32" s="388"/>
      <c r="MQL32" s="388"/>
      <c r="MQM32" s="388"/>
      <c r="MQN32" s="388"/>
      <c r="MQO32" s="388"/>
      <c r="MQP32" s="388"/>
      <c r="MQQ32" s="388"/>
      <c r="MQR32" s="388"/>
      <c r="MQS32" s="388"/>
      <c r="MQT32" s="388"/>
      <c r="MQU32" s="388"/>
      <c r="MQV32" s="388"/>
      <c r="MQW32" s="388"/>
      <c r="MQX32" s="388"/>
      <c r="MQY32" s="388"/>
      <c r="MQZ32" s="388"/>
      <c r="MRA32" s="388"/>
      <c r="MRB32" s="388"/>
      <c r="MRC32" s="388"/>
      <c r="MRD32" s="388"/>
      <c r="MRE32" s="388"/>
      <c r="MRF32" s="388"/>
      <c r="MRG32" s="388"/>
      <c r="MRH32" s="388"/>
      <c r="MRI32" s="388"/>
      <c r="MRJ32" s="388"/>
      <c r="MRK32" s="388"/>
      <c r="MRL32" s="388"/>
      <c r="MRM32" s="388"/>
      <c r="MRN32" s="388"/>
      <c r="MRO32" s="388"/>
      <c r="MRP32" s="388"/>
      <c r="MRQ32" s="388"/>
      <c r="MRR32" s="388"/>
      <c r="MRS32" s="388"/>
      <c r="MRT32" s="388"/>
      <c r="MRU32" s="388"/>
      <c r="MRV32" s="388"/>
      <c r="MRW32" s="388"/>
      <c r="MRX32" s="388"/>
      <c r="MRY32" s="388"/>
      <c r="MRZ32" s="388"/>
      <c r="MSA32" s="388"/>
      <c r="MSB32" s="388"/>
      <c r="MSC32" s="388"/>
      <c r="MSD32" s="388"/>
      <c r="MSE32" s="388"/>
      <c r="MSF32" s="388"/>
      <c r="MSG32" s="388"/>
      <c r="MSH32" s="388"/>
      <c r="MSI32" s="388"/>
      <c r="MSJ32" s="388"/>
      <c r="MSK32" s="388"/>
      <c r="MSL32" s="388"/>
      <c r="MSM32" s="388"/>
      <c r="MSN32" s="388"/>
      <c r="MSO32" s="388"/>
      <c r="MSP32" s="388"/>
      <c r="MSQ32" s="388"/>
      <c r="MSR32" s="388"/>
      <c r="MSS32" s="388"/>
      <c r="MST32" s="388"/>
      <c r="MSU32" s="388"/>
      <c r="MSV32" s="388"/>
      <c r="MSW32" s="388"/>
      <c r="MSX32" s="388"/>
      <c r="MSY32" s="388"/>
      <c r="MSZ32" s="388"/>
      <c r="MTA32" s="388"/>
      <c r="MTB32" s="388"/>
      <c r="MTC32" s="388"/>
      <c r="MTD32" s="388"/>
      <c r="MTE32" s="388"/>
      <c r="MTF32" s="388"/>
      <c r="MTG32" s="388"/>
      <c r="MTH32" s="388"/>
      <c r="MTI32" s="388"/>
      <c r="MTJ32" s="388"/>
      <c r="MTK32" s="388"/>
      <c r="MTL32" s="388"/>
      <c r="MTM32" s="388"/>
      <c r="MTN32" s="388"/>
      <c r="MTO32" s="388"/>
      <c r="MTP32" s="388"/>
      <c r="MTQ32" s="388"/>
      <c r="MTR32" s="388"/>
      <c r="MTS32" s="388"/>
      <c r="MTT32" s="388"/>
      <c r="MTU32" s="388"/>
      <c r="MTV32" s="388"/>
      <c r="MTW32" s="388"/>
      <c r="MTX32" s="388"/>
      <c r="MTY32" s="388"/>
      <c r="MTZ32" s="388"/>
      <c r="MUA32" s="388"/>
      <c r="MUB32" s="388"/>
      <c r="MUC32" s="388"/>
      <c r="MUD32" s="388"/>
      <c r="MUE32" s="388"/>
      <c r="MUF32" s="388"/>
      <c r="MUG32" s="388"/>
      <c r="MUH32" s="388"/>
      <c r="MUI32" s="388"/>
      <c r="MUJ32" s="388"/>
      <c r="MUK32" s="388"/>
      <c r="MUL32" s="388"/>
      <c r="MUM32" s="388"/>
      <c r="MUN32" s="388"/>
      <c r="MUO32" s="388"/>
      <c r="MUP32" s="388"/>
      <c r="MUQ32" s="388"/>
      <c r="MUR32" s="388"/>
      <c r="MUS32" s="388"/>
      <c r="MUT32" s="388"/>
      <c r="MUU32" s="388"/>
      <c r="MUV32" s="388"/>
      <c r="MUW32" s="388"/>
      <c r="MUX32" s="388"/>
      <c r="MUY32" s="388"/>
      <c r="MUZ32" s="388"/>
      <c r="MVA32" s="388"/>
      <c r="MVB32" s="388"/>
      <c r="MVC32" s="388"/>
      <c r="MVD32" s="388"/>
      <c r="MVE32" s="388"/>
      <c r="MVF32" s="388"/>
      <c r="MVG32" s="388"/>
      <c r="MVH32" s="388"/>
      <c r="MVI32" s="388"/>
      <c r="MVJ32" s="388"/>
      <c r="MVK32" s="388"/>
      <c r="MVL32" s="388"/>
      <c r="MVM32" s="388"/>
      <c r="MVN32" s="388"/>
      <c r="MVO32" s="388"/>
      <c r="MVP32" s="388"/>
      <c r="MVQ32" s="388"/>
      <c r="MVR32" s="388"/>
      <c r="MVS32" s="388"/>
      <c r="MVT32" s="388"/>
      <c r="MVU32" s="388"/>
      <c r="MVV32" s="388"/>
      <c r="MVW32" s="388"/>
      <c r="MVX32" s="388"/>
      <c r="MVY32" s="388"/>
      <c r="MVZ32" s="388"/>
      <c r="MWA32" s="388"/>
      <c r="MWB32" s="388"/>
      <c r="MWC32" s="388"/>
      <c r="MWD32" s="388"/>
      <c r="MWE32" s="388"/>
      <c r="MWF32" s="388"/>
      <c r="MWG32" s="388"/>
      <c r="MWH32" s="388"/>
      <c r="MWI32" s="388"/>
      <c r="MWJ32" s="388"/>
      <c r="MWK32" s="388"/>
      <c r="MWL32" s="388"/>
      <c r="MWM32" s="388"/>
      <c r="MWN32" s="388"/>
      <c r="MWO32" s="388"/>
      <c r="MWP32" s="388"/>
      <c r="MWQ32" s="388"/>
      <c r="MWR32" s="388"/>
      <c r="MWS32" s="388"/>
      <c r="MWT32" s="388"/>
      <c r="MWU32" s="388"/>
      <c r="MWV32" s="388"/>
      <c r="MWW32" s="388"/>
      <c r="MWX32" s="388"/>
      <c r="MWY32" s="388"/>
      <c r="MWZ32" s="388"/>
      <c r="MXA32" s="388"/>
      <c r="MXB32" s="388"/>
      <c r="MXC32" s="388"/>
      <c r="MXD32" s="388"/>
      <c r="MXE32" s="388"/>
      <c r="MXF32" s="388"/>
      <c r="MXG32" s="388"/>
      <c r="MXH32" s="388"/>
      <c r="MXI32" s="388"/>
      <c r="MXJ32" s="388"/>
      <c r="MXK32" s="388"/>
      <c r="MXL32" s="388"/>
      <c r="MXM32" s="388"/>
      <c r="MXN32" s="388"/>
      <c r="MXO32" s="388"/>
      <c r="MXP32" s="388"/>
      <c r="MXQ32" s="388"/>
      <c r="MXR32" s="388"/>
      <c r="MXS32" s="388"/>
      <c r="MXT32" s="388"/>
      <c r="MXU32" s="388"/>
      <c r="MXV32" s="388"/>
      <c r="MXW32" s="388"/>
      <c r="MXX32" s="388"/>
      <c r="MXY32" s="388"/>
      <c r="MXZ32" s="388"/>
      <c r="MYA32" s="388"/>
      <c r="MYB32" s="388"/>
      <c r="MYC32" s="388"/>
      <c r="MYD32" s="388"/>
      <c r="MYE32" s="388"/>
      <c r="MYF32" s="388"/>
      <c r="MYG32" s="388"/>
      <c r="MYH32" s="388"/>
      <c r="MYI32" s="388"/>
      <c r="MYJ32" s="388"/>
      <c r="MYK32" s="388"/>
      <c r="MYL32" s="388"/>
      <c r="MYM32" s="388"/>
      <c r="MYN32" s="388"/>
      <c r="MYO32" s="388"/>
      <c r="MYP32" s="388"/>
      <c r="MYQ32" s="388"/>
      <c r="MYR32" s="388"/>
      <c r="MYS32" s="388"/>
      <c r="MYT32" s="388"/>
      <c r="MYU32" s="388"/>
      <c r="MYV32" s="388"/>
      <c r="MYW32" s="388"/>
      <c r="MYX32" s="388"/>
      <c r="MYY32" s="388"/>
      <c r="MYZ32" s="388"/>
      <c r="MZA32" s="388"/>
      <c r="MZB32" s="388"/>
      <c r="MZC32" s="388"/>
      <c r="MZD32" s="388"/>
      <c r="MZE32" s="388"/>
      <c r="MZF32" s="388"/>
      <c r="MZG32" s="388"/>
      <c r="MZH32" s="388"/>
      <c r="MZI32" s="388"/>
      <c r="MZJ32" s="388"/>
      <c r="MZK32" s="388"/>
      <c r="MZL32" s="388"/>
      <c r="MZM32" s="388"/>
      <c r="MZN32" s="388"/>
      <c r="MZO32" s="388"/>
      <c r="MZP32" s="388"/>
      <c r="MZQ32" s="388"/>
      <c r="MZR32" s="388"/>
      <c r="MZS32" s="388"/>
      <c r="MZT32" s="388"/>
      <c r="MZU32" s="388"/>
      <c r="MZV32" s="388"/>
      <c r="MZW32" s="388"/>
      <c r="MZX32" s="388"/>
      <c r="MZY32" s="388"/>
      <c r="MZZ32" s="388"/>
      <c r="NAA32" s="388"/>
      <c r="NAB32" s="388"/>
      <c r="NAC32" s="388"/>
      <c r="NAD32" s="388"/>
      <c r="NAE32" s="388"/>
      <c r="NAF32" s="388"/>
      <c r="NAG32" s="388"/>
      <c r="NAH32" s="388"/>
      <c r="NAI32" s="388"/>
      <c r="NAJ32" s="388"/>
      <c r="NAK32" s="388"/>
      <c r="NAL32" s="388"/>
      <c r="NAM32" s="388"/>
      <c r="NAN32" s="388"/>
      <c r="NAO32" s="388"/>
      <c r="NAP32" s="388"/>
      <c r="NAQ32" s="388"/>
      <c r="NAR32" s="388"/>
      <c r="NAS32" s="388"/>
      <c r="NAT32" s="388"/>
      <c r="NAU32" s="388"/>
      <c r="NAV32" s="388"/>
      <c r="NAW32" s="388"/>
      <c r="NAX32" s="388"/>
      <c r="NAY32" s="388"/>
      <c r="NAZ32" s="388"/>
      <c r="NBA32" s="388"/>
      <c r="NBB32" s="388"/>
      <c r="NBC32" s="388"/>
      <c r="NBD32" s="388"/>
      <c r="NBE32" s="388"/>
      <c r="NBF32" s="388"/>
      <c r="NBG32" s="388"/>
      <c r="NBH32" s="388"/>
      <c r="NBI32" s="388"/>
      <c r="NBJ32" s="388"/>
      <c r="NBK32" s="388"/>
      <c r="NBL32" s="388"/>
      <c r="NBM32" s="388"/>
      <c r="NBN32" s="388"/>
      <c r="NBO32" s="388"/>
      <c r="NBP32" s="388"/>
      <c r="NBQ32" s="388"/>
      <c r="NBR32" s="388"/>
      <c r="NBS32" s="388"/>
      <c r="NBT32" s="388"/>
      <c r="NBU32" s="388"/>
      <c r="NBV32" s="388"/>
      <c r="NBW32" s="388"/>
      <c r="NBX32" s="388"/>
      <c r="NBY32" s="388"/>
      <c r="NBZ32" s="388"/>
      <c r="NCA32" s="388"/>
      <c r="NCB32" s="388"/>
      <c r="NCC32" s="388"/>
      <c r="NCD32" s="388"/>
      <c r="NCE32" s="388"/>
      <c r="NCF32" s="388"/>
      <c r="NCG32" s="388"/>
      <c r="NCH32" s="388"/>
      <c r="NCI32" s="388"/>
      <c r="NCJ32" s="388"/>
      <c r="NCK32" s="388"/>
      <c r="NCL32" s="388"/>
      <c r="NCM32" s="388"/>
      <c r="NCN32" s="388"/>
      <c r="NCO32" s="388"/>
      <c r="NCP32" s="388"/>
      <c r="NCQ32" s="388"/>
      <c r="NCR32" s="388"/>
      <c r="NCS32" s="388"/>
      <c r="NCT32" s="388"/>
      <c r="NCU32" s="388"/>
      <c r="NCV32" s="388"/>
      <c r="NCW32" s="388"/>
      <c r="NCX32" s="388"/>
      <c r="NCY32" s="388"/>
      <c r="NCZ32" s="388"/>
      <c r="NDA32" s="388"/>
      <c r="NDB32" s="388"/>
      <c r="NDC32" s="388"/>
      <c r="NDD32" s="388"/>
      <c r="NDE32" s="388"/>
      <c r="NDF32" s="388"/>
      <c r="NDG32" s="388"/>
      <c r="NDH32" s="388"/>
      <c r="NDI32" s="388"/>
      <c r="NDJ32" s="388"/>
      <c r="NDK32" s="388"/>
      <c r="NDL32" s="388"/>
      <c r="NDM32" s="388"/>
      <c r="NDN32" s="388"/>
      <c r="NDO32" s="388"/>
      <c r="NDP32" s="388"/>
      <c r="NDQ32" s="388"/>
      <c r="NDR32" s="388"/>
      <c r="NDS32" s="388"/>
      <c r="NDT32" s="388"/>
      <c r="NDU32" s="388"/>
      <c r="NDV32" s="388"/>
      <c r="NDW32" s="388"/>
      <c r="NDX32" s="388"/>
      <c r="NDY32" s="388"/>
      <c r="NDZ32" s="388"/>
      <c r="NEA32" s="388"/>
      <c r="NEB32" s="388"/>
      <c r="NEC32" s="388"/>
      <c r="NED32" s="388"/>
      <c r="NEE32" s="388"/>
      <c r="NEF32" s="388"/>
      <c r="NEG32" s="388"/>
      <c r="NEH32" s="388"/>
      <c r="NEI32" s="388"/>
      <c r="NEJ32" s="388"/>
      <c r="NEK32" s="388"/>
      <c r="NEL32" s="388"/>
      <c r="NEM32" s="388"/>
      <c r="NEN32" s="388"/>
      <c r="NEO32" s="388"/>
      <c r="NEP32" s="388"/>
      <c r="NEQ32" s="388"/>
      <c r="NER32" s="388"/>
      <c r="NES32" s="388"/>
      <c r="NET32" s="388"/>
      <c r="NEU32" s="388"/>
      <c r="NEV32" s="388"/>
      <c r="NEW32" s="388"/>
      <c r="NEX32" s="388"/>
      <c r="NEY32" s="388"/>
      <c r="NEZ32" s="388"/>
      <c r="NFA32" s="388"/>
      <c r="NFB32" s="388"/>
      <c r="NFC32" s="388"/>
      <c r="NFD32" s="388"/>
      <c r="NFE32" s="388"/>
      <c r="NFF32" s="388"/>
      <c r="NFG32" s="388"/>
      <c r="NFH32" s="388"/>
      <c r="NFI32" s="388"/>
      <c r="NFJ32" s="388"/>
      <c r="NFK32" s="388"/>
      <c r="NFL32" s="388"/>
      <c r="NFM32" s="388"/>
      <c r="NFN32" s="388"/>
      <c r="NFO32" s="388"/>
      <c r="NFP32" s="388"/>
      <c r="NFQ32" s="388"/>
      <c r="NFR32" s="388"/>
      <c r="NFS32" s="388"/>
      <c r="NFT32" s="388"/>
      <c r="NFU32" s="388"/>
      <c r="NFV32" s="388"/>
      <c r="NFW32" s="388"/>
      <c r="NFX32" s="388"/>
      <c r="NFY32" s="388"/>
      <c r="NFZ32" s="388"/>
      <c r="NGA32" s="388"/>
      <c r="NGB32" s="388"/>
      <c r="NGC32" s="388"/>
      <c r="NGD32" s="388"/>
      <c r="NGE32" s="388"/>
      <c r="NGF32" s="388"/>
      <c r="NGG32" s="388"/>
      <c r="NGH32" s="388"/>
      <c r="NGI32" s="388"/>
      <c r="NGJ32" s="388"/>
      <c r="NGK32" s="388"/>
      <c r="NGL32" s="388"/>
      <c r="NGM32" s="388"/>
      <c r="NGN32" s="388"/>
      <c r="NGO32" s="388"/>
      <c r="NGP32" s="388"/>
      <c r="NGQ32" s="388"/>
      <c r="NGR32" s="388"/>
      <c r="NGS32" s="388"/>
      <c r="NGT32" s="388"/>
      <c r="NGU32" s="388"/>
      <c r="NGV32" s="388"/>
      <c r="NGW32" s="388"/>
      <c r="NGX32" s="388"/>
      <c r="NGY32" s="388"/>
      <c r="NGZ32" s="388"/>
      <c r="NHA32" s="388"/>
      <c r="NHB32" s="388"/>
      <c r="NHC32" s="388"/>
      <c r="NHD32" s="388"/>
      <c r="NHE32" s="388"/>
      <c r="NHF32" s="388"/>
      <c r="NHG32" s="388"/>
      <c r="NHH32" s="388"/>
      <c r="NHI32" s="388"/>
      <c r="NHJ32" s="388"/>
      <c r="NHK32" s="388"/>
      <c r="NHL32" s="388"/>
      <c r="NHM32" s="388"/>
      <c r="NHN32" s="388"/>
      <c r="NHO32" s="388"/>
      <c r="NHP32" s="388"/>
      <c r="NHQ32" s="388"/>
      <c r="NHR32" s="388"/>
      <c r="NHS32" s="388"/>
      <c r="NHT32" s="388"/>
      <c r="NHU32" s="388"/>
      <c r="NHV32" s="388"/>
      <c r="NHW32" s="388"/>
      <c r="NHX32" s="388"/>
      <c r="NHY32" s="388"/>
      <c r="NHZ32" s="388"/>
      <c r="NIA32" s="388"/>
      <c r="NIB32" s="388"/>
      <c r="NIC32" s="388"/>
      <c r="NID32" s="388"/>
      <c r="NIE32" s="388"/>
      <c r="NIF32" s="388"/>
      <c r="NIG32" s="388"/>
      <c r="NIH32" s="388"/>
      <c r="NII32" s="388"/>
      <c r="NIJ32" s="388"/>
      <c r="NIK32" s="388"/>
      <c r="NIL32" s="388"/>
      <c r="NIM32" s="388"/>
      <c r="NIN32" s="388"/>
      <c r="NIO32" s="388"/>
      <c r="NIP32" s="388"/>
      <c r="NIQ32" s="388"/>
      <c r="NIR32" s="388"/>
      <c r="NIS32" s="388"/>
      <c r="NIT32" s="388"/>
      <c r="NIU32" s="388"/>
      <c r="NIV32" s="388"/>
      <c r="NIW32" s="388"/>
      <c r="NIX32" s="388"/>
      <c r="NIY32" s="388"/>
      <c r="NIZ32" s="388"/>
      <c r="NJA32" s="388"/>
      <c r="NJB32" s="388"/>
      <c r="NJC32" s="388"/>
      <c r="NJD32" s="388"/>
      <c r="NJE32" s="388"/>
      <c r="NJF32" s="388"/>
      <c r="NJG32" s="388"/>
      <c r="NJH32" s="388"/>
      <c r="NJI32" s="388"/>
      <c r="NJJ32" s="388"/>
      <c r="NJK32" s="388"/>
      <c r="NJL32" s="388"/>
      <c r="NJM32" s="388"/>
      <c r="NJN32" s="388"/>
      <c r="NJO32" s="388"/>
      <c r="NJP32" s="388"/>
      <c r="NJQ32" s="388"/>
      <c r="NJR32" s="388"/>
      <c r="NJS32" s="388"/>
      <c r="NJT32" s="388"/>
      <c r="NJU32" s="388"/>
      <c r="NJV32" s="388"/>
      <c r="NJW32" s="388"/>
      <c r="NJX32" s="388"/>
      <c r="NJY32" s="388"/>
      <c r="NJZ32" s="388"/>
      <c r="NKA32" s="388"/>
      <c r="NKB32" s="388"/>
      <c r="NKC32" s="388"/>
      <c r="NKD32" s="388"/>
      <c r="NKE32" s="388"/>
      <c r="NKF32" s="388"/>
      <c r="NKG32" s="388"/>
      <c r="NKH32" s="388"/>
      <c r="NKI32" s="388"/>
      <c r="NKJ32" s="388"/>
      <c r="NKK32" s="388"/>
      <c r="NKL32" s="388"/>
      <c r="NKM32" s="388"/>
      <c r="NKN32" s="388"/>
      <c r="NKO32" s="388"/>
      <c r="NKP32" s="388"/>
      <c r="NKQ32" s="388"/>
      <c r="NKR32" s="388"/>
      <c r="NKS32" s="388"/>
      <c r="NKT32" s="388"/>
      <c r="NKU32" s="388"/>
      <c r="NKV32" s="388"/>
      <c r="NKW32" s="388"/>
      <c r="NKX32" s="388"/>
      <c r="NKY32" s="388"/>
      <c r="NKZ32" s="388"/>
      <c r="NLA32" s="388"/>
      <c r="NLB32" s="388"/>
      <c r="NLC32" s="388"/>
      <c r="NLD32" s="388"/>
      <c r="NLE32" s="388"/>
      <c r="NLF32" s="388"/>
      <c r="NLG32" s="388"/>
      <c r="NLH32" s="388"/>
      <c r="NLI32" s="388"/>
      <c r="NLJ32" s="388"/>
      <c r="NLK32" s="388"/>
      <c r="NLL32" s="388"/>
      <c r="NLM32" s="388"/>
      <c r="NLN32" s="388"/>
      <c r="NLO32" s="388"/>
      <c r="NLP32" s="388"/>
      <c r="NLQ32" s="388"/>
      <c r="NLR32" s="388"/>
      <c r="NLS32" s="388"/>
      <c r="NLT32" s="388"/>
      <c r="NLU32" s="388"/>
      <c r="NLV32" s="388"/>
      <c r="NLW32" s="388"/>
      <c r="NLX32" s="388"/>
      <c r="NLY32" s="388"/>
      <c r="NLZ32" s="388"/>
      <c r="NMA32" s="388"/>
      <c r="NMB32" s="388"/>
      <c r="NMC32" s="388"/>
      <c r="NMD32" s="388"/>
      <c r="NME32" s="388"/>
      <c r="NMF32" s="388"/>
      <c r="NMG32" s="388"/>
      <c r="NMH32" s="388"/>
      <c r="NMI32" s="388"/>
      <c r="NMJ32" s="388"/>
      <c r="NMK32" s="388"/>
      <c r="NML32" s="388"/>
      <c r="NMM32" s="388"/>
      <c r="NMN32" s="388"/>
      <c r="NMO32" s="388"/>
      <c r="NMP32" s="388"/>
      <c r="NMQ32" s="388"/>
      <c r="NMR32" s="388"/>
      <c r="NMS32" s="388"/>
      <c r="NMT32" s="388"/>
      <c r="NMU32" s="388"/>
      <c r="NMV32" s="388"/>
      <c r="NMW32" s="388"/>
      <c r="NMX32" s="388"/>
      <c r="NMY32" s="388"/>
      <c r="NMZ32" s="388"/>
      <c r="NNA32" s="388"/>
      <c r="NNB32" s="388"/>
      <c r="NNC32" s="388"/>
      <c r="NND32" s="388"/>
      <c r="NNE32" s="388"/>
      <c r="NNF32" s="388"/>
      <c r="NNG32" s="388"/>
      <c r="NNH32" s="388"/>
      <c r="NNI32" s="388"/>
      <c r="NNJ32" s="388"/>
      <c r="NNK32" s="388"/>
      <c r="NNL32" s="388"/>
      <c r="NNM32" s="388"/>
      <c r="NNN32" s="388"/>
      <c r="NNO32" s="388"/>
      <c r="NNP32" s="388"/>
      <c r="NNQ32" s="388"/>
      <c r="NNR32" s="388"/>
      <c r="NNS32" s="388"/>
      <c r="NNT32" s="388"/>
      <c r="NNU32" s="388"/>
      <c r="NNV32" s="388"/>
      <c r="NNW32" s="388"/>
      <c r="NNX32" s="388"/>
      <c r="NNY32" s="388"/>
      <c r="NNZ32" s="388"/>
      <c r="NOA32" s="388"/>
      <c r="NOB32" s="388"/>
      <c r="NOC32" s="388"/>
      <c r="NOD32" s="388"/>
      <c r="NOE32" s="388"/>
      <c r="NOF32" s="388"/>
      <c r="NOG32" s="388"/>
      <c r="NOH32" s="388"/>
      <c r="NOI32" s="388"/>
      <c r="NOJ32" s="388"/>
      <c r="NOK32" s="388"/>
      <c r="NOL32" s="388"/>
      <c r="NOM32" s="388"/>
      <c r="NON32" s="388"/>
      <c r="NOO32" s="388"/>
      <c r="NOP32" s="388"/>
      <c r="NOQ32" s="388"/>
      <c r="NOR32" s="388"/>
      <c r="NOS32" s="388"/>
      <c r="NOT32" s="388"/>
      <c r="NOU32" s="388"/>
      <c r="NOV32" s="388"/>
      <c r="NOW32" s="388"/>
      <c r="NOX32" s="388"/>
      <c r="NOY32" s="388"/>
      <c r="NOZ32" s="388"/>
      <c r="NPA32" s="388"/>
      <c r="NPB32" s="388"/>
      <c r="NPC32" s="388"/>
      <c r="NPD32" s="388"/>
      <c r="NPE32" s="388"/>
      <c r="NPF32" s="388"/>
      <c r="NPG32" s="388"/>
      <c r="NPH32" s="388"/>
      <c r="NPI32" s="388"/>
      <c r="NPJ32" s="388"/>
      <c r="NPK32" s="388"/>
      <c r="NPL32" s="388"/>
      <c r="NPM32" s="388"/>
      <c r="NPN32" s="388"/>
      <c r="NPO32" s="388"/>
      <c r="NPP32" s="388"/>
      <c r="NPQ32" s="388"/>
      <c r="NPR32" s="388"/>
      <c r="NPS32" s="388"/>
      <c r="NPT32" s="388"/>
      <c r="NPU32" s="388"/>
      <c r="NPV32" s="388"/>
      <c r="NPW32" s="388"/>
      <c r="NPX32" s="388"/>
      <c r="NPY32" s="388"/>
      <c r="NPZ32" s="388"/>
      <c r="NQA32" s="388"/>
      <c r="NQB32" s="388"/>
      <c r="NQC32" s="388"/>
      <c r="NQD32" s="388"/>
      <c r="NQE32" s="388"/>
      <c r="NQF32" s="388"/>
      <c r="NQG32" s="388"/>
      <c r="NQH32" s="388"/>
      <c r="NQI32" s="388"/>
      <c r="NQJ32" s="388"/>
      <c r="NQK32" s="388"/>
      <c r="NQL32" s="388"/>
      <c r="NQM32" s="388"/>
      <c r="NQN32" s="388"/>
      <c r="NQO32" s="388"/>
      <c r="NQP32" s="388"/>
      <c r="NQQ32" s="388"/>
      <c r="NQR32" s="388"/>
      <c r="NQS32" s="388"/>
      <c r="NQT32" s="388"/>
      <c r="NQU32" s="388"/>
      <c r="NQV32" s="388"/>
      <c r="NQW32" s="388"/>
      <c r="NQX32" s="388"/>
      <c r="NQY32" s="388"/>
      <c r="NQZ32" s="388"/>
      <c r="NRA32" s="388"/>
      <c r="NRB32" s="388"/>
      <c r="NRC32" s="388"/>
      <c r="NRD32" s="388"/>
      <c r="NRE32" s="388"/>
      <c r="NRF32" s="388"/>
      <c r="NRG32" s="388"/>
      <c r="NRH32" s="388"/>
      <c r="NRI32" s="388"/>
      <c r="NRJ32" s="388"/>
      <c r="NRK32" s="388"/>
      <c r="NRL32" s="388"/>
      <c r="NRM32" s="388"/>
      <c r="NRN32" s="388"/>
      <c r="NRO32" s="388"/>
      <c r="NRP32" s="388"/>
      <c r="NRQ32" s="388"/>
      <c r="NRR32" s="388"/>
      <c r="NRS32" s="388"/>
      <c r="NRT32" s="388"/>
      <c r="NRU32" s="388"/>
      <c r="NRV32" s="388"/>
      <c r="NRW32" s="388"/>
      <c r="NRX32" s="388"/>
      <c r="NRY32" s="388"/>
      <c r="NRZ32" s="388"/>
      <c r="NSA32" s="388"/>
      <c r="NSB32" s="388"/>
      <c r="NSC32" s="388"/>
      <c r="NSD32" s="388"/>
      <c r="NSE32" s="388"/>
      <c r="NSF32" s="388"/>
      <c r="NSG32" s="388"/>
      <c r="NSH32" s="388"/>
      <c r="NSI32" s="388"/>
      <c r="NSJ32" s="388"/>
      <c r="NSK32" s="388"/>
      <c r="NSL32" s="388"/>
      <c r="NSM32" s="388"/>
      <c r="NSN32" s="388"/>
      <c r="NSO32" s="388"/>
      <c r="NSP32" s="388"/>
      <c r="NSQ32" s="388"/>
      <c r="NSR32" s="388"/>
      <c r="NSS32" s="388"/>
      <c r="NST32" s="388"/>
      <c r="NSU32" s="388"/>
      <c r="NSV32" s="388"/>
      <c r="NSW32" s="388"/>
      <c r="NSX32" s="388"/>
      <c r="NSY32" s="388"/>
      <c r="NSZ32" s="388"/>
      <c r="NTA32" s="388"/>
      <c r="NTB32" s="388"/>
      <c r="NTC32" s="388"/>
      <c r="NTD32" s="388"/>
      <c r="NTE32" s="388"/>
      <c r="NTF32" s="388"/>
      <c r="NTG32" s="388"/>
      <c r="NTH32" s="388"/>
      <c r="NTI32" s="388"/>
      <c r="NTJ32" s="388"/>
      <c r="NTK32" s="388"/>
      <c r="NTL32" s="388"/>
      <c r="NTM32" s="388"/>
      <c r="NTN32" s="388"/>
      <c r="NTO32" s="388"/>
      <c r="NTP32" s="388"/>
      <c r="NTQ32" s="388"/>
      <c r="NTR32" s="388"/>
      <c r="NTS32" s="388"/>
      <c r="NTT32" s="388"/>
      <c r="NTU32" s="388"/>
      <c r="NTV32" s="388"/>
      <c r="NTW32" s="388"/>
      <c r="NTX32" s="388"/>
      <c r="NTY32" s="388"/>
      <c r="NTZ32" s="388"/>
      <c r="NUA32" s="388"/>
      <c r="NUB32" s="388"/>
      <c r="NUC32" s="388"/>
      <c r="NUD32" s="388"/>
      <c r="NUE32" s="388"/>
      <c r="NUF32" s="388"/>
      <c r="NUG32" s="388"/>
      <c r="NUH32" s="388"/>
      <c r="NUI32" s="388"/>
      <c r="NUJ32" s="388"/>
      <c r="NUK32" s="388"/>
      <c r="NUL32" s="388"/>
      <c r="NUM32" s="388"/>
      <c r="NUN32" s="388"/>
      <c r="NUO32" s="388"/>
      <c r="NUP32" s="388"/>
      <c r="NUQ32" s="388"/>
      <c r="NUR32" s="388"/>
      <c r="NUS32" s="388"/>
      <c r="NUT32" s="388"/>
      <c r="NUU32" s="388"/>
      <c r="NUV32" s="388"/>
      <c r="NUW32" s="388"/>
      <c r="NUX32" s="388"/>
      <c r="NUY32" s="388"/>
      <c r="NUZ32" s="388"/>
      <c r="NVA32" s="388"/>
      <c r="NVB32" s="388"/>
      <c r="NVC32" s="388"/>
      <c r="NVD32" s="388"/>
      <c r="NVE32" s="388"/>
      <c r="NVF32" s="388"/>
      <c r="NVG32" s="388"/>
      <c r="NVH32" s="388"/>
      <c r="NVI32" s="388"/>
      <c r="NVJ32" s="388"/>
      <c r="NVK32" s="388"/>
      <c r="NVL32" s="388"/>
      <c r="NVM32" s="388"/>
      <c r="NVN32" s="388"/>
      <c r="NVO32" s="388"/>
      <c r="NVP32" s="388"/>
      <c r="NVQ32" s="388"/>
      <c r="NVR32" s="388"/>
      <c r="NVS32" s="388"/>
      <c r="NVT32" s="388"/>
      <c r="NVU32" s="388"/>
      <c r="NVV32" s="388"/>
      <c r="NVW32" s="388"/>
      <c r="NVX32" s="388"/>
      <c r="NVY32" s="388"/>
      <c r="NVZ32" s="388"/>
      <c r="NWA32" s="388"/>
      <c r="NWB32" s="388"/>
      <c r="NWC32" s="388"/>
      <c r="NWD32" s="388"/>
      <c r="NWE32" s="388"/>
      <c r="NWF32" s="388"/>
      <c r="NWG32" s="388"/>
      <c r="NWH32" s="388"/>
      <c r="NWI32" s="388"/>
      <c r="NWJ32" s="388"/>
      <c r="NWK32" s="388"/>
      <c r="NWL32" s="388"/>
      <c r="NWM32" s="388"/>
      <c r="NWN32" s="388"/>
      <c r="NWO32" s="388"/>
      <c r="NWP32" s="388"/>
      <c r="NWQ32" s="388"/>
      <c r="NWR32" s="388"/>
      <c r="NWS32" s="388"/>
      <c r="NWT32" s="388"/>
      <c r="NWU32" s="388"/>
      <c r="NWV32" s="388"/>
      <c r="NWW32" s="388"/>
      <c r="NWX32" s="388"/>
      <c r="NWY32" s="388"/>
      <c r="NWZ32" s="388"/>
      <c r="NXA32" s="388"/>
      <c r="NXB32" s="388"/>
      <c r="NXC32" s="388"/>
      <c r="NXD32" s="388"/>
      <c r="NXE32" s="388"/>
      <c r="NXF32" s="388"/>
      <c r="NXG32" s="388"/>
      <c r="NXH32" s="388"/>
      <c r="NXI32" s="388"/>
      <c r="NXJ32" s="388"/>
      <c r="NXK32" s="388"/>
      <c r="NXL32" s="388"/>
      <c r="NXM32" s="388"/>
      <c r="NXN32" s="388"/>
      <c r="NXO32" s="388"/>
      <c r="NXP32" s="388"/>
      <c r="NXQ32" s="388"/>
      <c r="NXR32" s="388"/>
      <c r="NXS32" s="388"/>
      <c r="NXT32" s="388"/>
      <c r="NXU32" s="388"/>
      <c r="NXV32" s="388"/>
      <c r="NXW32" s="388"/>
      <c r="NXX32" s="388"/>
      <c r="NXY32" s="388"/>
      <c r="NXZ32" s="388"/>
      <c r="NYA32" s="388"/>
      <c r="NYB32" s="388"/>
      <c r="NYC32" s="388"/>
      <c r="NYD32" s="388"/>
      <c r="NYE32" s="388"/>
      <c r="NYF32" s="388"/>
      <c r="NYG32" s="388"/>
      <c r="NYH32" s="388"/>
      <c r="NYI32" s="388"/>
      <c r="NYJ32" s="388"/>
      <c r="NYK32" s="388"/>
      <c r="NYL32" s="388"/>
      <c r="NYM32" s="388"/>
      <c r="NYN32" s="388"/>
      <c r="NYO32" s="388"/>
      <c r="NYP32" s="388"/>
      <c r="NYQ32" s="388"/>
      <c r="NYR32" s="388"/>
      <c r="NYS32" s="388"/>
      <c r="NYT32" s="388"/>
      <c r="NYU32" s="388"/>
      <c r="NYV32" s="388"/>
      <c r="NYW32" s="388"/>
      <c r="NYX32" s="388"/>
      <c r="NYY32" s="388"/>
      <c r="NYZ32" s="388"/>
      <c r="NZA32" s="388"/>
      <c r="NZB32" s="388"/>
      <c r="NZC32" s="388"/>
      <c r="NZD32" s="388"/>
      <c r="NZE32" s="388"/>
      <c r="NZF32" s="388"/>
      <c r="NZG32" s="388"/>
      <c r="NZH32" s="388"/>
      <c r="NZI32" s="388"/>
      <c r="NZJ32" s="388"/>
      <c r="NZK32" s="388"/>
      <c r="NZL32" s="388"/>
      <c r="NZM32" s="388"/>
      <c r="NZN32" s="388"/>
      <c r="NZO32" s="388"/>
      <c r="NZP32" s="388"/>
      <c r="NZQ32" s="388"/>
      <c r="NZR32" s="388"/>
      <c r="NZS32" s="388"/>
      <c r="NZT32" s="388"/>
      <c r="NZU32" s="388"/>
      <c r="NZV32" s="388"/>
      <c r="NZW32" s="388"/>
      <c r="NZX32" s="388"/>
      <c r="NZY32" s="388"/>
      <c r="NZZ32" s="388"/>
      <c r="OAA32" s="388"/>
      <c r="OAB32" s="388"/>
      <c r="OAC32" s="388"/>
      <c r="OAD32" s="388"/>
      <c r="OAE32" s="388"/>
      <c r="OAF32" s="388"/>
      <c r="OAG32" s="388"/>
      <c r="OAH32" s="388"/>
      <c r="OAI32" s="388"/>
      <c r="OAJ32" s="388"/>
      <c r="OAK32" s="388"/>
      <c r="OAL32" s="388"/>
      <c r="OAM32" s="388"/>
      <c r="OAN32" s="388"/>
      <c r="OAO32" s="388"/>
      <c r="OAP32" s="388"/>
      <c r="OAQ32" s="388"/>
      <c r="OAR32" s="388"/>
      <c r="OAS32" s="388"/>
      <c r="OAT32" s="388"/>
      <c r="OAU32" s="388"/>
      <c r="OAV32" s="388"/>
      <c r="OAW32" s="388"/>
      <c r="OAX32" s="388"/>
      <c r="OAY32" s="388"/>
      <c r="OAZ32" s="388"/>
      <c r="OBA32" s="388"/>
      <c r="OBB32" s="388"/>
      <c r="OBC32" s="388"/>
      <c r="OBD32" s="388"/>
      <c r="OBE32" s="388"/>
      <c r="OBF32" s="388"/>
      <c r="OBG32" s="388"/>
      <c r="OBH32" s="388"/>
      <c r="OBI32" s="388"/>
      <c r="OBJ32" s="388"/>
      <c r="OBK32" s="388"/>
      <c r="OBL32" s="388"/>
      <c r="OBM32" s="388"/>
      <c r="OBN32" s="388"/>
      <c r="OBO32" s="388"/>
      <c r="OBP32" s="388"/>
      <c r="OBQ32" s="388"/>
      <c r="OBR32" s="388"/>
      <c r="OBS32" s="388"/>
      <c r="OBT32" s="388"/>
      <c r="OBU32" s="388"/>
      <c r="OBV32" s="388"/>
      <c r="OBW32" s="388"/>
      <c r="OBX32" s="388"/>
      <c r="OBY32" s="388"/>
      <c r="OBZ32" s="388"/>
      <c r="OCA32" s="388"/>
      <c r="OCB32" s="388"/>
      <c r="OCC32" s="388"/>
      <c r="OCD32" s="388"/>
      <c r="OCE32" s="388"/>
      <c r="OCF32" s="388"/>
      <c r="OCG32" s="388"/>
      <c r="OCH32" s="388"/>
      <c r="OCI32" s="388"/>
      <c r="OCJ32" s="388"/>
      <c r="OCK32" s="388"/>
      <c r="OCL32" s="388"/>
      <c r="OCM32" s="388"/>
      <c r="OCN32" s="388"/>
      <c r="OCO32" s="388"/>
      <c r="OCP32" s="388"/>
      <c r="OCQ32" s="388"/>
      <c r="OCR32" s="388"/>
      <c r="OCS32" s="388"/>
      <c r="OCT32" s="388"/>
      <c r="OCU32" s="388"/>
      <c r="OCV32" s="388"/>
      <c r="OCW32" s="388"/>
      <c r="OCX32" s="388"/>
      <c r="OCY32" s="388"/>
      <c r="OCZ32" s="388"/>
      <c r="ODA32" s="388"/>
      <c r="ODB32" s="388"/>
      <c r="ODC32" s="388"/>
      <c r="ODD32" s="388"/>
      <c r="ODE32" s="388"/>
      <c r="ODF32" s="388"/>
      <c r="ODG32" s="388"/>
      <c r="ODH32" s="388"/>
      <c r="ODI32" s="388"/>
      <c r="ODJ32" s="388"/>
      <c r="ODK32" s="388"/>
      <c r="ODL32" s="388"/>
      <c r="ODM32" s="388"/>
      <c r="ODN32" s="388"/>
      <c r="ODO32" s="388"/>
      <c r="ODP32" s="388"/>
      <c r="ODQ32" s="388"/>
      <c r="ODR32" s="388"/>
      <c r="ODS32" s="388"/>
      <c r="ODT32" s="388"/>
      <c r="ODU32" s="388"/>
      <c r="ODV32" s="388"/>
      <c r="ODW32" s="388"/>
      <c r="ODX32" s="388"/>
      <c r="ODY32" s="388"/>
      <c r="ODZ32" s="388"/>
      <c r="OEA32" s="388"/>
      <c r="OEB32" s="388"/>
      <c r="OEC32" s="388"/>
      <c r="OED32" s="388"/>
      <c r="OEE32" s="388"/>
      <c r="OEF32" s="388"/>
      <c r="OEG32" s="388"/>
      <c r="OEH32" s="388"/>
      <c r="OEI32" s="388"/>
      <c r="OEJ32" s="388"/>
      <c r="OEK32" s="388"/>
      <c r="OEL32" s="388"/>
      <c r="OEM32" s="388"/>
      <c r="OEN32" s="388"/>
      <c r="OEO32" s="388"/>
      <c r="OEP32" s="388"/>
      <c r="OEQ32" s="388"/>
      <c r="OER32" s="388"/>
      <c r="OES32" s="388"/>
      <c r="OET32" s="388"/>
      <c r="OEU32" s="388"/>
      <c r="OEV32" s="388"/>
      <c r="OEW32" s="388"/>
      <c r="OEX32" s="388"/>
      <c r="OEY32" s="388"/>
      <c r="OEZ32" s="388"/>
      <c r="OFA32" s="388"/>
      <c r="OFB32" s="388"/>
      <c r="OFC32" s="388"/>
      <c r="OFD32" s="388"/>
      <c r="OFE32" s="388"/>
      <c r="OFF32" s="388"/>
      <c r="OFG32" s="388"/>
      <c r="OFH32" s="388"/>
      <c r="OFI32" s="388"/>
      <c r="OFJ32" s="388"/>
      <c r="OFK32" s="388"/>
      <c r="OFL32" s="388"/>
      <c r="OFM32" s="388"/>
      <c r="OFN32" s="388"/>
      <c r="OFO32" s="388"/>
      <c r="OFP32" s="388"/>
      <c r="OFQ32" s="388"/>
      <c r="OFR32" s="388"/>
      <c r="OFS32" s="388"/>
      <c r="OFT32" s="388"/>
      <c r="OFU32" s="388"/>
      <c r="OFV32" s="388"/>
      <c r="OFW32" s="388"/>
      <c r="OFX32" s="388"/>
      <c r="OFY32" s="388"/>
      <c r="OFZ32" s="388"/>
      <c r="OGA32" s="388"/>
      <c r="OGB32" s="388"/>
      <c r="OGC32" s="388"/>
      <c r="OGD32" s="388"/>
      <c r="OGE32" s="388"/>
      <c r="OGF32" s="388"/>
      <c r="OGG32" s="388"/>
      <c r="OGH32" s="388"/>
      <c r="OGI32" s="388"/>
      <c r="OGJ32" s="388"/>
      <c r="OGK32" s="388"/>
      <c r="OGL32" s="388"/>
      <c r="OGM32" s="388"/>
      <c r="OGN32" s="388"/>
      <c r="OGO32" s="388"/>
      <c r="OGP32" s="388"/>
      <c r="OGQ32" s="388"/>
      <c r="OGR32" s="388"/>
      <c r="OGS32" s="388"/>
      <c r="OGT32" s="388"/>
      <c r="OGU32" s="388"/>
      <c r="OGV32" s="388"/>
      <c r="OGW32" s="388"/>
      <c r="OGX32" s="388"/>
      <c r="OGY32" s="388"/>
      <c r="OGZ32" s="388"/>
      <c r="OHA32" s="388"/>
      <c r="OHB32" s="388"/>
      <c r="OHC32" s="388"/>
      <c r="OHD32" s="388"/>
      <c r="OHE32" s="388"/>
      <c r="OHF32" s="388"/>
      <c r="OHG32" s="388"/>
      <c r="OHH32" s="388"/>
      <c r="OHI32" s="388"/>
      <c r="OHJ32" s="388"/>
      <c r="OHK32" s="388"/>
      <c r="OHL32" s="388"/>
      <c r="OHM32" s="388"/>
      <c r="OHN32" s="388"/>
      <c r="OHO32" s="388"/>
      <c r="OHP32" s="388"/>
      <c r="OHQ32" s="388"/>
      <c r="OHR32" s="388"/>
      <c r="OHS32" s="388"/>
      <c r="OHT32" s="388"/>
      <c r="OHU32" s="388"/>
      <c r="OHV32" s="388"/>
      <c r="OHW32" s="388"/>
      <c r="OHX32" s="388"/>
      <c r="OHY32" s="388"/>
      <c r="OHZ32" s="388"/>
      <c r="OIA32" s="388"/>
      <c r="OIB32" s="388"/>
      <c r="OIC32" s="388"/>
      <c r="OID32" s="388"/>
      <c r="OIE32" s="388"/>
      <c r="OIF32" s="388"/>
      <c r="OIG32" s="388"/>
      <c r="OIH32" s="388"/>
      <c r="OII32" s="388"/>
      <c r="OIJ32" s="388"/>
      <c r="OIK32" s="388"/>
      <c r="OIL32" s="388"/>
      <c r="OIM32" s="388"/>
      <c r="OIN32" s="388"/>
      <c r="OIO32" s="388"/>
      <c r="OIP32" s="388"/>
      <c r="OIQ32" s="388"/>
      <c r="OIR32" s="388"/>
      <c r="OIS32" s="388"/>
      <c r="OIT32" s="388"/>
      <c r="OIU32" s="388"/>
      <c r="OIV32" s="388"/>
      <c r="OIW32" s="388"/>
      <c r="OIX32" s="388"/>
      <c r="OIY32" s="388"/>
      <c r="OIZ32" s="388"/>
      <c r="OJA32" s="388"/>
      <c r="OJB32" s="388"/>
      <c r="OJC32" s="388"/>
      <c r="OJD32" s="388"/>
      <c r="OJE32" s="388"/>
      <c r="OJF32" s="388"/>
      <c r="OJG32" s="388"/>
      <c r="OJH32" s="388"/>
      <c r="OJI32" s="388"/>
      <c r="OJJ32" s="388"/>
      <c r="OJK32" s="388"/>
      <c r="OJL32" s="388"/>
      <c r="OJM32" s="388"/>
      <c r="OJN32" s="388"/>
      <c r="OJO32" s="388"/>
      <c r="OJP32" s="388"/>
      <c r="OJQ32" s="388"/>
      <c r="OJR32" s="388"/>
      <c r="OJS32" s="388"/>
      <c r="OJT32" s="388"/>
      <c r="OJU32" s="388"/>
      <c r="OJV32" s="388"/>
      <c r="OJW32" s="388"/>
      <c r="OJX32" s="388"/>
      <c r="OJY32" s="388"/>
      <c r="OJZ32" s="388"/>
      <c r="OKA32" s="388"/>
      <c r="OKB32" s="388"/>
      <c r="OKC32" s="388"/>
      <c r="OKD32" s="388"/>
      <c r="OKE32" s="388"/>
      <c r="OKF32" s="388"/>
      <c r="OKG32" s="388"/>
      <c r="OKH32" s="388"/>
      <c r="OKI32" s="388"/>
      <c r="OKJ32" s="388"/>
      <c r="OKK32" s="388"/>
      <c r="OKL32" s="388"/>
      <c r="OKM32" s="388"/>
      <c r="OKN32" s="388"/>
      <c r="OKO32" s="388"/>
      <c r="OKP32" s="388"/>
      <c r="OKQ32" s="388"/>
      <c r="OKR32" s="388"/>
      <c r="OKS32" s="388"/>
      <c r="OKT32" s="388"/>
      <c r="OKU32" s="388"/>
      <c r="OKV32" s="388"/>
      <c r="OKW32" s="388"/>
      <c r="OKX32" s="388"/>
      <c r="OKY32" s="388"/>
      <c r="OKZ32" s="388"/>
      <c r="OLA32" s="388"/>
      <c r="OLB32" s="388"/>
      <c r="OLC32" s="388"/>
      <c r="OLD32" s="388"/>
      <c r="OLE32" s="388"/>
      <c r="OLF32" s="388"/>
      <c r="OLG32" s="388"/>
      <c r="OLH32" s="388"/>
      <c r="OLI32" s="388"/>
      <c r="OLJ32" s="388"/>
      <c r="OLK32" s="388"/>
      <c r="OLL32" s="388"/>
      <c r="OLM32" s="388"/>
      <c r="OLN32" s="388"/>
      <c r="OLO32" s="388"/>
      <c r="OLP32" s="388"/>
      <c r="OLQ32" s="388"/>
      <c r="OLR32" s="388"/>
      <c r="OLS32" s="388"/>
      <c r="OLT32" s="388"/>
      <c r="OLU32" s="388"/>
      <c r="OLV32" s="388"/>
      <c r="OLW32" s="388"/>
      <c r="OLX32" s="388"/>
      <c r="OLY32" s="388"/>
      <c r="OLZ32" s="388"/>
      <c r="OMA32" s="388"/>
      <c r="OMB32" s="388"/>
      <c r="OMC32" s="388"/>
      <c r="OMD32" s="388"/>
      <c r="OME32" s="388"/>
      <c r="OMF32" s="388"/>
      <c r="OMG32" s="388"/>
      <c r="OMH32" s="388"/>
      <c r="OMI32" s="388"/>
      <c r="OMJ32" s="388"/>
      <c r="OMK32" s="388"/>
      <c r="OML32" s="388"/>
      <c r="OMM32" s="388"/>
      <c r="OMN32" s="388"/>
      <c r="OMO32" s="388"/>
      <c r="OMP32" s="388"/>
      <c r="OMQ32" s="388"/>
      <c r="OMR32" s="388"/>
      <c r="OMS32" s="388"/>
      <c r="OMT32" s="388"/>
      <c r="OMU32" s="388"/>
      <c r="OMV32" s="388"/>
      <c r="OMW32" s="388"/>
      <c r="OMX32" s="388"/>
      <c r="OMY32" s="388"/>
      <c r="OMZ32" s="388"/>
      <c r="ONA32" s="388"/>
      <c r="ONB32" s="388"/>
      <c r="ONC32" s="388"/>
      <c r="OND32" s="388"/>
      <c r="ONE32" s="388"/>
      <c r="ONF32" s="388"/>
      <c r="ONG32" s="388"/>
      <c r="ONH32" s="388"/>
      <c r="ONI32" s="388"/>
      <c r="ONJ32" s="388"/>
      <c r="ONK32" s="388"/>
      <c r="ONL32" s="388"/>
      <c r="ONM32" s="388"/>
      <c r="ONN32" s="388"/>
      <c r="ONO32" s="388"/>
      <c r="ONP32" s="388"/>
      <c r="ONQ32" s="388"/>
      <c r="ONR32" s="388"/>
      <c r="ONS32" s="388"/>
      <c r="ONT32" s="388"/>
      <c r="ONU32" s="388"/>
      <c r="ONV32" s="388"/>
      <c r="ONW32" s="388"/>
      <c r="ONX32" s="388"/>
      <c r="ONY32" s="388"/>
      <c r="ONZ32" s="388"/>
      <c r="OOA32" s="388"/>
      <c r="OOB32" s="388"/>
      <c r="OOC32" s="388"/>
      <c r="OOD32" s="388"/>
      <c r="OOE32" s="388"/>
      <c r="OOF32" s="388"/>
      <c r="OOG32" s="388"/>
      <c r="OOH32" s="388"/>
      <c r="OOI32" s="388"/>
      <c r="OOJ32" s="388"/>
      <c r="OOK32" s="388"/>
      <c r="OOL32" s="388"/>
      <c r="OOM32" s="388"/>
      <c r="OON32" s="388"/>
      <c r="OOO32" s="388"/>
      <c r="OOP32" s="388"/>
      <c r="OOQ32" s="388"/>
      <c r="OOR32" s="388"/>
      <c r="OOS32" s="388"/>
      <c r="OOT32" s="388"/>
      <c r="OOU32" s="388"/>
      <c r="OOV32" s="388"/>
      <c r="OOW32" s="388"/>
      <c r="OOX32" s="388"/>
      <c r="OOY32" s="388"/>
      <c r="OOZ32" s="388"/>
      <c r="OPA32" s="388"/>
      <c r="OPB32" s="388"/>
      <c r="OPC32" s="388"/>
      <c r="OPD32" s="388"/>
      <c r="OPE32" s="388"/>
      <c r="OPF32" s="388"/>
      <c r="OPG32" s="388"/>
      <c r="OPH32" s="388"/>
      <c r="OPI32" s="388"/>
      <c r="OPJ32" s="388"/>
      <c r="OPK32" s="388"/>
      <c r="OPL32" s="388"/>
      <c r="OPM32" s="388"/>
      <c r="OPN32" s="388"/>
      <c r="OPO32" s="388"/>
      <c r="OPP32" s="388"/>
      <c r="OPQ32" s="388"/>
      <c r="OPR32" s="388"/>
      <c r="OPS32" s="388"/>
      <c r="OPT32" s="388"/>
      <c r="OPU32" s="388"/>
      <c r="OPV32" s="388"/>
      <c r="OPW32" s="388"/>
      <c r="OPX32" s="388"/>
      <c r="OPY32" s="388"/>
      <c r="OPZ32" s="388"/>
      <c r="OQA32" s="388"/>
      <c r="OQB32" s="388"/>
      <c r="OQC32" s="388"/>
      <c r="OQD32" s="388"/>
      <c r="OQE32" s="388"/>
      <c r="OQF32" s="388"/>
      <c r="OQG32" s="388"/>
      <c r="OQH32" s="388"/>
      <c r="OQI32" s="388"/>
      <c r="OQJ32" s="388"/>
      <c r="OQK32" s="388"/>
      <c r="OQL32" s="388"/>
      <c r="OQM32" s="388"/>
      <c r="OQN32" s="388"/>
      <c r="OQO32" s="388"/>
      <c r="OQP32" s="388"/>
      <c r="OQQ32" s="388"/>
      <c r="OQR32" s="388"/>
      <c r="OQS32" s="388"/>
      <c r="OQT32" s="388"/>
      <c r="OQU32" s="388"/>
      <c r="OQV32" s="388"/>
      <c r="OQW32" s="388"/>
      <c r="OQX32" s="388"/>
      <c r="OQY32" s="388"/>
      <c r="OQZ32" s="388"/>
      <c r="ORA32" s="388"/>
      <c r="ORB32" s="388"/>
      <c r="ORC32" s="388"/>
      <c r="ORD32" s="388"/>
      <c r="ORE32" s="388"/>
      <c r="ORF32" s="388"/>
      <c r="ORG32" s="388"/>
      <c r="ORH32" s="388"/>
      <c r="ORI32" s="388"/>
      <c r="ORJ32" s="388"/>
      <c r="ORK32" s="388"/>
      <c r="ORL32" s="388"/>
      <c r="ORM32" s="388"/>
      <c r="ORN32" s="388"/>
      <c r="ORO32" s="388"/>
      <c r="ORP32" s="388"/>
      <c r="ORQ32" s="388"/>
      <c r="ORR32" s="388"/>
      <c r="ORS32" s="388"/>
      <c r="ORT32" s="388"/>
      <c r="ORU32" s="388"/>
      <c r="ORV32" s="388"/>
      <c r="ORW32" s="388"/>
      <c r="ORX32" s="388"/>
      <c r="ORY32" s="388"/>
      <c r="ORZ32" s="388"/>
      <c r="OSA32" s="388"/>
      <c r="OSB32" s="388"/>
      <c r="OSC32" s="388"/>
      <c r="OSD32" s="388"/>
      <c r="OSE32" s="388"/>
      <c r="OSF32" s="388"/>
      <c r="OSG32" s="388"/>
      <c r="OSH32" s="388"/>
      <c r="OSI32" s="388"/>
      <c r="OSJ32" s="388"/>
      <c r="OSK32" s="388"/>
      <c r="OSL32" s="388"/>
      <c r="OSM32" s="388"/>
      <c r="OSN32" s="388"/>
      <c r="OSO32" s="388"/>
      <c r="OSP32" s="388"/>
      <c r="OSQ32" s="388"/>
      <c r="OSR32" s="388"/>
      <c r="OSS32" s="388"/>
      <c r="OST32" s="388"/>
      <c r="OSU32" s="388"/>
      <c r="OSV32" s="388"/>
      <c r="OSW32" s="388"/>
      <c r="OSX32" s="388"/>
      <c r="OSY32" s="388"/>
      <c r="OSZ32" s="388"/>
      <c r="OTA32" s="388"/>
      <c r="OTB32" s="388"/>
      <c r="OTC32" s="388"/>
      <c r="OTD32" s="388"/>
      <c r="OTE32" s="388"/>
      <c r="OTF32" s="388"/>
      <c r="OTG32" s="388"/>
      <c r="OTH32" s="388"/>
      <c r="OTI32" s="388"/>
      <c r="OTJ32" s="388"/>
      <c r="OTK32" s="388"/>
      <c r="OTL32" s="388"/>
      <c r="OTM32" s="388"/>
      <c r="OTN32" s="388"/>
      <c r="OTO32" s="388"/>
      <c r="OTP32" s="388"/>
      <c r="OTQ32" s="388"/>
      <c r="OTR32" s="388"/>
      <c r="OTS32" s="388"/>
      <c r="OTT32" s="388"/>
      <c r="OTU32" s="388"/>
      <c r="OTV32" s="388"/>
      <c r="OTW32" s="388"/>
      <c r="OTX32" s="388"/>
      <c r="OTY32" s="388"/>
      <c r="OTZ32" s="388"/>
      <c r="OUA32" s="388"/>
      <c r="OUB32" s="388"/>
      <c r="OUC32" s="388"/>
      <c r="OUD32" s="388"/>
      <c r="OUE32" s="388"/>
      <c r="OUF32" s="388"/>
      <c r="OUG32" s="388"/>
      <c r="OUH32" s="388"/>
      <c r="OUI32" s="388"/>
      <c r="OUJ32" s="388"/>
      <c r="OUK32" s="388"/>
      <c r="OUL32" s="388"/>
      <c r="OUM32" s="388"/>
      <c r="OUN32" s="388"/>
      <c r="OUO32" s="388"/>
      <c r="OUP32" s="388"/>
      <c r="OUQ32" s="388"/>
      <c r="OUR32" s="388"/>
      <c r="OUS32" s="388"/>
      <c r="OUT32" s="388"/>
      <c r="OUU32" s="388"/>
      <c r="OUV32" s="388"/>
      <c r="OUW32" s="388"/>
      <c r="OUX32" s="388"/>
      <c r="OUY32" s="388"/>
      <c r="OUZ32" s="388"/>
      <c r="OVA32" s="388"/>
      <c r="OVB32" s="388"/>
      <c r="OVC32" s="388"/>
      <c r="OVD32" s="388"/>
      <c r="OVE32" s="388"/>
      <c r="OVF32" s="388"/>
      <c r="OVG32" s="388"/>
      <c r="OVH32" s="388"/>
      <c r="OVI32" s="388"/>
      <c r="OVJ32" s="388"/>
      <c r="OVK32" s="388"/>
      <c r="OVL32" s="388"/>
      <c r="OVM32" s="388"/>
      <c r="OVN32" s="388"/>
      <c r="OVO32" s="388"/>
      <c r="OVP32" s="388"/>
      <c r="OVQ32" s="388"/>
      <c r="OVR32" s="388"/>
      <c r="OVS32" s="388"/>
      <c r="OVT32" s="388"/>
      <c r="OVU32" s="388"/>
      <c r="OVV32" s="388"/>
      <c r="OVW32" s="388"/>
      <c r="OVX32" s="388"/>
      <c r="OVY32" s="388"/>
      <c r="OVZ32" s="388"/>
      <c r="OWA32" s="388"/>
      <c r="OWB32" s="388"/>
      <c r="OWC32" s="388"/>
      <c r="OWD32" s="388"/>
      <c r="OWE32" s="388"/>
      <c r="OWF32" s="388"/>
      <c r="OWG32" s="388"/>
      <c r="OWH32" s="388"/>
      <c r="OWI32" s="388"/>
      <c r="OWJ32" s="388"/>
      <c r="OWK32" s="388"/>
      <c r="OWL32" s="388"/>
      <c r="OWM32" s="388"/>
      <c r="OWN32" s="388"/>
      <c r="OWO32" s="388"/>
      <c r="OWP32" s="388"/>
      <c r="OWQ32" s="388"/>
      <c r="OWR32" s="388"/>
      <c r="OWS32" s="388"/>
      <c r="OWT32" s="388"/>
      <c r="OWU32" s="388"/>
      <c r="OWV32" s="388"/>
      <c r="OWW32" s="388"/>
      <c r="OWX32" s="388"/>
      <c r="OWY32" s="388"/>
      <c r="OWZ32" s="388"/>
      <c r="OXA32" s="388"/>
      <c r="OXB32" s="388"/>
      <c r="OXC32" s="388"/>
      <c r="OXD32" s="388"/>
      <c r="OXE32" s="388"/>
      <c r="OXF32" s="388"/>
      <c r="OXG32" s="388"/>
      <c r="OXH32" s="388"/>
      <c r="OXI32" s="388"/>
      <c r="OXJ32" s="388"/>
      <c r="OXK32" s="388"/>
      <c r="OXL32" s="388"/>
      <c r="OXM32" s="388"/>
      <c r="OXN32" s="388"/>
      <c r="OXO32" s="388"/>
      <c r="OXP32" s="388"/>
      <c r="OXQ32" s="388"/>
      <c r="OXR32" s="388"/>
      <c r="OXS32" s="388"/>
      <c r="OXT32" s="388"/>
      <c r="OXU32" s="388"/>
      <c r="OXV32" s="388"/>
      <c r="OXW32" s="388"/>
      <c r="OXX32" s="388"/>
      <c r="OXY32" s="388"/>
      <c r="OXZ32" s="388"/>
      <c r="OYA32" s="388"/>
      <c r="OYB32" s="388"/>
      <c r="OYC32" s="388"/>
      <c r="OYD32" s="388"/>
      <c r="OYE32" s="388"/>
      <c r="OYF32" s="388"/>
      <c r="OYG32" s="388"/>
      <c r="OYH32" s="388"/>
      <c r="OYI32" s="388"/>
      <c r="OYJ32" s="388"/>
      <c r="OYK32" s="388"/>
      <c r="OYL32" s="388"/>
      <c r="OYM32" s="388"/>
      <c r="OYN32" s="388"/>
      <c r="OYO32" s="388"/>
      <c r="OYP32" s="388"/>
      <c r="OYQ32" s="388"/>
      <c r="OYR32" s="388"/>
      <c r="OYS32" s="388"/>
      <c r="OYT32" s="388"/>
      <c r="OYU32" s="388"/>
      <c r="OYV32" s="388"/>
      <c r="OYW32" s="388"/>
      <c r="OYX32" s="388"/>
      <c r="OYY32" s="388"/>
      <c r="OYZ32" s="388"/>
      <c r="OZA32" s="388"/>
      <c r="OZB32" s="388"/>
      <c r="OZC32" s="388"/>
      <c r="OZD32" s="388"/>
      <c r="OZE32" s="388"/>
      <c r="OZF32" s="388"/>
      <c r="OZG32" s="388"/>
      <c r="OZH32" s="388"/>
      <c r="OZI32" s="388"/>
      <c r="OZJ32" s="388"/>
      <c r="OZK32" s="388"/>
      <c r="OZL32" s="388"/>
      <c r="OZM32" s="388"/>
      <c r="OZN32" s="388"/>
      <c r="OZO32" s="388"/>
      <c r="OZP32" s="388"/>
      <c r="OZQ32" s="388"/>
      <c r="OZR32" s="388"/>
      <c r="OZS32" s="388"/>
      <c r="OZT32" s="388"/>
      <c r="OZU32" s="388"/>
      <c r="OZV32" s="388"/>
      <c r="OZW32" s="388"/>
      <c r="OZX32" s="388"/>
      <c r="OZY32" s="388"/>
      <c r="OZZ32" s="388"/>
      <c r="PAA32" s="388"/>
      <c r="PAB32" s="388"/>
      <c r="PAC32" s="388"/>
      <c r="PAD32" s="388"/>
      <c r="PAE32" s="388"/>
      <c r="PAF32" s="388"/>
      <c r="PAG32" s="388"/>
      <c r="PAH32" s="388"/>
      <c r="PAI32" s="388"/>
      <c r="PAJ32" s="388"/>
      <c r="PAK32" s="388"/>
      <c r="PAL32" s="388"/>
      <c r="PAM32" s="388"/>
      <c r="PAN32" s="388"/>
      <c r="PAO32" s="388"/>
      <c r="PAP32" s="388"/>
      <c r="PAQ32" s="388"/>
      <c r="PAR32" s="388"/>
      <c r="PAS32" s="388"/>
      <c r="PAT32" s="388"/>
      <c r="PAU32" s="388"/>
      <c r="PAV32" s="388"/>
      <c r="PAW32" s="388"/>
      <c r="PAX32" s="388"/>
      <c r="PAY32" s="388"/>
      <c r="PAZ32" s="388"/>
      <c r="PBA32" s="388"/>
      <c r="PBB32" s="388"/>
      <c r="PBC32" s="388"/>
      <c r="PBD32" s="388"/>
      <c r="PBE32" s="388"/>
      <c r="PBF32" s="388"/>
      <c r="PBG32" s="388"/>
      <c r="PBH32" s="388"/>
      <c r="PBI32" s="388"/>
      <c r="PBJ32" s="388"/>
      <c r="PBK32" s="388"/>
      <c r="PBL32" s="388"/>
      <c r="PBM32" s="388"/>
      <c r="PBN32" s="388"/>
      <c r="PBO32" s="388"/>
      <c r="PBP32" s="388"/>
      <c r="PBQ32" s="388"/>
      <c r="PBR32" s="388"/>
      <c r="PBS32" s="388"/>
      <c r="PBT32" s="388"/>
      <c r="PBU32" s="388"/>
      <c r="PBV32" s="388"/>
      <c r="PBW32" s="388"/>
      <c r="PBX32" s="388"/>
      <c r="PBY32" s="388"/>
      <c r="PBZ32" s="388"/>
      <c r="PCA32" s="388"/>
      <c r="PCB32" s="388"/>
      <c r="PCC32" s="388"/>
      <c r="PCD32" s="388"/>
      <c r="PCE32" s="388"/>
      <c r="PCF32" s="388"/>
      <c r="PCG32" s="388"/>
      <c r="PCH32" s="388"/>
      <c r="PCI32" s="388"/>
      <c r="PCJ32" s="388"/>
      <c r="PCK32" s="388"/>
      <c r="PCL32" s="388"/>
      <c r="PCM32" s="388"/>
      <c r="PCN32" s="388"/>
      <c r="PCO32" s="388"/>
      <c r="PCP32" s="388"/>
      <c r="PCQ32" s="388"/>
      <c r="PCR32" s="388"/>
      <c r="PCS32" s="388"/>
      <c r="PCT32" s="388"/>
      <c r="PCU32" s="388"/>
      <c r="PCV32" s="388"/>
      <c r="PCW32" s="388"/>
      <c r="PCX32" s="388"/>
      <c r="PCY32" s="388"/>
      <c r="PCZ32" s="388"/>
      <c r="PDA32" s="388"/>
      <c r="PDB32" s="388"/>
      <c r="PDC32" s="388"/>
      <c r="PDD32" s="388"/>
      <c r="PDE32" s="388"/>
      <c r="PDF32" s="388"/>
      <c r="PDG32" s="388"/>
      <c r="PDH32" s="388"/>
      <c r="PDI32" s="388"/>
      <c r="PDJ32" s="388"/>
      <c r="PDK32" s="388"/>
      <c r="PDL32" s="388"/>
      <c r="PDM32" s="388"/>
      <c r="PDN32" s="388"/>
      <c r="PDO32" s="388"/>
      <c r="PDP32" s="388"/>
      <c r="PDQ32" s="388"/>
      <c r="PDR32" s="388"/>
      <c r="PDS32" s="388"/>
      <c r="PDT32" s="388"/>
      <c r="PDU32" s="388"/>
      <c r="PDV32" s="388"/>
      <c r="PDW32" s="388"/>
      <c r="PDX32" s="388"/>
      <c r="PDY32" s="388"/>
      <c r="PDZ32" s="388"/>
      <c r="PEA32" s="388"/>
      <c r="PEB32" s="388"/>
      <c r="PEC32" s="388"/>
      <c r="PED32" s="388"/>
      <c r="PEE32" s="388"/>
      <c r="PEF32" s="388"/>
      <c r="PEG32" s="388"/>
      <c r="PEH32" s="388"/>
      <c r="PEI32" s="388"/>
      <c r="PEJ32" s="388"/>
      <c r="PEK32" s="388"/>
      <c r="PEL32" s="388"/>
      <c r="PEM32" s="388"/>
      <c r="PEN32" s="388"/>
      <c r="PEO32" s="388"/>
      <c r="PEP32" s="388"/>
      <c r="PEQ32" s="388"/>
      <c r="PER32" s="388"/>
      <c r="PES32" s="388"/>
      <c r="PET32" s="388"/>
      <c r="PEU32" s="388"/>
      <c r="PEV32" s="388"/>
      <c r="PEW32" s="388"/>
      <c r="PEX32" s="388"/>
      <c r="PEY32" s="388"/>
      <c r="PEZ32" s="388"/>
      <c r="PFA32" s="388"/>
      <c r="PFB32" s="388"/>
      <c r="PFC32" s="388"/>
      <c r="PFD32" s="388"/>
      <c r="PFE32" s="388"/>
      <c r="PFF32" s="388"/>
      <c r="PFG32" s="388"/>
      <c r="PFH32" s="388"/>
      <c r="PFI32" s="388"/>
      <c r="PFJ32" s="388"/>
      <c r="PFK32" s="388"/>
      <c r="PFL32" s="388"/>
      <c r="PFM32" s="388"/>
      <c r="PFN32" s="388"/>
      <c r="PFO32" s="388"/>
      <c r="PFP32" s="388"/>
      <c r="PFQ32" s="388"/>
      <c r="PFR32" s="388"/>
      <c r="PFS32" s="388"/>
      <c r="PFT32" s="388"/>
      <c r="PFU32" s="388"/>
      <c r="PFV32" s="388"/>
      <c r="PFW32" s="388"/>
      <c r="PFX32" s="388"/>
      <c r="PFY32" s="388"/>
      <c r="PFZ32" s="388"/>
      <c r="PGA32" s="388"/>
      <c r="PGB32" s="388"/>
      <c r="PGC32" s="388"/>
      <c r="PGD32" s="388"/>
      <c r="PGE32" s="388"/>
      <c r="PGF32" s="388"/>
      <c r="PGG32" s="388"/>
      <c r="PGH32" s="388"/>
      <c r="PGI32" s="388"/>
      <c r="PGJ32" s="388"/>
      <c r="PGK32" s="388"/>
      <c r="PGL32" s="388"/>
      <c r="PGM32" s="388"/>
      <c r="PGN32" s="388"/>
      <c r="PGO32" s="388"/>
      <c r="PGP32" s="388"/>
      <c r="PGQ32" s="388"/>
      <c r="PGR32" s="388"/>
      <c r="PGS32" s="388"/>
      <c r="PGT32" s="388"/>
      <c r="PGU32" s="388"/>
      <c r="PGV32" s="388"/>
      <c r="PGW32" s="388"/>
      <c r="PGX32" s="388"/>
      <c r="PGY32" s="388"/>
      <c r="PGZ32" s="388"/>
      <c r="PHA32" s="388"/>
      <c r="PHB32" s="388"/>
      <c r="PHC32" s="388"/>
      <c r="PHD32" s="388"/>
      <c r="PHE32" s="388"/>
      <c r="PHF32" s="388"/>
      <c r="PHG32" s="388"/>
      <c r="PHH32" s="388"/>
      <c r="PHI32" s="388"/>
      <c r="PHJ32" s="388"/>
      <c r="PHK32" s="388"/>
      <c r="PHL32" s="388"/>
      <c r="PHM32" s="388"/>
      <c r="PHN32" s="388"/>
      <c r="PHO32" s="388"/>
      <c r="PHP32" s="388"/>
      <c r="PHQ32" s="388"/>
      <c r="PHR32" s="388"/>
      <c r="PHS32" s="388"/>
      <c r="PHT32" s="388"/>
      <c r="PHU32" s="388"/>
      <c r="PHV32" s="388"/>
      <c r="PHW32" s="388"/>
      <c r="PHX32" s="388"/>
      <c r="PHY32" s="388"/>
      <c r="PHZ32" s="388"/>
      <c r="PIA32" s="388"/>
      <c r="PIB32" s="388"/>
      <c r="PIC32" s="388"/>
      <c r="PID32" s="388"/>
      <c r="PIE32" s="388"/>
      <c r="PIF32" s="388"/>
      <c r="PIG32" s="388"/>
      <c r="PIH32" s="388"/>
      <c r="PII32" s="388"/>
      <c r="PIJ32" s="388"/>
      <c r="PIK32" s="388"/>
      <c r="PIL32" s="388"/>
      <c r="PIM32" s="388"/>
      <c r="PIN32" s="388"/>
      <c r="PIO32" s="388"/>
      <c r="PIP32" s="388"/>
      <c r="PIQ32" s="388"/>
      <c r="PIR32" s="388"/>
      <c r="PIS32" s="388"/>
      <c r="PIT32" s="388"/>
      <c r="PIU32" s="388"/>
      <c r="PIV32" s="388"/>
      <c r="PIW32" s="388"/>
      <c r="PIX32" s="388"/>
      <c r="PIY32" s="388"/>
      <c r="PIZ32" s="388"/>
      <c r="PJA32" s="388"/>
      <c r="PJB32" s="388"/>
      <c r="PJC32" s="388"/>
      <c r="PJD32" s="388"/>
      <c r="PJE32" s="388"/>
      <c r="PJF32" s="388"/>
      <c r="PJG32" s="388"/>
      <c r="PJH32" s="388"/>
      <c r="PJI32" s="388"/>
      <c r="PJJ32" s="388"/>
      <c r="PJK32" s="388"/>
      <c r="PJL32" s="388"/>
      <c r="PJM32" s="388"/>
      <c r="PJN32" s="388"/>
      <c r="PJO32" s="388"/>
      <c r="PJP32" s="388"/>
      <c r="PJQ32" s="388"/>
      <c r="PJR32" s="388"/>
      <c r="PJS32" s="388"/>
      <c r="PJT32" s="388"/>
      <c r="PJU32" s="388"/>
      <c r="PJV32" s="388"/>
      <c r="PJW32" s="388"/>
      <c r="PJX32" s="388"/>
      <c r="PJY32" s="388"/>
      <c r="PJZ32" s="388"/>
      <c r="PKA32" s="388"/>
      <c r="PKB32" s="388"/>
      <c r="PKC32" s="388"/>
      <c r="PKD32" s="388"/>
      <c r="PKE32" s="388"/>
      <c r="PKF32" s="388"/>
      <c r="PKG32" s="388"/>
      <c r="PKH32" s="388"/>
      <c r="PKI32" s="388"/>
      <c r="PKJ32" s="388"/>
      <c r="PKK32" s="388"/>
      <c r="PKL32" s="388"/>
      <c r="PKM32" s="388"/>
      <c r="PKN32" s="388"/>
      <c r="PKO32" s="388"/>
      <c r="PKP32" s="388"/>
      <c r="PKQ32" s="388"/>
      <c r="PKR32" s="388"/>
      <c r="PKS32" s="388"/>
      <c r="PKT32" s="388"/>
      <c r="PKU32" s="388"/>
      <c r="PKV32" s="388"/>
      <c r="PKW32" s="388"/>
      <c r="PKX32" s="388"/>
      <c r="PKY32" s="388"/>
      <c r="PKZ32" s="388"/>
      <c r="PLA32" s="388"/>
      <c r="PLB32" s="388"/>
      <c r="PLC32" s="388"/>
      <c r="PLD32" s="388"/>
      <c r="PLE32" s="388"/>
      <c r="PLF32" s="388"/>
      <c r="PLG32" s="388"/>
      <c r="PLH32" s="388"/>
      <c r="PLI32" s="388"/>
      <c r="PLJ32" s="388"/>
      <c r="PLK32" s="388"/>
      <c r="PLL32" s="388"/>
      <c r="PLM32" s="388"/>
      <c r="PLN32" s="388"/>
      <c r="PLO32" s="388"/>
      <c r="PLP32" s="388"/>
      <c r="PLQ32" s="388"/>
      <c r="PLR32" s="388"/>
      <c r="PLS32" s="388"/>
      <c r="PLT32" s="388"/>
      <c r="PLU32" s="388"/>
      <c r="PLV32" s="388"/>
      <c r="PLW32" s="388"/>
      <c r="PLX32" s="388"/>
      <c r="PLY32" s="388"/>
      <c r="PLZ32" s="388"/>
      <c r="PMA32" s="388"/>
      <c r="PMB32" s="388"/>
      <c r="PMC32" s="388"/>
      <c r="PMD32" s="388"/>
      <c r="PME32" s="388"/>
      <c r="PMF32" s="388"/>
      <c r="PMG32" s="388"/>
      <c r="PMH32" s="388"/>
      <c r="PMI32" s="388"/>
      <c r="PMJ32" s="388"/>
      <c r="PMK32" s="388"/>
      <c r="PML32" s="388"/>
      <c r="PMM32" s="388"/>
      <c r="PMN32" s="388"/>
      <c r="PMO32" s="388"/>
      <c r="PMP32" s="388"/>
      <c r="PMQ32" s="388"/>
      <c r="PMR32" s="388"/>
      <c r="PMS32" s="388"/>
      <c r="PMT32" s="388"/>
      <c r="PMU32" s="388"/>
      <c r="PMV32" s="388"/>
      <c r="PMW32" s="388"/>
      <c r="PMX32" s="388"/>
      <c r="PMY32" s="388"/>
      <c r="PMZ32" s="388"/>
      <c r="PNA32" s="388"/>
      <c r="PNB32" s="388"/>
      <c r="PNC32" s="388"/>
      <c r="PND32" s="388"/>
      <c r="PNE32" s="388"/>
      <c r="PNF32" s="388"/>
      <c r="PNG32" s="388"/>
      <c r="PNH32" s="388"/>
      <c r="PNI32" s="388"/>
      <c r="PNJ32" s="388"/>
      <c r="PNK32" s="388"/>
      <c r="PNL32" s="388"/>
      <c r="PNM32" s="388"/>
      <c r="PNN32" s="388"/>
      <c r="PNO32" s="388"/>
      <c r="PNP32" s="388"/>
      <c r="PNQ32" s="388"/>
      <c r="PNR32" s="388"/>
      <c r="PNS32" s="388"/>
      <c r="PNT32" s="388"/>
      <c r="PNU32" s="388"/>
      <c r="PNV32" s="388"/>
      <c r="PNW32" s="388"/>
      <c r="PNX32" s="388"/>
      <c r="PNY32" s="388"/>
      <c r="PNZ32" s="388"/>
      <c r="POA32" s="388"/>
      <c r="POB32" s="388"/>
      <c r="POC32" s="388"/>
      <c r="POD32" s="388"/>
      <c r="POE32" s="388"/>
      <c r="POF32" s="388"/>
      <c r="POG32" s="388"/>
      <c r="POH32" s="388"/>
      <c r="POI32" s="388"/>
      <c r="POJ32" s="388"/>
      <c r="POK32" s="388"/>
      <c r="POL32" s="388"/>
      <c r="POM32" s="388"/>
      <c r="PON32" s="388"/>
      <c r="POO32" s="388"/>
      <c r="POP32" s="388"/>
      <c r="POQ32" s="388"/>
      <c r="POR32" s="388"/>
      <c r="POS32" s="388"/>
      <c r="POT32" s="388"/>
      <c r="POU32" s="388"/>
      <c r="POV32" s="388"/>
      <c r="POW32" s="388"/>
      <c r="POX32" s="388"/>
      <c r="POY32" s="388"/>
      <c r="POZ32" s="388"/>
      <c r="PPA32" s="388"/>
      <c r="PPB32" s="388"/>
      <c r="PPC32" s="388"/>
      <c r="PPD32" s="388"/>
      <c r="PPE32" s="388"/>
      <c r="PPF32" s="388"/>
      <c r="PPG32" s="388"/>
      <c r="PPH32" s="388"/>
      <c r="PPI32" s="388"/>
      <c r="PPJ32" s="388"/>
      <c r="PPK32" s="388"/>
      <c r="PPL32" s="388"/>
      <c r="PPM32" s="388"/>
      <c r="PPN32" s="388"/>
      <c r="PPO32" s="388"/>
      <c r="PPP32" s="388"/>
      <c r="PPQ32" s="388"/>
      <c r="PPR32" s="388"/>
      <c r="PPS32" s="388"/>
      <c r="PPT32" s="388"/>
      <c r="PPU32" s="388"/>
      <c r="PPV32" s="388"/>
      <c r="PPW32" s="388"/>
      <c r="PPX32" s="388"/>
      <c r="PPY32" s="388"/>
      <c r="PPZ32" s="388"/>
      <c r="PQA32" s="388"/>
      <c r="PQB32" s="388"/>
      <c r="PQC32" s="388"/>
      <c r="PQD32" s="388"/>
      <c r="PQE32" s="388"/>
      <c r="PQF32" s="388"/>
      <c r="PQG32" s="388"/>
      <c r="PQH32" s="388"/>
      <c r="PQI32" s="388"/>
      <c r="PQJ32" s="388"/>
      <c r="PQK32" s="388"/>
      <c r="PQL32" s="388"/>
      <c r="PQM32" s="388"/>
      <c r="PQN32" s="388"/>
      <c r="PQO32" s="388"/>
      <c r="PQP32" s="388"/>
      <c r="PQQ32" s="388"/>
      <c r="PQR32" s="388"/>
      <c r="PQS32" s="388"/>
      <c r="PQT32" s="388"/>
      <c r="PQU32" s="388"/>
      <c r="PQV32" s="388"/>
      <c r="PQW32" s="388"/>
      <c r="PQX32" s="388"/>
      <c r="PQY32" s="388"/>
      <c r="PQZ32" s="388"/>
      <c r="PRA32" s="388"/>
      <c r="PRB32" s="388"/>
      <c r="PRC32" s="388"/>
      <c r="PRD32" s="388"/>
      <c r="PRE32" s="388"/>
      <c r="PRF32" s="388"/>
      <c r="PRG32" s="388"/>
      <c r="PRH32" s="388"/>
      <c r="PRI32" s="388"/>
      <c r="PRJ32" s="388"/>
      <c r="PRK32" s="388"/>
      <c r="PRL32" s="388"/>
      <c r="PRM32" s="388"/>
      <c r="PRN32" s="388"/>
      <c r="PRO32" s="388"/>
      <c r="PRP32" s="388"/>
      <c r="PRQ32" s="388"/>
      <c r="PRR32" s="388"/>
      <c r="PRS32" s="388"/>
      <c r="PRT32" s="388"/>
      <c r="PRU32" s="388"/>
      <c r="PRV32" s="388"/>
      <c r="PRW32" s="388"/>
      <c r="PRX32" s="388"/>
      <c r="PRY32" s="388"/>
      <c r="PRZ32" s="388"/>
      <c r="PSA32" s="388"/>
      <c r="PSB32" s="388"/>
      <c r="PSC32" s="388"/>
      <c r="PSD32" s="388"/>
      <c r="PSE32" s="388"/>
      <c r="PSF32" s="388"/>
      <c r="PSG32" s="388"/>
      <c r="PSH32" s="388"/>
      <c r="PSI32" s="388"/>
      <c r="PSJ32" s="388"/>
      <c r="PSK32" s="388"/>
      <c r="PSL32" s="388"/>
      <c r="PSM32" s="388"/>
      <c r="PSN32" s="388"/>
      <c r="PSO32" s="388"/>
      <c r="PSP32" s="388"/>
      <c r="PSQ32" s="388"/>
      <c r="PSR32" s="388"/>
      <c r="PSS32" s="388"/>
      <c r="PST32" s="388"/>
      <c r="PSU32" s="388"/>
      <c r="PSV32" s="388"/>
      <c r="PSW32" s="388"/>
      <c r="PSX32" s="388"/>
      <c r="PSY32" s="388"/>
      <c r="PSZ32" s="388"/>
      <c r="PTA32" s="388"/>
      <c r="PTB32" s="388"/>
      <c r="PTC32" s="388"/>
      <c r="PTD32" s="388"/>
      <c r="PTE32" s="388"/>
      <c r="PTF32" s="388"/>
      <c r="PTG32" s="388"/>
      <c r="PTH32" s="388"/>
      <c r="PTI32" s="388"/>
      <c r="PTJ32" s="388"/>
      <c r="PTK32" s="388"/>
      <c r="PTL32" s="388"/>
      <c r="PTM32" s="388"/>
      <c r="PTN32" s="388"/>
      <c r="PTO32" s="388"/>
      <c r="PTP32" s="388"/>
      <c r="PTQ32" s="388"/>
      <c r="PTR32" s="388"/>
      <c r="PTS32" s="388"/>
      <c r="PTT32" s="388"/>
      <c r="PTU32" s="388"/>
      <c r="PTV32" s="388"/>
      <c r="PTW32" s="388"/>
      <c r="PTX32" s="388"/>
      <c r="PTY32" s="388"/>
      <c r="PTZ32" s="388"/>
      <c r="PUA32" s="388"/>
      <c r="PUB32" s="388"/>
      <c r="PUC32" s="388"/>
      <c r="PUD32" s="388"/>
      <c r="PUE32" s="388"/>
      <c r="PUF32" s="388"/>
      <c r="PUG32" s="388"/>
      <c r="PUH32" s="388"/>
      <c r="PUI32" s="388"/>
      <c r="PUJ32" s="388"/>
      <c r="PUK32" s="388"/>
      <c r="PUL32" s="388"/>
      <c r="PUM32" s="388"/>
      <c r="PUN32" s="388"/>
      <c r="PUO32" s="388"/>
      <c r="PUP32" s="388"/>
      <c r="PUQ32" s="388"/>
      <c r="PUR32" s="388"/>
      <c r="PUS32" s="388"/>
      <c r="PUT32" s="388"/>
      <c r="PUU32" s="388"/>
      <c r="PUV32" s="388"/>
      <c r="PUW32" s="388"/>
      <c r="PUX32" s="388"/>
      <c r="PUY32" s="388"/>
      <c r="PUZ32" s="388"/>
      <c r="PVA32" s="388"/>
      <c r="PVB32" s="388"/>
      <c r="PVC32" s="388"/>
      <c r="PVD32" s="388"/>
      <c r="PVE32" s="388"/>
      <c r="PVF32" s="388"/>
      <c r="PVG32" s="388"/>
      <c r="PVH32" s="388"/>
      <c r="PVI32" s="388"/>
      <c r="PVJ32" s="388"/>
      <c r="PVK32" s="388"/>
      <c r="PVL32" s="388"/>
      <c r="PVM32" s="388"/>
      <c r="PVN32" s="388"/>
      <c r="PVO32" s="388"/>
      <c r="PVP32" s="388"/>
      <c r="PVQ32" s="388"/>
      <c r="PVR32" s="388"/>
      <c r="PVS32" s="388"/>
      <c r="PVT32" s="388"/>
      <c r="PVU32" s="388"/>
      <c r="PVV32" s="388"/>
      <c r="PVW32" s="388"/>
      <c r="PVX32" s="388"/>
      <c r="PVY32" s="388"/>
      <c r="PVZ32" s="388"/>
      <c r="PWA32" s="388"/>
      <c r="PWB32" s="388"/>
      <c r="PWC32" s="388"/>
      <c r="PWD32" s="388"/>
      <c r="PWE32" s="388"/>
      <c r="PWF32" s="388"/>
      <c r="PWG32" s="388"/>
      <c r="PWH32" s="388"/>
      <c r="PWI32" s="388"/>
      <c r="PWJ32" s="388"/>
      <c r="PWK32" s="388"/>
      <c r="PWL32" s="388"/>
      <c r="PWM32" s="388"/>
      <c r="PWN32" s="388"/>
      <c r="PWO32" s="388"/>
      <c r="PWP32" s="388"/>
      <c r="PWQ32" s="388"/>
      <c r="PWR32" s="388"/>
      <c r="PWS32" s="388"/>
      <c r="PWT32" s="388"/>
      <c r="PWU32" s="388"/>
      <c r="PWV32" s="388"/>
      <c r="PWW32" s="388"/>
      <c r="PWX32" s="388"/>
      <c r="PWY32" s="388"/>
      <c r="PWZ32" s="388"/>
      <c r="PXA32" s="388"/>
      <c r="PXB32" s="388"/>
      <c r="PXC32" s="388"/>
      <c r="PXD32" s="388"/>
      <c r="PXE32" s="388"/>
      <c r="PXF32" s="388"/>
      <c r="PXG32" s="388"/>
      <c r="PXH32" s="388"/>
      <c r="PXI32" s="388"/>
      <c r="PXJ32" s="388"/>
      <c r="PXK32" s="388"/>
      <c r="PXL32" s="388"/>
      <c r="PXM32" s="388"/>
      <c r="PXN32" s="388"/>
      <c r="PXO32" s="388"/>
      <c r="PXP32" s="388"/>
      <c r="PXQ32" s="388"/>
      <c r="PXR32" s="388"/>
      <c r="PXS32" s="388"/>
      <c r="PXT32" s="388"/>
      <c r="PXU32" s="388"/>
      <c r="PXV32" s="388"/>
      <c r="PXW32" s="388"/>
      <c r="PXX32" s="388"/>
      <c r="PXY32" s="388"/>
      <c r="PXZ32" s="388"/>
      <c r="PYA32" s="388"/>
      <c r="PYB32" s="388"/>
      <c r="PYC32" s="388"/>
      <c r="PYD32" s="388"/>
      <c r="PYE32" s="388"/>
      <c r="PYF32" s="388"/>
      <c r="PYG32" s="388"/>
      <c r="PYH32" s="388"/>
      <c r="PYI32" s="388"/>
      <c r="PYJ32" s="388"/>
      <c r="PYK32" s="388"/>
      <c r="PYL32" s="388"/>
      <c r="PYM32" s="388"/>
      <c r="PYN32" s="388"/>
      <c r="PYO32" s="388"/>
      <c r="PYP32" s="388"/>
      <c r="PYQ32" s="388"/>
      <c r="PYR32" s="388"/>
      <c r="PYS32" s="388"/>
      <c r="PYT32" s="388"/>
      <c r="PYU32" s="388"/>
      <c r="PYV32" s="388"/>
      <c r="PYW32" s="388"/>
      <c r="PYX32" s="388"/>
      <c r="PYY32" s="388"/>
      <c r="PYZ32" s="388"/>
      <c r="PZA32" s="388"/>
      <c r="PZB32" s="388"/>
      <c r="PZC32" s="388"/>
      <c r="PZD32" s="388"/>
      <c r="PZE32" s="388"/>
      <c r="PZF32" s="388"/>
      <c r="PZG32" s="388"/>
      <c r="PZH32" s="388"/>
      <c r="PZI32" s="388"/>
      <c r="PZJ32" s="388"/>
      <c r="PZK32" s="388"/>
      <c r="PZL32" s="388"/>
      <c r="PZM32" s="388"/>
      <c r="PZN32" s="388"/>
      <c r="PZO32" s="388"/>
      <c r="PZP32" s="388"/>
      <c r="PZQ32" s="388"/>
      <c r="PZR32" s="388"/>
      <c r="PZS32" s="388"/>
      <c r="PZT32" s="388"/>
      <c r="PZU32" s="388"/>
      <c r="PZV32" s="388"/>
      <c r="PZW32" s="388"/>
      <c r="PZX32" s="388"/>
      <c r="PZY32" s="388"/>
      <c r="PZZ32" s="388"/>
      <c r="QAA32" s="388"/>
      <c r="QAB32" s="388"/>
      <c r="QAC32" s="388"/>
      <c r="QAD32" s="388"/>
      <c r="QAE32" s="388"/>
      <c r="QAF32" s="388"/>
      <c r="QAG32" s="388"/>
      <c r="QAH32" s="388"/>
      <c r="QAI32" s="388"/>
      <c r="QAJ32" s="388"/>
      <c r="QAK32" s="388"/>
      <c r="QAL32" s="388"/>
      <c r="QAM32" s="388"/>
      <c r="QAN32" s="388"/>
      <c r="QAO32" s="388"/>
      <c r="QAP32" s="388"/>
      <c r="QAQ32" s="388"/>
      <c r="QAR32" s="388"/>
      <c r="QAS32" s="388"/>
      <c r="QAT32" s="388"/>
      <c r="QAU32" s="388"/>
      <c r="QAV32" s="388"/>
      <c r="QAW32" s="388"/>
      <c r="QAX32" s="388"/>
      <c r="QAY32" s="388"/>
      <c r="QAZ32" s="388"/>
      <c r="QBA32" s="388"/>
      <c r="QBB32" s="388"/>
      <c r="QBC32" s="388"/>
      <c r="QBD32" s="388"/>
      <c r="QBE32" s="388"/>
      <c r="QBF32" s="388"/>
      <c r="QBG32" s="388"/>
      <c r="QBH32" s="388"/>
      <c r="QBI32" s="388"/>
      <c r="QBJ32" s="388"/>
      <c r="QBK32" s="388"/>
      <c r="QBL32" s="388"/>
      <c r="QBM32" s="388"/>
      <c r="QBN32" s="388"/>
      <c r="QBO32" s="388"/>
      <c r="QBP32" s="388"/>
      <c r="QBQ32" s="388"/>
      <c r="QBR32" s="388"/>
      <c r="QBS32" s="388"/>
      <c r="QBT32" s="388"/>
      <c r="QBU32" s="388"/>
      <c r="QBV32" s="388"/>
      <c r="QBW32" s="388"/>
      <c r="QBX32" s="388"/>
      <c r="QBY32" s="388"/>
      <c r="QBZ32" s="388"/>
      <c r="QCA32" s="388"/>
      <c r="QCB32" s="388"/>
      <c r="QCC32" s="388"/>
      <c r="QCD32" s="388"/>
      <c r="QCE32" s="388"/>
      <c r="QCF32" s="388"/>
      <c r="QCG32" s="388"/>
      <c r="QCH32" s="388"/>
      <c r="QCI32" s="388"/>
      <c r="QCJ32" s="388"/>
      <c r="QCK32" s="388"/>
      <c r="QCL32" s="388"/>
      <c r="QCM32" s="388"/>
      <c r="QCN32" s="388"/>
      <c r="QCO32" s="388"/>
      <c r="QCP32" s="388"/>
      <c r="QCQ32" s="388"/>
      <c r="QCR32" s="388"/>
      <c r="QCS32" s="388"/>
      <c r="QCT32" s="388"/>
      <c r="QCU32" s="388"/>
      <c r="QCV32" s="388"/>
      <c r="QCW32" s="388"/>
      <c r="QCX32" s="388"/>
      <c r="QCY32" s="388"/>
      <c r="QCZ32" s="388"/>
      <c r="QDA32" s="388"/>
      <c r="QDB32" s="388"/>
      <c r="QDC32" s="388"/>
      <c r="QDD32" s="388"/>
      <c r="QDE32" s="388"/>
      <c r="QDF32" s="388"/>
      <c r="QDG32" s="388"/>
      <c r="QDH32" s="388"/>
      <c r="QDI32" s="388"/>
      <c r="QDJ32" s="388"/>
      <c r="QDK32" s="388"/>
      <c r="QDL32" s="388"/>
      <c r="QDM32" s="388"/>
      <c r="QDN32" s="388"/>
      <c r="QDO32" s="388"/>
      <c r="QDP32" s="388"/>
      <c r="QDQ32" s="388"/>
      <c r="QDR32" s="388"/>
      <c r="QDS32" s="388"/>
      <c r="QDT32" s="388"/>
      <c r="QDU32" s="388"/>
      <c r="QDV32" s="388"/>
      <c r="QDW32" s="388"/>
      <c r="QDX32" s="388"/>
      <c r="QDY32" s="388"/>
      <c r="QDZ32" s="388"/>
      <c r="QEA32" s="388"/>
      <c r="QEB32" s="388"/>
      <c r="QEC32" s="388"/>
      <c r="QED32" s="388"/>
      <c r="QEE32" s="388"/>
      <c r="QEF32" s="388"/>
      <c r="QEG32" s="388"/>
      <c r="QEH32" s="388"/>
      <c r="QEI32" s="388"/>
      <c r="QEJ32" s="388"/>
      <c r="QEK32" s="388"/>
      <c r="QEL32" s="388"/>
      <c r="QEM32" s="388"/>
      <c r="QEN32" s="388"/>
      <c r="QEO32" s="388"/>
      <c r="QEP32" s="388"/>
      <c r="QEQ32" s="388"/>
      <c r="QER32" s="388"/>
      <c r="QES32" s="388"/>
      <c r="QET32" s="388"/>
      <c r="QEU32" s="388"/>
      <c r="QEV32" s="388"/>
      <c r="QEW32" s="388"/>
      <c r="QEX32" s="388"/>
      <c r="QEY32" s="388"/>
      <c r="QEZ32" s="388"/>
      <c r="QFA32" s="388"/>
      <c r="QFB32" s="388"/>
      <c r="QFC32" s="388"/>
      <c r="QFD32" s="388"/>
      <c r="QFE32" s="388"/>
      <c r="QFF32" s="388"/>
      <c r="QFG32" s="388"/>
      <c r="QFH32" s="388"/>
      <c r="QFI32" s="388"/>
      <c r="QFJ32" s="388"/>
      <c r="QFK32" s="388"/>
      <c r="QFL32" s="388"/>
      <c r="QFM32" s="388"/>
      <c r="QFN32" s="388"/>
      <c r="QFO32" s="388"/>
      <c r="QFP32" s="388"/>
      <c r="QFQ32" s="388"/>
      <c r="QFR32" s="388"/>
      <c r="QFS32" s="388"/>
      <c r="QFT32" s="388"/>
      <c r="QFU32" s="388"/>
      <c r="QFV32" s="388"/>
      <c r="QFW32" s="388"/>
      <c r="QFX32" s="388"/>
      <c r="QFY32" s="388"/>
      <c r="QFZ32" s="388"/>
      <c r="QGA32" s="388"/>
      <c r="QGB32" s="388"/>
      <c r="QGC32" s="388"/>
      <c r="QGD32" s="388"/>
      <c r="QGE32" s="388"/>
      <c r="QGF32" s="388"/>
      <c r="QGG32" s="388"/>
      <c r="QGH32" s="388"/>
      <c r="QGI32" s="388"/>
      <c r="QGJ32" s="388"/>
      <c r="QGK32" s="388"/>
      <c r="QGL32" s="388"/>
      <c r="QGM32" s="388"/>
      <c r="QGN32" s="388"/>
      <c r="QGO32" s="388"/>
      <c r="QGP32" s="388"/>
      <c r="QGQ32" s="388"/>
      <c r="QGR32" s="388"/>
      <c r="QGS32" s="388"/>
      <c r="QGT32" s="388"/>
      <c r="QGU32" s="388"/>
      <c r="QGV32" s="388"/>
      <c r="QGW32" s="388"/>
      <c r="QGX32" s="388"/>
      <c r="QGY32" s="388"/>
      <c r="QGZ32" s="388"/>
      <c r="QHA32" s="388"/>
      <c r="QHB32" s="388"/>
      <c r="QHC32" s="388"/>
      <c r="QHD32" s="388"/>
      <c r="QHE32" s="388"/>
      <c r="QHF32" s="388"/>
      <c r="QHG32" s="388"/>
      <c r="QHH32" s="388"/>
      <c r="QHI32" s="388"/>
      <c r="QHJ32" s="388"/>
      <c r="QHK32" s="388"/>
      <c r="QHL32" s="388"/>
      <c r="QHM32" s="388"/>
      <c r="QHN32" s="388"/>
      <c r="QHO32" s="388"/>
      <c r="QHP32" s="388"/>
      <c r="QHQ32" s="388"/>
      <c r="QHR32" s="388"/>
      <c r="QHS32" s="388"/>
      <c r="QHT32" s="388"/>
      <c r="QHU32" s="388"/>
      <c r="QHV32" s="388"/>
      <c r="QHW32" s="388"/>
      <c r="QHX32" s="388"/>
      <c r="QHY32" s="388"/>
      <c r="QHZ32" s="388"/>
      <c r="QIA32" s="388"/>
      <c r="QIB32" s="388"/>
      <c r="QIC32" s="388"/>
      <c r="QID32" s="388"/>
      <c r="QIE32" s="388"/>
      <c r="QIF32" s="388"/>
      <c r="QIG32" s="388"/>
      <c r="QIH32" s="388"/>
      <c r="QII32" s="388"/>
      <c r="QIJ32" s="388"/>
      <c r="QIK32" s="388"/>
      <c r="QIL32" s="388"/>
      <c r="QIM32" s="388"/>
      <c r="QIN32" s="388"/>
      <c r="QIO32" s="388"/>
      <c r="QIP32" s="388"/>
      <c r="QIQ32" s="388"/>
      <c r="QIR32" s="388"/>
      <c r="QIS32" s="388"/>
      <c r="QIT32" s="388"/>
      <c r="QIU32" s="388"/>
      <c r="QIV32" s="388"/>
      <c r="QIW32" s="388"/>
      <c r="QIX32" s="388"/>
      <c r="QIY32" s="388"/>
      <c r="QIZ32" s="388"/>
      <c r="QJA32" s="388"/>
      <c r="QJB32" s="388"/>
      <c r="QJC32" s="388"/>
      <c r="QJD32" s="388"/>
      <c r="QJE32" s="388"/>
      <c r="QJF32" s="388"/>
      <c r="QJG32" s="388"/>
      <c r="QJH32" s="388"/>
      <c r="QJI32" s="388"/>
      <c r="QJJ32" s="388"/>
      <c r="QJK32" s="388"/>
      <c r="QJL32" s="388"/>
      <c r="QJM32" s="388"/>
      <c r="QJN32" s="388"/>
      <c r="QJO32" s="388"/>
      <c r="QJP32" s="388"/>
      <c r="QJQ32" s="388"/>
      <c r="QJR32" s="388"/>
      <c r="QJS32" s="388"/>
      <c r="QJT32" s="388"/>
      <c r="QJU32" s="388"/>
      <c r="QJV32" s="388"/>
      <c r="QJW32" s="388"/>
      <c r="QJX32" s="388"/>
      <c r="QJY32" s="388"/>
      <c r="QJZ32" s="388"/>
      <c r="QKA32" s="388"/>
      <c r="QKB32" s="388"/>
      <c r="QKC32" s="388"/>
      <c r="QKD32" s="388"/>
      <c r="QKE32" s="388"/>
      <c r="QKF32" s="388"/>
      <c r="QKG32" s="388"/>
      <c r="QKH32" s="388"/>
      <c r="QKI32" s="388"/>
      <c r="QKJ32" s="388"/>
      <c r="QKK32" s="388"/>
      <c r="QKL32" s="388"/>
      <c r="QKM32" s="388"/>
      <c r="QKN32" s="388"/>
      <c r="QKO32" s="388"/>
      <c r="QKP32" s="388"/>
      <c r="QKQ32" s="388"/>
      <c r="QKR32" s="388"/>
      <c r="QKS32" s="388"/>
      <c r="QKT32" s="388"/>
      <c r="QKU32" s="388"/>
      <c r="QKV32" s="388"/>
      <c r="QKW32" s="388"/>
      <c r="QKX32" s="388"/>
      <c r="QKY32" s="388"/>
      <c r="QKZ32" s="388"/>
      <c r="QLA32" s="388"/>
      <c r="QLB32" s="388"/>
      <c r="QLC32" s="388"/>
      <c r="QLD32" s="388"/>
      <c r="QLE32" s="388"/>
      <c r="QLF32" s="388"/>
      <c r="QLG32" s="388"/>
      <c r="QLH32" s="388"/>
      <c r="QLI32" s="388"/>
      <c r="QLJ32" s="388"/>
      <c r="QLK32" s="388"/>
      <c r="QLL32" s="388"/>
      <c r="QLM32" s="388"/>
      <c r="QLN32" s="388"/>
      <c r="QLO32" s="388"/>
      <c r="QLP32" s="388"/>
      <c r="QLQ32" s="388"/>
      <c r="QLR32" s="388"/>
      <c r="QLS32" s="388"/>
      <c r="QLT32" s="388"/>
      <c r="QLU32" s="388"/>
      <c r="QLV32" s="388"/>
      <c r="QLW32" s="388"/>
      <c r="QLX32" s="388"/>
      <c r="QLY32" s="388"/>
      <c r="QLZ32" s="388"/>
      <c r="QMA32" s="388"/>
      <c r="QMB32" s="388"/>
      <c r="QMC32" s="388"/>
      <c r="QMD32" s="388"/>
      <c r="QME32" s="388"/>
      <c r="QMF32" s="388"/>
      <c r="QMG32" s="388"/>
      <c r="QMH32" s="388"/>
      <c r="QMI32" s="388"/>
      <c r="QMJ32" s="388"/>
      <c r="QMK32" s="388"/>
      <c r="QML32" s="388"/>
      <c r="QMM32" s="388"/>
      <c r="QMN32" s="388"/>
      <c r="QMO32" s="388"/>
      <c r="QMP32" s="388"/>
      <c r="QMQ32" s="388"/>
      <c r="QMR32" s="388"/>
      <c r="QMS32" s="388"/>
      <c r="QMT32" s="388"/>
      <c r="QMU32" s="388"/>
      <c r="QMV32" s="388"/>
      <c r="QMW32" s="388"/>
      <c r="QMX32" s="388"/>
      <c r="QMY32" s="388"/>
      <c r="QMZ32" s="388"/>
      <c r="QNA32" s="388"/>
      <c r="QNB32" s="388"/>
      <c r="QNC32" s="388"/>
      <c r="QND32" s="388"/>
      <c r="QNE32" s="388"/>
      <c r="QNF32" s="388"/>
      <c r="QNG32" s="388"/>
      <c r="QNH32" s="388"/>
      <c r="QNI32" s="388"/>
      <c r="QNJ32" s="388"/>
      <c r="QNK32" s="388"/>
      <c r="QNL32" s="388"/>
      <c r="QNM32" s="388"/>
      <c r="QNN32" s="388"/>
      <c r="QNO32" s="388"/>
      <c r="QNP32" s="388"/>
      <c r="QNQ32" s="388"/>
      <c r="QNR32" s="388"/>
      <c r="QNS32" s="388"/>
      <c r="QNT32" s="388"/>
      <c r="QNU32" s="388"/>
      <c r="QNV32" s="388"/>
      <c r="QNW32" s="388"/>
      <c r="QNX32" s="388"/>
      <c r="QNY32" s="388"/>
      <c r="QNZ32" s="388"/>
      <c r="QOA32" s="388"/>
      <c r="QOB32" s="388"/>
      <c r="QOC32" s="388"/>
      <c r="QOD32" s="388"/>
      <c r="QOE32" s="388"/>
      <c r="QOF32" s="388"/>
      <c r="QOG32" s="388"/>
      <c r="QOH32" s="388"/>
      <c r="QOI32" s="388"/>
      <c r="QOJ32" s="388"/>
      <c r="QOK32" s="388"/>
      <c r="QOL32" s="388"/>
      <c r="QOM32" s="388"/>
      <c r="QON32" s="388"/>
      <c r="QOO32" s="388"/>
      <c r="QOP32" s="388"/>
      <c r="QOQ32" s="388"/>
      <c r="QOR32" s="388"/>
      <c r="QOS32" s="388"/>
      <c r="QOT32" s="388"/>
      <c r="QOU32" s="388"/>
      <c r="QOV32" s="388"/>
      <c r="QOW32" s="388"/>
      <c r="QOX32" s="388"/>
      <c r="QOY32" s="388"/>
      <c r="QOZ32" s="388"/>
      <c r="QPA32" s="388"/>
      <c r="QPB32" s="388"/>
      <c r="QPC32" s="388"/>
      <c r="QPD32" s="388"/>
      <c r="QPE32" s="388"/>
      <c r="QPF32" s="388"/>
      <c r="QPG32" s="388"/>
      <c r="QPH32" s="388"/>
      <c r="QPI32" s="388"/>
      <c r="QPJ32" s="388"/>
      <c r="QPK32" s="388"/>
      <c r="QPL32" s="388"/>
      <c r="QPM32" s="388"/>
      <c r="QPN32" s="388"/>
      <c r="QPO32" s="388"/>
      <c r="QPP32" s="388"/>
      <c r="QPQ32" s="388"/>
      <c r="QPR32" s="388"/>
      <c r="QPS32" s="388"/>
      <c r="QPT32" s="388"/>
      <c r="QPU32" s="388"/>
      <c r="QPV32" s="388"/>
      <c r="QPW32" s="388"/>
      <c r="QPX32" s="388"/>
      <c r="QPY32" s="388"/>
      <c r="QPZ32" s="388"/>
      <c r="QQA32" s="388"/>
      <c r="QQB32" s="388"/>
      <c r="QQC32" s="388"/>
      <c r="QQD32" s="388"/>
      <c r="QQE32" s="388"/>
      <c r="QQF32" s="388"/>
      <c r="QQG32" s="388"/>
      <c r="QQH32" s="388"/>
      <c r="QQI32" s="388"/>
      <c r="QQJ32" s="388"/>
      <c r="QQK32" s="388"/>
      <c r="QQL32" s="388"/>
      <c r="QQM32" s="388"/>
      <c r="QQN32" s="388"/>
      <c r="QQO32" s="388"/>
      <c r="QQP32" s="388"/>
      <c r="QQQ32" s="388"/>
      <c r="QQR32" s="388"/>
      <c r="QQS32" s="388"/>
      <c r="QQT32" s="388"/>
      <c r="QQU32" s="388"/>
      <c r="QQV32" s="388"/>
      <c r="QQW32" s="388"/>
      <c r="QQX32" s="388"/>
      <c r="QQY32" s="388"/>
      <c r="QQZ32" s="388"/>
      <c r="QRA32" s="388"/>
      <c r="QRB32" s="388"/>
      <c r="QRC32" s="388"/>
      <c r="QRD32" s="388"/>
      <c r="QRE32" s="388"/>
      <c r="QRF32" s="388"/>
      <c r="QRG32" s="388"/>
      <c r="QRH32" s="388"/>
      <c r="QRI32" s="388"/>
      <c r="QRJ32" s="388"/>
      <c r="QRK32" s="388"/>
      <c r="QRL32" s="388"/>
      <c r="QRM32" s="388"/>
      <c r="QRN32" s="388"/>
      <c r="QRO32" s="388"/>
      <c r="QRP32" s="388"/>
      <c r="QRQ32" s="388"/>
      <c r="QRR32" s="388"/>
      <c r="QRS32" s="388"/>
      <c r="QRT32" s="388"/>
      <c r="QRU32" s="388"/>
      <c r="QRV32" s="388"/>
      <c r="QRW32" s="388"/>
      <c r="QRX32" s="388"/>
      <c r="QRY32" s="388"/>
      <c r="QRZ32" s="388"/>
      <c r="QSA32" s="388"/>
      <c r="QSB32" s="388"/>
      <c r="QSC32" s="388"/>
      <c r="QSD32" s="388"/>
      <c r="QSE32" s="388"/>
      <c r="QSF32" s="388"/>
      <c r="QSG32" s="388"/>
      <c r="QSH32" s="388"/>
      <c r="QSI32" s="388"/>
      <c r="QSJ32" s="388"/>
      <c r="QSK32" s="388"/>
      <c r="QSL32" s="388"/>
      <c r="QSM32" s="388"/>
      <c r="QSN32" s="388"/>
      <c r="QSO32" s="388"/>
      <c r="QSP32" s="388"/>
      <c r="QSQ32" s="388"/>
      <c r="QSR32" s="388"/>
      <c r="QSS32" s="388"/>
      <c r="QST32" s="388"/>
      <c r="QSU32" s="388"/>
      <c r="QSV32" s="388"/>
      <c r="QSW32" s="388"/>
      <c r="QSX32" s="388"/>
      <c r="QSY32" s="388"/>
      <c r="QSZ32" s="388"/>
      <c r="QTA32" s="388"/>
      <c r="QTB32" s="388"/>
      <c r="QTC32" s="388"/>
      <c r="QTD32" s="388"/>
      <c r="QTE32" s="388"/>
      <c r="QTF32" s="388"/>
      <c r="QTG32" s="388"/>
      <c r="QTH32" s="388"/>
      <c r="QTI32" s="388"/>
      <c r="QTJ32" s="388"/>
      <c r="QTK32" s="388"/>
      <c r="QTL32" s="388"/>
      <c r="QTM32" s="388"/>
      <c r="QTN32" s="388"/>
      <c r="QTO32" s="388"/>
      <c r="QTP32" s="388"/>
      <c r="QTQ32" s="388"/>
      <c r="QTR32" s="388"/>
      <c r="QTS32" s="388"/>
      <c r="QTT32" s="388"/>
      <c r="QTU32" s="388"/>
      <c r="QTV32" s="388"/>
      <c r="QTW32" s="388"/>
      <c r="QTX32" s="388"/>
      <c r="QTY32" s="388"/>
      <c r="QTZ32" s="388"/>
      <c r="QUA32" s="388"/>
      <c r="QUB32" s="388"/>
      <c r="QUC32" s="388"/>
      <c r="QUD32" s="388"/>
      <c r="QUE32" s="388"/>
      <c r="QUF32" s="388"/>
      <c r="QUG32" s="388"/>
      <c r="QUH32" s="388"/>
      <c r="QUI32" s="388"/>
      <c r="QUJ32" s="388"/>
      <c r="QUK32" s="388"/>
      <c r="QUL32" s="388"/>
      <c r="QUM32" s="388"/>
      <c r="QUN32" s="388"/>
      <c r="QUO32" s="388"/>
      <c r="QUP32" s="388"/>
      <c r="QUQ32" s="388"/>
      <c r="QUR32" s="388"/>
      <c r="QUS32" s="388"/>
      <c r="QUT32" s="388"/>
      <c r="QUU32" s="388"/>
      <c r="QUV32" s="388"/>
      <c r="QUW32" s="388"/>
      <c r="QUX32" s="388"/>
      <c r="QUY32" s="388"/>
      <c r="QUZ32" s="388"/>
      <c r="QVA32" s="388"/>
      <c r="QVB32" s="388"/>
      <c r="QVC32" s="388"/>
      <c r="QVD32" s="388"/>
      <c r="QVE32" s="388"/>
      <c r="QVF32" s="388"/>
      <c r="QVG32" s="388"/>
      <c r="QVH32" s="388"/>
      <c r="QVI32" s="388"/>
      <c r="QVJ32" s="388"/>
      <c r="QVK32" s="388"/>
      <c r="QVL32" s="388"/>
      <c r="QVM32" s="388"/>
      <c r="QVN32" s="388"/>
      <c r="QVO32" s="388"/>
      <c r="QVP32" s="388"/>
      <c r="QVQ32" s="388"/>
      <c r="QVR32" s="388"/>
      <c r="QVS32" s="388"/>
      <c r="QVT32" s="388"/>
      <c r="QVU32" s="388"/>
      <c r="QVV32" s="388"/>
      <c r="QVW32" s="388"/>
      <c r="QVX32" s="388"/>
      <c r="QVY32" s="388"/>
      <c r="QVZ32" s="388"/>
      <c r="QWA32" s="388"/>
      <c r="QWB32" s="388"/>
      <c r="QWC32" s="388"/>
      <c r="QWD32" s="388"/>
      <c r="QWE32" s="388"/>
      <c r="QWF32" s="388"/>
      <c r="QWG32" s="388"/>
      <c r="QWH32" s="388"/>
      <c r="QWI32" s="388"/>
      <c r="QWJ32" s="388"/>
      <c r="QWK32" s="388"/>
      <c r="QWL32" s="388"/>
      <c r="QWM32" s="388"/>
      <c r="QWN32" s="388"/>
      <c r="QWO32" s="388"/>
      <c r="QWP32" s="388"/>
      <c r="QWQ32" s="388"/>
      <c r="QWR32" s="388"/>
      <c r="QWS32" s="388"/>
      <c r="QWT32" s="388"/>
      <c r="QWU32" s="388"/>
      <c r="QWV32" s="388"/>
      <c r="QWW32" s="388"/>
      <c r="QWX32" s="388"/>
      <c r="QWY32" s="388"/>
      <c r="QWZ32" s="388"/>
      <c r="QXA32" s="388"/>
      <c r="QXB32" s="388"/>
      <c r="QXC32" s="388"/>
      <c r="QXD32" s="388"/>
      <c r="QXE32" s="388"/>
      <c r="QXF32" s="388"/>
      <c r="QXG32" s="388"/>
      <c r="QXH32" s="388"/>
      <c r="QXI32" s="388"/>
      <c r="QXJ32" s="388"/>
      <c r="QXK32" s="388"/>
      <c r="QXL32" s="388"/>
      <c r="QXM32" s="388"/>
      <c r="QXN32" s="388"/>
      <c r="QXO32" s="388"/>
      <c r="QXP32" s="388"/>
      <c r="QXQ32" s="388"/>
      <c r="QXR32" s="388"/>
      <c r="QXS32" s="388"/>
      <c r="QXT32" s="388"/>
      <c r="QXU32" s="388"/>
      <c r="QXV32" s="388"/>
      <c r="QXW32" s="388"/>
      <c r="QXX32" s="388"/>
      <c r="QXY32" s="388"/>
      <c r="QXZ32" s="388"/>
      <c r="QYA32" s="388"/>
      <c r="QYB32" s="388"/>
      <c r="QYC32" s="388"/>
      <c r="QYD32" s="388"/>
      <c r="QYE32" s="388"/>
      <c r="QYF32" s="388"/>
      <c r="QYG32" s="388"/>
      <c r="QYH32" s="388"/>
      <c r="QYI32" s="388"/>
      <c r="QYJ32" s="388"/>
      <c r="QYK32" s="388"/>
      <c r="QYL32" s="388"/>
      <c r="QYM32" s="388"/>
      <c r="QYN32" s="388"/>
      <c r="QYO32" s="388"/>
      <c r="QYP32" s="388"/>
      <c r="QYQ32" s="388"/>
      <c r="QYR32" s="388"/>
      <c r="QYS32" s="388"/>
      <c r="QYT32" s="388"/>
      <c r="QYU32" s="388"/>
      <c r="QYV32" s="388"/>
      <c r="QYW32" s="388"/>
      <c r="QYX32" s="388"/>
      <c r="QYY32" s="388"/>
      <c r="QYZ32" s="388"/>
      <c r="QZA32" s="388"/>
      <c r="QZB32" s="388"/>
      <c r="QZC32" s="388"/>
      <c r="QZD32" s="388"/>
      <c r="QZE32" s="388"/>
      <c r="QZF32" s="388"/>
      <c r="QZG32" s="388"/>
      <c r="QZH32" s="388"/>
      <c r="QZI32" s="388"/>
      <c r="QZJ32" s="388"/>
      <c r="QZK32" s="388"/>
      <c r="QZL32" s="388"/>
      <c r="QZM32" s="388"/>
      <c r="QZN32" s="388"/>
      <c r="QZO32" s="388"/>
      <c r="QZP32" s="388"/>
      <c r="QZQ32" s="388"/>
      <c r="QZR32" s="388"/>
      <c r="QZS32" s="388"/>
      <c r="QZT32" s="388"/>
      <c r="QZU32" s="388"/>
      <c r="QZV32" s="388"/>
      <c r="QZW32" s="388"/>
      <c r="QZX32" s="388"/>
      <c r="QZY32" s="388"/>
      <c r="QZZ32" s="388"/>
      <c r="RAA32" s="388"/>
      <c r="RAB32" s="388"/>
      <c r="RAC32" s="388"/>
      <c r="RAD32" s="388"/>
      <c r="RAE32" s="388"/>
      <c r="RAF32" s="388"/>
      <c r="RAG32" s="388"/>
      <c r="RAH32" s="388"/>
      <c r="RAI32" s="388"/>
      <c r="RAJ32" s="388"/>
      <c r="RAK32" s="388"/>
      <c r="RAL32" s="388"/>
      <c r="RAM32" s="388"/>
      <c r="RAN32" s="388"/>
      <c r="RAO32" s="388"/>
      <c r="RAP32" s="388"/>
      <c r="RAQ32" s="388"/>
      <c r="RAR32" s="388"/>
      <c r="RAS32" s="388"/>
      <c r="RAT32" s="388"/>
      <c r="RAU32" s="388"/>
      <c r="RAV32" s="388"/>
      <c r="RAW32" s="388"/>
      <c r="RAX32" s="388"/>
      <c r="RAY32" s="388"/>
      <c r="RAZ32" s="388"/>
      <c r="RBA32" s="388"/>
      <c r="RBB32" s="388"/>
      <c r="RBC32" s="388"/>
      <c r="RBD32" s="388"/>
      <c r="RBE32" s="388"/>
      <c r="RBF32" s="388"/>
      <c r="RBG32" s="388"/>
      <c r="RBH32" s="388"/>
      <c r="RBI32" s="388"/>
      <c r="RBJ32" s="388"/>
      <c r="RBK32" s="388"/>
      <c r="RBL32" s="388"/>
      <c r="RBM32" s="388"/>
      <c r="RBN32" s="388"/>
      <c r="RBO32" s="388"/>
      <c r="RBP32" s="388"/>
      <c r="RBQ32" s="388"/>
      <c r="RBR32" s="388"/>
      <c r="RBS32" s="388"/>
      <c r="RBT32" s="388"/>
      <c r="RBU32" s="388"/>
      <c r="RBV32" s="388"/>
      <c r="RBW32" s="388"/>
      <c r="RBX32" s="388"/>
      <c r="RBY32" s="388"/>
      <c r="RBZ32" s="388"/>
      <c r="RCA32" s="388"/>
      <c r="RCB32" s="388"/>
      <c r="RCC32" s="388"/>
      <c r="RCD32" s="388"/>
      <c r="RCE32" s="388"/>
      <c r="RCF32" s="388"/>
      <c r="RCG32" s="388"/>
      <c r="RCH32" s="388"/>
      <c r="RCI32" s="388"/>
      <c r="RCJ32" s="388"/>
      <c r="RCK32" s="388"/>
      <c r="RCL32" s="388"/>
      <c r="RCM32" s="388"/>
      <c r="RCN32" s="388"/>
      <c r="RCO32" s="388"/>
      <c r="RCP32" s="388"/>
      <c r="RCQ32" s="388"/>
      <c r="RCR32" s="388"/>
      <c r="RCS32" s="388"/>
      <c r="RCT32" s="388"/>
      <c r="RCU32" s="388"/>
      <c r="RCV32" s="388"/>
      <c r="RCW32" s="388"/>
      <c r="RCX32" s="388"/>
      <c r="RCY32" s="388"/>
      <c r="RCZ32" s="388"/>
      <c r="RDA32" s="388"/>
      <c r="RDB32" s="388"/>
      <c r="RDC32" s="388"/>
      <c r="RDD32" s="388"/>
      <c r="RDE32" s="388"/>
      <c r="RDF32" s="388"/>
      <c r="RDG32" s="388"/>
      <c r="RDH32" s="388"/>
      <c r="RDI32" s="388"/>
      <c r="RDJ32" s="388"/>
      <c r="RDK32" s="388"/>
      <c r="RDL32" s="388"/>
      <c r="RDM32" s="388"/>
      <c r="RDN32" s="388"/>
      <c r="RDO32" s="388"/>
      <c r="RDP32" s="388"/>
      <c r="RDQ32" s="388"/>
      <c r="RDR32" s="388"/>
      <c r="RDS32" s="388"/>
      <c r="RDT32" s="388"/>
      <c r="RDU32" s="388"/>
      <c r="RDV32" s="388"/>
      <c r="RDW32" s="388"/>
      <c r="RDX32" s="388"/>
      <c r="RDY32" s="388"/>
      <c r="RDZ32" s="388"/>
      <c r="REA32" s="388"/>
      <c r="REB32" s="388"/>
      <c r="REC32" s="388"/>
      <c r="RED32" s="388"/>
      <c r="REE32" s="388"/>
      <c r="REF32" s="388"/>
      <c r="REG32" s="388"/>
      <c r="REH32" s="388"/>
      <c r="REI32" s="388"/>
      <c r="REJ32" s="388"/>
      <c r="REK32" s="388"/>
      <c r="REL32" s="388"/>
      <c r="REM32" s="388"/>
      <c r="REN32" s="388"/>
      <c r="REO32" s="388"/>
      <c r="REP32" s="388"/>
      <c r="REQ32" s="388"/>
      <c r="RER32" s="388"/>
      <c r="RES32" s="388"/>
      <c r="RET32" s="388"/>
      <c r="REU32" s="388"/>
      <c r="REV32" s="388"/>
      <c r="REW32" s="388"/>
      <c r="REX32" s="388"/>
      <c r="REY32" s="388"/>
      <c r="REZ32" s="388"/>
      <c r="RFA32" s="388"/>
      <c r="RFB32" s="388"/>
      <c r="RFC32" s="388"/>
      <c r="RFD32" s="388"/>
      <c r="RFE32" s="388"/>
      <c r="RFF32" s="388"/>
      <c r="RFG32" s="388"/>
      <c r="RFH32" s="388"/>
      <c r="RFI32" s="388"/>
      <c r="RFJ32" s="388"/>
      <c r="RFK32" s="388"/>
      <c r="RFL32" s="388"/>
      <c r="RFM32" s="388"/>
      <c r="RFN32" s="388"/>
      <c r="RFO32" s="388"/>
      <c r="RFP32" s="388"/>
      <c r="RFQ32" s="388"/>
      <c r="RFR32" s="388"/>
      <c r="RFS32" s="388"/>
      <c r="RFT32" s="388"/>
      <c r="RFU32" s="388"/>
      <c r="RFV32" s="388"/>
      <c r="RFW32" s="388"/>
      <c r="RFX32" s="388"/>
      <c r="RFY32" s="388"/>
      <c r="RFZ32" s="388"/>
      <c r="RGA32" s="388"/>
      <c r="RGB32" s="388"/>
      <c r="RGC32" s="388"/>
      <c r="RGD32" s="388"/>
      <c r="RGE32" s="388"/>
      <c r="RGF32" s="388"/>
      <c r="RGG32" s="388"/>
      <c r="RGH32" s="388"/>
      <c r="RGI32" s="388"/>
      <c r="RGJ32" s="388"/>
      <c r="RGK32" s="388"/>
      <c r="RGL32" s="388"/>
      <c r="RGM32" s="388"/>
      <c r="RGN32" s="388"/>
      <c r="RGO32" s="388"/>
      <c r="RGP32" s="388"/>
      <c r="RGQ32" s="388"/>
      <c r="RGR32" s="388"/>
      <c r="RGS32" s="388"/>
      <c r="RGT32" s="388"/>
      <c r="RGU32" s="388"/>
      <c r="RGV32" s="388"/>
      <c r="RGW32" s="388"/>
      <c r="RGX32" s="388"/>
      <c r="RGY32" s="388"/>
      <c r="RGZ32" s="388"/>
      <c r="RHA32" s="388"/>
      <c r="RHB32" s="388"/>
      <c r="RHC32" s="388"/>
      <c r="RHD32" s="388"/>
      <c r="RHE32" s="388"/>
      <c r="RHF32" s="388"/>
      <c r="RHG32" s="388"/>
      <c r="RHH32" s="388"/>
      <c r="RHI32" s="388"/>
      <c r="RHJ32" s="388"/>
      <c r="RHK32" s="388"/>
      <c r="RHL32" s="388"/>
      <c r="RHM32" s="388"/>
      <c r="RHN32" s="388"/>
      <c r="RHO32" s="388"/>
      <c r="RHP32" s="388"/>
      <c r="RHQ32" s="388"/>
      <c r="RHR32" s="388"/>
      <c r="RHS32" s="388"/>
      <c r="RHT32" s="388"/>
      <c r="RHU32" s="388"/>
      <c r="RHV32" s="388"/>
      <c r="RHW32" s="388"/>
      <c r="RHX32" s="388"/>
      <c r="RHY32" s="388"/>
      <c r="RHZ32" s="388"/>
      <c r="RIA32" s="388"/>
      <c r="RIB32" s="388"/>
      <c r="RIC32" s="388"/>
      <c r="RID32" s="388"/>
      <c r="RIE32" s="388"/>
      <c r="RIF32" s="388"/>
      <c r="RIG32" s="388"/>
      <c r="RIH32" s="388"/>
      <c r="RII32" s="388"/>
      <c r="RIJ32" s="388"/>
      <c r="RIK32" s="388"/>
      <c r="RIL32" s="388"/>
      <c r="RIM32" s="388"/>
      <c r="RIN32" s="388"/>
      <c r="RIO32" s="388"/>
      <c r="RIP32" s="388"/>
      <c r="RIQ32" s="388"/>
      <c r="RIR32" s="388"/>
      <c r="RIS32" s="388"/>
      <c r="RIT32" s="388"/>
      <c r="RIU32" s="388"/>
      <c r="RIV32" s="388"/>
      <c r="RIW32" s="388"/>
      <c r="RIX32" s="388"/>
      <c r="RIY32" s="388"/>
      <c r="RIZ32" s="388"/>
      <c r="RJA32" s="388"/>
      <c r="RJB32" s="388"/>
      <c r="RJC32" s="388"/>
      <c r="RJD32" s="388"/>
      <c r="RJE32" s="388"/>
      <c r="RJF32" s="388"/>
      <c r="RJG32" s="388"/>
      <c r="RJH32" s="388"/>
      <c r="RJI32" s="388"/>
      <c r="RJJ32" s="388"/>
      <c r="RJK32" s="388"/>
      <c r="RJL32" s="388"/>
      <c r="RJM32" s="388"/>
      <c r="RJN32" s="388"/>
      <c r="RJO32" s="388"/>
      <c r="RJP32" s="388"/>
      <c r="RJQ32" s="388"/>
      <c r="RJR32" s="388"/>
      <c r="RJS32" s="388"/>
      <c r="RJT32" s="388"/>
      <c r="RJU32" s="388"/>
      <c r="RJV32" s="388"/>
      <c r="RJW32" s="388"/>
      <c r="RJX32" s="388"/>
      <c r="RJY32" s="388"/>
      <c r="RJZ32" s="388"/>
      <c r="RKA32" s="388"/>
      <c r="RKB32" s="388"/>
      <c r="RKC32" s="388"/>
      <c r="RKD32" s="388"/>
      <c r="RKE32" s="388"/>
      <c r="RKF32" s="388"/>
      <c r="RKG32" s="388"/>
      <c r="RKH32" s="388"/>
      <c r="RKI32" s="388"/>
      <c r="RKJ32" s="388"/>
      <c r="RKK32" s="388"/>
      <c r="RKL32" s="388"/>
      <c r="RKM32" s="388"/>
      <c r="RKN32" s="388"/>
      <c r="RKO32" s="388"/>
      <c r="RKP32" s="388"/>
      <c r="RKQ32" s="388"/>
      <c r="RKR32" s="388"/>
      <c r="RKS32" s="388"/>
      <c r="RKT32" s="388"/>
      <c r="RKU32" s="388"/>
      <c r="RKV32" s="388"/>
      <c r="RKW32" s="388"/>
      <c r="RKX32" s="388"/>
      <c r="RKY32" s="388"/>
      <c r="RKZ32" s="388"/>
      <c r="RLA32" s="388"/>
      <c r="RLB32" s="388"/>
      <c r="RLC32" s="388"/>
      <c r="RLD32" s="388"/>
      <c r="RLE32" s="388"/>
      <c r="RLF32" s="388"/>
      <c r="RLG32" s="388"/>
      <c r="RLH32" s="388"/>
      <c r="RLI32" s="388"/>
      <c r="RLJ32" s="388"/>
      <c r="RLK32" s="388"/>
      <c r="RLL32" s="388"/>
      <c r="RLM32" s="388"/>
      <c r="RLN32" s="388"/>
      <c r="RLO32" s="388"/>
      <c r="RLP32" s="388"/>
      <c r="RLQ32" s="388"/>
      <c r="RLR32" s="388"/>
      <c r="RLS32" s="388"/>
      <c r="RLT32" s="388"/>
      <c r="RLU32" s="388"/>
      <c r="RLV32" s="388"/>
      <c r="RLW32" s="388"/>
      <c r="RLX32" s="388"/>
      <c r="RLY32" s="388"/>
      <c r="RLZ32" s="388"/>
      <c r="RMA32" s="388"/>
      <c r="RMB32" s="388"/>
      <c r="RMC32" s="388"/>
      <c r="RMD32" s="388"/>
      <c r="RME32" s="388"/>
      <c r="RMF32" s="388"/>
      <c r="RMG32" s="388"/>
      <c r="RMH32" s="388"/>
      <c r="RMI32" s="388"/>
      <c r="RMJ32" s="388"/>
      <c r="RMK32" s="388"/>
      <c r="RML32" s="388"/>
      <c r="RMM32" s="388"/>
      <c r="RMN32" s="388"/>
      <c r="RMO32" s="388"/>
      <c r="RMP32" s="388"/>
      <c r="RMQ32" s="388"/>
      <c r="RMR32" s="388"/>
      <c r="RMS32" s="388"/>
      <c r="RMT32" s="388"/>
      <c r="RMU32" s="388"/>
      <c r="RMV32" s="388"/>
      <c r="RMW32" s="388"/>
      <c r="RMX32" s="388"/>
      <c r="RMY32" s="388"/>
      <c r="RMZ32" s="388"/>
      <c r="RNA32" s="388"/>
      <c r="RNB32" s="388"/>
      <c r="RNC32" s="388"/>
      <c r="RND32" s="388"/>
      <c r="RNE32" s="388"/>
      <c r="RNF32" s="388"/>
      <c r="RNG32" s="388"/>
      <c r="RNH32" s="388"/>
      <c r="RNI32" s="388"/>
      <c r="RNJ32" s="388"/>
      <c r="RNK32" s="388"/>
      <c r="RNL32" s="388"/>
      <c r="RNM32" s="388"/>
      <c r="RNN32" s="388"/>
      <c r="RNO32" s="388"/>
      <c r="RNP32" s="388"/>
      <c r="RNQ32" s="388"/>
      <c r="RNR32" s="388"/>
      <c r="RNS32" s="388"/>
      <c r="RNT32" s="388"/>
      <c r="RNU32" s="388"/>
      <c r="RNV32" s="388"/>
      <c r="RNW32" s="388"/>
      <c r="RNX32" s="388"/>
      <c r="RNY32" s="388"/>
      <c r="RNZ32" s="388"/>
      <c r="ROA32" s="388"/>
      <c r="ROB32" s="388"/>
      <c r="ROC32" s="388"/>
      <c r="ROD32" s="388"/>
      <c r="ROE32" s="388"/>
      <c r="ROF32" s="388"/>
      <c r="ROG32" s="388"/>
      <c r="ROH32" s="388"/>
      <c r="ROI32" s="388"/>
      <c r="ROJ32" s="388"/>
      <c r="ROK32" s="388"/>
      <c r="ROL32" s="388"/>
      <c r="ROM32" s="388"/>
      <c r="RON32" s="388"/>
      <c r="ROO32" s="388"/>
      <c r="ROP32" s="388"/>
      <c r="ROQ32" s="388"/>
      <c r="ROR32" s="388"/>
      <c r="ROS32" s="388"/>
      <c r="ROT32" s="388"/>
      <c r="ROU32" s="388"/>
      <c r="ROV32" s="388"/>
      <c r="ROW32" s="388"/>
      <c r="ROX32" s="388"/>
      <c r="ROY32" s="388"/>
      <c r="ROZ32" s="388"/>
      <c r="RPA32" s="388"/>
      <c r="RPB32" s="388"/>
      <c r="RPC32" s="388"/>
      <c r="RPD32" s="388"/>
      <c r="RPE32" s="388"/>
      <c r="RPF32" s="388"/>
      <c r="RPG32" s="388"/>
      <c r="RPH32" s="388"/>
      <c r="RPI32" s="388"/>
      <c r="RPJ32" s="388"/>
      <c r="RPK32" s="388"/>
      <c r="RPL32" s="388"/>
      <c r="RPM32" s="388"/>
      <c r="RPN32" s="388"/>
      <c r="RPO32" s="388"/>
      <c r="RPP32" s="388"/>
      <c r="RPQ32" s="388"/>
      <c r="RPR32" s="388"/>
      <c r="RPS32" s="388"/>
      <c r="RPT32" s="388"/>
      <c r="RPU32" s="388"/>
      <c r="RPV32" s="388"/>
      <c r="RPW32" s="388"/>
      <c r="RPX32" s="388"/>
      <c r="RPY32" s="388"/>
      <c r="RPZ32" s="388"/>
      <c r="RQA32" s="388"/>
      <c r="RQB32" s="388"/>
      <c r="RQC32" s="388"/>
      <c r="RQD32" s="388"/>
      <c r="RQE32" s="388"/>
      <c r="RQF32" s="388"/>
      <c r="RQG32" s="388"/>
      <c r="RQH32" s="388"/>
      <c r="RQI32" s="388"/>
      <c r="RQJ32" s="388"/>
      <c r="RQK32" s="388"/>
      <c r="RQL32" s="388"/>
      <c r="RQM32" s="388"/>
      <c r="RQN32" s="388"/>
      <c r="RQO32" s="388"/>
      <c r="RQP32" s="388"/>
      <c r="RQQ32" s="388"/>
      <c r="RQR32" s="388"/>
      <c r="RQS32" s="388"/>
      <c r="RQT32" s="388"/>
      <c r="RQU32" s="388"/>
      <c r="RQV32" s="388"/>
      <c r="RQW32" s="388"/>
      <c r="RQX32" s="388"/>
      <c r="RQY32" s="388"/>
      <c r="RQZ32" s="388"/>
      <c r="RRA32" s="388"/>
      <c r="RRB32" s="388"/>
      <c r="RRC32" s="388"/>
      <c r="RRD32" s="388"/>
      <c r="RRE32" s="388"/>
      <c r="RRF32" s="388"/>
      <c r="RRG32" s="388"/>
      <c r="RRH32" s="388"/>
      <c r="RRI32" s="388"/>
      <c r="RRJ32" s="388"/>
      <c r="RRK32" s="388"/>
      <c r="RRL32" s="388"/>
      <c r="RRM32" s="388"/>
      <c r="RRN32" s="388"/>
      <c r="RRO32" s="388"/>
      <c r="RRP32" s="388"/>
      <c r="RRQ32" s="388"/>
      <c r="RRR32" s="388"/>
      <c r="RRS32" s="388"/>
      <c r="RRT32" s="388"/>
      <c r="RRU32" s="388"/>
      <c r="RRV32" s="388"/>
      <c r="RRW32" s="388"/>
      <c r="RRX32" s="388"/>
      <c r="RRY32" s="388"/>
      <c r="RRZ32" s="388"/>
      <c r="RSA32" s="388"/>
      <c r="RSB32" s="388"/>
      <c r="RSC32" s="388"/>
      <c r="RSD32" s="388"/>
      <c r="RSE32" s="388"/>
      <c r="RSF32" s="388"/>
      <c r="RSG32" s="388"/>
      <c r="RSH32" s="388"/>
      <c r="RSI32" s="388"/>
      <c r="RSJ32" s="388"/>
      <c r="RSK32" s="388"/>
      <c r="RSL32" s="388"/>
      <c r="RSM32" s="388"/>
      <c r="RSN32" s="388"/>
      <c r="RSO32" s="388"/>
      <c r="RSP32" s="388"/>
      <c r="RSQ32" s="388"/>
      <c r="RSR32" s="388"/>
      <c r="RSS32" s="388"/>
      <c r="RST32" s="388"/>
      <c r="RSU32" s="388"/>
      <c r="RSV32" s="388"/>
      <c r="RSW32" s="388"/>
      <c r="RSX32" s="388"/>
      <c r="RSY32" s="388"/>
      <c r="RSZ32" s="388"/>
      <c r="RTA32" s="388"/>
      <c r="RTB32" s="388"/>
      <c r="RTC32" s="388"/>
      <c r="RTD32" s="388"/>
      <c r="RTE32" s="388"/>
      <c r="RTF32" s="388"/>
      <c r="RTG32" s="388"/>
      <c r="RTH32" s="388"/>
      <c r="RTI32" s="388"/>
      <c r="RTJ32" s="388"/>
      <c r="RTK32" s="388"/>
      <c r="RTL32" s="388"/>
      <c r="RTM32" s="388"/>
      <c r="RTN32" s="388"/>
      <c r="RTO32" s="388"/>
      <c r="RTP32" s="388"/>
      <c r="RTQ32" s="388"/>
      <c r="RTR32" s="388"/>
      <c r="RTS32" s="388"/>
      <c r="RTT32" s="388"/>
      <c r="RTU32" s="388"/>
      <c r="RTV32" s="388"/>
      <c r="RTW32" s="388"/>
      <c r="RTX32" s="388"/>
      <c r="RTY32" s="388"/>
      <c r="RTZ32" s="388"/>
      <c r="RUA32" s="388"/>
      <c r="RUB32" s="388"/>
      <c r="RUC32" s="388"/>
      <c r="RUD32" s="388"/>
      <c r="RUE32" s="388"/>
      <c r="RUF32" s="388"/>
      <c r="RUG32" s="388"/>
      <c r="RUH32" s="388"/>
      <c r="RUI32" s="388"/>
      <c r="RUJ32" s="388"/>
      <c r="RUK32" s="388"/>
      <c r="RUL32" s="388"/>
      <c r="RUM32" s="388"/>
      <c r="RUN32" s="388"/>
      <c r="RUO32" s="388"/>
      <c r="RUP32" s="388"/>
      <c r="RUQ32" s="388"/>
      <c r="RUR32" s="388"/>
      <c r="RUS32" s="388"/>
      <c r="RUT32" s="388"/>
      <c r="RUU32" s="388"/>
      <c r="RUV32" s="388"/>
      <c r="RUW32" s="388"/>
      <c r="RUX32" s="388"/>
      <c r="RUY32" s="388"/>
      <c r="RUZ32" s="388"/>
      <c r="RVA32" s="388"/>
      <c r="RVB32" s="388"/>
      <c r="RVC32" s="388"/>
      <c r="RVD32" s="388"/>
      <c r="RVE32" s="388"/>
      <c r="RVF32" s="388"/>
      <c r="RVG32" s="388"/>
      <c r="RVH32" s="388"/>
      <c r="RVI32" s="388"/>
      <c r="RVJ32" s="388"/>
      <c r="RVK32" s="388"/>
      <c r="RVL32" s="388"/>
      <c r="RVM32" s="388"/>
      <c r="RVN32" s="388"/>
      <c r="RVO32" s="388"/>
      <c r="RVP32" s="388"/>
      <c r="RVQ32" s="388"/>
      <c r="RVR32" s="388"/>
      <c r="RVS32" s="388"/>
      <c r="RVT32" s="388"/>
      <c r="RVU32" s="388"/>
      <c r="RVV32" s="388"/>
      <c r="RVW32" s="388"/>
      <c r="RVX32" s="388"/>
      <c r="RVY32" s="388"/>
      <c r="RVZ32" s="388"/>
      <c r="RWA32" s="388"/>
      <c r="RWB32" s="388"/>
      <c r="RWC32" s="388"/>
      <c r="RWD32" s="388"/>
      <c r="RWE32" s="388"/>
      <c r="RWF32" s="388"/>
      <c r="RWG32" s="388"/>
      <c r="RWH32" s="388"/>
      <c r="RWI32" s="388"/>
      <c r="RWJ32" s="388"/>
      <c r="RWK32" s="388"/>
      <c r="RWL32" s="388"/>
      <c r="RWM32" s="388"/>
      <c r="RWN32" s="388"/>
      <c r="RWO32" s="388"/>
      <c r="RWP32" s="388"/>
      <c r="RWQ32" s="388"/>
      <c r="RWR32" s="388"/>
      <c r="RWS32" s="388"/>
      <c r="RWT32" s="388"/>
      <c r="RWU32" s="388"/>
      <c r="RWV32" s="388"/>
      <c r="RWW32" s="388"/>
      <c r="RWX32" s="388"/>
      <c r="RWY32" s="388"/>
      <c r="RWZ32" s="388"/>
      <c r="RXA32" s="388"/>
      <c r="RXB32" s="388"/>
      <c r="RXC32" s="388"/>
      <c r="RXD32" s="388"/>
      <c r="RXE32" s="388"/>
      <c r="RXF32" s="388"/>
      <c r="RXG32" s="388"/>
      <c r="RXH32" s="388"/>
      <c r="RXI32" s="388"/>
      <c r="RXJ32" s="388"/>
      <c r="RXK32" s="388"/>
      <c r="RXL32" s="388"/>
      <c r="RXM32" s="388"/>
      <c r="RXN32" s="388"/>
      <c r="RXO32" s="388"/>
      <c r="RXP32" s="388"/>
      <c r="RXQ32" s="388"/>
      <c r="RXR32" s="388"/>
      <c r="RXS32" s="388"/>
      <c r="RXT32" s="388"/>
      <c r="RXU32" s="388"/>
      <c r="RXV32" s="388"/>
      <c r="RXW32" s="388"/>
      <c r="RXX32" s="388"/>
      <c r="RXY32" s="388"/>
      <c r="RXZ32" s="388"/>
      <c r="RYA32" s="388"/>
      <c r="RYB32" s="388"/>
      <c r="RYC32" s="388"/>
      <c r="RYD32" s="388"/>
      <c r="RYE32" s="388"/>
      <c r="RYF32" s="388"/>
      <c r="RYG32" s="388"/>
      <c r="RYH32" s="388"/>
      <c r="RYI32" s="388"/>
      <c r="RYJ32" s="388"/>
      <c r="RYK32" s="388"/>
      <c r="RYL32" s="388"/>
      <c r="RYM32" s="388"/>
      <c r="RYN32" s="388"/>
      <c r="RYO32" s="388"/>
      <c r="RYP32" s="388"/>
      <c r="RYQ32" s="388"/>
      <c r="RYR32" s="388"/>
      <c r="RYS32" s="388"/>
      <c r="RYT32" s="388"/>
      <c r="RYU32" s="388"/>
      <c r="RYV32" s="388"/>
      <c r="RYW32" s="388"/>
      <c r="RYX32" s="388"/>
      <c r="RYY32" s="388"/>
      <c r="RYZ32" s="388"/>
      <c r="RZA32" s="388"/>
      <c r="RZB32" s="388"/>
      <c r="RZC32" s="388"/>
      <c r="RZD32" s="388"/>
      <c r="RZE32" s="388"/>
      <c r="RZF32" s="388"/>
      <c r="RZG32" s="388"/>
      <c r="RZH32" s="388"/>
      <c r="RZI32" s="388"/>
      <c r="RZJ32" s="388"/>
      <c r="RZK32" s="388"/>
      <c r="RZL32" s="388"/>
      <c r="RZM32" s="388"/>
      <c r="RZN32" s="388"/>
      <c r="RZO32" s="388"/>
      <c r="RZP32" s="388"/>
      <c r="RZQ32" s="388"/>
      <c r="RZR32" s="388"/>
      <c r="RZS32" s="388"/>
      <c r="RZT32" s="388"/>
      <c r="RZU32" s="388"/>
      <c r="RZV32" s="388"/>
      <c r="RZW32" s="388"/>
      <c r="RZX32" s="388"/>
      <c r="RZY32" s="388"/>
      <c r="RZZ32" s="388"/>
      <c r="SAA32" s="388"/>
      <c r="SAB32" s="388"/>
      <c r="SAC32" s="388"/>
      <c r="SAD32" s="388"/>
      <c r="SAE32" s="388"/>
      <c r="SAF32" s="388"/>
      <c r="SAG32" s="388"/>
      <c r="SAH32" s="388"/>
      <c r="SAI32" s="388"/>
      <c r="SAJ32" s="388"/>
      <c r="SAK32" s="388"/>
      <c r="SAL32" s="388"/>
      <c r="SAM32" s="388"/>
      <c r="SAN32" s="388"/>
      <c r="SAO32" s="388"/>
      <c r="SAP32" s="388"/>
      <c r="SAQ32" s="388"/>
      <c r="SAR32" s="388"/>
      <c r="SAS32" s="388"/>
      <c r="SAT32" s="388"/>
      <c r="SAU32" s="388"/>
      <c r="SAV32" s="388"/>
      <c r="SAW32" s="388"/>
      <c r="SAX32" s="388"/>
      <c r="SAY32" s="388"/>
      <c r="SAZ32" s="388"/>
      <c r="SBA32" s="388"/>
      <c r="SBB32" s="388"/>
      <c r="SBC32" s="388"/>
      <c r="SBD32" s="388"/>
      <c r="SBE32" s="388"/>
      <c r="SBF32" s="388"/>
      <c r="SBG32" s="388"/>
      <c r="SBH32" s="388"/>
      <c r="SBI32" s="388"/>
      <c r="SBJ32" s="388"/>
      <c r="SBK32" s="388"/>
      <c r="SBL32" s="388"/>
      <c r="SBM32" s="388"/>
      <c r="SBN32" s="388"/>
      <c r="SBO32" s="388"/>
      <c r="SBP32" s="388"/>
      <c r="SBQ32" s="388"/>
      <c r="SBR32" s="388"/>
      <c r="SBS32" s="388"/>
      <c r="SBT32" s="388"/>
      <c r="SBU32" s="388"/>
      <c r="SBV32" s="388"/>
      <c r="SBW32" s="388"/>
      <c r="SBX32" s="388"/>
      <c r="SBY32" s="388"/>
      <c r="SBZ32" s="388"/>
      <c r="SCA32" s="388"/>
      <c r="SCB32" s="388"/>
      <c r="SCC32" s="388"/>
      <c r="SCD32" s="388"/>
      <c r="SCE32" s="388"/>
      <c r="SCF32" s="388"/>
      <c r="SCG32" s="388"/>
      <c r="SCH32" s="388"/>
      <c r="SCI32" s="388"/>
      <c r="SCJ32" s="388"/>
      <c r="SCK32" s="388"/>
      <c r="SCL32" s="388"/>
      <c r="SCM32" s="388"/>
      <c r="SCN32" s="388"/>
      <c r="SCO32" s="388"/>
      <c r="SCP32" s="388"/>
      <c r="SCQ32" s="388"/>
      <c r="SCR32" s="388"/>
      <c r="SCS32" s="388"/>
      <c r="SCT32" s="388"/>
      <c r="SCU32" s="388"/>
      <c r="SCV32" s="388"/>
      <c r="SCW32" s="388"/>
      <c r="SCX32" s="388"/>
      <c r="SCY32" s="388"/>
      <c r="SCZ32" s="388"/>
      <c r="SDA32" s="388"/>
      <c r="SDB32" s="388"/>
      <c r="SDC32" s="388"/>
      <c r="SDD32" s="388"/>
      <c r="SDE32" s="388"/>
      <c r="SDF32" s="388"/>
      <c r="SDG32" s="388"/>
      <c r="SDH32" s="388"/>
      <c r="SDI32" s="388"/>
      <c r="SDJ32" s="388"/>
      <c r="SDK32" s="388"/>
      <c r="SDL32" s="388"/>
      <c r="SDM32" s="388"/>
      <c r="SDN32" s="388"/>
      <c r="SDO32" s="388"/>
      <c r="SDP32" s="388"/>
      <c r="SDQ32" s="388"/>
      <c r="SDR32" s="388"/>
      <c r="SDS32" s="388"/>
      <c r="SDT32" s="388"/>
      <c r="SDU32" s="388"/>
      <c r="SDV32" s="388"/>
      <c r="SDW32" s="388"/>
      <c r="SDX32" s="388"/>
      <c r="SDY32" s="388"/>
      <c r="SDZ32" s="388"/>
      <c r="SEA32" s="388"/>
      <c r="SEB32" s="388"/>
      <c r="SEC32" s="388"/>
      <c r="SED32" s="388"/>
      <c r="SEE32" s="388"/>
      <c r="SEF32" s="388"/>
      <c r="SEG32" s="388"/>
      <c r="SEH32" s="388"/>
      <c r="SEI32" s="388"/>
      <c r="SEJ32" s="388"/>
      <c r="SEK32" s="388"/>
      <c r="SEL32" s="388"/>
      <c r="SEM32" s="388"/>
      <c r="SEN32" s="388"/>
      <c r="SEO32" s="388"/>
      <c r="SEP32" s="388"/>
      <c r="SEQ32" s="388"/>
      <c r="SER32" s="388"/>
      <c r="SES32" s="388"/>
      <c r="SET32" s="388"/>
      <c r="SEU32" s="388"/>
      <c r="SEV32" s="388"/>
      <c r="SEW32" s="388"/>
      <c r="SEX32" s="388"/>
      <c r="SEY32" s="388"/>
      <c r="SEZ32" s="388"/>
      <c r="SFA32" s="388"/>
      <c r="SFB32" s="388"/>
      <c r="SFC32" s="388"/>
      <c r="SFD32" s="388"/>
      <c r="SFE32" s="388"/>
      <c r="SFF32" s="388"/>
      <c r="SFG32" s="388"/>
      <c r="SFH32" s="388"/>
      <c r="SFI32" s="388"/>
      <c r="SFJ32" s="388"/>
      <c r="SFK32" s="388"/>
      <c r="SFL32" s="388"/>
      <c r="SFM32" s="388"/>
      <c r="SFN32" s="388"/>
      <c r="SFO32" s="388"/>
      <c r="SFP32" s="388"/>
      <c r="SFQ32" s="388"/>
      <c r="SFR32" s="388"/>
      <c r="SFS32" s="388"/>
      <c r="SFT32" s="388"/>
      <c r="SFU32" s="388"/>
      <c r="SFV32" s="388"/>
      <c r="SFW32" s="388"/>
      <c r="SFX32" s="388"/>
      <c r="SFY32" s="388"/>
      <c r="SFZ32" s="388"/>
      <c r="SGA32" s="388"/>
      <c r="SGB32" s="388"/>
      <c r="SGC32" s="388"/>
      <c r="SGD32" s="388"/>
      <c r="SGE32" s="388"/>
      <c r="SGF32" s="388"/>
      <c r="SGG32" s="388"/>
      <c r="SGH32" s="388"/>
      <c r="SGI32" s="388"/>
      <c r="SGJ32" s="388"/>
      <c r="SGK32" s="388"/>
      <c r="SGL32" s="388"/>
      <c r="SGM32" s="388"/>
      <c r="SGN32" s="388"/>
      <c r="SGO32" s="388"/>
      <c r="SGP32" s="388"/>
      <c r="SGQ32" s="388"/>
      <c r="SGR32" s="388"/>
      <c r="SGS32" s="388"/>
      <c r="SGT32" s="388"/>
      <c r="SGU32" s="388"/>
      <c r="SGV32" s="388"/>
      <c r="SGW32" s="388"/>
      <c r="SGX32" s="388"/>
      <c r="SGY32" s="388"/>
      <c r="SGZ32" s="388"/>
      <c r="SHA32" s="388"/>
      <c r="SHB32" s="388"/>
      <c r="SHC32" s="388"/>
      <c r="SHD32" s="388"/>
      <c r="SHE32" s="388"/>
      <c r="SHF32" s="388"/>
      <c r="SHG32" s="388"/>
      <c r="SHH32" s="388"/>
      <c r="SHI32" s="388"/>
      <c r="SHJ32" s="388"/>
      <c r="SHK32" s="388"/>
      <c r="SHL32" s="388"/>
      <c r="SHM32" s="388"/>
      <c r="SHN32" s="388"/>
      <c r="SHO32" s="388"/>
      <c r="SHP32" s="388"/>
      <c r="SHQ32" s="388"/>
      <c r="SHR32" s="388"/>
      <c r="SHS32" s="388"/>
      <c r="SHT32" s="388"/>
      <c r="SHU32" s="388"/>
      <c r="SHV32" s="388"/>
      <c r="SHW32" s="388"/>
      <c r="SHX32" s="388"/>
      <c r="SHY32" s="388"/>
      <c r="SHZ32" s="388"/>
      <c r="SIA32" s="388"/>
      <c r="SIB32" s="388"/>
      <c r="SIC32" s="388"/>
      <c r="SID32" s="388"/>
      <c r="SIE32" s="388"/>
      <c r="SIF32" s="388"/>
      <c r="SIG32" s="388"/>
      <c r="SIH32" s="388"/>
      <c r="SII32" s="388"/>
      <c r="SIJ32" s="388"/>
      <c r="SIK32" s="388"/>
      <c r="SIL32" s="388"/>
      <c r="SIM32" s="388"/>
      <c r="SIN32" s="388"/>
      <c r="SIO32" s="388"/>
      <c r="SIP32" s="388"/>
      <c r="SIQ32" s="388"/>
      <c r="SIR32" s="388"/>
      <c r="SIS32" s="388"/>
      <c r="SIT32" s="388"/>
      <c r="SIU32" s="388"/>
      <c r="SIV32" s="388"/>
      <c r="SIW32" s="388"/>
      <c r="SIX32" s="388"/>
      <c r="SIY32" s="388"/>
      <c r="SIZ32" s="388"/>
      <c r="SJA32" s="388"/>
      <c r="SJB32" s="388"/>
      <c r="SJC32" s="388"/>
      <c r="SJD32" s="388"/>
      <c r="SJE32" s="388"/>
      <c r="SJF32" s="388"/>
      <c r="SJG32" s="388"/>
      <c r="SJH32" s="388"/>
      <c r="SJI32" s="388"/>
      <c r="SJJ32" s="388"/>
      <c r="SJK32" s="388"/>
      <c r="SJL32" s="388"/>
      <c r="SJM32" s="388"/>
      <c r="SJN32" s="388"/>
      <c r="SJO32" s="388"/>
      <c r="SJP32" s="388"/>
      <c r="SJQ32" s="388"/>
      <c r="SJR32" s="388"/>
      <c r="SJS32" s="388"/>
      <c r="SJT32" s="388"/>
      <c r="SJU32" s="388"/>
      <c r="SJV32" s="388"/>
      <c r="SJW32" s="388"/>
      <c r="SJX32" s="388"/>
      <c r="SJY32" s="388"/>
      <c r="SJZ32" s="388"/>
      <c r="SKA32" s="388"/>
      <c r="SKB32" s="388"/>
      <c r="SKC32" s="388"/>
      <c r="SKD32" s="388"/>
      <c r="SKE32" s="388"/>
      <c r="SKF32" s="388"/>
      <c r="SKG32" s="388"/>
      <c r="SKH32" s="388"/>
      <c r="SKI32" s="388"/>
      <c r="SKJ32" s="388"/>
      <c r="SKK32" s="388"/>
      <c r="SKL32" s="388"/>
      <c r="SKM32" s="388"/>
      <c r="SKN32" s="388"/>
      <c r="SKO32" s="388"/>
      <c r="SKP32" s="388"/>
      <c r="SKQ32" s="388"/>
      <c r="SKR32" s="388"/>
      <c r="SKS32" s="388"/>
      <c r="SKT32" s="388"/>
      <c r="SKU32" s="388"/>
      <c r="SKV32" s="388"/>
      <c r="SKW32" s="388"/>
      <c r="SKX32" s="388"/>
      <c r="SKY32" s="388"/>
      <c r="SKZ32" s="388"/>
      <c r="SLA32" s="388"/>
      <c r="SLB32" s="388"/>
      <c r="SLC32" s="388"/>
      <c r="SLD32" s="388"/>
      <c r="SLE32" s="388"/>
      <c r="SLF32" s="388"/>
      <c r="SLG32" s="388"/>
      <c r="SLH32" s="388"/>
      <c r="SLI32" s="388"/>
      <c r="SLJ32" s="388"/>
      <c r="SLK32" s="388"/>
      <c r="SLL32" s="388"/>
      <c r="SLM32" s="388"/>
      <c r="SLN32" s="388"/>
      <c r="SLO32" s="388"/>
      <c r="SLP32" s="388"/>
      <c r="SLQ32" s="388"/>
      <c r="SLR32" s="388"/>
      <c r="SLS32" s="388"/>
      <c r="SLT32" s="388"/>
      <c r="SLU32" s="388"/>
      <c r="SLV32" s="388"/>
      <c r="SLW32" s="388"/>
      <c r="SLX32" s="388"/>
      <c r="SLY32" s="388"/>
      <c r="SLZ32" s="388"/>
      <c r="SMA32" s="388"/>
      <c r="SMB32" s="388"/>
      <c r="SMC32" s="388"/>
      <c r="SMD32" s="388"/>
      <c r="SME32" s="388"/>
      <c r="SMF32" s="388"/>
      <c r="SMG32" s="388"/>
      <c r="SMH32" s="388"/>
      <c r="SMI32" s="388"/>
      <c r="SMJ32" s="388"/>
      <c r="SMK32" s="388"/>
      <c r="SML32" s="388"/>
      <c r="SMM32" s="388"/>
      <c r="SMN32" s="388"/>
      <c r="SMO32" s="388"/>
      <c r="SMP32" s="388"/>
      <c r="SMQ32" s="388"/>
      <c r="SMR32" s="388"/>
      <c r="SMS32" s="388"/>
      <c r="SMT32" s="388"/>
      <c r="SMU32" s="388"/>
      <c r="SMV32" s="388"/>
      <c r="SMW32" s="388"/>
      <c r="SMX32" s="388"/>
      <c r="SMY32" s="388"/>
      <c r="SMZ32" s="388"/>
      <c r="SNA32" s="388"/>
      <c r="SNB32" s="388"/>
      <c r="SNC32" s="388"/>
      <c r="SND32" s="388"/>
      <c r="SNE32" s="388"/>
      <c r="SNF32" s="388"/>
      <c r="SNG32" s="388"/>
      <c r="SNH32" s="388"/>
      <c r="SNI32" s="388"/>
      <c r="SNJ32" s="388"/>
      <c r="SNK32" s="388"/>
      <c r="SNL32" s="388"/>
      <c r="SNM32" s="388"/>
      <c r="SNN32" s="388"/>
      <c r="SNO32" s="388"/>
      <c r="SNP32" s="388"/>
      <c r="SNQ32" s="388"/>
      <c r="SNR32" s="388"/>
      <c r="SNS32" s="388"/>
      <c r="SNT32" s="388"/>
      <c r="SNU32" s="388"/>
      <c r="SNV32" s="388"/>
      <c r="SNW32" s="388"/>
      <c r="SNX32" s="388"/>
      <c r="SNY32" s="388"/>
      <c r="SNZ32" s="388"/>
      <c r="SOA32" s="388"/>
      <c r="SOB32" s="388"/>
      <c r="SOC32" s="388"/>
      <c r="SOD32" s="388"/>
      <c r="SOE32" s="388"/>
      <c r="SOF32" s="388"/>
      <c r="SOG32" s="388"/>
      <c r="SOH32" s="388"/>
      <c r="SOI32" s="388"/>
      <c r="SOJ32" s="388"/>
      <c r="SOK32" s="388"/>
      <c r="SOL32" s="388"/>
      <c r="SOM32" s="388"/>
      <c r="SON32" s="388"/>
      <c r="SOO32" s="388"/>
      <c r="SOP32" s="388"/>
      <c r="SOQ32" s="388"/>
      <c r="SOR32" s="388"/>
      <c r="SOS32" s="388"/>
      <c r="SOT32" s="388"/>
      <c r="SOU32" s="388"/>
      <c r="SOV32" s="388"/>
      <c r="SOW32" s="388"/>
      <c r="SOX32" s="388"/>
      <c r="SOY32" s="388"/>
      <c r="SOZ32" s="388"/>
      <c r="SPA32" s="388"/>
      <c r="SPB32" s="388"/>
      <c r="SPC32" s="388"/>
      <c r="SPD32" s="388"/>
      <c r="SPE32" s="388"/>
      <c r="SPF32" s="388"/>
      <c r="SPG32" s="388"/>
      <c r="SPH32" s="388"/>
      <c r="SPI32" s="388"/>
      <c r="SPJ32" s="388"/>
      <c r="SPK32" s="388"/>
      <c r="SPL32" s="388"/>
      <c r="SPM32" s="388"/>
      <c r="SPN32" s="388"/>
      <c r="SPO32" s="388"/>
      <c r="SPP32" s="388"/>
      <c r="SPQ32" s="388"/>
      <c r="SPR32" s="388"/>
      <c r="SPS32" s="388"/>
      <c r="SPT32" s="388"/>
      <c r="SPU32" s="388"/>
      <c r="SPV32" s="388"/>
      <c r="SPW32" s="388"/>
      <c r="SPX32" s="388"/>
      <c r="SPY32" s="388"/>
      <c r="SPZ32" s="388"/>
      <c r="SQA32" s="388"/>
      <c r="SQB32" s="388"/>
      <c r="SQC32" s="388"/>
      <c r="SQD32" s="388"/>
      <c r="SQE32" s="388"/>
      <c r="SQF32" s="388"/>
      <c r="SQG32" s="388"/>
      <c r="SQH32" s="388"/>
      <c r="SQI32" s="388"/>
      <c r="SQJ32" s="388"/>
      <c r="SQK32" s="388"/>
      <c r="SQL32" s="388"/>
      <c r="SQM32" s="388"/>
      <c r="SQN32" s="388"/>
      <c r="SQO32" s="388"/>
      <c r="SQP32" s="388"/>
      <c r="SQQ32" s="388"/>
      <c r="SQR32" s="388"/>
      <c r="SQS32" s="388"/>
      <c r="SQT32" s="388"/>
      <c r="SQU32" s="388"/>
      <c r="SQV32" s="388"/>
      <c r="SQW32" s="388"/>
      <c r="SQX32" s="388"/>
      <c r="SQY32" s="388"/>
      <c r="SQZ32" s="388"/>
      <c r="SRA32" s="388"/>
      <c r="SRB32" s="388"/>
      <c r="SRC32" s="388"/>
      <c r="SRD32" s="388"/>
      <c r="SRE32" s="388"/>
      <c r="SRF32" s="388"/>
      <c r="SRG32" s="388"/>
      <c r="SRH32" s="388"/>
      <c r="SRI32" s="388"/>
      <c r="SRJ32" s="388"/>
      <c r="SRK32" s="388"/>
      <c r="SRL32" s="388"/>
      <c r="SRM32" s="388"/>
      <c r="SRN32" s="388"/>
      <c r="SRO32" s="388"/>
      <c r="SRP32" s="388"/>
      <c r="SRQ32" s="388"/>
      <c r="SRR32" s="388"/>
      <c r="SRS32" s="388"/>
      <c r="SRT32" s="388"/>
      <c r="SRU32" s="388"/>
      <c r="SRV32" s="388"/>
      <c r="SRW32" s="388"/>
      <c r="SRX32" s="388"/>
      <c r="SRY32" s="388"/>
      <c r="SRZ32" s="388"/>
      <c r="SSA32" s="388"/>
      <c r="SSB32" s="388"/>
      <c r="SSC32" s="388"/>
      <c r="SSD32" s="388"/>
      <c r="SSE32" s="388"/>
      <c r="SSF32" s="388"/>
      <c r="SSG32" s="388"/>
      <c r="SSH32" s="388"/>
      <c r="SSI32" s="388"/>
      <c r="SSJ32" s="388"/>
      <c r="SSK32" s="388"/>
      <c r="SSL32" s="388"/>
      <c r="SSM32" s="388"/>
      <c r="SSN32" s="388"/>
      <c r="SSO32" s="388"/>
      <c r="SSP32" s="388"/>
      <c r="SSQ32" s="388"/>
      <c r="SSR32" s="388"/>
      <c r="SSS32" s="388"/>
      <c r="SST32" s="388"/>
      <c r="SSU32" s="388"/>
      <c r="SSV32" s="388"/>
      <c r="SSW32" s="388"/>
      <c r="SSX32" s="388"/>
      <c r="SSY32" s="388"/>
      <c r="SSZ32" s="388"/>
      <c r="STA32" s="388"/>
      <c r="STB32" s="388"/>
      <c r="STC32" s="388"/>
      <c r="STD32" s="388"/>
      <c r="STE32" s="388"/>
      <c r="STF32" s="388"/>
      <c r="STG32" s="388"/>
      <c r="STH32" s="388"/>
      <c r="STI32" s="388"/>
      <c r="STJ32" s="388"/>
      <c r="STK32" s="388"/>
      <c r="STL32" s="388"/>
      <c r="STM32" s="388"/>
      <c r="STN32" s="388"/>
      <c r="STO32" s="388"/>
      <c r="STP32" s="388"/>
      <c r="STQ32" s="388"/>
      <c r="STR32" s="388"/>
      <c r="STS32" s="388"/>
      <c r="STT32" s="388"/>
      <c r="STU32" s="388"/>
      <c r="STV32" s="388"/>
      <c r="STW32" s="388"/>
      <c r="STX32" s="388"/>
      <c r="STY32" s="388"/>
      <c r="STZ32" s="388"/>
      <c r="SUA32" s="388"/>
      <c r="SUB32" s="388"/>
      <c r="SUC32" s="388"/>
      <c r="SUD32" s="388"/>
      <c r="SUE32" s="388"/>
      <c r="SUF32" s="388"/>
      <c r="SUG32" s="388"/>
      <c r="SUH32" s="388"/>
      <c r="SUI32" s="388"/>
      <c r="SUJ32" s="388"/>
      <c r="SUK32" s="388"/>
      <c r="SUL32" s="388"/>
      <c r="SUM32" s="388"/>
      <c r="SUN32" s="388"/>
      <c r="SUO32" s="388"/>
      <c r="SUP32" s="388"/>
      <c r="SUQ32" s="388"/>
      <c r="SUR32" s="388"/>
      <c r="SUS32" s="388"/>
      <c r="SUT32" s="388"/>
      <c r="SUU32" s="388"/>
      <c r="SUV32" s="388"/>
      <c r="SUW32" s="388"/>
      <c r="SUX32" s="388"/>
      <c r="SUY32" s="388"/>
      <c r="SUZ32" s="388"/>
      <c r="SVA32" s="388"/>
      <c r="SVB32" s="388"/>
      <c r="SVC32" s="388"/>
      <c r="SVD32" s="388"/>
      <c r="SVE32" s="388"/>
      <c r="SVF32" s="388"/>
      <c r="SVG32" s="388"/>
      <c r="SVH32" s="388"/>
      <c r="SVI32" s="388"/>
      <c r="SVJ32" s="388"/>
      <c r="SVK32" s="388"/>
      <c r="SVL32" s="388"/>
      <c r="SVM32" s="388"/>
      <c r="SVN32" s="388"/>
      <c r="SVO32" s="388"/>
      <c r="SVP32" s="388"/>
      <c r="SVQ32" s="388"/>
      <c r="SVR32" s="388"/>
      <c r="SVS32" s="388"/>
      <c r="SVT32" s="388"/>
      <c r="SVU32" s="388"/>
      <c r="SVV32" s="388"/>
      <c r="SVW32" s="388"/>
      <c r="SVX32" s="388"/>
      <c r="SVY32" s="388"/>
      <c r="SVZ32" s="388"/>
      <c r="SWA32" s="388"/>
      <c r="SWB32" s="388"/>
      <c r="SWC32" s="388"/>
      <c r="SWD32" s="388"/>
      <c r="SWE32" s="388"/>
      <c r="SWF32" s="388"/>
      <c r="SWG32" s="388"/>
      <c r="SWH32" s="388"/>
      <c r="SWI32" s="388"/>
      <c r="SWJ32" s="388"/>
      <c r="SWK32" s="388"/>
      <c r="SWL32" s="388"/>
      <c r="SWM32" s="388"/>
      <c r="SWN32" s="388"/>
      <c r="SWO32" s="388"/>
      <c r="SWP32" s="388"/>
      <c r="SWQ32" s="388"/>
      <c r="SWR32" s="388"/>
      <c r="SWS32" s="388"/>
      <c r="SWT32" s="388"/>
      <c r="SWU32" s="388"/>
      <c r="SWV32" s="388"/>
      <c r="SWW32" s="388"/>
      <c r="SWX32" s="388"/>
      <c r="SWY32" s="388"/>
      <c r="SWZ32" s="388"/>
      <c r="SXA32" s="388"/>
      <c r="SXB32" s="388"/>
      <c r="SXC32" s="388"/>
      <c r="SXD32" s="388"/>
      <c r="SXE32" s="388"/>
      <c r="SXF32" s="388"/>
      <c r="SXG32" s="388"/>
      <c r="SXH32" s="388"/>
      <c r="SXI32" s="388"/>
      <c r="SXJ32" s="388"/>
      <c r="SXK32" s="388"/>
      <c r="SXL32" s="388"/>
      <c r="SXM32" s="388"/>
      <c r="SXN32" s="388"/>
      <c r="SXO32" s="388"/>
      <c r="SXP32" s="388"/>
      <c r="SXQ32" s="388"/>
      <c r="SXR32" s="388"/>
      <c r="SXS32" s="388"/>
      <c r="SXT32" s="388"/>
      <c r="SXU32" s="388"/>
      <c r="SXV32" s="388"/>
      <c r="SXW32" s="388"/>
      <c r="SXX32" s="388"/>
      <c r="SXY32" s="388"/>
      <c r="SXZ32" s="388"/>
      <c r="SYA32" s="388"/>
      <c r="SYB32" s="388"/>
      <c r="SYC32" s="388"/>
      <c r="SYD32" s="388"/>
      <c r="SYE32" s="388"/>
      <c r="SYF32" s="388"/>
      <c r="SYG32" s="388"/>
      <c r="SYH32" s="388"/>
      <c r="SYI32" s="388"/>
      <c r="SYJ32" s="388"/>
      <c r="SYK32" s="388"/>
      <c r="SYL32" s="388"/>
      <c r="SYM32" s="388"/>
      <c r="SYN32" s="388"/>
      <c r="SYO32" s="388"/>
      <c r="SYP32" s="388"/>
      <c r="SYQ32" s="388"/>
      <c r="SYR32" s="388"/>
      <c r="SYS32" s="388"/>
      <c r="SYT32" s="388"/>
      <c r="SYU32" s="388"/>
      <c r="SYV32" s="388"/>
      <c r="SYW32" s="388"/>
      <c r="SYX32" s="388"/>
      <c r="SYY32" s="388"/>
      <c r="SYZ32" s="388"/>
      <c r="SZA32" s="388"/>
      <c r="SZB32" s="388"/>
      <c r="SZC32" s="388"/>
      <c r="SZD32" s="388"/>
      <c r="SZE32" s="388"/>
      <c r="SZF32" s="388"/>
      <c r="SZG32" s="388"/>
      <c r="SZH32" s="388"/>
      <c r="SZI32" s="388"/>
      <c r="SZJ32" s="388"/>
      <c r="SZK32" s="388"/>
      <c r="SZL32" s="388"/>
      <c r="SZM32" s="388"/>
      <c r="SZN32" s="388"/>
      <c r="SZO32" s="388"/>
      <c r="SZP32" s="388"/>
      <c r="SZQ32" s="388"/>
      <c r="SZR32" s="388"/>
      <c r="SZS32" s="388"/>
      <c r="SZT32" s="388"/>
      <c r="SZU32" s="388"/>
      <c r="SZV32" s="388"/>
      <c r="SZW32" s="388"/>
      <c r="SZX32" s="388"/>
      <c r="SZY32" s="388"/>
      <c r="SZZ32" s="388"/>
      <c r="TAA32" s="388"/>
      <c r="TAB32" s="388"/>
      <c r="TAC32" s="388"/>
      <c r="TAD32" s="388"/>
      <c r="TAE32" s="388"/>
      <c r="TAF32" s="388"/>
      <c r="TAG32" s="388"/>
      <c r="TAH32" s="388"/>
      <c r="TAI32" s="388"/>
      <c r="TAJ32" s="388"/>
      <c r="TAK32" s="388"/>
      <c r="TAL32" s="388"/>
      <c r="TAM32" s="388"/>
      <c r="TAN32" s="388"/>
      <c r="TAO32" s="388"/>
      <c r="TAP32" s="388"/>
      <c r="TAQ32" s="388"/>
      <c r="TAR32" s="388"/>
      <c r="TAS32" s="388"/>
      <c r="TAT32" s="388"/>
      <c r="TAU32" s="388"/>
      <c r="TAV32" s="388"/>
      <c r="TAW32" s="388"/>
      <c r="TAX32" s="388"/>
      <c r="TAY32" s="388"/>
      <c r="TAZ32" s="388"/>
      <c r="TBA32" s="388"/>
      <c r="TBB32" s="388"/>
      <c r="TBC32" s="388"/>
      <c r="TBD32" s="388"/>
      <c r="TBE32" s="388"/>
      <c r="TBF32" s="388"/>
      <c r="TBG32" s="388"/>
      <c r="TBH32" s="388"/>
      <c r="TBI32" s="388"/>
      <c r="TBJ32" s="388"/>
      <c r="TBK32" s="388"/>
      <c r="TBL32" s="388"/>
      <c r="TBM32" s="388"/>
      <c r="TBN32" s="388"/>
      <c r="TBO32" s="388"/>
      <c r="TBP32" s="388"/>
      <c r="TBQ32" s="388"/>
      <c r="TBR32" s="388"/>
      <c r="TBS32" s="388"/>
      <c r="TBT32" s="388"/>
      <c r="TBU32" s="388"/>
      <c r="TBV32" s="388"/>
      <c r="TBW32" s="388"/>
      <c r="TBX32" s="388"/>
      <c r="TBY32" s="388"/>
      <c r="TBZ32" s="388"/>
      <c r="TCA32" s="388"/>
      <c r="TCB32" s="388"/>
      <c r="TCC32" s="388"/>
      <c r="TCD32" s="388"/>
      <c r="TCE32" s="388"/>
      <c r="TCF32" s="388"/>
      <c r="TCG32" s="388"/>
      <c r="TCH32" s="388"/>
      <c r="TCI32" s="388"/>
      <c r="TCJ32" s="388"/>
      <c r="TCK32" s="388"/>
      <c r="TCL32" s="388"/>
      <c r="TCM32" s="388"/>
      <c r="TCN32" s="388"/>
      <c r="TCO32" s="388"/>
      <c r="TCP32" s="388"/>
      <c r="TCQ32" s="388"/>
      <c r="TCR32" s="388"/>
      <c r="TCS32" s="388"/>
      <c r="TCT32" s="388"/>
      <c r="TCU32" s="388"/>
      <c r="TCV32" s="388"/>
      <c r="TCW32" s="388"/>
      <c r="TCX32" s="388"/>
      <c r="TCY32" s="388"/>
      <c r="TCZ32" s="388"/>
      <c r="TDA32" s="388"/>
      <c r="TDB32" s="388"/>
      <c r="TDC32" s="388"/>
      <c r="TDD32" s="388"/>
      <c r="TDE32" s="388"/>
      <c r="TDF32" s="388"/>
      <c r="TDG32" s="388"/>
      <c r="TDH32" s="388"/>
      <c r="TDI32" s="388"/>
      <c r="TDJ32" s="388"/>
      <c r="TDK32" s="388"/>
      <c r="TDL32" s="388"/>
      <c r="TDM32" s="388"/>
      <c r="TDN32" s="388"/>
      <c r="TDO32" s="388"/>
      <c r="TDP32" s="388"/>
      <c r="TDQ32" s="388"/>
      <c r="TDR32" s="388"/>
      <c r="TDS32" s="388"/>
      <c r="TDT32" s="388"/>
      <c r="TDU32" s="388"/>
      <c r="TDV32" s="388"/>
      <c r="TDW32" s="388"/>
      <c r="TDX32" s="388"/>
      <c r="TDY32" s="388"/>
      <c r="TDZ32" s="388"/>
      <c r="TEA32" s="388"/>
      <c r="TEB32" s="388"/>
      <c r="TEC32" s="388"/>
      <c r="TED32" s="388"/>
      <c r="TEE32" s="388"/>
      <c r="TEF32" s="388"/>
      <c r="TEG32" s="388"/>
      <c r="TEH32" s="388"/>
      <c r="TEI32" s="388"/>
      <c r="TEJ32" s="388"/>
      <c r="TEK32" s="388"/>
      <c r="TEL32" s="388"/>
      <c r="TEM32" s="388"/>
      <c r="TEN32" s="388"/>
      <c r="TEO32" s="388"/>
      <c r="TEP32" s="388"/>
      <c r="TEQ32" s="388"/>
      <c r="TER32" s="388"/>
      <c r="TES32" s="388"/>
      <c r="TET32" s="388"/>
      <c r="TEU32" s="388"/>
      <c r="TEV32" s="388"/>
      <c r="TEW32" s="388"/>
      <c r="TEX32" s="388"/>
      <c r="TEY32" s="388"/>
      <c r="TEZ32" s="388"/>
      <c r="TFA32" s="388"/>
      <c r="TFB32" s="388"/>
      <c r="TFC32" s="388"/>
      <c r="TFD32" s="388"/>
      <c r="TFE32" s="388"/>
      <c r="TFF32" s="388"/>
      <c r="TFG32" s="388"/>
      <c r="TFH32" s="388"/>
      <c r="TFI32" s="388"/>
      <c r="TFJ32" s="388"/>
      <c r="TFK32" s="388"/>
      <c r="TFL32" s="388"/>
      <c r="TFM32" s="388"/>
      <c r="TFN32" s="388"/>
      <c r="TFO32" s="388"/>
      <c r="TFP32" s="388"/>
      <c r="TFQ32" s="388"/>
      <c r="TFR32" s="388"/>
      <c r="TFS32" s="388"/>
      <c r="TFT32" s="388"/>
      <c r="TFU32" s="388"/>
      <c r="TFV32" s="388"/>
      <c r="TFW32" s="388"/>
      <c r="TFX32" s="388"/>
      <c r="TFY32" s="388"/>
      <c r="TFZ32" s="388"/>
      <c r="TGA32" s="388"/>
      <c r="TGB32" s="388"/>
      <c r="TGC32" s="388"/>
      <c r="TGD32" s="388"/>
      <c r="TGE32" s="388"/>
      <c r="TGF32" s="388"/>
      <c r="TGG32" s="388"/>
      <c r="TGH32" s="388"/>
      <c r="TGI32" s="388"/>
      <c r="TGJ32" s="388"/>
      <c r="TGK32" s="388"/>
      <c r="TGL32" s="388"/>
      <c r="TGM32" s="388"/>
      <c r="TGN32" s="388"/>
      <c r="TGO32" s="388"/>
      <c r="TGP32" s="388"/>
      <c r="TGQ32" s="388"/>
      <c r="TGR32" s="388"/>
      <c r="TGS32" s="388"/>
      <c r="TGT32" s="388"/>
      <c r="TGU32" s="388"/>
      <c r="TGV32" s="388"/>
      <c r="TGW32" s="388"/>
      <c r="TGX32" s="388"/>
      <c r="TGY32" s="388"/>
      <c r="TGZ32" s="388"/>
      <c r="THA32" s="388"/>
      <c r="THB32" s="388"/>
      <c r="THC32" s="388"/>
      <c r="THD32" s="388"/>
      <c r="THE32" s="388"/>
      <c r="THF32" s="388"/>
      <c r="THG32" s="388"/>
      <c r="THH32" s="388"/>
      <c r="THI32" s="388"/>
      <c r="THJ32" s="388"/>
      <c r="THK32" s="388"/>
      <c r="THL32" s="388"/>
      <c r="THM32" s="388"/>
      <c r="THN32" s="388"/>
      <c r="THO32" s="388"/>
      <c r="THP32" s="388"/>
      <c r="THQ32" s="388"/>
      <c r="THR32" s="388"/>
      <c r="THS32" s="388"/>
      <c r="THT32" s="388"/>
      <c r="THU32" s="388"/>
      <c r="THV32" s="388"/>
      <c r="THW32" s="388"/>
      <c r="THX32" s="388"/>
      <c r="THY32" s="388"/>
      <c r="THZ32" s="388"/>
      <c r="TIA32" s="388"/>
      <c r="TIB32" s="388"/>
      <c r="TIC32" s="388"/>
      <c r="TID32" s="388"/>
      <c r="TIE32" s="388"/>
      <c r="TIF32" s="388"/>
      <c r="TIG32" s="388"/>
      <c r="TIH32" s="388"/>
      <c r="TII32" s="388"/>
      <c r="TIJ32" s="388"/>
      <c r="TIK32" s="388"/>
      <c r="TIL32" s="388"/>
      <c r="TIM32" s="388"/>
      <c r="TIN32" s="388"/>
      <c r="TIO32" s="388"/>
      <c r="TIP32" s="388"/>
      <c r="TIQ32" s="388"/>
      <c r="TIR32" s="388"/>
      <c r="TIS32" s="388"/>
      <c r="TIT32" s="388"/>
      <c r="TIU32" s="388"/>
      <c r="TIV32" s="388"/>
      <c r="TIW32" s="388"/>
      <c r="TIX32" s="388"/>
      <c r="TIY32" s="388"/>
      <c r="TIZ32" s="388"/>
      <c r="TJA32" s="388"/>
      <c r="TJB32" s="388"/>
      <c r="TJC32" s="388"/>
      <c r="TJD32" s="388"/>
      <c r="TJE32" s="388"/>
      <c r="TJF32" s="388"/>
      <c r="TJG32" s="388"/>
      <c r="TJH32" s="388"/>
      <c r="TJI32" s="388"/>
      <c r="TJJ32" s="388"/>
      <c r="TJK32" s="388"/>
      <c r="TJL32" s="388"/>
      <c r="TJM32" s="388"/>
      <c r="TJN32" s="388"/>
      <c r="TJO32" s="388"/>
      <c r="TJP32" s="388"/>
      <c r="TJQ32" s="388"/>
      <c r="TJR32" s="388"/>
      <c r="TJS32" s="388"/>
      <c r="TJT32" s="388"/>
      <c r="TJU32" s="388"/>
      <c r="TJV32" s="388"/>
      <c r="TJW32" s="388"/>
      <c r="TJX32" s="388"/>
      <c r="TJY32" s="388"/>
      <c r="TJZ32" s="388"/>
      <c r="TKA32" s="388"/>
      <c r="TKB32" s="388"/>
      <c r="TKC32" s="388"/>
      <c r="TKD32" s="388"/>
      <c r="TKE32" s="388"/>
      <c r="TKF32" s="388"/>
      <c r="TKG32" s="388"/>
      <c r="TKH32" s="388"/>
      <c r="TKI32" s="388"/>
      <c r="TKJ32" s="388"/>
      <c r="TKK32" s="388"/>
      <c r="TKL32" s="388"/>
      <c r="TKM32" s="388"/>
      <c r="TKN32" s="388"/>
      <c r="TKO32" s="388"/>
      <c r="TKP32" s="388"/>
      <c r="TKQ32" s="388"/>
      <c r="TKR32" s="388"/>
      <c r="TKS32" s="388"/>
      <c r="TKT32" s="388"/>
      <c r="TKU32" s="388"/>
      <c r="TKV32" s="388"/>
      <c r="TKW32" s="388"/>
      <c r="TKX32" s="388"/>
      <c r="TKY32" s="388"/>
      <c r="TKZ32" s="388"/>
      <c r="TLA32" s="388"/>
      <c r="TLB32" s="388"/>
      <c r="TLC32" s="388"/>
      <c r="TLD32" s="388"/>
      <c r="TLE32" s="388"/>
      <c r="TLF32" s="388"/>
      <c r="TLG32" s="388"/>
      <c r="TLH32" s="388"/>
      <c r="TLI32" s="388"/>
      <c r="TLJ32" s="388"/>
      <c r="TLK32" s="388"/>
      <c r="TLL32" s="388"/>
      <c r="TLM32" s="388"/>
      <c r="TLN32" s="388"/>
      <c r="TLO32" s="388"/>
      <c r="TLP32" s="388"/>
      <c r="TLQ32" s="388"/>
      <c r="TLR32" s="388"/>
      <c r="TLS32" s="388"/>
      <c r="TLT32" s="388"/>
      <c r="TLU32" s="388"/>
      <c r="TLV32" s="388"/>
      <c r="TLW32" s="388"/>
      <c r="TLX32" s="388"/>
      <c r="TLY32" s="388"/>
      <c r="TLZ32" s="388"/>
      <c r="TMA32" s="388"/>
      <c r="TMB32" s="388"/>
      <c r="TMC32" s="388"/>
      <c r="TMD32" s="388"/>
      <c r="TME32" s="388"/>
      <c r="TMF32" s="388"/>
      <c r="TMG32" s="388"/>
      <c r="TMH32" s="388"/>
      <c r="TMI32" s="388"/>
      <c r="TMJ32" s="388"/>
      <c r="TMK32" s="388"/>
      <c r="TML32" s="388"/>
      <c r="TMM32" s="388"/>
      <c r="TMN32" s="388"/>
      <c r="TMO32" s="388"/>
      <c r="TMP32" s="388"/>
      <c r="TMQ32" s="388"/>
      <c r="TMR32" s="388"/>
      <c r="TMS32" s="388"/>
      <c r="TMT32" s="388"/>
      <c r="TMU32" s="388"/>
      <c r="TMV32" s="388"/>
      <c r="TMW32" s="388"/>
      <c r="TMX32" s="388"/>
      <c r="TMY32" s="388"/>
      <c r="TMZ32" s="388"/>
      <c r="TNA32" s="388"/>
      <c r="TNB32" s="388"/>
      <c r="TNC32" s="388"/>
      <c r="TND32" s="388"/>
      <c r="TNE32" s="388"/>
      <c r="TNF32" s="388"/>
      <c r="TNG32" s="388"/>
      <c r="TNH32" s="388"/>
      <c r="TNI32" s="388"/>
      <c r="TNJ32" s="388"/>
      <c r="TNK32" s="388"/>
      <c r="TNL32" s="388"/>
      <c r="TNM32" s="388"/>
      <c r="TNN32" s="388"/>
      <c r="TNO32" s="388"/>
      <c r="TNP32" s="388"/>
      <c r="TNQ32" s="388"/>
      <c r="TNR32" s="388"/>
      <c r="TNS32" s="388"/>
      <c r="TNT32" s="388"/>
      <c r="TNU32" s="388"/>
      <c r="TNV32" s="388"/>
      <c r="TNW32" s="388"/>
      <c r="TNX32" s="388"/>
      <c r="TNY32" s="388"/>
      <c r="TNZ32" s="388"/>
      <c r="TOA32" s="388"/>
      <c r="TOB32" s="388"/>
      <c r="TOC32" s="388"/>
      <c r="TOD32" s="388"/>
      <c r="TOE32" s="388"/>
      <c r="TOF32" s="388"/>
      <c r="TOG32" s="388"/>
      <c r="TOH32" s="388"/>
      <c r="TOI32" s="388"/>
      <c r="TOJ32" s="388"/>
      <c r="TOK32" s="388"/>
      <c r="TOL32" s="388"/>
      <c r="TOM32" s="388"/>
      <c r="TON32" s="388"/>
      <c r="TOO32" s="388"/>
      <c r="TOP32" s="388"/>
      <c r="TOQ32" s="388"/>
      <c r="TOR32" s="388"/>
      <c r="TOS32" s="388"/>
      <c r="TOT32" s="388"/>
      <c r="TOU32" s="388"/>
      <c r="TOV32" s="388"/>
      <c r="TOW32" s="388"/>
      <c r="TOX32" s="388"/>
      <c r="TOY32" s="388"/>
      <c r="TOZ32" s="388"/>
      <c r="TPA32" s="388"/>
      <c r="TPB32" s="388"/>
      <c r="TPC32" s="388"/>
      <c r="TPD32" s="388"/>
      <c r="TPE32" s="388"/>
      <c r="TPF32" s="388"/>
      <c r="TPG32" s="388"/>
      <c r="TPH32" s="388"/>
      <c r="TPI32" s="388"/>
      <c r="TPJ32" s="388"/>
      <c r="TPK32" s="388"/>
      <c r="TPL32" s="388"/>
      <c r="TPM32" s="388"/>
      <c r="TPN32" s="388"/>
      <c r="TPO32" s="388"/>
      <c r="TPP32" s="388"/>
      <c r="TPQ32" s="388"/>
      <c r="TPR32" s="388"/>
      <c r="TPS32" s="388"/>
      <c r="TPT32" s="388"/>
      <c r="TPU32" s="388"/>
      <c r="TPV32" s="388"/>
      <c r="TPW32" s="388"/>
      <c r="TPX32" s="388"/>
      <c r="TPY32" s="388"/>
      <c r="TPZ32" s="388"/>
      <c r="TQA32" s="388"/>
      <c r="TQB32" s="388"/>
      <c r="TQC32" s="388"/>
      <c r="TQD32" s="388"/>
      <c r="TQE32" s="388"/>
      <c r="TQF32" s="388"/>
      <c r="TQG32" s="388"/>
      <c r="TQH32" s="388"/>
      <c r="TQI32" s="388"/>
      <c r="TQJ32" s="388"/>
      <c r="TQK32" s="388"/>
      <c r="TQL32" s="388"/>
      <c r="TQM32" s="388"/>
      <c r="TQN32" s="388"/>
      <c r="TQO32" s="388"/>
      <c r="TQP32" s="388"/>
      <c r="TQQ32" s="388"/>
      <c r="TQR32" s="388"/>
      <c r="TQS32" s="388"/>
      <c r="TQT32" s="388"/>
      <c r="TQU32" s="388"/>
      <c r="TQV32" s="388"/>
      <c r="TQW32" s="388"/>
      <c r="TQX32" s="388"/>
      <c r="TQY32" s="388"/>
      <c r="TQZ32" s="388"/>
      <c r="TRA32" s="388"/>
      <c r="TRB32" s="388"/>
      <c r="TRC32" s="388"/>
      <c r="TRD32" s="388"/>
      <c r="TRE32" s="388"/>
      <c r="TRF32" s="388"/>
      <c r="TRG32" s="388"/>
      <c r="TRH32" s="388"/>
      <c r="TRI32" s="388"/>
      <c r="TRJ32" s="388"/>
      <c r="TRK32" s="388"/>
      <c r="TRL32" s="388"/>
      <c r="TRM32" s="388"/>
      <c r="TRN32" s="388"/>
      <c r="TRO32" s="388"/>
      <c r="TRP32" s="388"/>
      <c r="TRQ32" s="388"/>
      <c r="TRR32" s="388"/>
      <c r="TRS32" s="388"/>
      <c r="TRT32" s="388"/>
      <c r="TRU32" s="388"/>
      <c r="TRV32" s="388"/>
      <c r="TRW32" s="388"/>
      <c r="TRX32" s="388"/>
      <c r="TRY32" s="388"/>
      <c r="TRZ32" s="388"/>
      <c r="TSA32" s="388"/>
      <c r="TSB32" s="388"/>
      <c r="TSC32" s="388"/>
      <c r="TSD32" s="388"/>
      <c r="TSE32" s="388"/>
      <c r="TSF32" s="388"/>
      <c r="TSG32" s="388"/>
      <c r="TSH32" s="388"/>
      <c r="TSI32" s="388"/>
      <c r="TSJ32" s="388"/>
      <c r="TSK32" s="388"/>
      <c r="TSL32" s="388"/>
      <c r="TSM32" s="388"/>
      <c r="TSN32" s="388"/>
      <c r="TSO32" s="388"/>
      <c r="TSP32" s="388"/>
      <c r="TSQ32" s="388"/>
      <c r="TSR32" s="388"/>
      <c r="TSS32" s="388"/>
      <c r="TST32" s="388"/>
      <c r="TSU32" s="388"/>
      <c r="TSV32" s="388"/>
      <c r="TSW32" s="388"/>
      <c r="TSX32" s="388"/>
      <c r="TSY32" s="388"/>
      <c r="TSZ32" s="388"/>
      <c r="TTA32" s="388"/>
      <c r="TTB32" s="388"/>
      <c r="TTC32" s="388"/>
      <c r="TTD32" s="388"/>
      <c r="TTE32" s="388"/>
      <c r="TTF32" s="388"/>
      <c r="TTG32" s="388"/>
      <c r="TTH32" s="388"/>
      <c r="TTI32" s="388"/>
      <c r="TTJ32" s="388"/>
      <c r="TTK32" s="388"/>
      <c r="TTL32" s="388"/>
      <c r="TTM32" s="388"/>
      <c r="TTN32" s="388"/>
      <c r="TTO32" s="388"/>
      <c r="TTP32" s="388"/>
      <c r="TTQ32" s="388"/>
      <c r="TTR32" s="388"/>
      <c r="TTS32" s="388"/>
      <c r="TTT32" s="388"/>
      <c r="TTU32" s="388"/>
      <c r="TTV32" s="388"/>
      <c r="TTW32" s="388"/>
      <c r="TTX32" s="388"/>
      <c r="TTY32" s="388"/>
      <c r="TTZ32" s="388"/>
      <c r="TUA32" s="388"/>
      <c r="TUB32" s="388"/>
      <c r="TUC32" s="388"/>
      <c r="TUD32" s="388"/>
      <c r="TUE32" s="388"/>
      <c r="TUF32" s="388"/>
      <c r="TUG32" s="388"/>
      <c r="TUH32" s="388"/>
      <c r="TUI32" s="388"/>
      <c r="TUJ32" s="388"/>
      <c r="TUK32" s="388"/>
      <c r="TUL32" s="388"/>
      <c r="TUM32" s="388"/>
      <c r="TUN32" s="388"/>
      <c r="TUO32" s="388"/>
      <c r="TUP32" s="388"/>
      <c r="TUQ32" s="388"/>
      <c r="TUR32" s="388"/>
      <c r="TUS32" s="388"/>
      <c r="TUT32" s="388"/>
      <c r="TUU32" s="388"/>
      <c r="TUV32" s="388"/>
      <c r="TUW32" s="388"/>
      <c r="TUX32" s="388"/>
      <c r="TUY32" s="388"/>
      <c r="TUZ32" s="388"/>
      <c r="TVA32" s="388"/>
      <c r="TVB32" s="388"/>
      <c r="TVC32" s="388"/>
      <c r="TVD32" s="388"/>
      <c r="TVE32" s="388"/>
      <c r="TVF32" s="388"/>
      <c r="TVG32" s="388"/>
      <c r="TVH32" s="388"/>
      <c r="TVI32" s="388"/>
      <c r="TVJ32" s="388"/>
      <c r="TVK32" s="388"/>
      <c r="TVL32" s="388"/>
      <c r="TVM32" s="388"/>
      <c r="TVN32" s="388"/>
      <c r="TVO32" s="388"/>
      <c r="TVP32" s="388"/>
      <c r="TVQ32" s="388"/>
      <c r="TVR32" s="388"/>
      <c r="TVS32" s="388"/>
      <c r="TVT32" s="388"/>
      <c r="TVU32" s="388"/>
      <c r="TVV32" s="388"/>
      <c r="TVW32" s="388"/>
      <c r="TVX32" s="388"/>
      <c r="TVY32" s="388"/>
      <c r="TVZ32" s="388"/>
      <c r="TWA32" s="388"/>
      <c r="TWB32" s="388"/>
      <c r="TWC32" s="388"/>
      <c r="TWD32" s="388"/>
      <c r="TWE32" s="388"/>
      <c r="TWF32" s="388"/>
      <c r="TWG32" s="388"/>
      <c r="TWH32" s="388"/>
      <c r="TWI32" s="388"/>
      <c r="TWJ32" s="388"/>
      <c r="TWK32" s="388"/>
      <c r="TWL32" s="388"/>
      <c r="TWM32" s="388"/>
      <c r="TWN32" s="388"/>
      <c r="TWO32" s="388"/>
      <c r="TWP32" s="388"/>
      <c r="TWQ32" s="388"/>
      <c r="TWR32" s="388"/>
      <c r="TWS32" s="388"/>
      <c r="TWT32" s="388"/>
      <c r="TWU32" s="388"/>
      <c r="TWV32" s="388"/>
      <c r="TWW32" s="388"/>
      <c r="TWX32" s="388"/>
      <c r="TWY32" s="388"/>
      <c r="TWZ32" s="388"/>
      <c r="TXA32" s="388"/>
      <c r="TXB32" s="388"/>
      <c r="TXC32" s="388"/>
      <c r="TXD32" s="388"/>
      <c r="TXE32" s="388"/>
      <c r="TXF32" s="388"/>
      <c r="TXG32" s="388"/>
      <c r="TXH32" s="388"/>
      <c r="TXI32" s="388"/>
      <c r="TXJ32" s="388"/>
      <c r="TXK32" s="388"/>
      <c r="TXL32" s="388"/>
      <c r="TXM32" s="388"/>
      <c r="TXN32" s="388"/>
      <c r="TXO32" s="388"/>
      <c r="TXP32" s="388"/>
      <c r="TXQ32" s="388"/>
      <c r="TXR32" s="388"/>
      <c r="TXS32" s="388"/>
      <c r="TXT32" s="388"/>
      <c r="TXU32" s="388"/>
      <c r="TXV32" s="388"/>
      <c r="TXW32" s="388"/>
      <c r="TXX32" s="388"/>
      <c r="TXY32" s="388"/>
      <c r="TXZ32" s="388"/>
      <c r="TYA32" s="388"/>
      <c r="TYB32" s="388"/>
      <c r="TYC32" s="388"/>
      <c r="TYD32" s="388"/>
      <c r="TYE32" s="388"/>
      <c r="TYF32" s="388"/>
      <c r="TYG32" s="388"/>
      <c r="TYH32" s="388"/>
      <c r="TYI32" s="388"/>
      <c r="TYJ32" s="388"/>
      <c r="TYK32" s="388"/>
      <c r="TYL32" s="388"/>
      <c r="TYM32" s="388"/>
      <c r="TYN32" s="388"/>
      <c r="TYO32" s="388"/>
      <c r="TYP32" s="388"/>
      <c r="TYQ32" s="388"/>
      <c r="TYR32" s="388"/>
      <c r="TYS32" s="388"/>
      <c r="TYT32" s="388"/>
      <c r="TYU32" s="388"/>
      <c r="TYV32" s="388"/>
      <c r="TYW32" s="388"/>
      <c r="TYX32" s="388"/>
      <c r="TYY32" s="388"/>
      <c r="TYZ32" s="388"/>
      <c r="TZA32" s="388"/>
      <c r="TZB32" s="388"/>
      <c r="TZC32" s="388"/>
      <c r="TZD32" s="388"/>
      <c r="TZE32" s="388"/>
      <c r="TZF32" s="388"/>
      <c r="TZG32" s="388"/>
      <c r="TZH32" s="388"/>
      <c r="TZI32" s="388"/>
      <c r="TZJ32" s="388"/>
      <c r="TZK32" s="388"/>
      <c r="TZL32" s="388"/>
      <c r="TZM32" s="388"/>
      <c r="TZN32" s="388"/>
      <c r="TZO32" s="388"/>
      <c r="TZP32" s="388"/>
      <c r="TZQ32" s="388"/>
      <c r="TZR32" s="388"/>
      <c r="TZS32" s="388"/>
      <c r="TZT32" s="388"/>
      <c r="TZU32" s="388"/>
      <c r="TZV32" s="388"/>
      <c r="TZW32" s="388"/>
      <c r="TZX32" s="388"/>
      <c r="TZY32" s="388"/>
      <c r="TZZ32" s="388"/>
      <c r="UAA32" s="388"/>
      <c r="UAB32" s="388"/>
      <c r="UAC32" s="388"/>
      <c r="UAD32" s="388"/>
      <c r="UAE32" s="388"/>
      <c r="UAF32" s="388"/>
      <c r="UAG32" s="388"/>
      <c r="UAH32" s="388"/>
      <c r="UAI32" s="388"/>
      <c r="UAJ32" s="388"/>
      <c r="UAK32" s="388"/>
      <c r="UAL32" s="388"/>
      <c r="UAM32" s="388"/>
      <c r="UAN32" s="388"/>
      <c r="UAO32" s="388"/>
      <c r="UAP32" s="388"/>
      <c r="UAQ32" s="388"/>
      <c r="UAR32" s="388"/>
      <c r="UAS32" s="388"/>
      <c r="UAT32" s="388"/>
      <c r="UAU32" s="388"/>
      <c r="UAV32" s="388"/>
      <c r="UAW32" s="388"/>
      <c r="UAX32" s="388"/>
      <c r="UAY32" s="388"/>
      <c r="UAZ32" s="388"/>
      <c r="UBA32" s="388"/>
      <c r="UBB32" s="388"/>
      <c r="UBC32" s="388"/>
      <c r="UBD32" s="388"/>
      <c r="UBE32" s="388"/>
      <c r="UBF32" s="388"/>
      <c r="UBG32" s="388"/>
      <c r="UBH32" s="388"/>
      <c r="UBI32" s="388"/>
      <c r="UBJ32" s="388"/>
      <c r="UBK32" s="388"/>
      <c r="UBL32" s="388"/>
      <c r="UBM32" s="388"/>
      <c r="UBN32" s="388"/>
      <c r="UBO32" s="388"/>
      <c r="UBP32" s="388"/>
      <c r="UBQ32" s="388"/>
      <c r="UBR32" s="388"/>
      <c r="UBS32" s="388"/>
      <c r="UBT32" s="388"/>
      <c r="UBU32" s="388"/>
      <c r="UBV32" s="388"/>
      <c r="UBW32" s="388"/>
      <c r="UBX32" s="388"/>
      <c r="UBY32" s="388"/>
      <c r="UBZ32" s="388"/>
      <c r="UCA32" s="388"/>
      <c r="UCB32" s="388"/>
      <c r="UCC32" s="388"/>
      <c r="UCD32" s="388"/>
      <c r="UCE32" s="388"/>
      <c r="UCF32" s="388"/>
      <c r="UCG32" s="388"/>
      <c r="UCH32" s="388"/>
      <c r="UCI32" s="388"/>
      <c r="UCJ32" s="388"/>
      <c r="UCK32" s="388"/>
      <c r="UCL32" s="388"/>
      <c r="UCM32" s="388"/>
      <c r="UCN32" s="388"/>
      <c r="UCO32" s="388"/>
      <c r="UCP32" s="388"/>
      <c r="UCQ32" s="388"/>
      <c r="UCR32" s="388"/>
      <c r="UCS32" s="388"/>
      <c r="UCT32" s="388"/>
      <c r="UCU32" s="388"/>
      <c r="UCV32" s="388"/>
      <c r="UCW32" s="388"/>
      <c r="UCX32" s="388"/>
      <c r="UCY32" s="388"/>
      <c r="UCZ32" s="388"/>
      <c r="UDA32" s="388"/>
      <c r="UDB32" s="388"/>
      <c r="UDC32" s="388"/>
      <c r="UDD32" s="388"/>
      <c r="UDE32" s="388"/>
      <c r="UDF32" s="388"/>
      <c r="UDG32" s="388"/>
      <c r="UDH32" s="388"/>
      <c r="UDI32" s="388"/>
      <c r="UDJ32" s="388"/>
      <c r="UDK32" s="388"/>
      <c r="UDL32" s="388"/>
      <c r="UDM32" s="388"/>
      <c r="UDN32" s="388"/>
      <c r="UDO32" s="388"/>
      <c r="UDP32" s="388"/>
      <c r="UDQ32" s="388"/>
      <c r="UDR32" s="388"/>
      <c r="UDS32" s="388"/>
      <c r="UDT32" s="388"/>
      <c r="UDU32" s="388"/>
      <c r="UDV32" s="388"/>
      <c r="UDW32" s="388"/>
      <c r="UDX32" s="388"/>
      <c r="UDY32" s="388"/>
      <c r="UDZ32" s="388"/>
      <c r="UEA32" s="388"/>
      <c r="UEB32" s="388"/>
      <c r="UEC32" s="388"/>
      <c r="UED32" s="388"/>
      <c r="UEE32" s="388"/>
      <c r="UEF32" s="388"/>
      <c r="UEG32" s="388"/>
      <c r="UEH32" s="388"/>
      <c r="UEI32" s="388"/>
      <c r="UEJ32" s="388"/>
      <c r="UEK32" s="388"/>
      <c r="UEL32" s="388"/>
      <c r="UEM32" s="388"/>
      <c r="UEN32" s="388"/>
      <c r="UEO32" s="388"/>
      <c r="UEP32" s="388"/>
      <c r="UEQ32" s="388"/>
      <c r="UER32" s="388"/>
      <c r="UES32" s="388"/>
      <c r="UET32" s="388"/>
      <c r="UEU32" s="388"/>
      <c r="UEV32" s="388"/>
      <c r="UEW32" s="388"/>
      <c r="UEX32" s="388"/>
      <c r="UEY32" s="388"/>
      <c r="UEZ32" s="388"/>
      <c r="UFA32" s="388"/>
      <c r="UFB32" s="388"/>
      <c r="UFC32" s="388"/>
      <c r="UFD32" s="388"/>
      <c r="UFE32" s="388"/>
      <c r="UFF32" s="388"/>
      <c r="UFG32" s="388"/>
      <c r="UFH32" s="388"/>
      <c r="UFI32" s="388"/>
      <c r="UFJ32" s="388"/>
      <c r="UFK32" s="388"/>
      <c r="UFL32" s="388"/>
      <c r="UFM32" s="388"/>
      <c r="UFN32" s="388"/>
      <c r="UFO32" s="388"/>
      <c r="UFP32" s="388"/>
      <c r="UFQ32" s="388"/>
      <c r="UFR32" s="388"/>
      <c r="UFS32" s="388"/>
      <c r="UFT32" s="388"/>
      <c r="UFU32" s="388"/>
      <c r="UFV32" s="388"/>
      <c r="UFW32" s="388"/>
      <c r="UFX32" s="388"/>
      <c r="UFY32" s="388"/>
      <c r="UFZ32" s="388"/>
      <c r="UGA32" s="388"/>
      <c r="UGB32" s="388"/>
      <c r="UGC32" s="388"/>
      <c r="UGD32" s="388"/>
      <c r="UGE32" s="388"/>
      <c r="UGF32" s="388"/>
      <c r="UGG32" s="388"/>
      <c r="UGH32" s="388"/>
      <c r="UGI32" s="388"/>
      <c r="UGJ32" s="388"/>
      <c r="UGK32" s="388"/>
      <c r="UGL32" s="388"/>
      <c r="UGM32" s="388"/>
      <c r="UGN32" s="388"/>
      <c r="UGO32" s="388"/>
      <c r="UGP32" s="388"/>
      <c r="UGQ32" s="388"/>
      <c r="UGR32" s="388"/>
      <c r="UGS32" s="388"/>
      <c r="UGT32" s="388"/>
      <c r="UGU32" s="388"/>
      <c r="UGV32" s="388"/>
      <c r="UGW32" s="388"/>
      <c r="UGX32" s="388"/>
      <c r="UGY32" s="388"/>
      <c r="UGZ32" s="388"/>
      <c r="UHA32" s="388"/>
      <c r="UHB32" s="388"/>
      <c r="UHC32" s="388"/>
      <c r="UHD32" s="388"/>
      <c r="UHE32" s="388"/>
      <c r="UHF32" s="388"/>
      <c r="UHG32" s="388"/>
      <c r="UHH32" s="388"/>
      <c r="UHI32" s="388"/>
      <c r="UHJ32" s="388"/>
      <c r="UHK32" s="388"/>
      <c r="UHL32" s="388"/>
      <c r="UHM32" s="388"/>
      <c r="UHN32" s="388"/>
      <c r="UHO32" s="388"/>
      <c r="UHP32" s="388"/>
      <c r="UHQ32" s="388"/>
      <c r="UHR32" s="388"/>
      <c r="UHS32" s="388"/>
      <c r="UHT32" s="388"/>
      <c r="UHU32" s="388"/>
      <c r="UHV32" s="388"/>
      <c r="UHW32" s="388"/>
      <c r="UHX32" s="388"/>
      <c r="UHY32" s="388"/>
      <c r="UHZ32" s="388"/>
      <c r="UIA32" s="388"/>
      <c r="UIB32" s="388"/>
      <c r="UIC32" s="388"/>
      <c r="UID32" s="388"/>
      <c r="UIE32" s="388"/>
      <c r="UIF32" s="388"/>
      <c r="UIG32" s="388"/>
      <c r="UIH32" s="388"/>
      <c r="UII32" s="388"/>
      <c r="UIJ32" s="388"/>
      <c r="UIK32" s="388"/>
      <c r="UIL32" s="388"/>
      <c r="UIM32" s="388"/>
      <c r="UIN32" s="388"/>
      <c r="UIO32" s="388"/>
      <c r="UIP32" s="388"/>
      <c r="UIQ32" s="388"/>
      <c r="UIR32" s="388"/>
      <c r="UIS32" s="388"/>
      <c r="UIT32" s="388"/>
      <c r="UIU32" s="388"/>
      <c r="UIV32" s="388"/>
      <c r="UIW32" s="388"/>
      <c r="UIX32" s="388"/>
      <c r="UIY32" s="388"/>
      <c r="UIZ32" s="388"/>
      <c r="UJA32" s="388"/>
      <c r="UJB32" s="388"/>
      <c r="UJC32" s="388"/>
      <c r="UJD32" s="388"/>
      <c r="UJE32" s="388"/>
      <c r="UJF32" s="388"/>
      <c r="UJG32" s="388"/>
      <c r="UJH32" s="388"/>
      <c r="UJI32" s="388"/>
      <c r="UJJ32" s="388"/>
      <c r="UJK32" s="388"/>
      <c r="UJL32" s="388"/>
      <c r="UJM32" s="388"/>
      <c r="UJN32" s="388"/>
      <c r="UJO32" s="388"/>
      <c r="UJP32" s="388"/>
      <c r="UJQ32" s="388"/>
      <c r="UJR32" s="388"/>
      <c r="UJS32" s="388"/>
      <c r="UJT32" s="388"/>
      <c r="UJU32" s="388"/>
      <c r="UJV32" s="388"/>
      <c r="UJW32" s="388"/>
      <c r="UJX32" s="388"/>
      <c r="UJY32" s="388"/>
      <c r="UJZ32" s="388"/>
      <c r="UKA32" s="388"/>
      <c r="UKB32" s="388"/>
      <c r="UKC32" s="388"/>
      <c r="UKD32" s="388"/>
      <c r="UKE32" s="388"/>
      <c r="UKF32" s="388"/>
      <c r="UKG32" s="388"/>
      <c r="UKH32" s="388"/>
      <c r="UKI32" s="388"/>
      <c r="UKJ32" s="388"/>
      <c r="UKK32" s="388"/>
      <c r="UKL32" s="388"/>
      <c r="UKM32" s="388"/>
      <c r="UKN32" s="388"/>
      <c r="UKO32" s="388"/>
      <c r="UKP32" s="388"/>
      <c r="UKQ32" s="388"/>
      <c r="UKR32" s="388"/>
      <c r="UKS32" s="388"/>
      <c r="UKT32" s="388"/>
      <c r="UKU32" s="388"/>
      <c r="UKV32" s="388"/>
      <c r="UKW32" s="388"/>
      <c r="UKX32" s="388"/>
      <c r="UKY32" s="388"/>
      <c r="UKZ32" s="388"/>
      <c r="ULA32" s="388"/>
      <c r="ULB32" s="388"/>
      <c r="ULC32" s="388"/>
      <c r="ULD32" s="388"/>
      <c r="ULE32" s="388"/>
      <c r="ULF32" s="388"/>
      <c r="ULG32" s="388"/>
      <c r="ULH32" s="388"/>
      <c r="ULI32" s="388"/>
      <c r="ULJ32" s="388"/>
      <c r="ULK32" s="388"/>
      <c r="ULL32" s="388"/>
      <c r="ULM32" s="388"/>
      <c r="ULN32" s="388"/>
      <c r="ULO32" s="388"/>
      <c r="ULP32" s="388"/>
      <c r="ULQ32" s="388"/>
      <c r="ULR32" s="388"/>
      <c r="ULS32" s="388"/>
      <c r="ULT32" s="388"/>
      <c r="ULU32" s="388"/>
      <c r="ULV32" s="388"/>
      <c r="ULW32" s="388"/>
      <c r="ULX32" s="388"/>
      <c r="ULY32" s="388"/>
      <c r="ULZ32" s="388"/>
      <c r="UMA32" s="388"/>
      <c r="UMB32" s="388"/>
      <c r="UMC32" s="388"/>
      <c r="UMD32" s="388"/>
      <c r="UME32" s="388"/>
      <c r="UMF32" s="388"/>
      <c r="UMG32" s="388"/>
      <c r="UMH32" s="388"/>
      <c r="UMI32" s="388"/>
      <c r="UMJ32" s="388"/>
      <c r="UMK32" s="388"/>
      <c r="UML32" s="388"/>
      <c r="UMM32" s="388"/>
      <c r="UMN32" s="388"/>
      <c r="UMO32" s="388"/>
      <c r="UMP32" s="388"/>
      <c r="UMQ32" s="388"/>
      <c r="UMR32" s="388"/>
      <c r="UMS32" s="388"/>
      <c r="UMT32" s="388"/>
      <c r="UMU32" s="388"/>
      <c r="UMV32" s="388"/>
      <c r="UMW32" s="388"/>
      <c r="UMX32" s="388"/>
      <c r="UMY32" s="388"/>
      <c r="UMZ32" s="388"/>
      <c r="UNA32" s="388"/>
      <c r="UNB32" s="388"/>
      <c r="UNC32" s="388"/>
      <c r="UND32" s="388"/>
      <c r="UNE32" s="388"/>
      <c r="UNF32" s="388"/>
      <c r="UNG32" s="388"/>
      <c r="UNH32" s="388"/>
      <c r="UNI32" s="388"/>
      <c r="UNJ32" s="388"/>
      <c r="UNK32" s="388"/>
      <c r="UNL32" s="388"/>
      <c r="UNM32" s="388"/>
      <c r="UNN32" s="388"/>
      <c r="UNO32" s="388"/>
      <c r="UNP32" s="388"/>
      <c r="UNQ32" s="388"/>
      <c r="UNR32" s="388"/>
      <c r="UNS32" s="388"/>
      <c r="UNT32" s="388"/>
      <c r="UNU32" s="388"/>
      <c r="UNV32" s="388"/>
      <c r="UNW32" s="388"/>
      <c r="UNX32" s="388"/>
      <c r="UNY32" s="388"/>
      <c r="UNZ32" s="388"/>
      <c r="UOA32" s="388"/>
      <c r="UOB32" s="388"/>
      <c r="UOC32" s="388"/>
      <c r="UOD32" s="388"/>
      <c r="UOE32" s="388"/>
      <c r="UOF32" s="388"/>
      <c r="UOG32" s="388"/>
      <c r="UOH32" s="388"/>
      <c r="UOI32" s="388"/>
      <c r="UOJ32" s="388"/>
      <c r="UOK32" s="388"/>
      <c r="UOL32" s="388"/>
      <c r="UOM32" s="388"/>
      <c r="UON32" s="388"/>
      <c r="UOO32" s="388"/>
      <c r="UOP32" s="388"/>
      <c r="UOQ32" s="388"/>
      <c r="UOR32" s="388"/>
      <c r="UOS32" s="388"/>
      <c r="UOT32" s="388"/>
      <c r="UOU32" s="388"/>
      <c r="UOV32" s="388"/>
      <c r="UOW32" s="388"/>
      <c r="UOX32" s="388"/>
      <c r="UOY32" s="388"/>
      <c r="UOZ32" s="388"/>
      <c r="UPA32" s="388"/>
      <c r="UPB32" s="388"/>
      <c r="UPC32" s="388"/>
      <c r="UPD32" s="388"/>
      <c r="UPE32" s="388"/>
      <c r="UPF32" s="388"/>
      <c r="UPG32" s="388"/>
      <c r="UPH32" s="388"/>
      <c r="UPI32" s="388"/>
      <c r="UPJ32" s="388"/>
      <c r="UPK32" s="388"/>
      <c r="UPL32" s="388"/>
      <c r="UPM32" s="388"/>
      <c r="UPN32" s="388"/>
      <c r="UPO32" s="388"/>
      <c r="UPP32" s="388"/>
      <c r="UPQ32" s="388"/>
      <c r="UPR32" s="388"/>
      <c r="UPS32" s="388"/>
      <c r="UPT32" s="388"/>
      <c r="UPU32" s="388"/>
      <c r="UPV32" s="388"/>
      <c r="UPW32" s="388"/>
      <c r="UPX32" s="388"/>
      <c r="UPY32" s="388"/>
      <c r="UPZ32" s="388"/>
      <c r="UQA32" s="388"/>
      <c r="UQB32" s="388"/>
      <c r="UQC32" s="388"/>
      <c r="UQD32" s="388"/>
      <c r="UQE32" s="388"/>
      <c r="UQF32" s="388"/>
      <c r="UQG32" s="388"/>
      <c r="UQH32" s="388"/>
      <c r="UQI32" s="388"/>
      <c r="UQJ32" s="388"/>
      <c r="UQK32" s="388"/>
      <c r="UQL32" s="388"/>
      <c r="UQM32" s="388"/>
      <c r="UQN32" s="388"/>
      <c r="UQO32" s="388"/>
      <c r="UQP32" s="388"/>
      <c r="UQQ32" s="388"/>
      <c r="UQR32" s="388"/>
      <c r="UQS32" s="388"/>
      <c r="UQT32" s="388"/>
      <c r="UQU32" s="388"/>
      <c r="UQV32" s="388"/>
      <c r="UQW32" s="388"/>
      <c r="UQX32" s="388"/>
      <c r="UQY32" s="388"/>
      <c r="UQZ32" s="388"/>
      <c r="URA32" s="388"/>
      <c r="URB32" s="388"/>
      <c r="URC32" s="388"/>
      <c r="URD32" s="388"/>
      <c r="URE32" s="388"/>
      <c r="URF32" s="388"/>
      <c r="URG32" s="388"/>
      <c r="URH32" s="388"/>
      <c r="URI32" s="388"/>
      <c r="URJ32" s="388"/>
      <c r="URK32" s="388"/>
      <c r="URL32" s="388"/>
      <c r="URM32" s="388"/>
      <c r="URN32" s="388"/>
      <c r="URO32" s="388"/>
      <c r="URP32" s="388"/>
      <c r="URQ32" s="388"/>
      <c r="URR32" s="388"/>
      <c r="URS32" s="388"/>
      <c r="URT32" s="388"/>
      <c r="URU32" s="388"/>
      <c r="URV32" s="388"/>
      <c r="URW32" s="388"/>
      <c r="URX32" s="388"/>
      <c r="URY32" s="388"/>
      <c r="URZ32" s="388"/>
      <c r="USA32" s="388"/>
      <c r="USB32" s="388"/>
      <c r="USC32" s="388"/>
      <c r="USD32" s="388"/>
      <c r="USE32" s="388"/>
      <c r="USF32" s="388"/>
      <c r="USG32" s="388"/>
      <c r="USH32" s="388"/>
      <c r="USI32" s="388"/>
      <c r="USJ32" s="388"/>
      <c r="USK32" s="388"/>
      <c r="USL32" s="388"/>
      <c r="USM32" s="388"/>
      <c r="USN32" s="388"/>
      <c r="USO32" s="388"/>
      <c r="USP32" s="388"/>
      <c r="USQ32" s="388"/>
      <c r="USR32" s="388"/>
      <c r="USS32" s="388"/>
      <c r="UST32" s="388"/>
      <c r="USU32" s="388"/>
      <c r="USV32" s="388"/>
      <c r="USW32" s="388"/>
      <c r="USX32" s="388"/>
      <c r="USY32" s="388"/>
      <c r="USZ32" s="388"/>
      <c r="UTA32" s="388"/>
      <c r="UTB32" s="388"/>
      <c r="UTC32" s="388"/>
      <c r="UTD32" s="388"/>
      <c r="UTE32" s="388"/>
      <c r="UTF32" s="388"/>
      <c r="UTG32" s="388"/>
      <c r="UTH32" s="388"/>
      <c r="UTI32" s="388"/>
      <c r="UTJ32" s="388"/>
      <c r="UTK32" s="388"/>
      <c r="UTL32" s="388"/>
      <c r="UTM32" s="388"/>
      <c r="UTN32" s="388"/>
      <c r="UTO32" s="388"/>
      <c r="UTP32" s="388"/>
      <c r="UTQ32" s="388"/>
      <c r="UTR32" s="388"/>
      <c r="UTS32" s="388"/>
      <c r="UTT32" s="388"/>
      <c r="UTU32" s="388"/>
      <c r="UTV32" s="388"/>
      <c r="UTW32" s="388"/>
      <c r="UTX32" s="388"/>
      <c r="UTY32" s="388"/>
      <c r="UTZ32" s="388"/>
      <c r="UUA32" s="388"/>
      <c r="UUB32" s="388"/>
      <c r="UUC32" s="388"/>
      <c r="UUD32" s="388"/>
      <c r="UUE32" s="388"/>
      <c r="UUF32" s="388"/>
      <c r="UUG32" s="388"/>
      <c r="UUH32" s="388"/>
      <c r="UUI32" s="388"/>
      <c r="UUJ32" s="388"/>
      <c r="UUK32" s="388"/>
      <c r="UUL32" s="388"/>
      <c r="UUM32" s="388"/>
      <c r="UUN32" s="388"/>
      <c r="UUO32" s="388"/>
      <c r="UUP32" s="388"/>
      <c r="UUQ32" s="388"/>
      <c r="UUR32" s="388"/>
      <c r="UUS32" s="388"/>
      <c r="UUT32" s="388"/>
      <c r="UUU32" s="388"/>
      <c r="UUV32" s="388"/>
      <c r="UUW32" s="388"/>
      <c r="UUX32" s="388"/>
      <c r="UUY32" s="388"/>
      <c r="UUZ32" s="388"/>
      <c r="UVA32" s="388"/>
      <c r="UVB32" s="388"/>
      <c r="UVC32" s="388"/>
      <c r="UVD32" s="388"/>
      <c r="UVE32" s="388"/>
      <c r="UVF32" s="388"/>
      <c r="UVG32" s="388"/>
      <c r="UVH32" s="388"/>
      <c r="UVI32" s="388"/>
      <c r="UVJ32" s="388"/>
      <c r="UVK32" s="388"/>
      <c r="UVL32" s="388"/>
      <c r="UVM32" s="388"/>
      <c r="UVN32" s="388"/>
      <c r="UVO32" s="388"/>
      <c r="UVP32" s="388"/>
      <c r="UVQ32" s="388"/>
      <c r="UVR32" s="388"/>
      <c r="UVS32" s="388"/>
      <c r="UVT32" s="388"/>
      <c r="UVU32" s="388"/>
      <c r="UVV32" s="388"/>
      <c r="UVW32" s="388"/>
      <c r="UVX32" s="388"/>
      <c r="UVY32" s="388"/>
      <c r="UVZ32" s="388"/>
      <c r="UWA32" s="388"/>
      <c r="UWB32" s="388"/>
      <c r="UWC32" s="388"/>
      <c r="UWD32" s="388"/>
      <c r="UWE32" s="388"/>
      <c r="UWF32" s="388"/>
      <c r="UWG32" s="388"/>
      <c r="UWH32" s="388"/>
      <c r="UWI32" s="388"/>
      <c r="UWJ32" s="388"/>
      <c r="UWK32" s="388"/>
      <c r="UWL32" s="388"/>
      <c r="UWM32" s="388"/>
      <c r="UWN32" s="388"/>
      <c r="UWO32" s="388"/>
      <c r="UWP32" s="388"/>
      <c r="UWQ32" s="388"/>
      <c r="UWR32" s="388"/>
      <c r="UWS32" s="388"/>
      <c r="UWT32" s="388"/>
      <c r="UWU32" s="388"/>
      <c r="UWV32" s="388"/>
      <c r="UWW32" s="388"/>
      <c r="UWX32" s="388"/>
      <c r="UWY32" s="388"/>
      <c r="UWZ32" s="388"/>
      <c r="UXA32" s="388"/>
      <c r="UXB32" s="388"/>
      <c r="UXC32" s="388"/>
      <c r="UXD32" s="388"/>
      <c r="UXE32" s="388"/>
      <c r="UXF32" s="388"/>
      <c r="UXG32" s="388"/>
      <c r="UXH32" s="388"/>
      <c r="UXI32" s="388"/>
      <c r="UXJ32" s="388"/>
      <c r="UXK32" s="388"/>
      <c r="UXL32" s="388"/>
      <c r="UXM32" s="388"/>
      <c r="UXN32" s="388"/>
      <c r="UXO32" s="388"/>
      <c r="UXP32" s="388"/>
      <c r="UXQ32" s="388"/>
      <c r="UXR32" s="388"/>
      <c r="UXS32" s="388"/>
      <c r="UXT32" s="388"/>
      <c r="UXU32" s="388"/>
      <c r="UXV32" s="388"/>
      <c r="UXW32" s="388"/>
      <c r="UXX32" s="388"/>
      <c r="UXY32" s="388"/>
      <c r="UXZ32" s="388"/>
      <c r="UYA32" s="388"/>
      <c r="UYB32" s="388"/>
      <c r="UYC32" s="388"/>
      <c r="UYD32" s="388"/>
      <c r="UYE32" s="388"/>
      <c r="UYF32" s="388"/>
      <c r="UYG32" s="388"/>
      <c r="UYH32" s="388"/>
      <c r="UYI32" s="388"/>
      <c r="UYJ32" s="388"/>
      <c r="UYK32" s="388"/>
      <c r="UYL32" s="388"/>
      <c r="UYM32" s="388"/>
      <c r="UYN32" s="388"/>
      <c r="UYO32" s="388"/>
      <c r="UYP32" s="388"/>
      <c r="UYQ32" s="388"/>
      <c r="UYR32" s="388"/>
      <c r="UYS32" s="388"/>
      <c r="UYT32" s="388"/>
      <c r="UYU32" s="388"/>
      <c r="UYV32" s="388"/>
      <c r="UYW32" s="388"/>
      <c r="UYX32" s="388"/>
      <c r="UYY32" s="388"/>
      <c r="UYZ32" s="388"/>
      <c r="UZA32" s="388"/>
      <c r="UZB32" s="388"/>
      <c r="UZC32" s="388"/>
      <c r="UZD32" s="388"/>
      <c r="UZE32" s="388"/>
      <c r="UZF32" s="388"/>
      <c r="UZG32" s="388"/>
      <c r="UZH32" s="388"/>
      <c r="UZI32" s="388"/>
      <c r="UZJ32" s="388"/>
      <c r="UZK32" s="388"/>
      <c r="UZL32" s="388"/>
      <c r="UZM32" s="388"/>
      <c r="UZN32" s="388"/>
      <c r="UZO32" s="388"/>
      <c r="UZP32" s="388"/>
      <c r="UZQ32" s="388"/>
      <c r="UZR32" s="388"/>
      <c r="UZS32" s="388"/>
      <c r="UZT32" s="388"/>
      <c r="UZU32" s="388"/>
      <c r="UZV32" s="388"/>
      <c r="UZW32" s="388"/>
      <c r="UZX32" s="388"/>
      <c r="UZY32" s="388"/>
      <c r="UZZ32" s="388"/>
      <c r="VAA32" s="388"/>
      <c r="VAB32" s="388"/>
      <c r="VAC32" s="388"/>
      <c r="VAD32" s="388"/>
      <c r="VAE32" s="388"/>
      <c r="VAF32" s="388"/>
      <c r="VAG32" s="388"/>
      <c r="VAH32" s="388"/>
      <c r="VAI32" s="388"/>
      <c r="VAJ32" s="388"/>
      <c r="VAK32" s="388"/>
      <c r="VAL32" s="388"/>
      <c r="VAM32" s="388"/>
      <c r="VAN32" s="388"/>
      <c r="VAO32" s="388"/>
      <c r="VAP32" s="388"/>
      <c r="VAQ32" s="388"/>
      <c r="VAR32" s="388"/>
      <c r="VAS32" s="388"/>
      <c r="VAT32" s="388"/>
      <c r="VAU32" s="388"/>
      <c r="VAV32" s="388"/>
      <c r="VAW32" s="388"/>
      <c r="VAX32" s="388"/>
      <c r="VAY32" s="388"/>
      <c r="VAZ32" s="388"/>
      <c r="VBA32" s="388"/>
      <c r="VBB32" s="388"/>
      <c r="VBC32" s="388"/>
      <c r="VBD32" s="388"/>
      <c r="VBE32" s="388"/>
      <c r="VBF32" s="388"/>
      <c r="VBG32" s="388"/>
      <c r="VBH32" s="388"/>
      <c r="VBI32" s="388"/>
      <c r="VBJ32" s="388"/>
      <c r="VBK32" s="388"/>
      <c r="VBL32" s="388"/>
      <c r="VBM32" s="388"/>
      <c r="VBN32" s="388"/>
      <c r="VBO32" s="388"/>
      <c r="VBP32" s="388"/>
      <c r="VBQ32" s="388"/>
      <c r="VBR32" s="388"/>
      <c r="VBS32" s="388"/>
      <c r="VBT32" s="388"/>
      <c r="VBU32" s="388"/>
      <c r="VBV32" s="388"/>
      <c r="VBW32" s="388"/>
      <c r="VBX32" s="388"/>
      <c r="VBY32" s="388"/>
      <c r="VBZ32" s="388"/>
      <c r="VCA32" s="388"/>
      <c r="VCB32" s="388"/>
      <c r="VCC32" s="388"/>
      <c r="VCD32" s="388"/>
      <c r="VCE32" s="388"/>
      <c r="VCF32" s="388"/>
      <c r="VCG32" s="388"/>
      <c r="VCH32" s="388"/>
      <c r="VCI32" s="388"/>
      <c r="VCJ32" s="388"/>
      <c r="VCK32" s="388"/>
      <c r="VCL32" s="388"/>
      <c r="VCM32" s="388"/>
      <c r="VCN32" s="388"/>
      <c r="VCO32" s="388"/>
      <c r="VCP32" s="388"/>
      <c r="VCQ32" s="388"/>
      <c r="VCR32" s="388"/>
      <c r="VCS32" s="388"/>
      <c r="VCT32" s="388"/>
      <c r="VCU32" s="388"/>
      <c r="VCV32" s="388"/>
      <c r="VCW32" s="388"/>
      <c r="VCX32" s="388"/>
      <c r="VCY32" s="388"/>
      <c r="VCZ32" s="388"/>
      <c r="VDA32" s="388"/>
      <c r="VDB32" s="388"/>
      <c r="VDC32" s="388"/>
      <c r="VDD32" s="388"/>
      <c r="VDE32" s="388"/>
      <c r="VDF32" s="388"/>
      <c r="VDG32" s="388"/>
      <c r="VDH32" s="388"/>
      <c r="VDI32" s="388"/>
      <c r="VDJ32" s="388"/>
      <c r="VDK32" s="388"/>
      <c r="VDL32" s="388"/>
      <c r="VDM32" s="388"/>
      <c r="VDN32" s="388"/>
      <c r="VDO32" s="388"/>
      <c r="VDP32" s="388"/>
      <c r="VDQ32" s="388"/>
      <c r="VDR32" s="388"/>
      <c r="VDS32" s="388"/>
      <c r="VDT32" s="388"/>
      <c r="VDU32" s="388"/>
      <c r="VDV32" s="388"/>
      <c r="VDW32" s="388"/>
      <c r="VDX32" s="388"/>
      <c r="VDY32" s="388"/>
      <c r="VDZ32" s="388"/>
      <c r="VEA32" s="388"/>
      <c r="VEB32" s="388"/>
      <c r="VEC32" s="388"/>
      <c r="VED32" s="388"/>
      <c r="VEE32" s="388"/>
      <c r="VEF32" s="388"/>
      <c r="VEG32" s="388"/>
      <c r="VEH32" s="388"/>
      <c r="VEI32" s="388"/>
      <c r="VEJ32" s="388"/>
      <c r="VEK32" s="388"/>
      <c r="VEL32" s="388"/>
      <c r="VEM32" s="388"/>
      <c r="VEN32" s="388"/>
      <c r="VEO32" s="388"/>
      <c r="VEP32" s="388"/>
      <c r="VEQ32" s="388"/>
      <c r="VER32" s="388"/>
      <c r="VES32" s="388"/>
      <c r="VET32" s="388"/>
      <c r="VEU32" s="388"/>
      <c r="VEV32" s="388"/>
      <c r="VEW32" s="388"/>
      <c r="VEX32" s="388"/>
      <c r="VEY32" s="388"/>
      <c r="VEZ32" s="388"/>
      <c r="VFA32" s="388"/>
      <c r="VFB32" s="388"/>
      <c r="VFC32" s="388"/>
      <c r="VFD32" s="388"/>
      <c r="VFE32" s="388"/>
      <c r="VFF32" s="388"/>
      <c r="VFG32" s="388"/>
      <c r="VFH32" s="388"/>
      <c r="VFI32" s="388"/>
      <c r="VFJ32" s="388"/>
      <c r="VFK32" s="388"/>
      <c r="VFL32" s="388"/>
      <c r="VFM32" s="388"/>
      <c r="VFN32" s="388"/>
      <c r="VFO32" s="388"/>
      <c r="VFP32" s="388"/>
      <c r="VFQ32" s="388"/>
      <c r="VFR32" s="388"/>
      <c r="VFS32" s="388"/>
      <c r="VFT32" s="388"/>
      <c r="VFU32" s="388"/>
      <c r="VFV32" s="388"/>
      <c r="VFW32" s="388"/>
      <c r="VFX32" s="388"/>
      <c r="VFY32" s="388"/>
      <c r="VFZ32" s="388"/>
      <c r="VGA32" s="388"/>
      <c r="VGB32" s="388"/>
      <c r="VGC32" s="388"/>
      <c r="VGD32" s="388"/>
      <c r="VGE32" s="388"/>
      <c r="VGF32" s="388"/>
      <c r="VGG32" s="388"/>
      <c r="VGH32" s="388"/>
      <c r="VGI32" s="388"/>
      <c r="VGJ32" s="388"/>
      <c r="VGK32" s="388"/>
      <c r="VGL32" s="388"/>
      <c r="VGM32" s="388"/>
      <c r="VGN32" s="388"/>
      <c r="VGO32" s="388"/>
      <c r="VGP32" s="388"/>
      <c r="VGQ32" s="388"/>
      <c r="VGR32" s="388"/>
      <c r="VGS32" s="388"/>
      <c r="VGT32" s="388"/>
      <c r="VGU32" s="388"/>
      <c r="VGV32" s="388"/>
      <c r="VGW32" s="388"/>
      <c r="VGX32" s="388"/>
      <c r="VGY32" s="388"/>
      <c r="VGZ32" s="388"/>
      <c r="VHA32" s="388"/>
      <c r="VHB32" s="388"/>
      <c r="VHC32" s="388"/>
      <c r="VHD32" s="388"/>
      <c r="VHE32" s="388"/>
      <c r="VHF32" s="388"/>
      <c r="VHG32" s="388"/>
      <c r="VHH32" s="388"/>
      <c r="VHI32" s="388"/>
      <c r="VHJ32" s="388"/>
      <c r="VHK32" s="388"/>
      <c r="VHL32" s="388"/>
      <c r="VHM32" s="388"/>
      <c r="VHN32" s="388"/>
      <c r="VHO32" s="388"/>
      <c r="VHP32" s="388"/>
      <c r="VHQ32" s="388"/>
      <c r="VHR32" s="388"/>
      <c r="VHS32" s="388"/>
      <c r="VHT32" s="388"/>
      <c r="VHU32" s="388"/>
      <c r="VHV32" s="388"/>
      <c r="VHW32" s="388"/>
      <c r="VHX32" s="388"/>
      <c r="VHY32" s="388"/>
      <c r="VHZ32" s="388"/>
      <c r="VIA32" s="388"/>
      <c r="VIB32" s="388"/>
      <c r="VIC32" s="388"/>
      <c r="VID32" s="388"/>
      <c r="VIE32" s="388"/>
      <c r="VIF32" s="388"/>
      <c r="VIG32" s="388"/>
      <c r="VIH32" s="388"/>
      <c r="VII32" s="388"/>
      <c r="VIJ32" s="388"/>
      <c r="VIK32" s="388"/>
      <c r="VIL32" s="388"/>
      <c r="VIM32" s="388"/>
      <c r="VIN32" s="388"/>
      <c r="VIO32" s="388"/>
      <c r="VIP32" s="388"/>
      <c r="VIQ32" s="388"/>
      <c r="VIR32" s="388"/>
      <c r="VIS32" s="388"/>
      <c r="VIT32" s="388"/>
      <c r="VIU32" s="388"/>
      <c r="VIV32" s="388"/>
      <c r="VIW32" s="388"/>
      <c r="VIX32" s="388"/>
      <c r="VIY32" s="388"/>
      <c r="VIZ32" s="388"/>
      <c r="VJA32" s="388"/>
      <c r="VJB32" s="388"/>
      <c r="VJC32" s="388"/>
      <c r="VJD32" s="388"/>
      <c r="VJE32" s="388"/>
      <c r="VJF32" s="388"/>
      <c r="VJG32" s="388"/>
      <c r="VJH32" s="388"/>
      <c r="VJI32" s="388"/>
      <c r="VJJ32" s="388"/>
      <c r="VJK32" s="388"/>
      <c r="VJL32" s="388"/>
      <c r="VJM32" s="388"/>
      <c r="VJN32" s="388"/>
      <c r="VJO32" s="388"/>
      <c r="VJP32" s="388"/>
      <c r="VJQ32" s="388"/>
      <c r="VJR32" s="388"/>
      <c r="VJS32" s="388"/>
      <c r="VJT32" s="388"/>
      <c r="VJU32" s="388"/>
      <c r="VJV32" s="388"/>
      <c r="VJW32" s="388"/>
      <c r="VJX32" s="388"/>
      <c r="VJY32" s="388"/>
      <c r="VJZ32" s="388"/>
      <c r="VKA32" s="388"/>
      <c r="VKB32" s="388"/>
      <c r="VKC32" s="388"/>
      <c r="VKD32" s="388"/>
      <c r="VKE32" s="388"/>
      <c r="VKF32" s="388"/>
      <c r="VKG32" s="388"/>
      <c r="VKH32" s="388"/>
      <c r="VKI32" s="388"/>
      <c r="VKJ32" s="388"/>
      <c r="VKK32" s="388"/>
      <c r="VKL32" s="388"/>
      <c r="VKM32" s="388"/>
      <c r="VKN32" s="388"/>
      <c r="VKO32" s="388"/>
      <c r="VKP32" s="388"/>
      <c r="VKQ32" s="388"/>
      <c r="VKR32" s="388"/>
      <c r="VKS32" s="388"/>
      <c r="VKT32" s="388"/>
      <c r="VKU32" s="388"/>
      <c r="VKV32" s="388"/>
      <c r="VKW32" s="388"/>
      <c r="VKX32" s="388"/>
      <c r="VKY32" s="388"/>
      <c r="VKZ32" s="388"/>
      <c r="VLA32" s="388"/>
      <c r="VLB32" s="388"/>
      <c r="VLC32" s="388"/>
      <c r="VLD32" s="388"/>
      <c r="VLE32" s="388"/>
      <c r="VLF32" s="388"/>
      <c r="VLG32" s="388"/>
      <c r="VLH32" s="388"/>
      <c r="VLI32" s="388"/>
      <c r="VLJ32" s="388"/>
      <c r="VLK32" s="388"/>
      <c r="VLL32" s="388"/>
      <c r="VLM32" s="388"/>
      <c r="VLN32" s="388"/>
      <c r="VLO32" s="388"/>
      <c r="VLP32" s="388"/>
      <c r="VLQ32" s="388"/>
      <c r="VLR32" s="388"/>
      <c r="VLS32" s="388"/>
      <c r="VLT32" s="388"/>
      <c r="VLU32" s="388"/>
      <c r="VLV32" s="388"/>
      <c r="VLW32" s="388"/>
      <c r="VLX32" s="388"/>
      <c r="VLY32" s="388"/>
      <c r="VLZ32" s="388"/>
      <c r="VMA32" s="388"/>
      <c r="VMB32" s="388"/>
      <c r="VMC32" s="388"/>
      <c r="VMD32" s="388"/>
      <c r="VME32" s="388"/>
      <c r="VMF32" s="388"/>
      <c r="VMG32" s="388"/>
      <c r="VMH32" s="388"/>
      <c r="VMI32" s="388"/>
      <c r="VMJ32" s="388"/>
      <c r="VMK32" s="388"/>
      <c r="VML32" s="388"/>
      <c r="VMM32" s="388"/>
      <c r="VMN32" s="388"/>
      <c r="VMO32" s="388"/>
      <c r="VMP32" s="388"/>
      <c r="VMQ32" s="388"/>
      <c r="VMR32" s="388"/>
      <c r="VMS32" s="388"/>
      <c r="VMT32" s="388"/>
      <c r="VMU32" s="388"/>
      <c r="VMV32" s="388"/>
      <c r="VMW32" s="388"/>
      <c r="VMX32" s="388"/>
      <c r="VMY32" s="388"/>
      <c r="VMZ32" s="388"/>
      <c r="VNA32" s="388"/>
      <c r="VNB32" s="388"/>
      <c r="VNC32" s="388"/>
      <c r="VND32" s="388"/>
      <c r="VNE32" s="388"/>
      <c r="VNF32" s="388"/>
      <c r="VNG32" s="388"/>
      <c r="VNH32" s="388"/>
      <c r="VNI32" s="388"/>
      <c r="VNJ32" s="388"/>
      <c r="VNK32" s="388"/>
      <c r="VNL32" s="388"/>
      <c r="VNM32" s="388"/>
      <c r="VNN32" s="388"/>
      <c r="VNO32" s="388"/>
      <c r="VNP32" s="388"/>
      <c r="VNQ32" s="388"/>
      <c r="VNR32" s="388"/>
      <c r="VNS32" s="388"/>
      <c r="VNT32" s="388"/>
      <c r="VNU32" s="388"/>
      <c r="VNV32" s="388"/>
      <c r="VNW32" s="388"/>
      <c r="VNX32" s="388"/>
      <c r="VNY32" s="388"/>
      <c r="VNZ32" s="388"/>
      <c r="VOA32" s="388"/>
      <c r="VOB32" s="388"/>
      <c r="VOC32" s="388"/>
      <c r="VOD32" s="388"/>
      <c r="VOE32" s="388"/>
      <c r="VOF32" s="388"/>
      <c r="VOG32" s="388"/>
      <c r="VOH32" s="388"/>
      <c r="VOI32" s="388"/>
      <c r="VOJ32" s="388"/>
      <c r="VOK32" s="388"/>
      <c r="VOL32" s="388"/>
      <c r="VOM32" s="388"/>
      <c r="VON32" s="388"/>
      <c r="VOO32" s="388"/>
      <c r="VOP32" s="388"/>
      <c r="VOQ32" s="388"/>
      <c r="VOR32" s="388"/>
      <c r="VOS32" s="388"/>
      <c r="VOT32" s="388"/>
      <c r="VOU32" s="388"/>
      <c r="VOV32" s="388"/>
      <c r="VOW32" s="388"/>
      <c r="VOX32" s="388"/>
      <c r="VOY32" s="388"/>
      <c r="VOZ32" s="388"/>
      <c r="VPA32" s="388"/>
      <c r="VPB32" s="388"/>
      <c r="VPC32" s="388"/>
      <c r="VPD32" s="388"/>
      <c r="VPE32" s="388"/>
      <c r="VPF32" s="388"/>
      <c r="VPG32" s="388"/>
      <c r="VPH32" s="388"/>
      <c r="VPI32" s="388"/>
      <c r="VPJ32" s="388"/>
      <c r="VPK32" s="388"/>
      <c r="VPL32" s="388"/>
      <c r="VPM32" s="388"/>
      <c r="VPN32" s="388"/>
      <c r="VPO32" s="388"/>
      <c r="VPP32" s="388"/>
      <c r="VPQ32" s="388"/>
      <c r="VPR32" s="388"/>
      <c r="VPS32" s="388"/>
      <c r="VPT32" s="388"/>
      <c r="VPU32" s="388"/>
      <c r="VPV32" s="388"/>
      <c r="VPW32" s="388"/>
      <c r="VPX32" s="388"/>
      <c r="VPY32" s="388"/>
      <c r="VPZ32" s="388"/>
      <c r="VQA32" s="388"/>
      <c r="VQB32" s="388"/>
      <c r="VQC32" s="388"/>
      <c r="VQD32" s="388"/>
      <c r="VQE32" s="388"/>
      <c r="VQF32" s="388"/>
      <c r="VQG32" s="388"/>
      <c r="VQH32" s="388"/>
      <c r="VQI32" s="388"/>
      <c r="VQJ32" s="388"/>
      <c r="VQK32" s="388"/>
      <c r="VQL32" s="388"/>
      <c r="VQM32" s="388"/>
      <c r="VQN32" s="388"/>
      <c r="VQO32" s="388"/>
      <c r="VQP32" s="388"/>
      <c r="VQQ32" s="388"/>
      <c r="VQR32" s="388"/>
      <c r="VQS32" s="388"/>
      <c r="VQT32" s="388"/>
      <c r="VQU32" s="388"/>
      <c r="VQV32" s="388"/>
      <c r="VQW32" s="388"/>
      <c r="VQX32" s="388"/>
      <c r="VQY32" s="388"/>
      <c r="VQZ32" s="388"/>
      <c r="VRA32" s="388"/>
      <c r="VRB32" s="388"/>
      <c r="VRC32" s="388"/>
      <c r="VRD32" s="388"/>
      <c r="VRE32" s="388"/>
      <c r="VRF32" s="388"/>
      <c r="VRG32" s="388"/>
      <c r="VRH32" s="388"/>
      <c r="VRI32" s="388"/>
      <c r="VRJ32" s="388"/>
      <c r="VRK32" s="388"/>
      <c r="VRL32" s="388"/>
      <c r="VRM32" s="388"/>
      <c r="VRN32" s="388"/>
      <c r="VRO32" s="388"/>
      <c r="VRP32" s="388"/>
      <c r="VRQ32" s="388"/>
      <c r="VRR32" s="388"/>
      <c r="VRS32" s="388"/>
      <c r="VRT32" s="388"/>
      <c r="VRU32" s="388"/>
      <c r="VRV32" s="388"/>
      <c r="VRW32" s="388"/>
      <c r="VRX32" s="388"/>
      <c r="VRY32" s="388"/>
      <c r="VRZ32" s="388"/>
      <c r="VSA32" s="388"/>
      <c r="VSB32" s="388"/>
      <c r="VSC32" s="388"/>
      <c r="VSD32" s="388"/>
      <c r="VSE32" s="388"/>
      <c r="VSF32" s="388"/>
      <c r="VSG32" s="388"/>
      <c r="VSH32" s="388"/>
      <c r="VSI32" s="388"/>
      <c r="VSJ32" s="388"/>
      <c r="VSK32" s="388"/>
      <c r="VSL32" s="388"/>
      <c r="VSM32" s="388"/>
      <c r="VSN32" s="388"/>
      <c r="VSO32" s="388"/>
      <c r="VSP32" s="388"/>
      <c r="VSQ32" s="388"/>
      <c r="VSR32" s="388"/>
      <c r="VSS32" s="388"/>
      <c r="VST32" s="388"/>
      <c r="VSU32" s="388"/>
      <c r="VSV32" s="388"/>
      <c r="VSW32" s="388"/>
      <c r="VSX32" s="388"/>
      <c r="VSY32" s="388"/>
      <c r="VSZ32" s="388"/>
      <c r="VTA32" s="388"/>
      <c r="VTB32" s="388"/>
      <c r="VTC32" s="388"/>
      <c r="VTD32" s="388"/>
      <c r="VTE32" s="388"/>
      <c r="VTF32" s="388"/>
      <c r="VTG32" s="388"/>
      <c r="VTH32" s="388"/>
      <c r="VTI32" s="388"/>
      <c r="VTJ32" s="388"/>
      <c r="VTK32" s="388"/>
      <c r="VTL32" s="388"/>
      <c r="VTM32" s="388"/>
      <c r="VTN32" s="388"/>
      <c r="VTO32" s="388"/>
      <c r="VTP32" s="388"/>
      <c r="VTQ32" s="388"/>
      <c r="VTR32" s="388"/>
      <c r="VTS32" s="388"/>
      <c r="VTT32" s="388"/>
      <c r="VTU32" s="388"/>
      <c r="VTV32" s="388"/>
      <c r="VTW32" s="388"/>
      <c r="VTX32" s="388"/>
      <c r="VTY32" s="388"/>
      <c r="VTZ32" s="388"/>
      <c r="VUA32" s="388"/>
      <c r="VUB32" s="388"/>
      <c r="VUC32" s="388"/>
      <c r="VUD32" s="388"/>
      <c r="VUE32" s="388"/>
      <c r="VUF32" s="388"/>
      <c r="VUG32" s="388"/>
      <c r="VUH32" s="388"/>
      <c r="VUI32" s="388"/>
      <c r="VUJ32" s="388"/>
      <c r="VUK32" s="388"/>
      <c r="VUL32" s="388"/>
      <c r="VUM32" s="388"/>
      <c r="VUN32" s="388"/>
      <c r="VUO32" s="388"/>
      <c r="VUP32" s="388"/>
      <c r="VUQ32" s="388"/>
      <c r="VUR32" s="388"/>
      <c r="VUS32" s="388"/>
      <c r="VUT32" s="388"/>
      <c r="VUU32" s="388"/>
      <c r="VUV32" s="388"/>
      <c r="VUW32" s="388"/>
      <c r="VUX32" s="388"/>
      <c r="VUY32" s="388"/>
      <c r="VUZ32" s="388"/>
      <c r="VVA32" s="388"/>
      <c r="VVB32" s="388"/>
      <c r="VVC32" s="388"/>
      <c r="VVD32" s="388"/>
      <c r="VVE32" s="388"/>
      <c r="VVF32" s="388"/>
      <c r="VVG32" s="388"/>
      <c r="VVH32" s="388"/>
      <c r="VVI32" s="388"/>
      <c r="VVJ32" s="388"/>
      <c r="VVK32" s="388"/>
      <c r="VVL32" s="388"/>
      <c r="VVM32" s="388"/>
      <c r="VVN32" s="388"/>
      <c r="VVO32" s="388"/>
      <c r="VVP32" s="388"/>
      <c r="VVQ32" s="388"/>
      <c r="VVR32" s="388"/>
      <c r="VVS32" s="388"/>
      <c r="VVT32" s="388"/>
      <c r="VVU32" s="388"/>
      <c r="VVV32" s="388"/>
      <c r="VVW32" s="388"/>
      <c r="VVX32" s="388"/>
      <c r="VVY32" s="388"/>
      <c r="VVZ32" s="388"/>
      <c r="VWA32" s="388"/>
      <c r="VWB32" s="388"/>
      <c r="VWC32" s="388"/>
      <c r="VWD32" s="388"/>
      <c r="VWE32" s="388"/>
      <c r="VWF32" s="388"/>
      <c r="VWG32" s="388"/>
      <c r="VWH32" s="388"/>
      <c r="VWI32" s="388"/>
      <c r="VWJ32" s="388"/>
      <c r="VWK32" s="388"/>
      <c r="VWL32" s="388"/>
      <c r="VWM32" s="388"/>
      <c r="VWN32" s="388"/>
      <c r="VWO32" s="388"/>
      <c r="VWP32" s="388"/>
      <c r="VWQ32" s="388"/>
      <c r="VWR32" s="388"/>
      <c r="VWS32" s="388"/>
      <c r="VWT32" s="388"/>
      <c r="VWU32" s="388"/>
      <c r="VWV32" s="388"/>
      <c r="VWW32" s="388"/>
      <c r="VWX32" s="388"/>
      <c r="VWY32" s="388"/>
      <c r="VWZ32" s="388"/>
      <c r="VXA32" s="388"/>
      <c r="VXB32" s="388"/>
      <c r="VXC32" s="388"/>
      <c r="VXD32" s="388"/>
      <c r="VXE32" s="388"/>
      <c r="VXF32" s="388"/>
      <c r="VXG32" s="388"/>
      <c r="VXH32" s="388"/>
      <c r="VXI32" s="388"/>
      <c r="VXJ32" s="388"/>
      <c r="VXK32" s="388"/>
      <c r="VXL32" s="388"/>
      <c r="VXM32" s="388"/>
      <c r="VXN32" s="388"/>
      <c r="VXO32" s="388"/>
      <c r="VXP32" s="388"/>
      <c r="VXQ32" s="388"/>
      <c r="VXR32" s="388"/>
      <c r="VXS32" s="388"/>
      <c r="VXT32" s="388"/>
      <c r="VXU32" s="388"/>
      <c r="VXV32" s="388"/>
      <c r="VXW32" s="388"/>
      <c r="VXX32" s="388"/>
      <c r="VXY32" s="388"/>
      <c r="VXZ32" s="388"/>
      <c r="VYA32" s="388"/>
      <c r="VYB32" s="388"/>
      <c r="VYC32" s="388"/>
      <c r="VYD32" s="388"/>
      <c r="VYE32" s="388"/>
      <c r="VYF32" s="388"/>
      <c r="VYG32" s="388"/>
      <c r="VYH32" s="388"/>
      <c r="VYI32" s="388"/>
      <c r="VYJ32" s="388"/>
      <c r="VYK32" s="388"/>
      <c r="VYL32" s="388"/>
      <c r="VYM32" s="388"/>
      <c r="VYN32" s="388"/>
      <c r="VYO32" s="388"/>
      <c r="VYP32" s="388"/>
      <c r="VYQ32" s="388"/>
      <c r="VYR32" s="388"/>
      <c r="VYS32" s="388"/>
      <c r="VYT32" s="388"/>
      <c r="VYU32" s="388"/>
      <c r="VYV32" s="388"/>
      <c r="VYW32" s="388"/>
      <c r="VYX32" s="388"/>
      <c r="VYY32" s="388"/>
      <c r="VYZ32" s="388"/>
      <c r="VZA32" s="388"/>
      <c r="VZB32" s="388"/>
      <c r="VZC32" s="388"/>
      <c r="VZD32" s="388"/>
      <c r="VZE32" s="388"/>
      <c r="VZF32" s="388"/>
      <c r="VZG32" s="388"/>
      <c r="VZH32" s="388"/>
      <c r="VZI32" s="388"/>
      <c r="VZJ32" s="388"/>
      <c r="VZK32" s="388"/>
      <c r="VZL32" s="388"/>
      <c r="VZM32" s="388"/>
      <c r="VZN32" s="388"/>
      <c r="VZO32" s="388"/>
      <c r="VZP32" s="388"/>
      <c r="VZQ32" s="388"/>
      <c r="VZR32" s="388"/>
      <c r="VZS32" s="388"/>
      <c r="VZT32" s="388"/>
      <c r="VZU32" s="388"/>
      <c r="VZV32" s="388"/>
      <c r="VZW32" s="388"/>
      <c r="VZX32" s="388"/>
      <c r="VZY32" s="388"/>
      <c r="VZZ32" s="388"/>
      <c r="WAA32" s="388"/>
      <c r="WAB32" s="388"/>
      <c r="WAC32" s="388"/>
      <c r="WAD32" s="388"/>
      <c r="WAE32" s="388"/>
      <c r="WAF32" s="388"/>
      <c r="WAG32" s="388"/>
      <c r="WAH32" s="388"/>
      <c r="WAI32" s="388"/>
      <c r="WAJ32" s="388"/>
      <c r="WAK32" s="388"/>
      <c r="WAL32" s="388"/>
      <c r="WAM32" s="388"/>
      <c r="WAN32" s="388"/>
      <c r="WAO32" s="388"/>
      <c r="WAP32" s="388"/>
      <c r="WAQ32" s="388"/>
      <c r="WAR32" s="388"/>
      <c r="WAS32" s="388"/>
      <c r="WAT32" s="388"/>
      <c r="WAU32" s="388"/>
      <c r="WAV32" s="388"/>
      <c r="WAW32" s="388"/>
      <c r="WAX32" s="388"/>
      <c r="WAY32" s="388"/>
      <c r="WAZ32" s="388"/>
      <c r="WBA32" s="388"/>
      <c r="WBB32" s="388"/>
      <c r="WBC32" s="388"/>
      <c r="WBD32" s="388"/>
      <c r="WBE32" s="388"/>
      <c r="WBF32" s="388"/>
      <c r="WBG32" s="388"/>
      <c r="WBH32" s="388"/>
      <c r="WBI32" s="388"/>
      <c r="WBJ32" s="388"/>
      <c r="WBK32" s="388"/>
      <c r="WBL32" s="388"/>
      <c r="WBM32" s="388"/>
      <c r="WBN32" s="388"/>
      <c r="WBO32" s="388"/>
      <c r="WBP32" s="388"/>
      <c r="WBQ32" s="388"/>
      <c r="WBR32" s="388"/>
      <c r="WBS32" s="388"/>
      <c r="WBT32" s="388"/>
      <c r="WBU32" s="388"/>
      <c r="WBV32" s="388"/>
      <c r="WBW32" s="388"/>
      <c r="WBX32" s="388"/>
      <c r="WBY32" s="388"/>
      <c r="WBZ32" s="388"/>
      <c r="WCA32" s="388"/>
      <c r="WCB32" s="388"/>
      <c r="WCC32" s="388"/>
      <c r="WCD32" s="388"/>
      <c r="WCE32" s="388"/>
      <c r="WCF32" s="388"/>
      <c r="WCG32" s="388"/>
      <c r="WCH32" s="388"/>
      <c r="WCI32" s="388"/>
      <c r="WCJ32" s="388"/>
      <c r="WCK32" s="388"/>
      <c r="WCL32" s="388"/>
      <c r="WCM32" s="388"/>
      <c r="WCN32" s="388"/>
      <c r="WCO32" s="388"/>
      <c r="WCP32" s="388"/>
      <c r="WCQ32" s="388"/>
      <c r="WCR32" s="388"/>
      <c r="WCS32" s="388"/>
      <c r="WCT32" s="388"/>
      <c r="WCU32" s="388"/>
      <c r="WCV32" s="388"/>
      <c r="WCW32" s="388"/>
      <c r="WCX32" s="388"/>
      <c r="WCY32" s="388"/>
      <c r="WCZ32" s="388"/>
      <c r="WDA32" s="388"/>
      <c r="WDB32" s="388"/>
      <c r="WDC32" s="388"/>
      <c r="WDD32" s="388"/>
      <c r="WDE32" s="388"/>
      <c r="WDF32" s="388"/>
      <c r="WDG32" s="388"/>
      <c r="WDH32" s="388"/>
      <c r="WDI32" s="388"/>
      <c r="WDJ32" s="388"/>
      <c r="WDK32" s="388"/>
      <c r="WDL32" s="388"/>
      <c r="WDM32" s="388"/>
      <c r="WDN32" s="388"/>
      <c r="WDO32" s="388"/>
      <c r="WDP32" s="388"/>
      <c r="WDQ32" s="388"/>
      <c r="WDR32" s="388"/>
      <c r="WDS32" s="388"/>
      <c r="WDT32" s="388"/>
      <c r="WDU32" s="388"/>
      <c r="WDV32" s="388"/>
      <c r="WDW32" s="388"/>
      <c r="WDX32" s="388"/>
      <c r="WDY32" s="388"/>
      <c r="WDZ32" s="388"/>
      <c r="WEA32" s="388"/>
      <c r="WEB32" s="388"/>
      <c r="WEC32" s="388"/>
      <c r="WED32" s="388"/>
      <c r="WEE32" s="388"/>
      <c r="WEF32" s="388"/>
      <c r="WEG32" s="388"/>
      <c r="WEH32" s="388"/>
      <c r="WEI32" s="388"/>
      <c r="WEJ32" s="388"/>
      <c r="WEK32" s="388"/>
      <c r="WEL32" s="388"/>
      <c r="WEM32" s="388"/>
      <c r="WEN32" s="388"/>
      <c r="WEO32" s="388"/>
      <c r="WEP32" s="388"/>
      <c r="WEQ32" s="388"/>
      <c r="WER32" s="388"/>
      <c r="WES32" s="388"/>
      <c r="WET32" s="388"/>
      <c r="WEU32" s="388"/>
      <c r="WEV32" s="388"/>
      <c r="WEW32" s="388"/>
      <c r="WEX32" s="388"/>
      <c r="WEY32" s="388"/>
      <c r="WEZ32" s="388"/>
      <c r="WFA32" s="388"/>
      <c r="WFB32" s="388"/>
      <c r="WFC32" s="388"/>
      <c r="WFD32" s="388"/>
      <c r="WFE32" s="388"/>
      <c r="WFF32" s="388"/>
      <c r="WFG32" s="388"/>
      <c r="WFH32" s="388"/>
      <c r="WFI32" s="388"/>
      <c r="WFJ32" s="388"/>
      <c r="WFK32" s="388"/>
      <c r="WFL32" s="388"/>
      <c r="WFM32" s="388"/>
      <c r="WFN32" s="388"/>
      <c r="WFO32" s="388"/>
      <c r="WFP32" s="388"/>
      <c r="WFQ32" s="388"/>
      <c r="WFR32" s="388"/>
      <c r="WFS32" s="388"/>
      <c r="WFT32" s="388"/>
      <c r="WFU32" s="388"/>
      <c r="WFV32" s="388"/>
      <c r="WFW32" s="388"/>
      <c r="WFX32" s="388"/>
      <c r="WFY32" s="388"/>
      <c r="WFZ32" s="388"/>
      <c r="WGA32" s="388"/>
      <c r="WGB32" s="388"/>
      <c r="WGC32" s="388"/>
      <c r="WGD32" s="388"/>
      <c r="WGE32" s="388"/>
      <c r="WGF32" s="388"/>
      <c r="WGG32" s="388"/>
      <c r="WGH32" s="388"/>
      <c r="WGI32" s="388"/>
      <c r="WGJ32" s="388"/>
      <c r="WGK32" s="388"/>
      <c r="WGL32" s="388"/>
      <c r="WGM32" s="388"/>
      <c r="WGN32" s="388"/>
      <c r="WGO32" s="388"/>
      <c r="WGP32" s="388"/>
      <c r="WGQ32" s="388"/>
      <c r="WGR32" s="388"/>
      <c r="WGS32" s="388"/>
      <c r="WGT32" s="388"/>
      <c r="WGU32" s="388"/>
      <c r="WGV32" s="388"/>
      <c r="WGW32" s="388"/>
      <c r="WGX32" s="388"/>
      <c r="WGY32" s="388"/>
      <c r="WGZ32" s="388"/>
      <c r="WHA32" s="388"/>
      <c r="WHB32" s="388"/>
      <c r="WHC32" s="388"/>
      <c r="WHD32" s="388"/>
      <c r="WHE32" s="388"/>
      <c r="WHF32" s="388"/>
      <c r="WHG32" s="388"/>
      <c r="WHH32" s="388"/>
      <c r="WHI32" s="388"/>
      <c r="WHJ32" s="388"/>
      <c r="WHK32" s="388"/>
      <c r="WHL32" s="388"/>
      <c r="WHM32" s="388"/>
      <c r="WHN32" s="388"/>
      <c r="WHO32" s="388"/>
      <c r="WHP32" s="388"/>
      <c r="WHQ32" s="388"/>
      <c r="WHR32" s="388"/>
      <c r="WHS32" s="388"/>
      <c r="WHT32" s="388"/>
      <c r="WHU32" s="388"/>
      <c r="WHV32" s="388"/>
      <c r="WHW32" s="388"/>
      <c r="WHX32" s="388"/>
      <c r="WHY32" s="388"/>
      <c r="WHZ32" s="388"/>
      <c r="WIA32" s="388"/>
      <c r="WIB32" s="388"/>
      <c r="WIC32" s="388"/>
      <c r="WID32" s="388"/>
      <c r="WIE32" s="388"/>
      <c r="WIF32" s="388"/>
      <c r="WIG32" s="388"/>
      <c r="WIH32" s="388"/>
      <c r="WII32" s="388"/>
      <c r="WIJ32" s="388"/>
      <c r="WIK32" s="388"/>
      <c r="WIL32" s="388"/>
      <c r="WIM32" s="388"/>
      <c r="WIN32" s="388"/>
      <c r="WIO32" s="388"/>
      <c r="WIP32" s="388"/>
      <c r="WIQ32" s="388"/>
      <c r="WIR32" s="388"/>
      <c r="WIS32" s="388"/>
      <c r="WIT32" s="388"/>
      <c r="WIU32" s="388"/>
      <c r="WIV32" s="388"/>
      <c r="WIW32" s="388"/>
      <c r="WIX32" s="388"/>
      <c r="WIY32" s="388"/>
      <c r="WIZ32" s="388"/>
      <c r="WJA32" s="388"/>
      <c r="WJB32" s="388"/>
      <c r="WJC32" s="388"/>
      <c r="WJD32" s="388"/>
      <c r="WJE32" s="388"/>
      <c r="WJF32" s="388"/>
      <c r="WJG32" s="388"/>
      <c r="WJH32" s="388"/>
      <c r="WJI32" s="388"/>
      <c r="WJJ32" s="388"/>
      <c r="WJK32" s="388"/>
      <c r="WJL32" s="388"/>
      <c r="WJM32" s="388"/>
      <c r="WJN32" s="388"/>
      <c r="WJO32" s="388"/>
      <c r="WJP32" s="388"/>
      <c r="WJQ32" s="388"/>
      <c r="WJR32" s="388"/>
      <c r="WJS32" s="388"/>
      <c r="WJT32" s="388"/>
      <c r="WJU32" s="388"/>
      <c r="WJV32" s="388"/>
      <c r="WJW32" s="388"/>
      <c r="WJX32" s="388"/>
      <c r="WJY32" s="388"/>
      <c r="WJZ32" s="388"/>
      <c r="WKA32" s="388"/>
      <c r="WKB32" s="388"/>
      <c r="WKC32" s="388"/>
      <c r="WKD32" s="388"/>
      <c r="WKE32" s="388"/>
      <c r="WKF32" s="388"/>
      <c r="WKG32" s="388"/>
      <c r="WKH32" s="388"/>
      <c r="WKI32" s="388"/>
      <c r="WKJ32" s="388"/>
      <c r="WKK32" s="388"/>
      <c r="WKL32" s="388"/>
      <c r="WKM32" s="388"/>
      <c r="WKN32" s="388"/>
      <c r="WKO32" s="388"/>
      <c r="WKP32" s="388"/>
      <c r="WKQ32" s="388"/>
      <c r="WKR32" s="388"/>
      <c r="WKS32" s="388"/>
      <c r="WKT32" s="388"/>
      <c r="WKU32" s="388"/>
      <c r="WKV32" s="388"/>
      <c r="WKW32" s="388"/>
      <c r="WKX32" s="388"/>
      <c r="WKY32" s="388"/>
      <c r="WKZ32" s="388"/>
      <c r="WLA32" s="388"/>
      <c r="WLB32" s="388"/>
      <c r="WLC32" s="388"/>
      <c r="WLD32" s="388"/>
      <c r="WLE32" s="388"/>
      <c r="WLF32" s="388"/>
      <c r="WLG32" s="388"/>
      <c r="WLH32" s="388"/>
      <c r="WLI32" s="388"/>
      <c r="WLJ32" s="388"/>
      <c r="WLK32" s="388"/>
      <c r="WLL32" s="388"/>
      <c r="WLM32" s="388"/>
      <c r="WLN32" s="388"/>
      <c r="WLO32" s="388"/>
      <c r="WLP32" s="388"/>
      <c r="WLQ32" s="388"/>
      <c r="WLR32" s="388"/>
      <c r="WLS32" s="388"/>
      <c r="WLT32" s="388"/>
      <c r="WLU32" s="388"/>
      <c r="WLV32" s="388"/>
      <c r="WLW32" s="388"/>
      <c r="WLX32" s="388"/>
      <c r="WLY32" s="388"/>
      <c r="WLZ32" s="388"/>
      <c r="WMA32" s="388"/>
      <c r="WMB32" s="388"/>
      <c r="WMC32" s="388"/>
      <c r="WMD32" s="388"/>
      <c r="WME32" s="388"/>
      <c r="WMF32" s="388"/>
      <c r="WMG32" s="388"/>
      <c r="WMH32" s="388"/>
      <c r="WMI32" s="388"/>
      <c r="WMJ32" s="388"/>
      <c r="WMK32" s="388"/>
      <c r="WML32" s="388"/>
      <c r="WMM32" s="388"/>
      <c r="WMN32" s="388"/>
      <c r="WMO32" s="388"/>
      <c r="WMP32" s="388"/>
      <c r="WMQ32" s="388"/>
      <c r="WMR32" s="388"/>
      <c r="WMS32" s="388"/>
      <c r="WMT32" s="388"/>
      <c r="WMU32" s="388"/>
      <c r="WMV32" s="388"/>
      <c r="WMW32" s="388"/>
      <c r="WMX32" s="388"/>
      <c r="WMY32" s="388"/>
      <c r="WMZ32" s="388"/>
      <c r="WNA32" s="388"/>
      <c r="WNB32" s="388"/>
      <c r="WNC32" s="388"/>
      <c r="WND32" s="388"/>
      <c r="WNE32" s="388"/>
      <c r="WNF32" s="388"/>
      <c r="WNG32" s="388"/>
      <c r="WNH32" s="388"/>
      <c r="WNI32" s="388"/>
      <c r="WNJ32" s="388"/>
      <c r="WNK32" s="388"/>
      <c r="WNL32" s="388"/>
      <c r="WNM32" s="388"/>
      <c r="WNN32" s="388"/>
      <c r="WNO32" s="388"/>
      <c r="WNP32" s="388"/>
      <c r="WNQ32" s="388"/>
      <c r="WNR32" s="388"/>
      <c r="WNS32" s="388"/>
      <c r="WNT32" s="388"/>
      <c r="WNU32" s="388"/>
      <c r="WNV32" s="388"/>
      <c r="WNW32" s="388"/>
      <c r="WNX32" s="388"/>
      <c r="WNY32" s="388"/>
      <c r="WNZ32" s="388"/>
      <c r="WOA32" s="388"/>
      <c r="WOB32" s="388"/>
      <c r="WOC32" s="388"/>
      <c r="WOD32" s="388"/>
      <c r="WOE32" s="388"/>
      <c r="WOF32" s="388"/>
      <c r="WOG32" s="388"/>
      <c r="WOH32" s="388"/>
      <c r="WOI32" s="388"/>
      <c r="WOJ32" s="388"/>
      <c r="WOK32" s="388"/>
      <c r="WOL32" s="388"/>
      <c r="WOM32" s="388"/>
      <c r="WON32" s="388"/>
      <c r="WOO32" s="388"/>
      <c r="WOP32" s="388"/>
      <c r="WOQ32" s="388"/>
      <c r="WOR32" s="388"/>
      <c r="WOS32" s="388"/>
      <c r="WOT32" s="388"/>
      <c r="WOU32" s="388"/>
      <c r="WOV32" s="388"/>
      <c r="WOW32" s="388"/>
      <c r="WOX32" s="388"/>
      <c r="WOY32" s="388"/>
      <c r="WOZ32" s="388"/>
      <c r="WPA32" s="388"/>
      <c r="WPB32" s="388"/>
      <c r="WPC32" s="388"/>
      <c r="WPD32" s="388"/>
      <c r="WPE32" s="388"/>
      <c r="WPF32" s="388"/>
      <c r="WPG32" s="388"/>
      <c r="WPH32" s="388"/>
      <c r="WPI32" s="388"/>
      <c r="WPJ32" s="388"/>
      <c r="WPK32" s="388"/>
      <c r="WPL32" s="388"/>
      <c r="WPM32" s="388"/>
      <c r="WPN32" s="388"/>
      <c r="WPO32" s="388"/>
      <c r="WPP32" s="388"/>
      <c r="WPQ32" s="388"/>
      <c r="WPR32" s="388"/>
      <c r="WPS32" s="388"/>
      <c r="WPT32" s="388"/>
      <c r="WPU32" s="388"/>
      <c r="WPV32" s="388"/>
      <c r="WPW32" s="388"/>
      <c r="WPX32" s="388"/>
      <c r="WPY32" s="388"/>
      <c r="WPZ32" s="388"/>
      <c r="WQA32" s="388"/>
      <c r="WQB32" s="388"/>
      <c r="WQC32" s="388"/>
      <c r="WQD32" s="388"/>
      <c r="WQE32" s="388"/>
      <c r="WQF32" s="388"/>
      <c r="WQG32" s="388"/>
      <c r="WQH32" s="388"/>
      <c r="WQI32" s="388"/>
      <c r="WQJ32" s="388"/>
      <c r="WQK32" s="388"/>
      <c r="WQL32" s="388"/>
      <c r="WQM32" s="388"/>
      <c r="WQN32" s="388"/>
      <c r="WQO32" s="388"/>
      <c r="WQP32" s="388"/>
      <c r="WQQ32" s="388"/>
      <c r="WQR32" s="388"/>
      <c r="WQS32" s="388"/>
      <c r="WQT32" s="388"/>
      <c r="WQU32" s="388"/>
      <c r="WQV32" s="388"/>
      <c r="WQW32" s="388"/>
      <c r="WQX32" s="388"/>
      <c r="WQY32" s="388"/>
      <c r="WQZ32" s="388"/>
      <c r="WRA32" s="388"/>
      <c r="WRB32" s="388"/>
      <c r="WRC32" s="388"/>
      <c r="WRD32" s="388"/>
      <c r="WRE32" s="388"/>
      <c r="WRF32" s="388"/>
      <c r="WRG32" s="388"/>
      <c r="WRH32" s="388"/>
      <c r="WRI32" s="388"/>
      <c r="WRJ32" s="388"/>
      <c r="WRK32" s="388"/>
      <c r="WRL32" s="388"/>
      <c r="WRM32" s="388"/>
      <c r="WRN32" s="388"/>
      <c r="WRO32" s="388"/>
      <c r="WRP32" s="388"/>
      <c r="WRQ32" s="388"/>
      <c r="WRR32" s="388"/>
      <c r="WRS32" s="388"/>
      <c r="WRT32" s="388"/>
      <c r="WRU32" s="388"/>
      <c r="WRV32" s="388"/>
      <c r="WRW32" s="388"/>
      <c r="WRX32" s="388"/>
      <c r="WRY32" s="388"/>
      <c r="WRZ32" s="388"/>
      <c r="WSA32" s="388"/>
      <c r="WSB32" s="388"/>
      <c r="WSC32" s="388"/>
      <c r="WSD32" s="388"/>
      <c r="WSE32" s="388"/>
      <c r="WSF32" s="388"/>
      <c r="WSG32" s="388"/>
      <c r="WSH32" s="388"/>
      <c r="WSI32" s="388"/>
      <c r="WSJ32" s="388"/>
      <c r="WSK32" s="388"/>
      <c r="WSL32" s="388"/>
      <c r="WSM32" s="388"/>
      <c r="WSN32" s="388"/>
      <c r="WSO32" s="388"/>
      <c r="WSP32" s="388"/>
      <c r="WSQ32" s="388"/>
      <c r="WSR32" s="388"/>
      <c r="WSS32" s="388"/>
      <c r="WST32" s="388"/>
      <c r="WSU32" s="388"/>
      <c r="WSV32" s="388"/>
      <c r="WSW32" s="388"/>
      <c r="WSX32" s="388"/>
      <c r="WSY32" s="388"/>
      <c r="WSZ32" s="388"/>
      <c r="WTA32" s="388"/>
      <c r="WTB32" s="388"/>
      <c r="WTC32" s="388"/>
      <c r="WTD32" s="388"/>
      <c r="WTE32" s="388"/>
      <c r="WTF32" s="388"/>
      <c r="WTG32" s="388"/>
      <c r="WTH32" s="388"/>
      <c r="WTI32" s="388"/>
      <c r="WTJ32" s="388"/>
      <c r="WTK32" s="388"/>
      <c r="WTL32" s="388"/>
      <c r="WTM32" s="388"/>
      <c r="WTN32" s="388"/>
      <c r="WTO32" s="388"/>
      <c r="WTP32" s="388"/>
      <c r="WTQ32" s="388"/>
      <c r="WTR32" s="388"/>
      <c r="WTS32" s="388"/>
      <c r="WTT32" s="388"/>
      <c r="WTU32" s="388"/>
      <c r="WTV32" s="388"/>
      <c r="WTW32" s="388"/>
      <c r="WTX32" s="388"/>
      <c r="WTY32" s="388"/>
      <c r="WTZ32" s="388"/>
      <c r="WUA32" s="388"/>
      <c r="WUB32" s="388"/>
      <c r="WUC32" s="388"/>
      <c r="WUD32" s="388"/>
      <c r="WUE32" s="388"/>
      <c r="WUF32" s="388"/>
      <c r="WUG32" s="388"/>
      <c r="WUH32" s="388"/>
      <c r="WUI32" s="388"/>
      <c r="WUJ32" s="388"/>
      <c r="WUK32" s="388"/>
      <c r="WUL32" s="388"/>
      <c r="WUM32" s="388"/>
      <c r="WUN32" s="388"/>
      <c r="WUO32" s="388"/>
      <c r="WUP32" s="388"/>
      <c r="WUQ32" s="388"/>
      <c r="WUR32" s="388"/>
      <c r="WUS32" s="388"/>
      <c r="WUT32" s="388"/>
      <c r="WUU32" s="388"/>
      <c r="WUV32" s="388"/>
      <c r="WUW32" s="388"/>
      <c r="WUX32" s="388"/>
      <c r="WUY32" s="388"/>
      <c r="WUZ32" s="388"/>
      <c r="WVA32" s="388"/>
      <c r="WVB32" s="388"/>
      <c r="WVC32" s="388"/>
      <c r="WVD32" s="388"/>
      <c r="WVE32" s="388"/>
      <c r="WVF32" s="388"/>
      <c r="WVG32" s="388"/>
      <c r="WVH32" s="388"/>
      <c r="WVI32" s="388"/>
      <c r="WVJ32" s="388"/>
      <c r="WVK32" s="388"/>
      <c r="WVL32" s="388"/>
      <c r="WVM32" s="388"/>
      <c r="WVN32" s="388"/>
      <c r="WVO32" s="388"/>
      <c r="WVP32" s="388"/>
      <c r="WVQ32" s="388"/>
      <c r="WVR32" s="388"/>
      <c r="WVS32" s="388"/>
      <c r="WVT32" s="388"/>
      <c r="WVU32" s="388"/>
      <c r="WVV32" s="388"/>
      <c r="WVW32" s="388"/>
      <c r="WVX32" s="388"/>
      <c r="WVY32" s="388"/>
      <c r="WVZ32" s="388"/>
      <c r="WWA32" s="388"/>
      <c r="WWB32" s="388"/>
      <c r="WWC32" s="388"/>
      <c r="WWD32" s="388"/>
      <c r="WWE32" s="388"/>
      <c r="WWF32" s="388"/>
      <c r="WWG32" s="388"/>
      <c r="WWH32" s="388"/>
      <c r="WWI32" s="388"/>
      <c r="WWJ32" s="388"/>
      <c r="WWK32" s="388"/>
      <c r="WWL32" s="388"/>
      <c r="WWM32" s="388"/>
      <c r="WWN32" s="388"/>
      <c r="WWO32" s="388"/>
      <c r="WWP32" s="388"/>
      <c r="WWQ32" s="388"/>
      <c r="WWR32" s="388"/>
      <c r="WWS32" s="388"/>
      <c r="WWT32" s="388"/>
      <c r="WWU32" s="388"/>
      <c r="WWV32" s="388"/>
      <c r="WWW32" s="388"/>
      <c r="WWX32" s="388"/>
      <c r="WWY32" s="388"/>
      <c r="WWZ32" s="388"/>
      <c r="WXA32" s="388"/>
      <c r="WXB32" s="388"/>
      <c r="WXC32" s="388"/>
      <c r="WXD32" s="388"/>
      <c r="WXE32" s="388"/>
      <c r="WXF32" s="388"/>
      <c r="WXG32" s="388"/>
      <c r="WXH32" s="388"/>
      <c r="WXI32" s="388"/>
      <c r="WXJ32" s="388"/>
      <c r="WXK32" s="388"/>
      <c r="WXL32" s="388"/>
      <c r="WXM32" s="388"/>
      <c r="WXN32" s="388"/>
      <c r="WXO32" s="388"/>
      <c r="WXP32" s="388"/>
      <c r="WXQ32" s="388"/>
      <c r="WXR32" s="388"/>
      <c r="WXS32" s="388"/>
      <c r="WXT32" s="388"/>
      <c r="WXU32" s="388"/>
      <c r="WXV32" s="388"/>
      <c r="WXW32" s="388"/>
      <c r="WXX32" s="388"/>
      <c r="WXY32" s="388"/>
      <c r="WXZ32" s="388"/>
      <c r="WYA32" s="388"/>
      <c r="WYB32" s="388"/>
      <c r="WYC32" s="388"/>
      <c r="WYD32" s="388"/>
      <c r="WYE32" s="388"/>
      <c r="WYF32" s="388"/>
      <c r="WYG32" s="388"/>
      <c r="WYH32" s="388"/>
      <c r="WYI32" s="388"/>
      <c r="WYJ32" s="388"/>
      <c r="WYK32" s="388"/>
      <c r="WYL32" s="388"/>
      <c r="WYM32" s="388"/>
      <c r="WYN32" s="388"/>
      <c r="WYO32" s="388"/>
      <c r="WYP32" s="388"/>
      <c r="WYQ32" s="388"/>
      <c r="WYR32" s="388"/>
      <c r="WYS32" s="388"/>
      <c r="WYT32" s="388"/>
      <c r="WYU32" s="388"/>
      <c r="WYV32" s="388"/>
      <c r="WYW32" s="388"/>
      <c r="WYX32" s="388"/>
      <c r="WYY32" s="388"/>
      <c r="WYZ32" s="388"/>
      <c r="WZA32" s="388"/>
      <c r="WZB32" s="388"/>
      <c r="WZC32" s="388"/>
      <c r="WZD32" s="388"/>
      <c r="WZE32" s="388"/>
      <c r="WZF32" s="388"/>
      <c r="WZG32" s="388"/>
      <c r="WZH32" s="388"/>
      <c r="WZI32" s="388"/>
      <c r="WZJ32" s="388"/>
      <c r="WZK32" s="388"/>
      <c r="WZL32" s="388"/>
      <c r="WZM32" s="388"/>
      <c r="WZN32" s="388"/>
      <c r="WZO32" s="388"/>
      <c r="WZP32" s="388"/>
      <c r="WZQ32" s="388"/>
      <c r="WZR32" s="388"/>
      <c r="WZS32" s="388"/>
      <c r="WZT32" s="388"/>
      <c r="WZU32" s="388"/>
      <c r="WZV32" s="388"/>
      <c r="WZW32" s="388"/>
      <c r="WZX32" s="388"/>
      <c r="WZY32" s="388"/>
      <c r="WZZ32" s="388"/>
      <c r="XAA32" s="388"/>
      <c r="XAB32" s="388"/>
      <c r="XAC32" s="388"/>
      <c r="XAD32" s="388"/>
      <c r="XAE32" s="388"/>
      <c r="XAF32" s="388"/>
      <c r="XAG32" s="388"/>
      <c r="XAH32" s="388"/>
      <c r="XAI32" s="388"/>
      <c r="XAJ32" s="388"/>
      <c r="XAK32" s="388"/>
      <c r="XAL32" s="388"/>
      <c r="XAM32" s="388"/>
      <c r="XAN32" s="388"/>
      <c r="XAO32" s="388"/>
      <c r="XAP32" s="388"/>
      <c r="XAQ32" s="388"/>
      <c r="XAR32" s="388"/>
      <c r="XAS32" s="388"/>
      <c r="XAT32" s="388"/>
      <c r="XAU32" s="388"/>
      <c r="XAV32" s="388"/>
      <c r="XAW32" s="388"/>
      <c r="XAX32" s="388"/>
      <c r="XAY32" s="388"/>
      <c r="XAZ32" s="388"/>
      <c r="XBA32" s="388"/>
      <c r="XBB32" s="388"/>
      <c r="XBC32" s="388"/>
      <c r="XBD32" s="388"/>
      <c r="XBE32" s="388"/>
      <c r="XBF32" s="388"/>
      <c r="XBG32" s="388"/>
      <c r="XBH32" s="388"/>
      <c r="XBI32" s="388"/>
      <c r="XBJ32" s="388"/>
      <c r="XBK32" s="388"/>
      <c r="XBL32" s="388"/>
      <c r="XBM32" s="388"/>
      <c r="XBN32" s="388"/>
      <c r="XBO32" s="388"/>
      <c r="XBP32" s="388"/>
      <c r="XBQ32" s="388"/>
      <c r="XBR32" s="388"/>
      <c r="XBS32" s="388"/>
      <c r="XBT32" s="388"/>
      <c r="XBU32" s="388"/>
      <c r="XBV32" s="388"/>
      <c r="XBW32" s="388"/>
      <c r="XBX32" s="388"/>
      <c r="XBY32" s="388"/>
      <c r="XBZ32" s="388"/>
      <c r="XCA32" s="388"/>
      <c r="XCB32" s="388"/>
      <c r="XCC32" s="388"/>
      <c r="XCD32" s="388"/>
      <c r="XCE32" s="388"/>
      <c r="XCF32" s="388"/>
      <c r="XCG32" s="388"/>
      <c r="XCH32" s="388"/>
      <c r="XCI32" s="388"/>
      <c r="XCJ32" s="388"/>
      <c r="XCK32" s="388"/>
      <c r="XCL32" s="388"/>
      <c r="XCM32" s="388"/>
      <c r="XCN32" s="388"/>
      <c r="XCO32" s="388"/>
      <c r="XCP32" s="388"/>
      <c r="XCQ32" s="388"/>
      <c r="XCR32" s="388"/>
      <c r="XCS32" s="388"/>
      <c r="XCT32" s="388"/>
      <c r="XCU32" s="388"/>
      <c r="XCV32" s="388"/>
      <c r="XCW32" s="388"/>
      <c r="XCX32" s="388"/>
      <c r="XCY32" s="388"/>
      <c r="XCZ32" s="388"/>
      <c r="XDA32" s="388"/>
      <c r="XDB32" s="388"/>
      <c r="XDC32" s="388"/>
      <c r="XDD32" s="388"/>
      <c r="XDE32" s="388"/>
      <c r="XDF32" s="388"/>
      <c r="XDG32" s="388"/>
      <c r="XDH32" s="388"/>
      <c r="XDI32" s="388"/>
      <c r="XDJ32" s="388"/>
      <c r="XDK32" s="388"/>
      <c r="XDL32" s="388"/>
      <c r="XDM32" s="388"/>
      <c r="XDN32" s="388"/>
      <c r="XDO32" s="388"/>
      <c r="XDP32" s="388"/>
      <c r="XDQ32" s="388"/>
      <c r="XDR32" s="388"/>
      <c r="XDS32" s="388"/>
      <c r="XDT32" s="388"/>
      <c r="XDU32" s="388"/>
      <c r="XDV32" s="388"/>
      <c r="XDW32" s="388"/>
      <c r="XDX32" s="388"/>
      <c r="XDY32" s="388"/>
      <c r="XDZ32" s="388"/>
      <c r="XEA32" s="388"/>
      <c r="XEB32" s="388"/>
      <c r="XEC32" s="388"/>
      <c r="XED32" s="388"/>
      <c r="XEE32" s="388"/>
      <c r="XEF32" s="388"/>
      <c r="XEG32" s="388"/>
      <c r="XEH32" s="388"/>
      <c r="XEI32" s="388"/>
      <c r="XEJ32" s="388"/>
      <c r="XEK32" s="388"/>
      <c r="XEL32" s="388"/>
      <c r="XEM32" s="388"/>
      <c r="XEN32" s="388"/>
      <c r="XEO32" s="388"/>
      <c r="XEP32" s="388"/>
      <c r="XEQ32" s="388"/>
      <c r="XER32" s="388"/>
      <c r="XES32" s="388"/>
      <c r="XET32" s="388"/>
      <c r="XEU32" s="388"/>
      <c r="XEV32" s="388"/>
      <c r="XEW32" s="388"/>
      <c r="XEX32" s="388"/>
      <c r="XEY32" s="388"/>
      <c r="XEZ32" s="388"/>
      <c r="XFA32" s="388"/>
      <c r="XFB32" s="170"/>
    </row>
    <row r="33" spans="1:16382" ht="13.5" thickTop="1" x14ac:dyDescent="0.2">
      <c r="A33" s="170"/>
      <c r="B33" s="318"/>
      <c r="C33" s="318" t="s">
        <v>664</v>
      </c>
      <c r="D33" s="318"/>
      <c r="E33" s="318">
        <f>SUM(E12:E31)</f>
        <v>57.290000000000006</v>
      </c>
      <c r="F33" s="318">
        <f t="shared" ref="F33:K33" si="2">SUM(F12:F31)</f>
        <v>15.240000000000002</v>
      </c>
      <c r="G33" s="318">
        <f t="shared" si="2"/>
        <v>11.560000000000002</v>
      </c>
      <c r="H33" s="318">
        <f t="shared" si="2"/>
        <v>63.650000000000006</v>
      </c>
      <c r="I33" s="318">
        <f t="shared" si="2"/>
        <v>84.8</v>
      </c>
      <c r="J33" s="318">
        <f t="shared" si="2"/>
        <v>46.29</v>
      </c>
      <c r="K33" s="318">
        <f t="shared" si="2"/>
        <v>278.83000000000004</v>
      </c>
      <c r="L33" s="318"/>
      <c r="M33" s="170"/>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c r="CV33" s="388"/>
      <c r="CW33" s="388"/>
      <c r="CX33" s="388"/>
      <c r="CY33" s="388"/>
      <c r="CZ33" s="388"/>
      <c r="DA33" s="388"/>
      <c r="DB33" s="388"/>
      <c r="DC33" s="388"/>
      <c r="DD33" s="388"/>
      <c r="DE33" s="388"/>
      <c r="DF33" s="388"/>
      <c r="DG33" s="388"/>
      <c r="DH33" s="388"/>
      <c r="DI33" s="388"/>
      <c r="DJ33" s="388"/>
      <c r="DK33" s="388"/>
      <c r="DL33" s="388"/>
      <c r="DM33" s="388"/>
      <c r="DN33" s="388"/>
      <c r="DO33" s="388"/>
      <c r="DP33" s="388"/>
      <c r="DQ33" s="388"/>
      <c r="DR33" s="388"/>
      <c r="DS33" s="388"/>
      <c r="DT33" s="388"/>
      <c r="DU33" s="388"/>
      <c r="DV33" s="388"/>
      <c r="DW33" s="388"/>
      <c r="DX33" s="388"/>
      <c r="DY33" s="388"/>
      <c r="DZ33" s="388"/>
      <c r="EA33" s="388"/>
      <c r="EB33" s="388"/>
      <c r="EC33" s="388"/>
      <c r="ED33" s="388"/>
      <c r="EE33" s="388"/>
      <c r="EF33" s="388"/>
      <c r="EG33" s="388"/>
      <c r="EH33" s="388"/>
      <c r="EI33" s="388"/>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88"/>
      <c r="GB33" s="388"/>
      <c r="GC33" s="388"/>
      <c r="GD33" s="388"/>
      <c r="GE33" s="388"/>
      <c r="GF33" s="388"/>
      <c r="GG33" s="388"/>
      <c r="GH33" s="388"/>
      <c r="GI33" s="388"/>
      <c r="GJ33" s="388"/>
      <c r="GK33" s="388"/>
      <c r="GL33" s="388"/>
      <c r="GM33" s="388"/>
      <c r="GN33" s="388"/>
      <c r="GO33" s="388"/>
      <c r="GP33" s="388"/>
      <c r="GQ33" s="388"/>
      <c r="GR33" s="388"/>
      <c r="GS33" s="388"/>
      <c r="GT33" s="388"/>
      <c r="GU33" s="388"/>
      <c r="GV33" s="388"/>
      <c r="GW33" s="388"/>
      <c r="GX33" s="388"/>
      <c r="GY33" s="388"/>
      <c r="GZ33" s="388"/>
      <c r="HA33" s="388"/>
      <c r="HB33" s="388"/>
      <c r="HC33" s="388"/>
      <c r="HD33" s="388"/>
      <c r="HE33" s="388"/>
      <c r="HF33" s="388"/>
      <c r="HG33" s="388"/>
      <c r="HH33" s="388"/>
      <c r="HI33" s="388"/>
      <c r="HJ33" s="388"/>
      <c r="HK33" s="388"/>
      <c r="HL33" s="388"/>
      <c r="HM33" s="388"/>
      <c r="HN33" s="388"/>
      <c r="HO33" s="388"/>
      <c r="HP33" s="388"/>
      <c r="HQ33" s="388"/>
      <c r="HR33" s="388"/>
      <c r="HS33" s="388"/>
      <c r="HT33" s="388"/>
      <c r="HU33" s="388"/>
      <c r="HV33" s="388"/>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8"/>
      <c r="IV33" s="388"/>
      <c r="IW33" s="388"/>
      <c r="IX33" s="388"/>
      <c r="IY33" s="388"/>
      <c r="IZ33" s="388"/>
      <c r="JA33" s="388"/>
      <c r="JB33" s="388"/>
      <c r="JC33" s="388"/>
      <c r="JD33" s="388"/>
      <c r="JE33" s="388"/>
      <c r="JF33" s="388"/>
      <c r="JG33" s="388"/>
      <c r="JH33" s="388"/>
      <c r="JI33" s="388"/>
      <c r="JJ33" s="388"/>
      <c r="JK33" s="388"/>
      <c r="JL33" s="388"/>
      <c r="JM33" s="388"/>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c r="MH33" s="388"/>
      <c r="MI33" s="388"/>
      <c r="MJ33" s="388"/>
      <c r="MK33" s="388"/>
      <c r="ML33" s="388"/>
      <c r="MM33" s="388"/>
      <c r="MN33" s="388"/>
      <c r="MO33" s="388"/>
      <c r="MP33" s="388"/>
      <c r="MQ33" s="388"/>
      <c r="MR33" s="388"/>
      <c r="MS33" s="388"/>
      <c r="MT33" s="388"/>
      <c r="MU33" s="388"/>
      <c r="MV33" s="388"/>
      <c r="MW33" s="388"/>
      <c r="MX33" s="388"/>
      <c r="MY33" s="388"/>
      <c r="MZ33" s="388"/>
      <c r="NA33" s="388"/>
      <c r="NB33" s="388"/>
      <c r="NC33" s="388"/>
      <c r="ND33" s="388"/>
      <c r="NE33" s="388"/>
      <c r="NF33" s="388"/>
      <c r="NG33" s="388"/>
      <c r="NH33" s="388"/>
      <c r="NI33" s="388"/>
      <c r="NJ33" s="388"/>
      <c r="NK33" s="388"/>
      <c r="NL33" s="388"/>
      <c r="NM33" s="388"/>
      <c r="NN33" s="388"/>
      <c r="NO33" s="388"/>
      <c r="NP33" s="388"/>
      <c r="NQ33" s="388"/>
      <c r="NR33" s="388"/>
      <c r="NS33" s="388"/>
      <c r="NT33" s="388"/>
      <c r="NU33" s="388"/>
      <c r="NV33" s="388"/>
      <c r="NW33" s="388"/>
      <c r="NX33" s="388"/>
      <c r="NY33" s="388"/>
      <c r="NZ33" s="388"/>
      <c r="OA33" s="388"/>
      <c r="OB33" s="388"/>
      <c r="OC33" s="388"/>
      <c r="OD33" s="388"/>
      <c r="OE33" s="388"/>
      <c r="OF33" s="388"/>
      <c r="OG33" s="388"/>
      <c r="OH33" s="388"/>
      <c r="OI33" s="388"/>
      <c r="OJ33" s="388"/>
      <c r="OK33" s="388"/>
      <c r="OL33" s="388"/>
      <c r="OM33" s="388"/>
      <c r="ON33" s="388"/>
      <c r="OO33" s="388"/>
      <c r="OP33" s="388"/>
      <c r="OQ33" s="388"/>
      <c r="OR33" s="388"/>
      <c r="OS33" s="388"/>
      <c r="OT33" s="388"/>
      <c r="OU33" s="388"/>
      <c r="OV33" s="388"/>
      <c r="OW33" s="388"/>
      <c r="OX33" s="388"/>
      <c r="OY33" s="388"/>
      <c r="OZ33" s="388"/>
      <c r="PA33" s="388"/>
      <c r="PB33" s="388"/>
      <c r="PC33" s="388"/>
      <c r="PD33" s="388"/>
      <c r="PE33" s="388"/>
      <c r="PF33" s="388"/>
      <c r="PG33" s="388"/>
      <c r="PH33" s="388"/>
      <c r="PI33" s="388"/>
      <c r="PJ33" s="388"/>
      <c r="PK33" s="388"/>
      <c r="PL33" s="388"/>
      <c r="PM33" s="388"/>
      <c r="PN33" s="388"/>
      <c r="PO33" s="388"/>
      <c r="PP33" s="388"/>
      <c r="PQ33" s="388"/>
      <c r="PR33" s="388"/>
      <c r="PS33" s="388"/>
      <c r="PT33" s="388"/>
      <c r="PU33" s="388"/>
      <c r="PV33" s="388"/>
      <c r="PW33" s="388"/>
      <c r="PX33" s="388"/>
      <c r="PY33" s="388"/>
      <c r="PZ33" s="388"/>
      <c r="QA33" s="388"/>
      <c r="QB33" s="388"/>
      <c r="QC33" s="388"/>
      <c r="QD33" s="388"/>
      <c r="QE33" s="388"/>
      <c r="QF33" s="388"/>
      <c r="QG33" s="388"/>
      <c r="QH33" s="388"/>
      <c r="QI33" s="388"/>
      <c r="QJ33" s="388"/>
      <c r="QK33" s="388"/>
      <c r="QL33" s="388"/>
      <c r="QM33" s="388"/>
      <c r="QN33" s="388"/>
      <c r="QO33" s="388"/>
      <c r="QP33" s="388"/>
      <c r="QQ33" s="388"/>
      <c r="QR33" s="388"/>
      <c r="QS33" s="388"/>
      <c r="QT33" s="388"/>
      <c r="QU33" s="388"/>
      <c r="QV33" s="388"/>
      <c r="QW33" s="388"/>
      <c r="QX33" s="388"/>
      <c r="QY33" s="388"/>
      <c r="QZ33" s="388"/>
      <c r="RA33" s="388"/>
      <c r="RB33" s="388"/>
      <c r="RC33" s="388"/>
      <c r="RD33" s="388"/>
      <c r="RE33" s="388"/>
      <c r="RF33" s="388"/>
      <c r="RG33" s="388"/>
      <c r="RH33" s="388"/>
      <c r="RI33" s="388"/>
      <c r="RJ33" s="388"/>
      <c r="RK33" s="388"/>
      <c r="RL33" s="388"/>
      <c r="RM33" s="388"/>
      <c r="RN33" s="388"/>
      <c r="RO33" s="388"/>
      <c r="RP33" s="388"/>
      <c r="RQ33" s="388"/>
      <c r="RR33" s="388"/>
      <c r="RS33" s="388"/>
      <c r="RT33" s="388"/>
      <c r="RU33" s="388"/>
      <c r="RV33" s="388"/>
      <c r="RW33" s="388"/>
      <c r="RX33" s="388"/>
      <c r="RY33" s="388"/>
      <c r="RZ33" s="388"/>
      <c r="SA33" s="388"/>
      <c r="SB33" s="388"/>
      <c r="SC33" s="388"/>
      <c r="SD33" s="388"/>
      <c r="SE33" s="388"/>
      <c r="SF33" s="388"/>
      <c r="SG33" s="388"/>
      <c r="SH33" s="388"/>
      <c r="SI33" s="388"/>
      <c r="SJ33" s="388"/>
      <c r="SK33" s="388"/>
      <c r="SL33" s="388"/>
      <c r="SM33" s="388"/>
      <c r="SN33" s="388"/>
      <c r="SO33" s="388"/>
      <c r="SP33" s="388"/>
      <c r="SQ33" s="388"/>
      <c r="SR33" s="388"/>
      <c r="SS33" s="388"/>
      <c r="ST33" s="388"/>
      <c r="SU33" s="388"/>
      <c r="SV33" s="388"/>
      <c r="SW33" s="388"/>
      <c r="SX33" s="388"/>
      <c r="SY33" s="388"/>
      <c r="SZ33" s="388"/>
      <c r="TA33" s="388"/>
      <c r="TB33" s="388"/>
      <c r="TC33" s="388"/>
      <c r="TD33" s="388"/>
      <c r="TE33" s="388"/>
      <c r="TF33" s="388"/>
      <c r="TG33" s="388"/>
      <c r="TH33" s="388"/>
      <c r="TI33" s="388"/>
      <c r="TJ33" s="388"/>
      <c r="TK33" s="388"/>
      <c r="TL33" s="388"/>
      <c r="TM33" s="388"/>
      <c r="TN33" s="388"/>
      <c r="TO33" s="388"/>
      <c r="TP33" s="388"/>
      <c r="TQ33" s="388"/>
      <c r="TR33" s="388"/>
      <c r="TS33" s="388"/>
      <c r="TT33" s="388"/>
      <c r="TU33" s="388"/>
      <c r="TV33" s="388"/>
      <c r="TW33" s="388"/>
      <c r="TX33" s="388"/>
      <c r="TY33" s="388"/>
      <c r="TZ33" s="388"/>
      <c r="UA33" s="388"/>
      <c r="UB33" s="388"/>
      <c r="UC33" s="388"/>
      <c r="UD33" s="388"/>
      <c r="UE33" s="388"/>
      <c r="UF33" s="388"/>
      <c r="UG33" s="388"/>
      <c r="UH33" s="388"/>
      <c r="UI33" s="388"/>
      <c r="UJ33" s="388"/>
      <c r="UK33" s="388"/>
      <c r="UL33" s="388"/>
      <c r="UM33" s="388"/>
      <c r="UN33" s="388"/>
      <c r="UO33" s="388"/>
      <c r="UP33" s="388"/>
      <c r="UQ33" s="388"/>
      <c r="UR33" s="388"/>
      <c r="US33" s="388"/>
      <c r="UT33" s="388"/>
      <c r="UU33" s="388"/>
      <c r="UV33" s="388"/>
      <c r="UW33" s="388"/>
      <c r="UX33" s="388"/>
      <c r="UY33" s="388"/>
      <c r="UZ33" s="388"/>
      <c r="VA33" s="388"/>
      <c r="VB33" s="388"/>
      <c r="VC33" s="388"/>
      <c r="VD33" s="388"/>
      <c r="VE33" s="388"/>
      <c r="VF33" s="388"/>
      <c r="VG33" s="388"/>
      <c r="VH33" s="388"/>
      <c r="VI33" s="388"/>
      <c r="VJ33" s="388"/>
      <c r="VK33" s="388"/>
      <c r="VL33" s="388"/>
      <c r="VM33" s="388"/>
      <c r="VN33" s="388"/>
      <c r="VO33" s="388"/>
      <c r="VP33" s="388"/>
      <c r="VQ33" s="388"/>
      <c r="VR33" s="388"/>
      <c r="VS33" s="388"/>
      <c r="VT33" s="388"/>
      <c r="VU33" s="388"/>
      <c r="VV33" s="388"/>
      <c r="VW33" s="388"/>
      <c r="VX33" s="388"/>
      <c r="VY33" s="388"/>
      <c r="VZ33" s="388"/>
      <c r="WA33" s="388"/>
      <c r="WB33" s="388"/>
      <c r="WC33" s="388"/>
      <c r="WD33" s="388"/>
      <c r="WE33" s="388"/>
      <c r="WF33" s="388"/>
      <c r="WG33" s="388"/>
      <c r="WH33" s="388"/>
      <c r="WI33" s="388"/>
      <c r="WJ33" s="388"/>
      <c r="WK33" s="388"/>
      <c r="WL33" s="388"/>
      <c r="WM33" s="388"/>
      <c r="WN33" s="388"/>
      <c r="WO33" s="388"/>
      <c r="WP33" s="388"/>
      <c r="WQ33" s="388"/>
      <c r="WR33" s="388"/>
      <c r="WS33" s="388"/>
      <c r="WT33" s="388"/>
      <c r="WU33" s="388"/>
      <c r="WV33" s="388"/>
      <c r="WW33" s="388"/>
      <c r="WX33" s="388"/>
      <c r="WY33" s="388"/>
      <c r="WZ33" s="388"/>
      <c r="XA33" s="388"/>
      <c r="XB33" s="388"/>
      <c r="XC33" s="388"/>
      <c r="XD33" s="388"/>
      <c r="XE33" s="388"/>
      <c r="XF33" s="388"/>
      <c r="XG33" s="388"/>
      <c r="XH33" s="388"/>
      <c r="XI33" s="388"/>
      <c r="XJ33" s="388"/>
      <c r="XK33" s="388"/>
      <c r="XL33" s="388"/>
      <c r="XM33" s="388"/>
      <c r="XN33" s="388"/>
      <c r="XO33" s="388"/>
      <c r="XP33" s="388"/>
      <c r="XQ33" s="388"/>
      <c r="XR33" s="388"/>
      <c r="XS33" s="388"/>
      <c r="XT33" s="388"/>
      <c r="XU33" s="388"/>
      <c r="XV33" s="388"/>
      <c r="XW33" s="388"/>
      <c r="XX33" s="388"/>
      <c r="XY33" s="388"/>
      <c r="XZ33" s="388"/>
      <c r="YA33" s="388"/>
      <c r="YB33" s="388"/>
      <c r="YC33" s="388"/>
      <c r="YD33" s="388"/>
      <c r="YE33" s="388"/>
      <c r="YF33" s="388"/>
      <c r="YG33" s="388"/>
      <c r="YH33" s="388"/>
      <c r="YI33" s="388"/>
      <c r="YJ33" s="388"/>
      <c r="YK33" s="388"/>
      <c r="YL33" s="388"/>
      <c r="YM33" s="388"/>
      <c r="YN33" s="388"/>
      <c r="YO33" s="388"/>
      <c r="YP33" s="388"/>
      <c r="YQ33" s="388"/>
      <c r="YR33" s="388"/>
      <c r="YS33" s="388"/>
      <c r="YT33" s="388"/>
      <c r="YU33" s="388"/>
      <c r="YV33" s="388"/>
      <c r="YW33" s="388"/>
      <c r="YX33" s="388"/>
      <c r="YY33" s="388"/>
      <c r="YZ33" s="388"/>
      <c r="ZA33" s="388"/>
      <c r="ZB33" s="388"/>
      <c r="ZC33" s="388"/>
      <c r="ZD33" s="388"/>
      <c r="ZE33" s="388"/>
      <c r="ZF33" s="388"/>
      <c r="ZG33" s="388"/>
      <c r="ZH33" s="388"/>
      <c r="ZI33" s="388"/>
      <c r="ZJ33" s="388"/>
      <c r="ZK33" s="388"/>
      <c r="ZL33" s="388"/>
      <c r="ZM33" s="388"/>
      <c r="ZN33" s="388"/>
      <c r="ZO33" s="388"/>
      <c r="ZP33" s="388"/>
      <c r="ZQ33" s="388"/>
      <c r="ZR33" s="388"/>
      <c r="ZS33" s="388"/>
      <c r="ZT33" s="388"/>
      <c r="ZU33" s="388"/>
      <c r="ZV33" s="388"/>
      <c r="ZW33" s="388"/>
      <c r="ZX33" s="388"/>
      <c r="ZY33" s="388"/>
      <c r="ZZ33" s="388"/>
      <c r="AAA33" s="388"/>
      <c r="AAB33" s="388"/>
      <c r="AAC33" s="388"/>
      <c r="AAD33" s="388"/>
      <c r="AAE33" s="388"/>
      <c r="AAF33" s="388"/>
      <c r="AAG33" s="388"/>
      <c r="AAH33" s="388"/>
      <c r="AAI33" s="388"/>
      <c r="AAJ33" s="388"/>
      <c r="AAK33" s="388"/>
      <c r="AAL33" s="388"/>
      <c r="AAM33" s="388"/>
      <c r="AAN33" s="388"/>
      <c r="AAO33" s="388"/>
      <c r="AAP33" s="388"/>
      <c r="AAQ33" s="388"/>
      <c r="AAR33" s="388"/>
      <c r="AAS33" s="388"/>
      <c r="AAT33" s="388"/>
      <c r="AAU33" s="388"/>
      <c r="AAV33" s="388"/>
      <c r="AAW33" s="388"/>
      <c r="AAX33" s="388"/>
      <c r="AAY33" s="388"/>
      <c r="AAZ33" s="388"/>
      <c r="ABA33" s="388"/>
      <c r="ABB33" s="388"/>
      <c r="ABC33" s="388"/>
      <c r="ABD33" s="388"/>
      <c r="ABE33" s="388"/>
      <c r="ABF33" s="388"/>
      <c r="ABG33" s="388"/>
      <c r="ABH33" s="388"/>
      <c r="ABI33" s="388"/>
      <c r="ABJ33" s="388"/>
      <c r="ABK33" s="388"/>
      <c r="ABL33" s="388"/>
      <c r="ABM33" s="388"/>
      <c r="ABN33" s="388"/>
      <c r="ABO33" s="388"/>
      <c r="ABP33" s="388"/>
      <c r="ABQ33" s="388"/>
      <c r="ABR33" s="388"/>
      <c r="ABS33" s="388"/>
      <c r="ABT33" s="388"/>
      <c r="ABU33" s="388"/>
      <c r="ABV33" s="388"/>
      <c r="ABW33" s="388"/>
      <c r="ABX33" s="388"/>
      <c r="ABY33" s="388"/>
      <c r="ABZ33" s="388"/>
      <c r="ACA33" s="388"/>
      <c r="ACB33" s="388"/>
      <c r="ACC33" s="388"/>
      <c r="ACD33" s="388"/>
      <c r="ACE33" s="388"/>
      <c r="ACF33" s="388"/>
      <c r="ACG33" s="388"/>
      <c r="ACH33" s="388"/>
      <c r="ACI33" s="388"/>
      <c r="ACJ33" s="388"/>
      <c r="ACK33" s="388"/>
      <c r="ACL33" s="388"/>
      <c r="ACM33" s="388"/>
      <c r="ACN33" s="388"/>
      <c r="ACO33" s="388"/>
      <c r="ACP33" s="388"/>
      <c r="ACQ33" s="388"/>
      <c r="ACR33" s="388"/>
      <c r="ACS33" s="388"/>
      <c r="ACT33" s="388"/>
      <c r="ACU33" s="388"/>
      <c r="ACV33" s="388"/>
      <c r="ACW33" s="388"/>
      <c r="ACX33" s="388"/>
      <c r="ACY33" s="388"/>
      <c r="ACZ33" s="388"/>
      <c r="ADA33" s="388"/>
      <c r="ADB33" s="388"/>
      <c r="ADC33" s="388"/>
      <c r="ADD33" s="388"/>
      <c r="ADE33" s="388"/>
      <c r="ADF33" s="388"/>
      <c r="ADG33" s="388"/>
      <c r="ADH33" s="388"/>
      <c r="ADI33" s="388"/>
      <c r="ADJ33" s="388"/>
      <c r="ADK33" s="388"/>
      <c r="ADL33" s="388"/>
      <c r="ADM33" s="388"/>
      <c r="ADN33" s="388"/>
      <c r="ADO33" s="388"/>
      <c r="ADP33" s="388"/>
      <c r="ADQ33" s="388"/>
      <c r="ADR33" s="388"/>
      <c r="ADS33" s="388"/>
      <c r="ADT33" s="388"/>
      <c r="ADU33" s="388"/>
      <c r="ADV33" s="388"/>
      <c r="ADW33" s="388"/>
      <c r="ADX33" s="388"/>
      <c r="ADY33" s="388"/>
      <c r="ADZ33" s="388"/>
      <c r="AEA33" s="388"/>
      <c r="AEB33" s="388"/>
      <c r="AEC33" s="388"/>
      <c r="AED33" s="388"/>
      <c r="AEE33" s="388"/>
      <c r="AEF33" s="388"/>
      <c r="AEG33" s="388"/>
      <c r="AEH33" s="388"/>
      <c r="AEI33" s="388"/>
      <c r="AEJ33" s="388"/>
      <c r="AEK33" s="388"/>
      <c r="AEL33" s="388"/>
      <c r="AEM33" s="388"/>
      <c r="AEN33" s="388"/>
      <c r="AEO33" s="388"/>
      <c r="AEP33" s="388"/>
      <c r="AEQ33" s="388"/>
      <c r="AER33" s="388"/>
      <c r="AES33" s="388"/>
      <c r="AET33" s="388"/>
      <c r="AEU33" s="388"/>
      <c r="AEV33" s="388"/>
      <c r="AEW33" s="388"/>
      <c r="AEX33" s="388"/>
      <c r="AEY33" s="388"/>
      <c r="AEZ33" s="388"/>
      <c r="AFA33" s="388"/>
      <c r="AFB33" s="388"/>
      <c r="AFC33" s="388"/>
      <c r="AFD33" s="388"/>
      <c r="AFE33" s="388"/>
      <c r="AFF33" s="388"/>
      <c r="AFG33" s="388"/>
      <c r="AFH33" s="388"/>
      <c r="AFI33" s="388"/>
      <c r="AFJ33" s="388"/>
      <c r="AFK33" s="388"/>
      <c r="AFL33" s="388"/>
      <c r="AFM33" s="388"/>
      <c r="AFN33" s="388"/>
      <c r="AFO33" s="388"/>
      <c r="AFP33" s="388"/>
      <c r="AFQ33" s="388"/>
      <c r="AFR33" s="388"/>
      <c r="AFS33" s="388"/>
      <c r="AFT33" s="388"/>
      <c r="AFU33" s="388"/>
      <c r="AFV33" s="388"/>
      <c r="AFW33" s="388"/>
      <c r="AFX33" s="388"/>
      <c r="AFY33" s="388"/>
      <c r="AFZ33" s="388"/>
      <c r="AGA33" s="388"/>
      <c r="AGB33" s="388"/>
      <c r="AGC33" s="388"/>
      <c r="AGD33" s="388"/>
      <c r="AGE33" s="388"/>
      <c r="AGF33" s="388"/>
      <c r="AGG33" s="388"/>
      <c r="AGH33" s="388"/>
      <c r="AGI33" s="388"/>
      <c r="AGJ33" s="388"/>
      <c r="AGK33" s="388"/>
      <c r="AGL33" s="388"/>
      <c r="AGM33" s="388"/>
      <c r="AGN33" s="388"/>
      <c r="AGO33" s="388"/>
      <c r="AGP33" s="388"/>
      <c r="AGQ33" s="388"/>
      <c r="AGR33" s="388"/>
      <c r="AGS33" s="388"/>
      <c r="AGT33" s="388"/>
      <c r="AGU33" s="388"/>
      <c r="AGV33" s="388"/>
      <c r="AGW33" s="388"/>
      <c r="AGX33" s="388"/>
      <c r="AGY33" s="388"/>
      <c r="AGZ33" s="388"/>
      <c r="AHA33" s="388"/>
      <c r="AHB33" s="388"/>
      <c r="AHC33" s="388"/>
      <c r="AHD33" s="388"/>
      <c r="AHE33" s="388"/>
      <c r="AHF33" s="388"/>
      <c r="AHG33" s="388"/>
      <c r="AHH33" s="388"/>
      <c r="AHI33" s="388"/>
      <c r="AHJ33" s="388"/>
      <c r="AHK33" s="388"/>
      <c r="AHL33" s="388"/>
      <c r="AHM33" s="388"/>
      <c r="AHN33" s="388"/>
      <c r="AHO33" s="388"/>
      <c r="AHP33" s="388"/>
      <c r="AHQ33" s="388"/>
      <c r="AHR33" s="388"/>
      <c r="AHS33" s="388"/>
      <c r="AHT33" s="388"/>
      <c r="AHU33" s="388"/>
      <c r="AHV33" s="388"/>
      <c r="AHW33" s="388"/>
      <c r="AHX33" s="388"/>
      <c r="AHY33" s="388"/>
      <c r="AHZ33" s="388"/>
      <c r="AIA33" s="388"/>
      <c r="AIB33" s="388"/>
      <c r="AIC33" s="388"/>
      <c r="AID33" s="388"/>
      <c r="AIE33" s="388"/>
      <c r="AIF33" s="388"/>
      <c r="AIG33" s="388"/>
      <c r="AIH33" s="388"/>
      <c r="AII33" s="388"/>
      <c r="AIJ33" s="388"/>
      <c r="AIK33" s="388"/>
      <c r="AIL33" s="388"/>
      <c r="AIM33" s="388"/>
      <c r="AIN33" s="388"/>
      <c r="AIO33" s="388"/>
      <c r="AIP33" s="388"/>
      <c r="AIQ33" s="388"/>
      <c r="AIR33" s="388"/>
      <c r="AIS33" s="388"/>
      <c r="AIT33" s="388"/>
      <c r="AIU33" s="388"/>
      <c r="AIV33" s="388"/>
      <c r="AIW33" s="388"/>
      <c r="AIX33" s="388"/>
      <c r="AIY33" s="388"/>
      <c r="AIZ33" s="388"/>
      <c r="AJA33" s="388"/>
      <c r="AJB33" s="388"/>
      <c r="AJC33" s="388"/>
      <c r="AJD33" s="388"/>
      <c r="AJE33" s="388"/>
      <c r="AJF33" s="388"/>
      <c r="AJG33" s="388"/>
      <c r="AJH33" s="388"/>
      <c r="AJI33" s="388"/>
      <c r="AJJ33" s="388"/>
      <c r="AJK33" s="388"/>
      <c r="AJL33" s="388"/>
      <c r="AJM33" s="388"/>
      <c r="AJN33" s="388"/>
      <c r="AJO33" s="388"/>
      <c r="AJP33" s="388"/>
      <c r="AJQ33" s="388"/>
      <c r="AJR33" s="388"/>
      <c r="AJS33" s="388"/>
      <c r="AJT33" s="388"/>
      <c r="AJU33" s="388"/>
      <c r="AJV33" s="388"/>
      <c r="AJW33" s="388"/>
      <c r="AJX33" s="388"/>
      <c r="AJY33" s="388"/>
      <c r="AJZ33" s="388"/>
      <c r="AKA33" s="388"/>
      <c r="AKB33" s="388"/>
      <c r="AKC33" s="388"/>
      <c r="AKD33" s="388"/>
      <c r="AKE33" s="388"/>
      <c r="AKF33" s="388"/>
      <c r="AKG33" s="388"/>
      <c r="AKH33" s="388"/>
      <c r="AKI33" s="388"/>
      <c r="AKJ33" s="388"/>
      <c r="AKK33" s="388"/>
      <c r="AKL33" s="388"/>
      <c r="AKM33" s="388"/>
      <c r="AKN33" s="388"/>
      <c r="AKO33" s="388"/>
      <c r="AKP33" s="388"/>
      <c r="AKQ33" s="388"/>
      <c r="AKR33" s="388"/>
      <c r="AKS33" s="388"/>
      <c r="AKT33" s="388"/>
      <c r="AKU33" s="388"/>
      <c r="AKV33" s="388"/>
      <c r="AKW33" s="388"/>
      <c r="AKX33" s="388"/>
      <c r="AKY33" s="388"/>
      <c r="AKZ33" s="388"/>
      <c r="ALA33" s="388"/>
      <c r="ALB33" s="388"/>
      <c r="ALC33" s="388"/>
      <c r="ALD33" s="388"/>
      <c r="ALE33" s="388"/>
      <c r="ALF33" s="388"/>
      <c r="ALG33" s="388"/>
      <c r="ALH33" s="388"/>
      <c r="ALI33" s="388"/>
      <c r="ALJ33" s="388"/>
      <c r="ALK33" s="388"/>
      <c r="ALL33" s="388"/>
      <c r="ALM33" s="388"/>
      <c r="ALN33" s="388"/>
      <c r="ALO33" s="388"/>
      <c r="ALP33" s="388"/>
      <c r="ALQ33" s="388"/>
      <c r="ALR33" s="388"/>
      <c r="ALS33" s="388"/>
      <c r="ALT33" s="388"/>
      <c r="ALU33" s="388"/>
      <c r="ALV33" s="388"/>
      <c r="ALW33" s="388"/>
      <c r="ALX33" s="388"/>
      <c r="ALY33" s="388"/>
      <c r="ALZ33" s="388"/>
      <c r="AMA33" s="388"/>
      <c r="AMB33" s="388"/>
      <c r="AMC33" s="388"/>
      <c r="AMD33" s="388"/>
      <c r="AME33" s="388"/>
      <c r="AMF33" s="388"/>
      <c r="AMG33" s="388"/>
      <c r="AMH33" s="388"/>
      <c r="AMI33" s="388"/>
      <c r="AMJ33" s="388"/>
      <c r="AMK33" s="388"/>
      <c r="AML33" s="388"/>
      <c r="AMM33" s="388"/>
      <c r="AMN33" s="388"/>
      <c r="AMO33" s="388"/>
      <c r="AMP33" s="388"/>
      <c r="AMQ33" s="388"/>
      <c r="AMR33" s="388"/>
      <c r="AMS33" s="388"/>
      <c r="AMT33" s="388"/>
      <c r="AMU33" s="388"/>
      <c r="AMV33" s="388"/>
      <c r="AMW33" s="388"/>
      <c r="AMX33" s="388"/>
      <c r="AMY33" s="388"/>
      <c r="AMZ33" s="388"/>
      <c r="ANA33" s="388"/>
      <c r="ANB33" s="388"/>
      <c r="ANC33" s="388"/>
      <c r="AND33" s="388"/>
      <c r="ANE33" s="388"/>
      <c r="ANF33" s="388"/>
      <c r="ANG33" s="388"/>
      <c r="ANH33" s="388"/>
      <c r="ANI33" s="388"/>
      <c r="ANJ33" s="388"/>
      <c r="ANK33" s="388"/>
      <c r="ANL33" s="388"/>
      <c r="ANM33" s="388"/>
      <c r="ANN33" s="388"/>
      <c r="ANO33" s="388"/>
      <c r="ANP33" s="388"/>
      <c r="ANQ33" s="388"/>
      <c r="ANR33" s="388"/>
      <c r="ANS33" s="388"/>
      <c r="ANT33" s="388"/>
      <c r="ANU33" s="388"/>
      <c r="ANV33" s="388"/>
      <c r="ANW33" s="388"/>
      <c r="ANX33" s="388"/>
      <c r="ANY33" s="388"/>
      <c r="ANZ33" s="388"/>
      <c r="AOA33" s="388"/>
      <c r="AOB33" s="388"/>
      <c r="AOC33" s="388"/>
      <c r="AOD33" s="388"/>
      <c r="AOE33" s="388"/>
      <c r="AOF33" s="388"/>
      <c r="AOG33" s="388"/>
      <c r="AOH33" s="388"/>
      <c r="AOI33" s="388"/>
      <c r="AOJ33" s="388"/>
      <c r="AOK33" s="388"/>
      <c r="AOL33" s="388"/>
      <c r="AOM33" s="388"/>
      <c r="AON33" s="388"/>
      <c r="AOO33" s="388"/>
      <c r="AOP33" s="388"/>
      <c r="AOQ33" s="388"/>
      <c r="AOR33" s="388"/>
      <c r="AOS33" s="388"/>
      <c r="AOT33" s="388"/>
      <c r="AOU33" s="388"/>
      <c r="AOV33" s="388"/>
      <c r="AOW33" s="388"/>
      <c r="AOX33" s="388"/>
      <c r="AOY33" s="388"/>
      <c r="AOZ33" s="388"/>
      <c r="APA33" s="388"/>
      <c r="APB33" s="388"/>
      <c r="APC33" s="388"/>
      <c r="APD33" s="388"/>
      <c r="APE33" s="388"/>
      <c r="APF33" s="388"/>
      <c r="APG33" s="388"/>
      <c r="APH33" s="388"/>
      <c r="API33" s="388"/>
      <c r="APJ33" s="388"/>
      <c r="APK33" s="388"/>
      <c r="APL33" s="388"/>
      <c r="APM33" s="388"/>
      <c r="APN33" s="388"/>
      <c r="APO33" s="388"/>
      <c r="APP33" s="388"/>
      <c r="APQ33" s="388"/>
      <c r="APR33" s="388"/>
      <c r="APS33" s="388"/>
      <c r="APT33" s="388"/>
      <c r="APU33" s="388"/>
      <c r="APV33" s="388"/>
      <c r="APW33" s="388"/>
      <c r="APX33" s="388"/>
      <c r="APY33" s="388"/>
      <c r="APZ33" s="388"/>
      <c r="AQA33" s="388"/>
      <c r="AQB33" s="388"/>
      <c r="AQC33" s="388"/>
      <c r="AQD33" s="388"/>
      <c r="AQE33" s="388"/>
      <c r="AQF33" s="388"/>
      <c r="AQG33" s="388"/>
      <c r="AQH33" s="388"/>
      <c r="AQI33" s="388"/>
      <c r="AQJ33" s="388"/>
      <c r="AQK33" s="388"/>
      <c r="AQL33" s="388"/>
      <c r="AQM33" s="388"/>
      <c r="AQN33" s="388"/>
      <c r="AQO33" s="388"/>
      <c r="AQP33" s="388"/>
      <c r="AQQ33" s="388"/>
      <c r="AQR33" s="388"/>
      <c r="AQS33" s="388"/>
      <c r="AQT33" s="388"/>
      <c r="AQU33" s="388"/>
      <c r="AQV33" s="388"/>
      <c r="AQW33" s="388"/>
      <c r="AQX33" s="388"/>
      <c r="AQY33" s="388"/>
      <c r="AQZ33" s="388"/>
      <c r="ARA33" s="388"/>
      <c r="ARB33" s="388"/>
      <c r="ARC33" s="388"/>
      <c r="ARD33" s="388"/>
      <c r="ARE33" s="388"/>
      <c r="ARF33" s="388"/>
      <c r="ARG33" s="388"/>
      <c r="ARH33" s="388"/>
      <c r="ARI33" s="388"/>
      <c r="ARJ33" s="388"/>
      <c r="ARK33" s="388"/>
      <c r="ARL33" s="388"/>
      <c r="ARM33" s="388"/>
      <c r="ARN33" s="388"/>
      <c r="ARO33" s="388"/>
      <c r="ARP33" s="388"/>
      <c r="ARQ33" s="388"/>
      <c r="ARR33" s="388"/>
      <c r="ARS33" s="388"/>
      <c r="ART33" s="388"/>
      <c r="ARU33" s="388"/>
      <c r="ARV33" s="388"/>
      <c r="ARW33" s="388"/>
      <c r="ARX33" s="388"/>
      <c r="ARY33" s="388"/>
      <c r="ARZ33" s="388"/>
      <c r="ASA33" s="388"/>
      <c r="ASB33" s="388"/>
      <c r="ASC33" s="388"/>
      <c r="ASD33" s="388"/>
      <c r="ASE33" s="388"/>
      <c r="ASF33" s="388"/>
      <c r="ASG33" s="388"/>
      <c r="ASH33" s="388"/>
      <c r="ASI33" s="388"/>
      <c r="ASJ33" s="388"/>
      <c r="ASK33" s="388"/>
      <c r="ASL33" s="388"/>
      <c r="ASM33" s="388"/>
      <c r="ASN33" s="388"/>
      <c r="ASO33" s="388"/>
      <c r="ASP33" s="388"/>
      <c r="ASQ33" s="388"/>
      <c r="ASR33" s="388"/>
      <c r="ASS33" s="388"/>
      <c r="AST33" s="388"/>
      <c r="ASU33" s="388"/>
      <c r="ASV33" s="388"/>
      <c r="ASW33" s="388"/>
      <c r="ASX33" s="388"/>
      <c r="ASY33" s="388"/>
      <c r="ASZ33" s="388"/>
      <c r="ATA33" s="388"/>
      <c r="ATB33" s="388"/>
      <c r="ATC33" s="388"/>
      <c r="ATD33" s="388"/>
      <c r="ATE33" s="388"/>
      <c r="ATF33" s="388"/>
      <c r="ATG33" s="388"/>
      <c r="ATH33" s="388"/>
      <c r="ATI33" s="388"/>
      <c r="ATJ33" s="388"/>
      <c r="ATK33" s="388"/>
      <c r="ATL33" s="388"/>
      <c r="ATM33" s="388"/>
      <c r="ATN33" s="388"/>
      <c r="ATO33" s="388"/>
      <c r="ATP33" s="388"/>
      <c r="ATQ33" s="388"/>
      <c r="ATR33" s="388"/>
      <c r="ATS33" s="388"/>
      <c r="ATT33" s="388"/>
      <c r="ATU33" s="388"/>
      <c r="ATV33" s="388"/>
      <c r="ATW33" s="388"/>
      <c r="ATX33" s="388"/>
      <c r="ATY33" s="388"/>
      <c r="ATZ33" s="388"/>
      <c r="AUA33" s="388"/>
      <c r="AUB33" s="388"/>
      <c r="AUC33" s="388"/>
      <c r="AUD33" s="388"/>
      <c r="AUE33" s="388"/>
      <c r="AUF33" s="388"/>
      <c r="AUG33" s="388"/>
      <c r="AUH33" s="388"/>
      <c r="AUI33" s="388"/>
      <c r="AUJ33" s="388"/>
      <c r="AUK33" s="388"/>
      <c r="AUL33" s="388"/>
      <c r="AUM33" s="388"/>
      <c r="AUN33" s="388"/>
      <c r="AUO33" s="388"/>
      <c r="AUP33" s="388"/>
      <c r="AUQ33" s="388"/>
      <c r="AUR33" s="388"/>
      <c r="AUS33" s="388"/>
      <c r="AUT33" s="388"/>
      <c r="AUU33" s="388"/>
      <c r="AUV33" s="388"/>
      <c r="AUW33" s="388"/>
      <c r="AUX33" s="388"/>
      <c r="AUY33" s="388"/>
      <c r="AUZ33" s="388"/>
      <c r="AVA33" s="388"/>
      <c r="AVB33" s="388"/>
      <c r="AVC33" s="388"/>
      <c r="AVD33" s="388"/>
      <c r="AVE33" s="388"/>
      <c r="AVF33" s="388"/>
      <c r="AVG33" s="388"/>
      <c r="AVH33" s="388"/>
      <c r="AVI33" s="388"/>
      <c r="AVJ33" s="388"/>
      <c r="AVK33" s="388"/>
      <c r="AVL33" s="388"/>
      <c r="AVM33" s="388"/>
      <c r="AVN33" s="388"/>
      <c r="AVO33" s="388"/>
      <c r="AVP33" s="388"/>
      <c r="AVQ33" s="388"/>
      <c r="AVR33" s="388"/>
      <c r="AVS33" s="388"/>
      <c r="AVT33" s="388"/>
      <c r="AVU33" s="388"/>
      <c r="AVV33" s="388"/>
      <c r="AVW33" s="388"/>
      <c r="AVX33" s="388"/>
      <c r="AVY33" s="388"/>
      <c r="AVZ33" s="388"/>
      <c r="AWA33" s="388"/>
      <c r="AWB33" s="388"/>
      <c r="AWC33" s="388"/>
      <c r="AWD33" s="388"/>
      <c r="AWE33" s="388"/>
      <c r="AWF33" s="388"/>
      <c r="AWG33" s="388"/>
      <c r="AWH33" s="388"/>
      <c r="AWI33" s="388"/>
      <c r="AWJ33" s="388"/>
      <c r="AWK33" s="388"/>
      <c r="AWL33" s="388"/>
      <c r="AWM33" s="388"/>
      <c r="AWN33" s="388"/>
      <c r="AWO33" s="388"/>
      <c r="AWP33" s="388"/>
      <c r="AWQ33" s="388"/>
      <c r="AWR33" s="388"/>
      <c r="AWS33" s="388"/>
      <c r="AWT33" s="388"/>
      <c r="AWU33" s="388"/>
      <c r="AWV33" s="388"/>
      <c r="AWW33" s="388"/>
      <c r="AWX33" s="388"/>
      <c r="AWY33" s="388"/>
      <c r="AWZ33" s="388"/>
      <c r="AXA33" s="388"/>
      <c r="AXB33" s="388"/>
      <c r="AXC33" s="388"/>
      <c r="AXD33" s="388"/>
      <c r="AXE33" s="388"/>
      <c r="AXF33" s="388"/>
      <c r="AXG33" s="388"/>
      <c r="AXH33" s="388"/>
      <c r="AXI33" s="388"/>
      <c r="AXJ33" s="388"/>
      <c r="AXK33" s="388"/>
      <c r="AXL33" s="388"/>
      <c r="AXM33" s="388"/>
      <c r="AXN33" s="388"/>
      <c r="AXO33" s="388"/>
      <c r="AXP33" s="388"/>
      <c r="AXQ33" s="388"/>
      <c r="AXR33" s="388"/>
      <c r="AXS33" s="388"/>
      <c r="AXT33" s="388"/>
      <c r="AXU33" s="388"/>
      <c r="AXV33" s="388"/>
      <c r="AXW33" s="388"/>
      <c r="AXX33" s="388"/>
      <c r="AXY33" s="388"/>
      <c r="AXZ33" s="388"/>
      <c r="AYA33" s="388"/>
      <c r="AYB33" s="388"/>
      <c r="AYC33" s="388"/>
      <c r="AYD33" s="388"/>
      <c r="AYE33" s="388"/>
      <c r="AYF33" s="388"/>
      <c r="AYG33" s="388"/>
      <c r="AYH33" s="388"/>
      <c r="AYI33" s="388"/>
      <c r="AYJ33" s="388"/>
      <c r="AYK33" s="388"/>
      <c r="AYL33" s="388"/>
      <c r="AYM33" s="388"/>
      <c r="AYN33" s="388"/>
      <c r="AYO33" s="388"/>
      <c r="AYP33" s="388"/>
      <c r="AYQ33" s="388"/>
      <c r="AYR33" s="388"/>
      <c r="AYS33" s="388"/>
      <c r="AYT33" s="388"/>
      <c r="AYU33" s="388"/>
      <c r="AYV33" s="388"/>
      <c r="AYW33" s="388"/>
      <c r="AYX33" s="388"/>
      <c r="AYY33" s="388"/>
      <c r="AYZ33" s="388"/>
      <c r="AZA33" s="388"/>
      <c r="AZB33" s="388"/>
      <c r="AZC33" s="388"/>
      <c r="AZD33" s="388"/>
      <c r="AZE33" s="388"/>
      <c r="AZF33" s="388"/>
      <c r="AZG33" s="388"/>
      <c r="AZH33" s="388"/>
      <c r="AZI33" s="388"/>
      <c r="AZJ33" s="388"/>
      <c r="AZK33" s="388"/>
      <c r="AZL33" s="388"/>
      <c r="AZM33" s="388"/>
      <c r="AZN33" s="388"/>
      <c r="AZO33" s="388"/>
      <c r="AZP33" s="388"/>
      <c r="AZQ33" s="388"/>
      <c r="AZR33" s="388"/>
      <c r="AZS33" s="388"/>
      <c r="AZT33" s="388"/>
      <c r="AZU33" s="388"/>
      <c r="AZV33" s="388"/>
      <c r="AZW33" s="388"/>
      <c r="AZX33" s="388"/>
      <c r="AZY33" s="388"/>
      <c r="AZZ33" s="388"/>
      <c r="BAA33" s="388"/>
      <c r="BAB33" s="388"/>
      <c r="BAC33" s="388"/>
      <c r="BAD33" s="388"/>
      <c r="BAE33" s="388"/>
      <c r="BAF33" s="388"/>
      <c r="BAG33" s="388"/>
      <c r="BAH33" s="388"/>
      <c r="BAI33" s="388"/>
      <c r="BAJ33" s="388"/>
      <c r="BAK33" s="388"/>
      <c r="BAL33" s="388"/>
      <c r="BAM33" s="388"/>
      <c r="BAN33" s="388"/>
      <c r="BAO33" s="388"/>
      <c r="BAP33" s="388"/>
      <c r="BAQ33" s="388"/>
      <c r="BAR33" s="388"/>
      <c r="BAS33" s="388"/>
      <c r="BAT33" s="388"/>
      <c r="BAU33" s="388"/>
      <c r="BAV33" s="388"/>
      <c r="BAW33" s="388"/>
      <c r="BAX33" s="388"/>
      <c r="BAY33" s="388"/>
      <c r="BAZ33" s="388"/>
      <c r="BBA33" s="388"/>
      <c r="BBB33" s="388"/>
      <c r="BBC33" s="388"/>
      <c r="BBD33" s="388"/>
      <c r="BBE33" s="388"/>
      <c r="BBF33" s="388"/>
      <c r="BBG33" s="388"/>
      <c r="BBH33" s="388"/>
      <c r="BBI33" s="388"/>
      <c r="BBJ33" s="388"/>
      <c r="BBK33" s="388"/>
      <c r="BBL33" s="388"/>
      <c r="BBM33" s="388"/>
      <c r="BBN33" s="388"/>
      <c r="BBO33" s="388"/>
      <c r="BBP33" s="388"/>
      <c r="BBQ33" s="388"/>
      <c r="BBR33" s="388"/>
      <c r="BBS33" s="388"/>
      <c r="BBT33" s="388"/>
      <c r="BBU33" s="388"/>
      <c r="BBV33" s="388"/>
      <c r="BBW33" s="388"/>
      <c r="BBX33" s="388"/>
      <c r="BBY33" s="388"/>
      <c r="BBZ33" s="388"/>
      <c r="BCA33" s="388"/>
      <c r="BCB33" s="388"/>
      <c r="BCC33" s="388"/>
      <c r="BCD33" s="388"/>
      <c r="BCE33" s="388"/>
      <c r="BCF33" s="388"/>
      <c r="BCG33" s="388"/>
      <c r="BCH33" s="388"/>
      <c r="BCI33" s="388"/>
      <c r="BCJ33" s="388"/>
      <c r="BCK33" s="388"/>
      <c r="BCL33" s="388"/>
      <c r="BCM33" s="388"/>
      <c r="BCN33" s="388"/>
      <c r="BCO33" s="388"/>
      <c r="BCP33" s="388"/>
      <c r="BCQ33" s="388"/>
      <c r="BCR33" s="388"/>
      <c r="BCS33" s="388"/>
      <c r="BCT33" s="388"/>
      <c r="BCU33" s="388"/>
      <c r="BCV33" s="388"/>
      <c r="BCW33" s="388"/>
      <c r="BCX33" s="388"/>
      <c r="BCY33" s="388"/>
      <c r="BCZ33" s="388"/>
      <c r="BDA33" s="388"/>
      <c r="BDB33" s="388"/>
      <c r="BDC33" s="388"/>
      <c r="BDD33" s="388"/>
      <c r="BDE33" s="388"/>
      <c r="BDF33" s="388"/>
      <c r="BDG33" s="388"/>
      <c r="BDH33" s="388"/>
      <c r="BDI33" s="388"/>
      <c r="BDJ33" s="388"/>
      <c r="BDK33" s="388"/>
      <c r="BDL33" s="388"/>
      <c r="BDM33" s="388"/>
      <c r="BDN33" s="388"/>
      <c r="BDO33" s="388"/>
      <c r="BDP33" s="388"/>
      <c r="BDQ33" s="388"/>
      <c r="BDR33" s="388"/>
      <c r="BDS33" s="388"/>
      <c r="BDT33" s="388"/>
      <c r="BDU33" s="388"/>
      <c r="BDV33" s="388"/>
      <c r="BDW33" s="388"/>
      <c r="BDX33" s="388"/>
      <c r="BDY33" s="388"/>
      <c r="BDZ33" s="388"/>
      <c r="BEA33" s="388"/>
      <c r="BEB33" s="388"/>
      <c r="BEC33" s="388"/>
      <c r="BED33" s="388"/>
      <c r="BEE33" s="388"/>
      <c r="BEF33" s="388"/>
      <c r="BEG33" s="388"/>
      <c r="BEH33" s="388"/>
      <c r="BEI33" s="388"/>
      <c r="BEJ33" s="388"/>
      <c r="BEK33" s="388"/>
      <c r="BEL33" s="388"/>
      <c r="BEM33" s="388"/>
      <c r="BEN33" s="388"/>
      <c r="BEO33" s="388"/>
      <c r="BEP33" s="388"/>
      <c r="BEQ33" s="388"/>
      <c r="BER33" s="388"/>
      <c r="BES33" s="388"/>
      <c r="BET33" s="388"/>
      <c r="BEU33" s="388"/>
      <c r="BEV33" s="388"/>
      <c r="BEW33" s="388"/>
      <c r="BEX33" s="388"/>
      <c r="BEY33" s="388"/>
      <c r="BEZ33" s="388"/>
      <c r="BFA33" s="388"/>
      <c r="BFB33" s="388"/>
      <c r="BFC33" s="388"/>
      <c r="BFD33" s="388"/>
      <c r="BFE33" s="388"/>
      <c r="BFF33" s="388"/>
      <c r="BFG33" s="388"/>
      <c r="BFH33" s="388"/>
      <c r="BFI33" s="388"/>
      <c r="BFJ33" s="388"/>
      <c r="BFK33" s="388"/>
      <c r="BFL33" s="388"/>
      <c r="BFM33" s="388"/>
      <c r="BFN33" s="388"/>
      <c r="BFO33" s="388"/>
      <c r="BFP33" s="388"/>
      <c r="BFQ33" s="388"/>
      <c r="BFR33" s="388"/>
      <c r="BFS33" s="388"/>
      <c r="BFT33" s="388"/>
      <c r="BFU33" s="388"/>
      <c r="BFV33" s="388"/>
      <c r="BFW33" s="388"/>
      <c r="BFX33" s="388"/>
      <c r="BFY33" s="388"/>
      <c r="BFZ33" s="388"/>
      <c r="BGA33" s="388"/>
      <c r="BGB33" s="388"/>
      <c r="BGC33" s="388"/>
      <c r="BGD33" s="388"/>
      <c r="BGE33" s="388"/>
      <c r="BGF33" s="388"/>
      <c r="BGG33" s="388"/>
      <c r="BGH33" s="388"/>
      <c r="BGI33" s="388"/>
      <c r="BGJ33" s="388"/>
      <c r="BGK33" s="388"/>
      <c r="BGL33" s="388"/>
      <c r="BGM33" s="388"/>
      <c r="BGN33" s="388"/>
      <c r="BGO33" s="388"/>
      <c r="BGP33" s="388"/>
      <c r="BGQ33" s="388"/>
      <c r="BGR33" s="388"/>
      <c r="BGS33" s="388"/>
      <c r="BGT33" s="388"/>
      <c r="BGU33" s="388"/>
      <c r="BGV33" s="388"/>
      <c r="BGW33" s="388"/>
      <c r="BGX33" s="388"/>
      <c r="BGY33" s="388"/>
      <c r="BGZ33" s="388"/>
      <c r="BHA33" s="388"/>
      <c r="BHB33" s="388"/>
      <c r="BHC33" s="388"/>
      <c r="BHD33" s="388"/>
      <c r="BHE33" s="388"/>
      <c r="BHF33" s="388"/>
      <c r="BHG33" s="388"/>
      <c r="BHH33" s="388"/>
      <c r="BHI33" s="388"/>
      <c r="BHJ33" s="388"/>
      <c r="BHK33" s="388"/>
      <c r="BHL33" s="388"/>
      <c r="BHM33" s="388"/>
      <c r="BHN33" s="388"/>
      <c r="BHO33" s="388"/>
      <c r="BHP33" s="388"/>
      <c r="BHQ33" s="388"/>
      <c r="BHR33" s="388"/>
      <c r="BHS33" s="388"/>
      <c r="BHT33" s="388"/>
      <c r="BHU33" s="388"/>
      <c r="BHV33" s="388"/>
      <c r="BHW33" s="388"/>
      <c r="BHX33" s="388"/>
      <c r="BHY33" s="388"/>
      <c r="BHZ33" s="388"/>
      <c r="BIA33" s="388"/>
      <c r="BIB33" s="388"/>
      <c r="BIC33" s="388"/>
      <c r="BID33" s="388"/>
      <c r="BIE33" s="388"/>
      <c r="BIF33" s="388"/>
      <c r="BIG33" s="388"/>
      <c r="BIH33" s="388"/>
      <c r="BII33" s="388"/>
      <c r="BIJ33" s="388"/>
      <c r="BIK33" s="388"/>
      <c r="BIL33" s="388"/>
      <c r="BIM33" s="388"/>
      <c r="BIN33" s="388"/>
      <c r="BIO33" s="388"/>
      <c r="BIP33" s="388"/>
      <c r="BIQ33" s="388"/>
      <c r="BIR33" s="388"/>
      <c r="BIS33" s="388"/>
      <c r="BIT33" s="388"/>
      <c r="BIU33" s="388"/>
      <c r="BIV33" s="388"/>
      <c r="BIW33" s="388"/>
      <c r="BIX33" s="388"/>
      <c r="BIY33" s="388"/>
      <c r="BIZ33" s="388"/>
      <c r="BJA33" s="388"/>
      <c r="BJB33" s="388"/>
      <c r="BJC33" s="388"/>
      <c r="BJD33" s="388"/>
      <c r="BJE33" s="388"/>
      <c r="BJF33" s="388"/>
      <c r="BJG33" s="388"/>
      <c r="BJH33" s="388"/>
      <c r="BJI33" s="388"/>
      <c r="BJJ33" s="388"/>
      <c r="BJK33" s="388"/>
      <c r="BJL33" s="388"/>
      <c r="BJM33" s="388"/>
      <c r="BJN33" s="388"/>
      <c r="BJO33" s="388"/>
      <c r="BJP33" s="388"/>
      <c r="BJQ33" s="388"/>
      <c r="BJR33" s="388"/>
      <c r="BJS33" s="388"/>
      <c r="BJT33" s="388"/>
      <c r="BJU33" s="388"/>
      <c r="BJV33" s="388"/>
      <c r="BJW33" s="388"/>
      <c r="BJX33" s="388"/>
      <c r="BJY33" s="388"/>
      <c r="BJZ33" s="388"/>
      <c r="BKA33" s="388"/>
      <c r="BKB33" s="388"/>
      <c r="BKC33" s="388"/>
      <c r="BKD33" s="388"/>
      <c r="BKE33" s="388"/>
      <c r="BKF33" s="388"/>
      <c r="BKG33" s="388"/>
      <c r="BKH33" s="388"/>
      <c r="BKI33" s="388"/>
      <c r="BKJ33" s="388"/>
      <c r="BKK33" s="388"/>
      <c r="BKL33" s="388"/>
      <c r="BKM33" s="388"/>
      <c r="BKN33" s="388"/>
      <c r="BKO33" s="388"/>
      <c r="BKP33" s="388"/>
      <c r="BKQ33" s="388"/>
      <c r="BKR33" s="388"/>
      <c r="BKS33" s="388"/>
      <c r="BKT33" s="388"/>
      <c r="BKU33" s="388"/>
      <c r="BKV33" s="388"/>
      <c r="BKW33" s="388"/>
      <c r="BKX33" s="388"/>
      <c r="BKY33" s="388"/>
      <c r="BKZ33" s="388"/>
      <c r="BLA33" s="388"/>
      <c r="BLB33" s="388"/>
      <c r="BLC33" s="388"/>
      <c r="BLD33" s="388"/>
      <c r="BLE33" s="388"/>
      <c r="BLF33" s="388"/>
      <c r="BLG33" s="388"/>
      <c r="BLH33" s="388"/>
      <c r="BLI33" s="388"/>
      <c r="BLJ33" s="388"/>
      <c r="BLK33" s="388"/>
      <c r="BLL33" s="388"/>
      <c r="BLM33" s="388"/>
      <c r="BLN33" s="388"/>
      <c r="BLO33" s="388"/>
      <c r="BLP33" s="388"/>
      <c r="BLQ33" s="388"/>
      <c r="BLR33" s="388"/>
      <c r="BLS33" s="388"/>
      <c r="BLT33" s="388"/>
      <c r="BLU33" s="388"/>
      <c r="BLV33" s="388"/>
      <c r="BLW33" s="388"/>
      <c r="BLX33" s="388"/>
      <c r="BLY33" s="388"/>
      <c r="BLZ33" s="388"/>
      <c r="BMA33" s="388"/>
      <c r="BMB33" s="388"/>
      <c r="BMC33" s="388"/>
      <c r="BMD33" s="388"/>
      <c r="BME33" s="388"/>
      <c r="BMF33" s="388"/>
      <c r="BMG33" s="388"/>
      <c r="BMH33" s="388"/>
      <c r="BMI33" s="388"/>
      <c r="BMJ33" s="388"/>
      <c r="BMK33" s="388"/>
      <c r="BML33" s="388"/>
      <c r="BMM33" s="388"/>
      <c r="BMN33" s="388"/>
      <c r="BMO33" s="388"/>
      <c r="BMP33" s="388"/>
      <c r="BMQ33" s="388"/>
      <c r="BMR33" s="388"/>
      <c r="BMS33" s="388"/>
      <c r="BMT33" s="388"/>
      <c r="BMU33" s="388"/>
      <c r="BMV33" s="388"/>
      <c r="BMW33" s="388"/>
      <c r="BMX33" s="388"/>
      <c r="BMY33" s="388"/>
      <c r="BMZ33" s="388"/>
      <c r="BNA33" s="388"/>
      <c r="BNB33" s="388"/>
      <c r="BNC33" s="388"/>
      <c r="BND33" s="388"/>
      <c r="BNE33" s="388"/>
      <c r="BNF33" s="388"/>
      <c r="BNG33" s="388"/>
      <c r="BNH33" s="388"/>
      <c r="BNI33" s="388"/>
      <c r="BNJ33" s="388"/>
      <c r="BNK33" s="388"/>
      <c r="BNL33" s="388"/>
      <c r="BNM33" s="388"/>
      <c r="BNN33" s="388"/>
      <c r="BNO33" s="388"/>
      <c r="BNP33" s="388"/>
      <c r="BNQ33" s="388"/>
      <c r="BNR33" s="388"/>
      <c r="BNS33" s="388"/>
      <c r="BNT33" s="388"/>
      <c r="BNU33" s="388"/>
      <c r="BNV33" s="388"/>
      <c r="BNW33" s="388"/>
      <c r="BNX33" s="388"/>
      <c r="BNY33" s="388"/>
      <c r="BNZ33" s="388"/>
      <c r="BOA33" s="388"/>
      <c r="BOB33" s="388"/>
      <c r="BOC33" s="388"/>
      <c r="BOD33" s="388"/>
      <c r="BOE33" s="388"/>
      <c r="BOF33" s="388"/>
      <c r="BOG33" s="388"/>
      <c r="BOH33" s="388"/>
      <c r="BOI33" s="388"/>
      <c r="BOJ33" s="388"/>
      <c r="BOK33" s="388"/>
      <c r="BOL33" s="388"/>
      <c r="BOM33" s="388"/>
      <c r="BON33" s="388"/>
      <c r="BOO33" s="388"/>
      <c r="BOP33" s="388"/>
      <c r="BOQ33" s="388"/>
      <c r="BOR33" s="388"/>
      <c r="BOS33" s="388"/>
      <c r="BOT33" s="388"/>
      <c r="BOU33" s="388"/>
      <c r="BOV33" s="388"/>
      <c r="BOW33" s="388"/>
      <c r="BOX33" s="388"/>
      <c r="BOY33" s="388"/>
      <c r="BOZ33" s="388"/>
      <c r="BPA33" s="388"/>
      <c r="BPB33" s="388"/>
      <c r="BPC33" s="388"/>
      <c r="BPD33" s="388"/>
      <c r="BPE33" s="388"/>
      <c r="BPF33" s="388"/>
      <c r="BPG33" s="388"/>
      <c r="BPH33" s="388"/>
      <c r="BPI33" s="388"/>
      <c r="BPJ33" s="388"/>
      <c r="BPK33" s="388"/>
      <c r="BPL33" s="388"/>
      <c r="BPM33" s="388"/>
      <c r="BPN33" s="388"/>
      <c r="BPO33" s="388"/>
      <c r="BPP33" s="388"/>
      <c r="BPQ33" s="388"/>
      <c r="BPR33" s="388"/>
      <c r="BPS33" s="388"/>
      <c r="BPT33" s="388"/>
      <c r="BPU33" s="388"/>
      <c r="BPV33" s="388"/>
      <c r="BPW33" s="388"/>
      <c r="BPX33" s="388"/>
      <c r="BPY33" s="388"/>
      <c r="BPZ33" s="388"/>
      <c r="BQA33" s="388"/>
      <c r="BQB33" s="388"/>
      <c r="BQC33" s="388"/>
      <c r="BQD33" s="388"/>
      <c r="BQE33" s="388"/>
      <c r="BQF33" s="388"/>
      <c r="BQG33" s="388"/>
      <c r="BQH33" s="388"/>
      <c r="BQI33" s="388"/>
      <c r="BQJ33" s="388"/>
      <c r="BQK33" s="388"/>
      <c r="BQL33" s="388"/>
      <c r="BQM33" s="388"/>
      <c r="BQN33" s="388"/>
      <c r="BQO33" s="388"/>
      <c r="BQP33" s="388"/>
      <c r="BQQ33" s="388"/>
      <c r="BQR33" s="388"/>
      <c r="BQS33" s="388"/>
      <c r="BQT33" s="388"/>
      <c r="BQU33" s="388"/>
      <c r="BQV33" s="388"/>
      <c r="BQW33" s="388"/>
      <c r="BQX33" s="388"/>
      <c r="BQY33" s="388"/>
      <c r="BQZ33" s="388"/>
      <c r="BRA33" s="388"/>
      <c r="BRB33" s="388"/>
      <c r="BRC33" s="388"/>
      <c r="BRD33" s="388"/>
      <c r="BRE33" s="388"/>
      <c r="BRF33" s="388"/>
      <c r="BRG33" s="388"/>
      <c r="BRH33" s="388"/>
      <c r="BRI33" s="388"/>
      <c r="BRJ33" s="388"/>
      <c r="BRK33" s="388"/>
      <c r="BRL33" s="388"/>
      <c r="BRM33" s="388"/>
      <c r="BRN33" s="388"/>
      <c r="BRO33" s="388"/>
      <c r="BRP33" s="388"/>
      <c r="BRQ33" s="388"/>
      <c r="BRR33" s="388"/>
      <c r="BRS33" s="388"/>
      <c r="BRT33" s="388"/>
      <c r="BRU33" s="388"/>
      <c r="BRV33" s="388"/>
      <c r="BRW33" s="388"/>
      <c r="BRX33" s="388"/>
      <c r="BRY33" s="388"/>
      <c r="BRZ33" s="388"/>
      <c r="BSA33" s="388"/>
      <c r="BSB33" s="388"/>
      <c r="BSC33" s="388"/>
      <c r="BSD33" s="388"/>
      <c r="BSE33" s="388"/>
      <c r="BSF33" s="388"/>
      <c r="BSG33" s="388"/>
      <c r="BSH33" s="388"/>
      <c r="BSI33" s="388"/>
      <c r="BSJ33" s="388"/>
      <c r="BSK33" s="388"/>
      <c r="BSL33" s="388"/>
      <c r="BSM33" s="388"/>
      <c r="BSN33" s="388"/>
      <c r="BSO33" s="388"/>
      <c r="BSP33" s="388"/>
      <c r="BSQ33" s="388"/>
      <c r="BSR33" s="388"/>
      <c r="BSS33" s="388"/>
      <c r="BST33" s="388"/>
      <c r="BSU33" s="388"/>
      <c r="BSV33" s="388"/>
      <c r="BSW33" s="388"/>
      <c r="BSX33" s="388"/>
      <c r="BSY33" s="388"/>
      <c r="BSZ33" s="388"/>
      <c r="BTA33" s="388"/>
      <c r="BTB33" s="388"/>
      <c r="BTC33" s="388"/>
      <c r="BTD33" s="388"/>
      <c r="BTE33" s="388"/>
      <c r="BTF33" s="388"/>
      <c r="BTG33" s="388"/>
      <c r="BTH33" s="388"/>
      <c r="BTI33" s="388"/>
      <c r="BTJ33" s="388"/>
      <c r="BTK33" s="388"/>
      <c r="BTL33" s="388"/>
      <c r="BTM33" s="388"/>
      <c r="BTN33" s="388"/>
      <c r="BTO33" s="388"/>
      <c r="BTP33" s="388"/>
      <c r="BTQ33" s="388"/>
      <c r="BTR33" s="388"/>
      <c r="BTS33" s="388"/>
      <c r="BTT33" s="388"/>
      <c r="BTU33" s="388"/>
      <c r="BTV33" s="388"/>
      <c r="BTW33" s="388"/>
      <c r="BTX33" s="388"/>
      <c r="BTY33" s="388"/>
      <c r="BTZ33" s="388"/>
      <c r="BUA33" s="388"/>
      <c r="BUB33" s="388"/>
      <c r="BUC33" s="388"/>
      <c r="BUD33" s="388"/>
      <c r="BUE33" s="388"/>
      <c r="BUF33" s="388"/>
      <c r="BUG33" s="388"/>
      <c r="BUH33" s="388"/>
      <c r="BUI33" s="388"/>
      <c r="BUJ33" s="388"/>
      <c r="BUK33" s="388"/>
      <c r="BUL33" s="388"/>
      <c r="BUM33" s="388"/>
      <c r="BUN33" s="388"/>
      <c r="BUO33" s="388"/>
      <c r="BUP33" s="388"/>
      <c r="BUQ33" s="388"/>
      <c r="BUR33" s="388"/>
      <c r="BUS33" s="388"/>
      <c r="BUT33" s="388"/>
      <c r="BUU33" s="388"/>
      <c r="BUV33" s="388"/>
      <c r="BUW33" s="388"/>
      <c r="BUX33" s="388"/>
      <c r="BUY33" s="388"/>
      <c r="BUZ33" s="388"/>
      <c r="BVA33" s="388"/>
      <c r="BVB33" s="388"/>
      <c r="BVC33" s="388"/>
      <c r="BVD33" s="388"/>
      <c r="BVE33" s="388"/>
      <c r="BVF33" s="388"/>
      <c r="BVG33" s="388"/>
      <c r="BVH33" s="388"/>
      <c r="BVI33" s="388"/>
      <c r="BVJ33" s="388"/>
      <c r="BVK33" s="388"/>
      <c r="BVL33" s="388"/>
      <c r="BVM33" s="388"/>
      <c r="BVN33" s="388"/>
      <c r="BVO33" s="388"/>
      <c r="BVP33" s="388"/>
      <c r="BVQ33" s="388"/>
      <c r="BVR33" s="388"/>
      <c r="BVS33" s="388"/>
      <c r="BVT33" s="388"/>
      <c r="BVU33" s="388"/>
      <c r="BVV33" s="388"/>
      <c r="BVW33" s="388"/>
      <c r="BVX33" s="388"/>
      <c r="BVY33" s="388"/>
      <c r="BVZ33" s="388"/>
      <c r="BWA33" s="388"/>
      <c r="BWB33" s="388"/>
      <c r="BWC33" s="388"/>
      <c r="BWD33" s="388"/>
      <c r="BWE33" s="388"/>
      <c r="BWF33" s="388"/>
      <c r="BWG33" s="388"/>
      <c r="BWH33" s="388"/>
      <c r="BWI33" s="388"/>
      <c r="BWJ33" s="388"/>
      <c r="BWK33" s="388"/>
      <c r="BWL33" s="388"/>
      <c r="BWM33" s="388"/>
      <c r="BWN33" s="388"/>
      <c r="BWO33" s="388"/>
      <c r="BWP33" s="388"/>
      <c r="BWQ33" s="388"/>
      <c r="BWR33" s="388"/>
      <c r="BWS33" s="388"/>
      <c r="BWT33" s="388"/>
      <c r="BWU33" s="388"/>
      <c r="BWV33" s="388"/>
      <c r="BWW33" s="388"/>
      <c r="BWX33" s="388"/>
      <c r="BWY33" s="388"/>
      <c r="BWZ33" s="388"/>
      <c r="BXA33" s="388"/>
      <c r="BXB33" s="388"/>
      <c r="BXC33" s="388"/>
      <c r="BXD33" s="388"/>
      <c r="BXE33" s="388"/>
      <c r="BXF33" s="388"/>
      <c r="BXG33" s="388"/>
      <c r="BXH33" s="388"/>
      <c r="BXI33" s="388"/>
      <c r="BXJ33" s="388"/>
      <c r="BXK33" s="388"/>
      <c r="BXL33" s="388"/>
      <c r="BXM33" s="388"/>
      <c r="BXN33" s="388"/>
      <c r="BXO33" s="388"/>
      <c r="BXP33" s="388"/>
      <c r="BXQ33" s="388"/>
      <c r="BXR33" s="388"/>
      <c r="BXS33" s="388"/>
      <c r="BXT33" s="388"/>
      <c r="BXU33" s="388"/>
      <c r="BXV33" s="388"/>
      <c r="BXW33" s="388"/>
      <c r="BXX33" s="388"/>
      <c r="BXY33" s="388"/>
      <c r="BXZ33" s="388"/>
      <c r="BYA33" s="388"/>
      <c r="BYB33" s="388"/>
      <c r="BYC33" s="388"/>
      <c r="BYD33" s="388"/>
      <c r="BYE33" s="388"/>
      <c r="BYF33" s="388"/>
      <c r="BYG33" s="388"/>
      <c r="BYH33" s="388"/>
      <c r="BYI33" s="388"/>
      <c r="BYJ33" s="388"/>
      <c r="BYK33" s="388"/>
      <c r="BYL33" s="388"/>
      <c r="BYM33" s="388"/>
      <c r="BYN33" s="388"/>
      <c r="BYO33" s="388"/>
      <c r="BYP33" s="388"/>
      <c r="BYQ33" s="388"/>
      <c r="BYR33" s="388"/>
      <c r="BYS33" s="388"/>
      <c r="BYT33" s="388"/>
      <c r="BYU33" s="388"/>
      <c r="BYV33" s="388"/>
      <c r="BYW33" s="388"/>
      <c r="BYX33" s="388"/>
      <c r="BYY33" s="388"/>
      <c r="BYZ33" s="388"/>
      <c r="BZA33" s="388"/>
      <c r="BZB33" s="388"/>
      <c r="BZC33" s="388"/>
      <c r="BZD33" s="388"/>
      <c r="BZE33" s="388"/>
      <c r="BZF33" s="388"/>
      <c r="BZG33" s="388"/>
      <c r="BZH33" s="388"/>
      <c r="BZI33" s="388"/>
      <c r="BZJ33" s="388"/>
      <c r="BZK33" s="388"/>
      <c r="BZL33" s="388"/>
      <c r="BZM33" s="388"/>
      <c r="BZN33" s="388"/>
      <c r="BZO33" s="388"/>
      <c r="BZP33" s="388"/>
      <c r="BZQ33" s="388"/>
      <c r="BZR33" s="388"/>
      <c r="BZS33" s="388"/>
      <c r="BZT33" s="388"/>
      <c r="BZU33" s="388"/>
      <c r="BZV33" s="388"/>
      <c r="BZW33" s="388"/>
      <c r="BZX33" s="388"/>
      <c r="BZY33" s="388"/>
      <c r="BZZ33" s="388"/>
      <c r="CAA33" s="388"/>
      <c r="CAB33" s="388"/>
      <c r="CAC33" s="388"/>
      <c r="CAD33" s="388"/>
      <c r="CAE33" s="388"/>
      <c r="CAF33" s="388"/>
      <c r="CAG33" s="388"/>
      <c r="CAH33" s="388"/>
      <c r="CAI33" s="388"/>
      <c r="CAJ33" s="388"/>
      <c r="CAK33" s="388"/>
      <c r="CAL33" s="388"/>
      <c r="CAM33" s="388"/>
      <c r="CAN33" s="388"/>
      <c r="CAO33" s="388"/>
      <c r="CAP33" s="388"/>
      <c r="CAQ33" s="388"/>
      <c r="CAR33" s="388"/>
      <c r="CAS33" s="388"/>
      <c r="CAT33" s="388"/>
      <c r="CAU33" s="388"/>
      <c r="CAV33" s="388"/>
      <c r="CAW33" s="388"/>
      <c r="CAX33" s="388"/>
      <c r="CAY33" s="388"/>
      <c r="CAZ33" s="388"/>
      <c r="CBA33" s="388"/>
      <c r="CBB33" s="388"/>
      <c r="CBC33" s="388"/>
      <c r="CBD33" s="388"/>
      <c r="CBE33" s="388"/>
      <c r="CBF33" s="388"/>
      <c r="CBG33" s="388"/>
      <c r="CBH33" s="388"/>
      <c r="CBI33" s="388"/>
      <c r="CBJ33" s="388"/>
      <c r="CBK33" s="388"/>
      <c r="CBL33" s="388"/>
      <c r="CBM33" s="388"/>
      <c r="CBN33" s="388"/>
      <c r="CBO33" s="388"/>
      <c r="CBP33" s="388"/>
      <c r="CBQ33" s="388"/>
      <c r="CBR33" s="388"/>
      <c r="CBS33" s="388"/>
      <c r="CBT33" s="388"/>
      <c r="CBU33" s="388"/>
      <c r="CBV33" s="388"/>
      <c r="CBW33" s="388"/>
      <c r="CBX33" s="388"/>
      <c r="CBY33" s="388"/>
      <c r="CBZ33" s="388"/>
      <c r="CCA33" s="388"/>
      <c r="CCB33" s="388"/>
      <c r="CCC33" s="388"/>
      <c r="CCD33" s="388"/>
      <c r="CCE33" s="388"/>
      <c r="CCF33" s="388"/>
      <c r="CCG33" s="388"/>
      <c r="CCH33" s="388"/>
      <c r="CCI33" s="388"/>
      <c r="CCJ33" s="388"/>
      <c r="CCK33" s="388"/>
      <c r="CCL33" s="388"/>
      <c r="CCM33" s="388"/>
      <c r="CCN33" s="388"/>
      <c r="CCO33" s="388"/>
      <c r="CCP33" s="388"/>
      <c r="CCQ33" s="388"/>
      <c r="CCR33" s="388"/>
      <c r="CCS33" s="388"/>
      <c r="CCT33" s="388"/>
      <c r="CCU33" s="388"/>
      <c r="CCV33" s="388"/>
      <c r="CCW33" s="388"/>
      <c r="CCX33" s="388"/>
      <c r="CCY33" s="388"/>
      <c r="CCZ33" s="388"/>
      <c r="CDA33" s="388"/>
      <c r="CDB33" s="388"/>
      <c r="CDC33" s="388"/>
      <c r="CDD33" s="388"/>
      <c r="CDE33" s="388"/>
      <c r="CDF33" s="388"/>
      <c r="CDG33" s="388"/>
      <c r="CDH33" s="388"/>
      <c r="CDI33" s="388"/>
      <c r="CDJ33" s="388"/>
      <c r="CDK33" s="388"/>
      <c r="CDL33" s="388"/>
      <c r="CDM33" s="388"/>
      <c r="CDN33" s="388"/>
      <c r="CDO33" s="388"/>
      <c r="CDP33" s="388"/>
      <c r="CDQ33" s="388"/>
      <c r="CDR33" s="388"/>
      <c r="CDS33" s="388"/>
      <c r="CDT33" s="388"/>
      <c r="CDU33" s="388"/>
      <c r="CDV33" s="388"/>
      <c r="CDW33" s="388"/>
      <c r="CDX33" s="388"/>
      <c r="CDY33" s="388"/>
      <c r="CDZ33" s="388"/>
      <c r="CEA33" s="388"/>
      <c r="CEB33" s="388"/>
      <c r="CEC33" s="388"/>
      <c r="CED33" s="388"/>
      <c r="CEE33" s="388"/>
      <c r="CEF33" s="388"/>
      <c r="CEG33" s="388"/>
      <c r="CEH33" s="388"/>
      <c r="CEI33" s="388"/>
      <c r="CEJ33" s="388"/>
      <c r="CEK33" s="388"/>
      <c r="CEL33" s="388"/>
      <c r="CEM33" s="388"/>
      <c r="CEN33" s="388"/>
      <c r="CEO33" s="388"/>
      <c r="CEP33" s="388"/>
      <c r="CEQ33" s="388"/>
      <c r="CER33" s="388"/>
      <c r="CES33" s="388"/>
      <c r="CET33" s="388"/>
      <c r="CEU33" s="388"/>
      <c r="CEV33" s="388"/>
      <c r="CEW33" s="388"/>
      <c r="CEX33" s="388"/>
      <c r="CEY33" s="388"/>
      <c r="CEZ33" s="388"/>
      <c r="CFA33" s="388"/>
      <c r="CFB33" s="388"/>
      <c r="CFC33" s="388"/>
      <c r="CFD33" s="388"/>
      <c r="CFE33" s="388"/>
      <c r="CFF33" s="388"/>
      <c r="CFG33" s="388"/>
      <c r="CFH33" s="388"/>
      <c r="CFI33" s="388"/>
      <c r="CFJ33" s="388"/>
      <c r="CFK33" s="388"/>
      <c r="CFL33" s="388"/>
      <c r="CFM33" s="388"/>
      <c r="CFN33" s="388"/>
      <c r="CFO33" s="388"/>
      <c r="CFP33" s="388"/>
      <c r="CFQ33" s="388"/>
      <c r="CFR33" s="388"/>
      <c r="CFS33" s="388"/>
      <c r="CFT33" s="388"/>
      <c r="CFU33" s="388"/>
      <c r="CFV33" s="388"/>
      <c r="CFW33" s="388"/>
      <c r="CFX33" s="388"/>
      <c r="CFY33" s="388"/>
      <c r="CFZ33" s="388"/>
      <c r="CGA33" s="388"/>
      <c r="CGB33" s="388"/>
      <c r="CGC33" s="388"/>
      <c r="CGD33" s="388"/>
      <c r="CGE33" s="388"/>
      <c r="CGF33" s="388"/>
      <c r="CGG33" s="388"/>
      <c r="CGH33" s="388"/>
      <c r="CGI33" s="388"/>
      <c r="CGJ33" s="388"/>
      <c r="CGK33" s="388"/>
      <c r="CGL33" s="388"/>
      <c r="CGM33" s="388"/>
      <c r="CGN33" s="388"/>
      <c r="CGO33" s="388"/>
      <c r="CGP33" s="388"/>
      <c r="CGQ33" s="388"/>
      <c r="CGR33" s="388"/>
      <c r="CGS33" s="388"/>
      <c r="CGT33" s="388"/>
      <c r="CGU33" s="388"/>
      <c r="CGV33" s="388"/>
      <c r="CGW33" s="388"/>
      <c r="CGX33" s="388"/>
      <c r="CGY33" s="388"/>
      <c r="CGZ33" s="388"/>
      <c r="CHA33" s="388"/>
      <c r="CHB33" s="388"/>
      <c r="CHC33" s="388"/>
      <c r="CHD33" s="388"/>
      <c r="CHE33" s="388"/>
      <c r="CHF33" s="388"/>
      <c r="CHG33" s="388"/>
      <c r="CHH33" s="388"/>
      <c r="CHI33" s="388"/>
      <c r="CHJ33" s="388"/>
      <c r="CHK33" s="388"/>
      <c r="CHL33" s="388"/>
      <c r="CHM33" s="388"/>
      <c r="CHN33" s="388"/>
      <c r="CHO33" s="388"/>
      <c r="CHP33" s="388"/>
      <c r="CHQ33" s="388"/>
      <c r="CHR33" s="388"/>
      <c r="CHS33" s="388"/>
      <c r="CHT33" s="388"/>
      <c r="CHU33" s="388"/>
      <c r="CHV33" s="388"/>
      <c r="CHW33" s="388"/>
      <c r="CHX33" s="388"/>
      <c r="CHY33" s="388"/>
      <c r="CHZ33" s="388"/>
      <c r="CIA33" s="388"/>
      <c r="CIB33" s="388"/>
      <c r="CIC33" s="388"/>
      <c r="CID33" s="388"/>
      <c r="CIE33" s="388"/>
      <c r="CIF33" s="388"/>
      <c r="CIG33" s="388"/>
      <c r="CIH33" s="388"/>
      <c r="CII33" s="388"/>
      <c r="CIJ33" s="388"/>
      <c r="CIK33" s="388"/>
      <c r="CIL33" s="388"/>
      <c r="CIM33" s="388"/>
      <c r="CIN33" s="388"/>
      <c r="CIO33" s="388"/>
      <c r="CIP33" s="388"/>
      <c r="CIQ33" s="388"/>
      <c r="CIR33" s="388"/>
      <c r="CIS33" s="388"/>
      <c r="CIT33" s="388"/>
      <c r="CIU33" s="388"/>
      <c r="CIV33" s="388"/>
      <c r="CIW33" s="388"/>
      <c r="CIX33" s="388"/>
      <c r="CIY33" s="388"/>
      <c r="CIZ33" s="388"/>
      <c r="CJA33" s="388"/>
      <c r="CJB33" s="388"/>
      <c r="CJC33" s="388"/>
      <c r="CJD33" s="388"/>
      <c r="CJE33" s="388"/>
      <c r="CJF33" s="388"/>
      <c r="CJG33" s="388"/>
      <c r="CJH33" s="388"/>
      <c r="CJI33" s="388"/>
      <c r="CJJ33" s="388"/>
      <c r="CJK33" s="388"/>
      <c r="CJL33" s="388"/>
      <c r="CJM33" s="388"/>
      <c r="CJN33" s="388"/>
      <c r="CJO33" s="388"/>
      <c r="CJP33" s="388"/>
      <c r="CJQ33" s="388"/>
      <c r="CJR33" s="388"/>
      <c r="CJS33" s="388"/>
      <c r="CJT33" s="388"/>
      <c r="CJU33" s="388"/>
      <c r="CJV33" s="388"/>
      <c r="CJW33" s="388"/>
      <c r="CJX33" s="388"/>
      <c r="CJY33" s="388"/>
      <c r="CJZ33" s="388"/>
      <c r="CKA33" s="388"/>
      <c r="CKB33" s="388"/>
      <c r="CKC33" s="388"/>
      <c r="CKD33" s="388"/>
      <c r="CKE33" s="388"/>
      <c r="CKF33" s="388"/>
      <c r="CKG33" s="388"/>
      <c r="CKH33" s="388"/>
      <c r="CKI33" s="388"/>
      <c r="CKJ33" s="388"/>
      <c r="CKK33" s="388"/>
      <c r="CKL33" s="388"/>
      <c r="CKM33" s="388"/>
      <c r="CKN33" s="388"/>
      <c r="CKO33" s="388"/>
      <c r="CKP33" s="388"/>
      <c r="CKQ33" s="388"/>
      <c r="CKR33" s="388"/>
      <c r="CKS33" s="388"/>
      <c r="CKT33" s="388"/>
      <c r="CKU33" s="388"/>
      <c r="CKV33" s="388"/>
      <c r="CKW33" s="388"/>
      <c r="CKX33" s="388"/>
      <c r="CKY33" s="388"/>
      <c r="CKZ33" s="388"/>
      <c r="CLA33" s="388"/>
      <c r="CLB33" s="388"/>
      <c r="CLC33" s="388"/>
      <c r="CLD33" s="388"/>
      <c r="CLE33" s="388"/>
      <c r="CLF33" s="388"/>
      <c r="CLG33" s="388"/>
      <c r="CLH33" s="388"/>
      <c r="CLI33" s="388"/>
      <c r="CLJ33" s="388"/>
      <c r="CLK33" s="388"/>
      <c r="CLL33" s="388"/>
      <c r="CLM33" s="388"/>
      <c r="CLN33" s="388"/>
      <c r="CLO33" s="388"/>
      <c r="CLP33" s="388"/>
      <c r="CLQ33" s="388"/>
      <c r="CLR33" s="388"/>
      <c r="CLS33" s="388"/>
      <c r="CLT33" s="388"/>
      <c r="CLU33" s="388"/>
      <c r="CLV33" s="388"/>
      <c r="CLW33" s="388"/>
      <c r="CLX33" s="388"/>
      <c r="CLY33" s="388"/>
      <c r="CLZ33" s="388"/>
      <c r="CMA33" s="388"/>
      <c r="CMB33" s="388"/>
      <c r="CMC33" s="388"/>
      <c r="CMD33" s="388"/>
      <c r="CME33" s="388"/>
      <c r="CMF33" s="388"/>
      <c r="CMG33" s="388"/>
      <c r="CMH33" s="388"/>
      <c r="CMI33" s="388"/>
      <c r="CMJ33" s="388"/>
      <c r="CMK33" s="388"/>
      <c r="CML33" s="388"/>
      <c r="CMM33" s="388"/>
      <c r="CMN33" s="388"/>
      <c r="CMO33" s="388"/>
      <c r="CMP33" s="388"/>
      <c r="CMQ33" s="388"/>
      <c r="CMR33" s="388"/>
      <c r="CMS33" s="388"/>
      <c r="CMT33" s="388"/>
      <c r="CMU33" s="388"/>
      <c r="CMV33" s="388"/>
      <c r="CMW33" s="388"/>
      <c r="CMX33" s="388"/>
      <c r="CMY33" s="388"/>
      <c r="CMZ33" s="388"/>
      <c r="CNA33" s="388"/>
      <c r="CNB33" s="388"/>
      <c r="CNC33" s="388"/>
      <c r="CND33" s="388"/>
      <c r="CNE33" s="388"/>
      <c r="CNF33" s="388"/>
      <c r="CNG33" s="388"/>
      <c r="CNH33" s="388"/>
      <c r="CNI33" s="388"/>
      <c r="CNJ33" s="388"/>
      <c r="CNK33" s="388"/>
      <c r="CNL33" s="388"/>
      <c r="CNM33" s="388"/>
      <c r="CNN33" s="388"/>
      <c r="CNO33" s="388"/>
      <c r="CNP33" s="388"/>
      <c r="CNQ33" s="388"/>
      <c r="CNR33" s="388"/>
      <c r="CNS33" s="388"/>
      <c r="CNT33" s="388"/>
      <c r="CNU33" s="388"/>
      <c r="CNV33" s="388"/>
      <c r="CNW33" s="388"/>
      <c r="CNX33" s="388"/>
      <c r="CNY33" s="388"/>
      <c r="CNZ33" s="388"/>
      <c r="COA33" s="388"/>
      <c r="COB33" s="388"/>
      <c r="COC33" s="388"/>
      <c r="COD33" s="388"/>
      <c r="COE33" s="388"/>
      <c r="COF33" s="388"/>
      <c r="COG33" s="388"/>
      <c r="COH33" s="388"/>
      <c r="COI33" s="388"/>
      <c r="COJ33" s="388"/>
      <c r="COK33" s="388"/>
      <c r="COL33" s="388"/>
      <c r="COM33" s="388"/>
      <c r="CON33" s="388"/>
      <c r="COO33" s="388"/>
      <c r="COP33" s="388"/>
      <c r="COQ33" s="388"/>
      <c r="COR33" s="388"/>
      <c r="COS33" s="388"/>
      <c r="COT33" s="388"/>
      <c r="COU33" s="388"/>
      <c r="COV33" s="388"/>
      <c r="COW33" s="388"/>
      <c r="COX33" s="388"/>
      <c r="COY33" s="388"/>
      <c r="COZ33" s="388"/>
      <c r="CPA33" s="388"/>
      <c r="CPB33" s="388"/>
      <c r="CPC33" s="388"/>
      <c r="CPD33" s="388"/>
      <c r="CPE33" s="388"/>
      <c r="CPF33" s="388"/>
      <c r="CPG33" s="388"/>
      <c r="CPH33" s="388"/>
      <c r="CPI33" s="388"/>
      <c r="CPJ33" s="388"/>
      <c r="CPK33" s="388"/>
      <c r="CPL33" s="388"/>
      <c r="CPM33" s="388"/>
      <c r="CPN33" s="388"/>
      <c r="CPO33" s="388"/>
      <c r="CPP33" s="388"/>
      <c r="CPQ33" s="388"/>
      <c r="CPR33" s="388"/>
      <c r="CPS33" s="388"/>
      <c r="CPT33" s="388"/>
      <c r="CPU33" s="388"/>
      <c r="CPV33" s="388"/>
      <c r="CPW33" s="388"/>
      <c r="CPX33" s="388"/>
      <c r="CPY33" s="388"/>
      <c r="CPZ33" s="388"/>
      <c r="CQA33" s="388"/>
      <c r="CQB33" s="388"/>
      <c r="CQC33" s="388"/>
      <c r="CQD33" s="388"/>
      <c r="CQE33" s="388"/>
      <c r="CQF33" s="388"/>
      <c r="CQG33" s="388"/>
      <c r="CQH33" s="388"/>
      <c r="CQI33" s="388"/>
      <c r="CQJ33" s="388"/>
      <c r="CQK33" s="388"/>
      <c r="CQL33" s="388"/>
      <c r="CQM33" s="388"/>
      <c r="CQN33" s="388"/>
      <c r="CQO33" s="388"/>
      <c r="CQP33" s="388"/>
      <c r="CQQ33" s="388"/>
      <c r="CQR33" s="388"/>
      <c r="CQS33" s="388"/>
      <c r="CQT33" s="388"/>
      <c r="CQU33" s="388"/>
      <c r="CQV33" s="388"/>
      <c r="CQW33" s="388"/>
      <c r="CQX33" s="388"/>
      <c r="CQY33" s="388"/>
      <c r="CQZ33" s="388"/>
      <c r="CRA33" s="388"/>
      <c r="CRB33" s="388"/>
      <c r="CRC33" s="388"/>
      <c r="CRD33" s="388"/>
      <c r="CRE33" s="388"/>
      <c r="CRF33" s="388"/>
      <c r="CRG33" s="388"/>
      <c r="CRH33" s="388"/>
      <c r="CRI33" s="388"/>
      <c r="CRJ33" s="388"/>
      <c r="CRK33" s="388"/>
      <c r="CRL33" s="388"/>
      <c r="CRM33" s="388"/>
      <c r="CRN33" s="388"/>
      <c r="CRO33" s="388"/>
      <c r="CRP33" s="388"/>
      <c r="CRQ33" s="388"/>
      <c r="CRR33" s="388"/>
      <c r="CRS33" s="388"/>
      <c r="CRT33" s="388"/>
      <c r="CRU33" s="388"/>
      <c r="CRV33" s="388"/>
      <c r="CRW33" s="388"/>
      <c r="CRX33" s="388"/>
      <c r="CRY33" s="388"/>
      <c r="CRZ33" s="388"/>
      <c r="CSA33" s="388"/>
      <c r="CSB33" s="388"/>
      <c r="CSC33" s="388"/>
      <c r="CSD33" s="388"/>
      <c r="CSE33" s="388"/>
      <c r="CSF33" s="388"/>
      <c r="CSG33" s="388"/>
      <c r="CSH33" s="388"/>
      <c r="CSI33" s="388"/>
      <c r="CSJ33" s="388"/>
      <c r="CSK33" s="388"/>
      <c r="CSL33" s="388"/>
      <c r="CSM33" s="388"/>
      <c r="CSN33" s="388"/>
      <c r="CSO33" s="388"/>
      <c r="CSP33" s="388"/>
      <c r="CSQ33" s="388"/>
      <c r="CSR33" s="388"/>
      <c r="CSS33" s="388"/>
      <c r="CST33" s="388"/>
      <c r="CSU33" s="388"/>
      <c r="CSV33" s="388"/>
      <c r="CSW33" s="388"/>
      <c r="CSX33" s="388"/>
      <c r="CSY33" s="388"/>
      <c r="CSZ33" s="388"/>
      <c r="CTA33" s="388"/>
      <c r="CTB33" s="388"/>
      <c r="CTC33" s="388"/>
      <c r="CTD33" s="388"/>
      <c r="CTE33" s="388"/>
      <c r="CTF33" s="388"/>
      <c r="CTG33" s="388"/>
      <c r="CTH33" s="388"/>
      <c r="CTI33" s="388"/>
      <c r="CTJ33" s="388"/>
      <c r="CTK33" s="388"/>
      <c r="CTL33" s="388"/>
      <c r="CTM33" s="388"/>
      <c r="CTN33" s="388"/>
      <c r="CTO33" s="388"/>
      <c r="CTP33" s="388"/>
      <c r="CTQ33" s="388"/>
      <c r="CTR33" s="388"/>
      <c r="CTS33" s="388"/>
      <c r="CTT33" s="388"/>
      <c r="CTU33" s="388"/>
      <c r="CTV33" s="388"/>
      <c r="CTW33" s="388"/>
      <c r="CTX33" s="388"/>
      <c r="CTY33" s="388"/>
      <c r="CTZ33" s="388"/>
      <c r="CUA33" s="388"/>
      <c r="CUB33" s="388"/>
      <c r="CUC33" s="388"/>
      <c r="CUD33" s="388"/>
      <c r="CUE33" s="388"/>
      <c r="CUF33" s="388"/>
      <c r="CUG33" s="388"/>
      <c r="CUH33" s="388"/>
      <c r="CUI33" s="388"/>
      <c r="CUJ33" s="388"/>
      <c r="CUK33" s="388"/>
      <c r="CUL33" s="388"/>
      <c r="CUM33" s="388"/>
      <c r="CUN33" s="388"/>
      <c r="CUO33" s="388"/>
      <c r="CUP33" s="388"/>
      <c r="CUQ33" s="388"/>
      <c r="CUR33" s="388"/>
      <c r="CUS33" s="388"/>
      <c r="CUT33" s="388"/>
      <c r="CUU33" s="388"/>
      <c r="CUV33" s="388"/>
      <c r="CUW33" s="388"/>
      <c r="CUX33" s="388"/>
      <c r="CUY33" s="388"/>
      <c r="CUZ33" s="388"/>
      <c r="CVA33" s="388"/>
      <c r="CVB33" s="388"/>
      <c r="CVC33" s="388"/>
      <c r="CVD33" s="388"/>
      <c r="CVE33" s="388"/>
      <c r="CVF33" s="388"/>
      <c r="CVG33" s="388"/>
      <c r="CVH33" s="388"/>
      <c r="CVI33" s="388"/>
      <c r="CVJ33" s="388"/>
      <c r="CVK33" s="388"/>
      <c r="CVL33" s="388"/>
      <c r="CVM33" s="388"/>
      <c r="CVN33" s="388"/>
      <c r="CVO33" s="388"/>
      <c r="CVP33" s="388"/>
      <c r="CVQ33" s="388"/>
      <c r="CVR33" s="388"/>
      <c r="CVS33" s="388"/>
      <c r="CVT33" s="388"/>
      <c r="CVU33" s="388"/>
      <c r="CVV33" s="388"/>
      <c r="CVW33" s="388"/>
      <c r="CVX33" s="388"/>
      <c r="CVY33" s="388"/>
      <c r="CVZ33" s="388"/>
      <c r="CWA33" s="388"/>
      <c r="CWB33" s="388"/>
      <c r="CWC33" s="388"/>
      <c r="CWD33" s="388"/>
      <c r="CWE33" s="388"/>
      <c r="CWF33" s="388"/>
      <c r="CWG33" s="388"/>
      <c r="CWH33" s="388"/>
      <c r="CWI33" s="388"/>
      <c r="CWJ33" s="388"/>
      <c r="CWK33" s="388"/>
      <c r="CWL33" s="388"/>
      <c r="CWM33" s="388"/>
      <c r="CWN33" s="388"/>
      <c r="CWO33" s="388"/>
      <c r="CWP33" s="388"/>
      <c r="CWQ33" s="388"/>
      <c r="CWR33" s="388"/>
      <c r="CWS33" s="388"/>
      <c r="CWT33" s="388"/>
      <c r="CWU33" s="388"/>
      <c r="CWV33" s="388"/>
      <c r="CWW33" s="388"/>
      <c r="CWX33" s="388"/>
      <c r="CWY33" s="388"/>
      <c r="CWZ33" s="388"/>
      <c r="CXA33" s="388"/>
      <c r="CXB33" s="388"/>
      <c r="CXC33" s="388"/>
      <c r="CXD33" s="388"/>
      <c r="CXE33" s="388"/>
      <c r="CXF33" s="388"/>
      <c r="CXG33" s="388"/>
      <c r="CXH33" s="388"/>
      <c r="CXI33" s="388"/>
      <c r="CXJ33" s="388"/>
      <c r="CXK33" s="388"/>
      <c r="CXL33" s="388"/>
      <c r="CXM33" s="388"/>
      <c r="CXN33" s="388"/>
      <c r="CXO33" s="388"/>
      <c r="CXP33" s="388"/>
      <c r="CXQ33" s="388"/>
      <c r="CXR33" s="388"/>
      <c r="CXS33" s="388"/>
      <c r="CXT33" s="388"/>
      <c r="CXU33" s="388"/>
      <c r="CXV33" s="388"/>
      <c r="CXW33" s="388"/>
      <c r="CXX33" s="388"/>
      <c r="CXY33" s="388"/>
      <c r="CXZ33" s="388"/>
      <c r="CYA33" s="388"/>
      <c r="CYB33" s="388"/>
      <c r="CYC33" s="388"/>
      <c r="CYD33" s="388"/>
      <c r="CYE33" s="388"/>
      <c r="CYF33" s="388"/>
      <c r="CYG33" s="388"/>
      <c r="CYH33" s="388"/>
      <c r="CYI33" s="388"/>
      <c r="CYJ33" s="388"/>
      <c r="CYK33" s="388"/>
      <c r="CYL33" s="388"/>
      <c r="CYM33" s="388"/>
      <c r="CYN33" s="388"/>
      <c r="CYO33" s="388"/>
      <c r="CYP33" s="388"/>
      <c r="CYQ33" s="388"/>
      <c r="CYR33" s="388"/>
      <c r="CYS33" s="388"/>
      <c r="CYT33" s="388"/>
      <c r="CYU33" s="388"/>
      <c r="CYV33" s="388"/>
      <c r="CYW33" s="388"/>
      <c r="CYX33" s="388"/>
      <c r="CYY33" s="388"/>
      <c r="CYZ33" s="388"/>
      <c r="CZA33" s="388"/>
      <c r="CZB33" s="388"/>
      <c r="CZC33" s="388"/>
      <c r="CZD33" s="388"/>
      <c r="CZE33" s="388"/>
      <c r="CZF33" s="388"/>
      <c r="CZG33" s="388"/>
      <c r="CZH33" s="388"/>
      <c r="CZI33" s="388"/>
      <c r="CZJ33" s="388"/>
      <c r="CZK33" s="388"/>
      <c r="CZL33" s="388"/>
      <c r="CZM33" s="388"/>
      <c r="CZN33" s="388"/>
      <c r="CZO33" s="388"/>
      <c r="CZP33" s="388"/>
      <c r="CZQ33" s="388"/>
      <c r="CZR33" s="388"/>
      <c r="CZS33" s="388"/>
      <c r="CZT33" s="388"/>
      <c r="CZU33" s="388"/>
      <c r="CZV33" s="388"/>
      <c r="CZW33" s="388"/>
      <c r="CZX33" s="388"/>
      <c r="CZY33" s="388"/>
      <c r="CZZ33" s="388"/>
      <c r="DAA33" s="388"/>
      <c r="DAB33" s="388"/>
      <c r="DAC33" s="388"/>
      <c r="DAD33" s="388"/>
      <c r="DAE33" s="388"/>
      <c r="DAF33" s="388"/>
      <c r="DAG33" s="388"/>
      <c r="DAH33" s="388"/>
      <c r="DAI33" s="388"/>
      <c r="DAJ33" s="388"/>
      <c r="DAK33" s="388"/>
      <c r="DAL33" s="388"/>
      <c r="DAM33" s="388"/>
      <c r="DAN33" s="388"/>
      <c r="DAO33" s="388"/>
      <c r="DAP33" s="388"/>
      <c r="DAQ33" s="388"/>
      <c r="DAR33" s="388"/>
      <c r="DAS33" s="388"/>
      <c r="DAT33" s="388"/>
      <c r="DAU33" s="388"/>
      <c r="DAV33" s="388"/>
      <c r="DAW33" s="388"/>
      <c r="DAX33" s="388"/>
      <c r="DAY33" s="388"/>
      <c r="DAZ33" s="388"/>
      <c r="DBA33" s="388"/>
      <c r="DBB33" s="388"/>
      <c r="DBC33" s="388"/>
      <c r="DBD33" s="388"/>
      <c r="DBE33" s="388"/>
      <c r="DBF33" s="388"/>
      <c r="DBG33" s="388"/>
      <c r="DBH33" s="388"/>
      <c r="DBI33" s="388"/>
      <c r="DBJ33" s="388"/>
      <c r="DBK33" s="388"/>
      <c r="DBL33" s="388"/>
      <c r="DBM33" s="388"/>
      <c r="DBN33" s="388"/>
      <c r="DBO33" s="388"/>
      <c r="DBP33" s="388"/>
      <c r="DBQ33" s="388"/>
      <c r="DBR33" s="388"/>
      <c r="DBS33" s="388"/>
      <c r="DBT33" s="388"/>
      <c r="DBU33" s="388"/>
      <c r="DBV33" s="388"/>
      <c r="DBW33" s="388"/>
      <c r="DBX33" s="388"/>
      <c r="DBY33" s="388"/>
      <c r="DBZ33" s="388"/>
      <c r="DCA33" s="388"/>
      <c r="DCB33" s="388"/>
      <c r="DCC33" s="388"/>
      <c r="DCD33" s="388"/>
      <c r="DCE33" s="388"/>
      <c r="DCF33" s="388"/>
      <c r="DCG33" s="388"/>
      <c r="DCH33" s="388"/>
      <c r="DCI33" s="388"/>
      <c r="DCJ33" s="388"/>
      <c r="DCK33" s="388"/>
      <c r="DCL33" s="388"/>
      <c r="DCM33" s="388"/>
      <c r="DCN33" s="388"/>
      <c r="DCO33" s="388"/>
      <c r="DCP33" s="388"/>
      <c r="DCQ33" s="388"/>
      <c r="DCR33" s="388"/>
      <c r="DCS33" s="388"/>
      <c r="DCT33" s="388"/>
      <c r="DCU33" s="388"/>
      <c r="DCV33" s="388"/>
      <c r="DCW33" s="388"/>
      <c r="DCX33" s="388"/>
      <c r="DCY33" s="388"/>
      <c r="DCZ33" s="388"/>
      <c r="DDA33" s="388"/>
      <c r="DDB33" s="388"/>
      <c r="DDC33" s="388"/>
      <c r="DDD33" s="388"/>
      <c r="DDE33" s="388"/>
      <c r="DDF33" s="388"/>
      <c r="DDG33" s="388"/>
      <c r="DDH33" s="388"/>
      <c r="DDI33" s="388"/>
      <c r="DDJ33" s="388"/>
      <c r="DDK33" s="388"/>
      <c r="DDL33" s="388"/>
      <c r="DDM33" s="388"/>
      <c r="DDN33" s="388"/>
      <c r="DDO33" s="388"/>
      <c r="DDP33" s="388"/>
      <c r="DDQ33" s="388"/>
      <c r="DDR33" s="388"/>
      <c r="DDS33" s="388"/>
      <c r="DDT33" s="388"/>
      <c r="DDU33" s="388"/>
      <c r="DDV33" s="388"/>
      <c r="DDW33" s="388"/>
      <c r="DDX33" s="388"/>
      <c r="DDY33" s="388"/>
      <c r="DDZ33" s="388"/>
      <c r="DEA33" s="388"/>
      <c r="DEB33" s="388"/>
      <c r="DEC33" s="388"/>
      <c r="DED33" s="388"/>
      <c r="DEE33" s="388"/>
      <c r="DEF33" s="388"/>
      <c r="DEG33" s="388"/>
      <c r="DEH33" s="388"/>
      <c r="DEI33" s="388"/>
      <c r="DEJ33" s="388"/>
      <c r="DEK33" s="388"/>
      <c r="DEL33" s="388"/>
      <c r="DEM33" s="388"/>
      <c r="DEN33" s="388"/>
      <c r="DEO33" s="388"/>
      <c r="DEP33" s="388"/>
      <c r="DEQ33" s="388"/>
      <c r="DER33" s="388"/>
      <c r="DES33" s="388"/>
      <c r="DET33" s="388"/>
      <c r="DEU33" s="388"/>
      <c r="DEV33" s="388"/>
      <c r="DEW33" s="388"/>
      <c r="DEX33" s="388"/>
      <c r="DEY33" s="388"/>
      <c r="DEZ33" s="388"/>
      <c r="DFA33" s="388"/>
      <c r="DFB33" s="388"/>
      <c r="DFC33" s="388"/>
      <c r="DFD33" s="388"/>
      <c r="DFE33" s="388"/>
      <c r="DFF33" s="388"/>
      <c r="DFG33" s="388"/>
      <c r="DFH33" s="388"/>
      <c r="DFI33" s="388"/>
      <c r="DFJ33" s="388"/>
      <c r="DFK33" s="388"/>
      <c r="DFL33" s="388"/>
      <c r="DFM33" s="388"/>
      <c r="DFN33" s="388"/>
      <c r="DFO33" s="388"/>
      <c r="DFP33" s="388"/>
      <c r="DFQ33" s="388"/>
      <c r="DFR33" s="388"/>
      <c r="DFS33" s="388"/>
      <c r="DFT33" s="388"/>
      <c r="DFU33" s="388"/>
      <c r="DFV33" s="388"/>
      <c r="DFW33" s="388"/>
      <c r="DFX33" s="388"/>
      <c r="DFY33" s="388"/>
      <c r="DFZ33" s="388"/>
      <c r="DGA33" s="388"/>
      <c r="DGB33" s="388"/>
      <c r="DGC33" s="388"/>
      <c r="DGD33" s="388"/>
      <c r="DGE33" s="388"/>
      <c r="DGF33" s="388"/>
      <c r="DGG33" s="388"/>
      <c r="DGH33" s="388"/>
      <c r="DGI33" s="388"/>
      <c r="DGJ33" s="388"/>
      <c r="DGK33" s="388"/>
      <c r="DGL33" s="388"/>
      <c r="DGM33" s="388"/>
      <c r="DGN33" s="388"/>
      <c r="DGO33" s="388"/>
      <c r="DGP33" s="388"/>
      <c r="DGQ33" s="388"/>
      <c r="DGR33" s="388"/>
      <c r="DGS33" s="388"/>
      <c r="DGT33" s="388"/>
      <c r="DGU33" s="388"/>
      <c r="DGV33" s="388"/>
      <c r="DGW33" s="388"/>
      <c r="DGX33" s="388"/>
      <c r="DGY33" s="388"/>
      <c r="DGZ33" s="388"/>
      <c r="DHA33" s="388"/>
      <c r="DHB33" s="388"/>
      <c r="DHC33" s="388"/>
      <c r="DHD33" s="388"/>
      <c r="DHE33" s="388"/>
      <c r="DHF33" s="388"/>
      <c r="DHG33" s="388"/>
      <c r="DHH33" s="388"/>
      <c r="DHI33" s="388"/>
      <c r="DHJ33" s="388"/>
      <c r="DHK33" s="388"/>
      <c r="DHL33" s="388"/>
      <c r="DHM33" s="388"/>
      <c r="DHN33" s="388"/>
      <c r="DHO33" s="388"/>
      <c r="DHP33" s="388"/>
      <c r="DHQ33" s="388"/>
      <c r="DHR33" s="388"/>
      <c r="DHS33" s="388"/>
      <c r="DHT33" s="388"/>
      <c r="DHU33" s="388"/>
      <c r="DHV33" s="388"/>
      <c r="DHW33" s="388"/>
      <c r="DHX33" s="388"/>
      <c r="DHY33" s="388"/>
      <c r="DHZ33" s="388"/>
      <c r="DIA33" s="388"/>
      <c r="DIB33" s="388"/>
      <c r="DIC33" s="388"/>
      <c r="DID33" s="388"/>
      <c r="DIE33" s="388"/>
      <c r="DIF33" s="388"/>
      <c r="DIG33" s="388"/>
      <c r="DIH33" s="388"/>
      <c r="DII33" s="388"/>
      <c r="DIJ33" s="388"/>
      <c r="DIK33" s="388"/>
      <c r="DIL33" s="388"/>
      <c r="DIM33" s="388"/>
      <c r="DIN33" s="388"/>
      <c r="DIO33" s="388"/>
      <c r="DIP33" s="388"/>
      <c r="DIQ33" s="388"/>
      <c r="DIR33" s="388"/>
      <c r="DIS33" s="388"/>
      <c r="DIT33" s="388"/>
      <c r="DIU33" s="388"/>
      <c r="DIV33" s="388"/>
      <c r="DIW33" s="388"/>
      <c r="DIX33" s="388"/>
      <c r="DIY33" s="388"/>
      <c r="DIZ33" s="388"/>
      <c r="DJA33" s="388"/>
      <c r="DJB33" s="388"/>
      <c r="DJC33" s="388"/>
      <c r="DJD33" s="388"/>
      <c r="DJE33" s="388"/>
      <c r="DJF33" s="388"/>
      <c r="DJG33" s="388"/>
      <c r="DJH33" s="388"/>
      <c r="DJI33" s="388"/>
      <c r="DJJ33" s="388"/>
      <c r="DJK33" s="388"/>
      <c r="DJL33" s="388"/>
      <c r="DJM33" s="388"/>
      <c r="DJN33" s="388"/>
      <c r="DJO33" s="388"/>
      <c r="DJP33" s="388"/>
      <c r="DJQ33" s="388"/>
      <c r="DJR33" s="388"/>
      <c r="DJS33" s="388"/>
      <c r="DJT33" s="388"/>
      <c r="DJU33" s="388"/>
      <c r="DJV33" s="388"/>
      <c r="DJW33" s="388"/>
      <c r="DJX33" s="388"/>
      <c r="DJY33" s="388"/>
      <c r="DJZ33" s="388"/>
      <c r="DKA33" s="388"/>
      <c r="DKB33" s="388"/>
      <c r="DKC33" s="388"/>
      <c r="DKD33" s="388"/>
      <c r="DKE33" s="388"/>
      <c r="DKF33" s="388"/>
      <c r="DKG33" s="388"/>
      <c r="DKH33" s="388"/>
      <c r="DKI33" s="388"/>
      <c r="DKJ33" s="388"/>
      <c r="DKK33" s="388"/>
      <c r="DKL33" s="388"/>
      <c r="DKM33" s="388"/>
      <c r="DKN33" s="388"/>
      <c r="DKO33" s="388"/>
      <c r="DKP33" s="388"/>
      <c r="DKQ33" s="388"/>
      <c r="DKR33" s="388"/>
      <c r="DKS33" s="388"/>
      <c r="DKT33" s="388"/>
      <c r="DKU33" s="388"/>
      <c r="DKV33" s="388"/>
      <c r="DKW33" s="388"/>
      <c r="DKX33" s="388"/>
      <c r="DKY33" s="388"/>
      <c r="DKZ33" s="388"/>
      <c r="DLA33" s="388"/>
      <c r="DLB33" s="388"/>
      <c r="DLC33" s="388"/>
      <c r="DLD33" s="388"/>
      <c r="DLE33" s="388"/>
      <c r="DLF33" s="388"/>
      <c r="DLG33" s="388"/>
      <c r="DLH33" s="388"/>
      <c r="DLI33" s="388"/>
      <c r="DLJ33" s="388"/>
      <c r="DLK33" s="388"/>
      <c r="DLL33" s="388"/>
      <c r="DLM33" s="388"/>
      <c r="DLN33" s="388"/>
      <c r="DLO33" s="388"/>
      <c r="DLP33" s="388"/>
      <c r="DLQ33" s="388"/>
      <c r="DLR33" s="388"/>
      <c r="DLS33" s="388"/>
      <c r="DLT33" s="388"/>
      <c r="DLU33" s="388"/>
      <c r="DLV33" s="388"/>
      <c r="DLW33" s="388"/>
      <c r="DLX33" s="388"/>
      <c r="DLY33" s="388"/>
      <c r="DLZ33" s="388"/>
      <c r="DMA33" s="388"/>
      <c r="DMB33" s="388"/>
      <c r="DMC33" s="388"/>
      <c r="DMD33" s="388"/>
      <c r="DME33" s="388"/>
      <c r="DMF33" s="388"/>
      <c r="DMG33" s="388"/>
      <c r="DMH33" s="388"/>
      <c r="DMI33" s="388"/>
      <c r="DMJ33" s="388"/>
      <c r="DMK33" s="388"/>
      <c r="DML33" s="388"/>
      <c r="DMM33" s="388"/>
      <c r="DMN33" s="388"/>
      <c r="DMO33" s="388"/>
      <c r="DMP33" s="388"/>
      <c r="DMQ33" s="388"/>
      <c r="DMR33" s="388"/>
      <c r="DMS33" s="388"/>
      <c r="DMT33" s="388"/>
      <c r="DMU33" s="388"/>
      <c r="DMV33" s="388"/>
      <c r="DMW33" s="388"/>
      <c r="DMX33" s="388"/>
      <c r="DMY33" s="388"/>
      <c r="DMZ33" s="388"/>
      <c r="DNA33" s="388"/>
      <c r="DNB33" s="388"/>
      <c r="DNC33" s="388"/>
      <c r="DND33" s="388"/>
      <c r="DNE33" s="388"/>
      <c r="DNF33" s="388"/>
      <c r="DNG33" s="388"/>
      <c r="DNH33" s="388"/>
      <c r="DNI33" s="388"/>
      <c r="DNJ33" s="388"/>
      <c r="DNK33" s="388"/>
      <c r="DNL33" s="388"/>
      <c r="DNM33" s="388"/>
      <c r="DNN33" s="388"/>
      <c r="DNO33" s="388"/>
      <c r="DNP33" s="388"/>
      <c r="DNQ33" s="388"/>
      <c r="DNR33" s="388"/>
      <c r="DNS33" s="388"/>
      <c r="DNT33" s="388"/>
      <c r="DNU33" s="388"/>
      <c r="DNV33" s="388"/>
      <c r="DNW33" s="388"/>
      <c r="DNX33" s="388"/>
      <c r="DNY33" s="388"/>
      <c r="DNZ33" s="388"/>
      <c r="DOA33" s="388"/>
      <c r="DOB33" s="388"/>
      <c r="DOC33" s="388"/>
      <c r="DOD33" s="388"/>
      <c r="DOE33" s="388"/>
      <c r="DOF33" s="388"/>
      <c r="DOG33" s="388"/>
      <c r="DOH33" s="388"/>
      <c r="DOI33" s="388"/>
      <c r="DOJ33" s="388"/>
      <c r="DOK33" s="388"/>
      <c r="DOL33" s="388"/>
      <c r="DOM33" s="388"/>
      <c r="DON33" s="388"/>
      <c r="DOO33" s="388"/>
      <c r="DOP33" s="388"/>
      <c r="DOQ33" s="388"/>
      <c r="DOR33" s="388"/>
      <c r="DOS33" s="388"/>
      <c r="DOT33" s="388"/>
      <c r="DOU33" s="388"/>
      <c r="DOV33" s="388"/>
      <c r="DOW33" s="388"/>
      <c r="DOX33" s="388"/>
      <c r="DOY33" s="388"/>
      <c r="DOZ33" s="388"/>
      <c r="DPA33" s="388"/>
      <c r="DPB33" s="388"/>
      <c r="DPC33" s="388"/>
      <c r="DPD33" s="388"/>
      <c r="DPE33" s="388"/>
      <c r="DPF33" s="388"/>
      <c r="DPG33" s="388"/>
      <c r="DPH33" s="388"/>
      <c r="DPI33" s="388"/>
      <c r="DPJ33" s="388"/>
      <c r="DPK33" s="388"/>
      <c r="DPL33" s="388"/>
      <c r="DPM33" s="388"/>
      <c r="DPN33" s="388"/>
      <c r="DPO33" s="388"/>
      <c r="DPP33" s="388"/>
      <c r="DPQ33" s="388"/>
      <c r="DPR33" s="388"/>
      <c r="DPS33" s="388"/>
      <c r="DPT33" s="388"/>
      <c r="DPU33" s="388"/>
      <c r="DPV33" s="388"/>
      <c r="DPW33" s="388"/>
      <c r="DPX33" s="388"/>
      <c r="DPY33" s="388"/>
      <c r="DPZ33" s="388"/>
      <c r="DQA33" s="388"/>
      <c r="DQB33" s="388"/>
      <c r="DQC33" s="388"/>
      <c r="DQD33" s="388"/>
      <c r="DQE33" s="388"/>
      <c r="DQF33" s="388"/>
      <c r="DQG33" s="388"/>
      <c r="DQH33" s="388"/>
      <c r="DQI33" s="388"/>
      <c r="DQJ33" s="388"/>
      <c r="DQK33" s="388"/>
      <c r="DQL33" s="388"/>
      <c r="DQM33" s="388"/>
      <c r="DQN33" s="388"/>
      <c r="DQO33" s="388"/>
      <c r="DQP33" s="388"/>
      <c r="DQQ33" s="388"/>
      <c r="DQR33" s="388"/>
      <c r="DQS33" s="388"/>
      <c r="DQT33" s="388"/>
      <c r="DQU33" s="388"/>
      <c r="DQV33" s="388"/>
      <c r="DQW33" s="388"/>
      <c r="DQX33" s="388"/>
      <c r="DQY33" s="388"/>
      <c r="DQZ33" s="388"/>
      <c r="DRA33" s="388"/>
      <c r="DRB33" s="388"/>
      <c r="DRC33" s="388"/>
      <c r="DRD33" s="388"/>
      <c r="DRE33" s="388"/>
      <c r="DRF33" s="388"/>
      <c r="DRG33" s="388"/>
      <c r="DRH33" s="388"/>
      <c r="DRI33" s="388"/>
      <c r="DRJ33" s="388"/>
      <c r="DRK33" s="388"/>
      <c r="DRL33" s="388"/>
      <c r="DRM33" s="388"/>
      <c r="DRN33" s="388"/>
      <c r="DRO33" s="388"/>
      <c r="DRP33" s="388"/>
      <c r="DRQ33" s="388"/>
      <c r="DRR33" s="388"/>
      <c r="DRS33" s="388"/>
      <c r="DRT33" s="388"/>
      <c r="DRU33" s="388"/>
      <c r="DRV33" s="388"/>
      <c r="DRW33" s="388"/>
      <c r="DRX33" s="388"/>
      <c r="DRY33" s="388"/>
      <c r="DRZ33" s="388"/>
      <c r="DSA33" s="388"/>
      <c r="DSB33" s="388"/>
      <c r="DSC33" s="388"/>
      <c r="DSD33" s="388"/>
      <c r="DSE33" s="388"/>
      <c r="DSF33" s="388"/>
      <c r="DSG33" s="388"/>
      <c r="DSH33" s="388"/>
      <c r="DSI33" s="388"/>
      <c r="DSJ33" s="388"/>
      <c r="DSK33" s="388"/>
      <c r="DSL33" s="388"/>
      <c r="DSM33" s="388"/>
      <c r="DSN33" s="388"/>
      <c r="DSO33" s="388"/>
      <c r="DSP33" s="388"/>
      <c r="DSQ33" s="388"/>
      <c r="DSR33" s="388"/>
      <c r="DSS33" s="388"/>
      <c r="DST33" s="388"/>
      <c r="DSU33" s="388"/>
      <c r="DSV33" s="388"/>
      <c r="DSW33" s="388"/>
      <c r="DSX33" s="388"/>
      <c r="DSY33" s="388"/>
      <c r="DSZ33" s="388"/>
      <c r="DTA33" s="388"/>
      <c r="DTB33" s="388"/>
      <c r="DTC33" s="388"/>
      <c r="DTD33" s="388"/>
      <c r="DTE33" s="388"/>
      <c r="DTF33" s="388"/>
      <c r="DTG33" s="388"/>
      <c r="DTH33" s="388"/>
      <c r="DTI33" s="388"/>
      <c r="DTJ33" s="388"/>
      <c r="DTK33" s="388"/>
      <c r="DTL33" s="388"/>
      <c r="DTM33" s="388"/>
      <c r="DTN33" s="388"/>
      <c r="DTO33" s="388"/>
      <c r="DTP33" s="388"/>
      <c r="DTQ33" s="388"/>
      <c r="DTR33" s="388"/>
      <c r="DTS33" s="388"/>
      <c r="DTT33" s="388"/>
      <c r="DTU33" s="388"/>
      <c r="DTV33" s="388"/>
      <c r="DTW33" s="388"/>
      <c r="DTX33" s="388"/>
      <c r="DTY33" s="388"/>
      <c r="DTZ33" s="388"/>
      <c r="DUA33" s="388"/>
      <c r="DUB33" s="388"/>
      <c r="DUC33" s="388"/>
      <c r="DUD33" s="388"/>
      <c r="DUE33" s="388"/>
      <c r="DUF33" s="388"/>
      <c r="DUG33" s="388"/>
      <c r="DUH33" s="388"/>
      <c r="DUI33" s="388"/>
      <c r="DUJ33" s="388"/>
      <c r="DUK33" s="388"/>
      <c r="DUL33" s="388"/>
      <c r="DUM33" s="388"/>
      <c r="DUN33" s="388"/>
      <c r="DUO33" s="388"/>
      <c r="DUP33" s="388"/>
      <c r="DUQ33" s="388"/>
      <c r="DUR33" s="388"/>
      <c r="DUS33" s="388"/>
      <c r="DUT33" s="388"/>
      <c r="DUU33" s="388"/>
      <c r="DUV33" s="388"/>
      <c r="DUW33" s="388"/>
      <c r="DUX33" s="388"/>
      <c r="DUY33" s="388"/>
      <c r="DUZ33" s="388"/>
      <c r="DVA33" s="388"/>
      <c r="DVB33" s="388"/>
      <c r="DVC33" s="388"/>
      <c r="DVD33" s="388"/>
      <c r="DVE33" s="388"/>
      <c r="DVF33" s="388"/>
      <c r="DVG33" s="388"/>
      <c r="DVH33" s="388"/>
      <c r="DVI33" s="388"/>
      <c r="DVJ33" s="388"/>
      <c r="DVK33" s="388"/>
      <c r="DVL33" s="388"/>
      <c r="DVM33" s="388"/>
      <c r="DVN33" s="388"/>
      <c r="DVO33" s="388"/>
      <c r="DVP33" s="388"/>
      <c r="DVQ33" s="388"/>
      <c r="DVR33" s="388"/>
      <c r="DVS33" s="388"/>
      <c r="DVT33" s="388"/>
      <c r="DVU33" s="388"/>
      <c r="DVV33" s="388"/>
      <c r="DVW33" s="388"/>
      <c r="DVX33" s="388"/>
      <c r="DVY33" s="388"/>
      <c r="DVZ33" s="388"/>
      <c r="DWA33" s="388"/>
      <c r="DWB33" s="388"/>
      <c r="DWC33" s="388"/>
      <c r="DWD33" s="388"/>
      <c r="DWE33" s="388"/>
      <c r="DWF33" s="388"/>
      <c r="DWG33" s="388"/>
      <c r="DWH33" s="388"/>
      <c r="DWI33" s="388"/>
      <c r="DWJ33" s="388"/>
      <c r="DWK33" s="388"/>
      <c r="DWL33" s="388"/>
      <c r="DWM33" s="388"/>
      <c r="DWN33" s="388"/>
      <c r="DWO33" s="388"/>
      <c r="DWP33" s="388"/>
      <c r="DWQ33" s="388"/>
      <c r="DWR33" s="388"/>
      <c r="DWS33" s="388"/>
      <c r="DWT33" s="388"/>
      <c r="DWU33" s="388"/>
      <c r="DWV33" s="388"/>
      <c r="DWW33" s="388"/>
      <c r="DWX33" s="388"/>
      <c r="DWY33" s="388"/>
      <c r="DWZ33" s="388"/>
      <c r="DXA33" s="388"/>
      <c r="DXB33" s="388"/>
      <c r="DXC33" s="388"/>
      <c r="DXD33" s="388"/>
      <c r="DXE33" s="388"/>
      <c r="DXF33" s="388"/>
      <c r="DXG33" s="388"/>
      <c r="DXH33" s="388"/>
      <c r="DXI33" s="388"/>
      <c r="DXJ33" s="388"/>
      <c r="DXK33" s="388"/>
      <c r="DXL33" s="388"/>
      <c r="DXM33" s="388"/>
      <c r="DXN33" s="388"/>
      <c r="DXO33" s="388"/>
      <c r="DXP33" s="388"/>
      <c r="DXQ33" s="388"/>
      <c r="DXR33" s="388"/>
      <c r="DXS33" s="388"/>
      <c r="DXT33" s="388"/>
      <c r="DXU33" s="388"/>
      <c r="DXV33" s="388"/>
      <c r="DXW33" s="388"/>
      <c r="DXX33" s="388"/>
      <c r="DXY33" s="388"/>
      <c r="DXZ33" s="388"/>
      <c r="DYA33" s="388"/>
      <c r="DYB33" s="388"/>
      <c r="DYC33" s="388"/>
      <c r="DYD33" s="388"/>
      <c r="DYE33" s="388"/>
      <c r="DYF33" s="388"/>
      <c r="DYG33" s="388"/>
      <c r="DYH33" s="388"/>
      <c r="DYI33" s="388"/>
      <c r="DYJ33" s="388"/>
      <c r="DYK33" s="388"/>
      <c r="DYL33" s="388"/>
      <c r="DYM33" s="388"/>
      <c r="DYN33" s="388"/>
      <c r="DYO33" s="388"/>
      <c r="DYP33" s="388"/>
      <c r="DYQ33" s="388"/>
      <c r="DYR33" s="388"/>
      <c r="DYS33" s="388"/>
      <c r="DYT33" s="388"/>
      <c r="DYU33" s="388"/>
      <c r="DYV33" s="388"/>
      <c r="DYW33" s="388"/>
      <c r="DYX33" s="388"/>
      <c r="DYY33" s="388"/>
      <c r="DYZ33" s="388"/>
      <c r="DZA33" s="388"/>
      <c r="DZB33" s="388"/>
      <c r="DZC33" s="388"/>
      <c r="DZD33" s="388"/>
      <c r="DZE33" s="388"/>
      <c r="DZF33" s="388"/>
      <c r="DZG33" s="388"/>
      <c r="DZH33" s="388"/>
      <c r="DZI33" s="388"/>
      <c r="DZJ33" s="388"/>
      <c r="DZK33" s="388"/>
      <c r="DZL33" s="388"/>
      <c r="DZM33" s="388"/>
      <c r="DZN33" s="388"/>
      <c r="DZO33" s="388"/>
      <c r="DZP33" s="388"/>
      <c r="DZQ33" s="388"/>
      <c r="DZR33" s="388"/>
      <c r="DZS33" s="388"/>
      <c r="DZT33" s="388"/>
      <c r="DZU33" s="388"/>
      <c r="DZV33" s="388"/>
      <c r="DZW33" s="388"/>
      <c r="DZX33" s="388"/>
      <c r="DZY33" s="388"/>
      <c r="DZZ33" s="388"/>
      <c r="EAA33" s="388"/>
      <c r="EAB33" s="388"/>
      <c r="EAC33" s="388"/>
      <c r="EAD33" s="388"/>
      <c r="EAE33" s="388"/>
      <c r="EAF33" s="388"/>
      <c r="EAG33" s="388"/>
      <c r="EAH33" s="388"/>
      <c r="EAI33" s="388"/>
      <c r="EAJ33" s="388"/>
      <c r="EAK33" s="388"/>
      <c r="EAL33" s="388"/>
      <c r="EAM33" s="388"/>
      <c r="EAN33" s="388"/>
      <c r="EAO33" s="388"/>
      <c r="EAP33" s="388"/>
      <c r="EAQ33" s="388"/>
      <c r="EAR33" s="388"/>
      <c r="EAS33" s="388"/>
      <c r="EAT33" s="388"/>
      <c r="EAU33" s="388"/>
      <c r="EAV33" s="388"/>
      <c r="EAW33" s="388"/>
      <c r="EAX33" s="388"/>
      <c r="EAY33" s="388"/>
      <c r="EAZ33" s="388"/>
      <c r="EBA33" s="388"/>
      <c r="EBB33" s="388"/>
      <c r="EBC33" s="388"/>
      <c r="EBD33" s="388"/>
      <c r="EBE33" s="388"/>
      <c r="EBF33" s="388"/>
      <c r="EBG33" s="388"/>
      <c r="EBH33" s="388"/>
      <c r="EBI33" s="388"/>
      <c r="EBJ33" s="388"/>
      <c r="EBK33" s="388"/>
      <c r="EBL33" s="388"/>
      <c r="EBM33" s="388"/>
      <c r="EBN33" s="388"/>
      <c r="EBO33" s="388"/>
      <c r="EBP33" s="388"/>
      <c r="EBQ33" s="388"/>
      <c r="EBR33" s="388"/>
      <c r="EBS33" s="388"/>
      <c r="EBT33" s="388"/>
      <c r="EBU33" s="388"/>
      <c r="EBV33" s="388"/>
      <c r="EBW33" s="388"/>
      <c r="EBX33" s="388"/>
      <c r="EBY33" s="388"/>
      <c r="EBZ33" s="388"/>
      <c r="ECA33" s="388"/>
      <c r="ECB33" s="388"/>
      <c r="ECC33" s="388"/>
      <c r="ECD33" s="388"/>
      <c r="ECE33" s="388"/>
      <c r="ECF33" s="388"/>
      <c r="ECG33" s="388"/>
      <c r="ECH33" s="388"/>
      <c r="ECI33" s="388"/>
      <c r="ECJ33" s="388"/>
      <c r="ECK33" s="388"/>
      <c r="ECL33" s="388"/>
      <c r="ECM33" s="388"/>
      <c r="ECN33" s="388"/>
      <c r="ECO33" s="388"/>
      <c r="ECP33" s="388"/>
      <c r="ECQ33" s="388"/>
      <c r="ECR33" s="388"/>
      <c r="ECS33" s="388"/>
      <c r="ECT33" s="388"/>
      <c r="ECU33" s="388"/>
      <c r="ECV33" s="388"/>
      <c r="ECW33" s="388"/>
      <c r="ECX33" s="388"/>
      <c r="ECY33" s="388"/>
      <c r="ECZ33" s="388"/>
      <c r="EDA33" s="388"/>
      <c r="EDB33" s="388"/>
      <c r="EDC33" s="388"/>
      <c r="EDD33" s="388"/>
      <c r="EDE33" s="388"/>
      <c r="EDF33" s="388"/>
      <c r="EDG33" s="388"/>
      <c r="EDH33" s="388"/>
      <c r="EDI33" s="388"/>
      <c r="EDJ33" s="388"/>
      <c r="EDK33" s="388"/>
      <c r="EDL33" s="388"/>
      <c r="EDM33" s="388"/>
      <c r="EDN33" s="388"/>
      <c r="EDO33" s="388"/>
      <c r="EDP33" s="388"/>
      <c r="EDQ33" s="388"/>
      <c r="EDR33" s="388"/>
      <c r="EDS33" s="388"/>
      <c r="EDT33" s="388"/>
      <c r="EDU33" s="388"/>
      <c r="EDV33" s="388"/>
      <c r="EDW33" s="388"/>
      <c r="EDX33" s="388"/>
      <c r="EDY33" s="388"/>
      <c r="EDZ33" s="388"/>
      <c r="EEA33" s="388"/>
      <c r="EEB33" s="388"/>
      <c r="EEC33" s="388"/>
      <c r="EED33" s="388"/>
      <c r="EEE33" s="388"/>
      <c r="EEF33" s="388"/>
      <c r="EEG33" s="388"/>
      <c r="EEH33" s="388"/>
      <c r="EEI33" s="388"/>
      <c r="EEJ33" s="388"/>
      <c r="EEK33" s="388"/>
      <c r="EEL33" s="388"/>
      <c r="EEM33" s="388"/>
      <c r="EEN33" s="388"/>
      <c r="EEO33" s="388"/>
      <c r="EEP33" s="388"/>
      <c r="EEQ33" s="388"/>
      <c r="EER33" s="388"/>
      <c r="EES33" s="388"/>
      <c r="EET33" s="388"/>
      <c r="EEU33" s="388"/>
      <c r="EEV33" s="388"/>
      <c r="EEW33" s="388"/>
      <c r="EEX33" s="388"/>
      <c r="EEY33" s="388"/>
      <c r="EEZ33" s="388"/>
      <c r="EFA33" s="388"/>
      <c r="EFB33" s="388"/>
      <c r="EFC33" s="388"/>
      <c r="EFD33" s="388"/>
      <c r="EFE33" s="388"/>
      <c r="EFF33" s="388"/>
      <c r="EFG33" s="388"/>
      <c r="EFH33" s="388"/>
      <c r="EFI33" s="388"/>
      <c r="EFJ33" s="388"/>
      <c r="EFK33" s="388"/>
      <c r="EFL33" s="388"/>
      <c r="EFM33" s="388"/>
      <c r="EFN33" s="388"/>
      <c r="EFO33" s="388"/>
      <c r="EFP33" s="388"/>
      <c r="EFQ33" s="388"/>
      <c r="EFR33" s="388"/>
      <c r="EFS33" s="388"/>
      <c r="EFT33" s="388"/>
      <c r="EFU33" s="388"/>
      <c r="EFV33" s="388"/>
      <c r="EFW33" s="388"/>
      <c r="EFX33" s="388"/>
      <c r="EFY33" s="388"/>
      <c r="EFZ33" s="388"/>
      <c r="EGA33" s="388"/>
      <c r="EGB33" s="388"/>
      <c r="EGC33" s="388"/>
      <c r="EGD33" s="388"/>
      <c r="EGE33" s="388"/>
      <c r="EGF33" s="388"/>
      <c r="EGG33" s="388"/>
      <c r="EGH33" s="388"/>
      <c r="EGI33" s="388"/>
      <c r="EGJ33" s="388"/>
      <c r="EGK33" s="388"/>
      <c r="EGL33" s="388"/>
      <c r="EGM33" s="388"/>
      <c r="EGN33" s="388"/>
      <c r="EGO33" s="388"/>
      <c r="EGP33" s="388"/>
      <c r="EGQ33" s="388"/>
      <c r="EGR33" s="388"/>
      <c r="EGS33" s="388"/>
      <c r="EGT33" s="388"/>
      <c r="EGU33" s="388"/>
      <c r="EGV33" s="388"/>
      <c r="EGW33" s="388"/>
      <c r="EGX33" s="388"/>
      <c r="EGY33" s="388"/>
      <c r="EGZ33" s="388"/>
      <c r="EHA33" s="388"/>
      <c r="EHB33" s="388"/>
      <c r="EHC33" s="388"/>
      <c r="EHD33" s="388"/>
      <c r="EHE33" s="388"/>
      <c r="EHF33" s="388"/>
      <c r="EHG33" s="388"/>
      <c r="EHH33" s="388"/>
      <c r="EHI33" s="388"/>
      <c r="EHJ33" s="388"/>
      <c r="EHK33" s="388"/>
      <c r="EHL33" s="388"/>
      <c r="EHM33" s="388"/>
      <c r="EHN33" s="388"/>
      <c r="EHO33" s="388"/>
      <c r="EHP33" s="388"/>
      <c r="EHQ33" s="388"/>
      <c r="EHR33" s="388"/>
      <c r="EHS33" s="388"/>
      <c r="EHT33" s="388"/>
      <c r="EHU33" s="388"/>
      <c r="EHV33" s="388"/>
      <c r="EHW33" s="388"/>
      <c r="EHX33" s="388"/>
      <c r="EHY33" s="388"/>
      <c r="EHZ33" s="388"/>
      <c r="EIA33" s="388"/>
      <c r="EIB33" s="388"/>
      <c r="EIC33" s="388"/>
      <c r="EID33" s="388"/>
      <c r="EIE33" s="388"/>
      <c r="EIF33" s="388"/>
      <c r="EIG33" s="388"/>
      <c r="EIH33" s="388"/>
      <c r="EII33" s="388"/>
      <c r="EIJ33" s="388"/>
      <c r="EIK33" s="388"/>
      <c r="EIL33" s="388"/>
      <c r="EIM33" s="388"/>
      <c r="EIN33" s="388"/>
      <c r="EIO33" s="388"/>
      <c r="EIP33" s="388"/>
      <c r="EIQ33" s="388"/>
      <c r="EIR33" s="388"/>
      <c r="EIS33" s="388"/>
      <c r="EIT33" s="388"/>
      <c r="EIU33" s="388"/>
      <c r="EIV33" s="388"/>
      <c r="EIW33" s="388"/>
      <c r="EIX33" s="388"/>
      <c r="EIY33" s="388"/>
      <c r="EIZ33" s="388"/>
      <c r="EJA33" s="388"/>
      <c r="EJB33" s="388"/>
      <c r="EJC33" s="388"/>
      <c r="EJD33" s="388"/>
      <c r="EJE33" s="388"/>
      <c r="EJF33" s="388"/>
      <c r="EJG33" s="388"/>
      <c r="EJH33" s="388"/>
      <c r="EJI33" s="388"/>
      <c r="EJJ33" s="388"/>
      <c r="EJK33" s="388"/>
      <c r="EJL33" s="388"/>
      <c r="EJM33" s="388"/>
      <c r="EJN33" s="388"/>
      <c r="EJO33" s="388"/>
      <c r="EJP33" s="388"/>
      <c r="EJQ33" s="388"/>
      <c r="EJR33" s="388"/>
      <c r="EJS33" s="388"/>
      <c r="EJT33" s="388"/>
      <c r="EJU33" s="388"/>
      <c r="EJV33" s="388"/>
      <c r="EJW33" s="388"/>
      <c r="EJX33" s="388"/>
      <c r="EJY33" s="388"/>
      <c r="EJZ33" s="388"/>
      <c r="EKA33" s="388"/>
      <c r="EKB33" s="388"/>
      <c r="EKC33" s="388"/>
      <c r="EKD33" s="388"/>
      <c r="EKE33" s="388"/>
      <c r="EKF33" s="388"/>
      <c r="EKG33" s="388"/>
      <c r="EKH33" s="388"/>
      <c r="EKI33" s="388"/>
      <c r="EKJ33" s="388"/>
      <c r="EKK33" s="388"/>
      <c r="EKL33" s="388"/>
      <c r="EKM33" s="388"/>
      <c r="EKN33" s="388"/>
      <c r="EKO33" s="388"/>
      <c r="EKP33" s="388"/>
      <c r="EKQ33" s="388"/>
      <c r="EKR33" s="388"/>
      <c r="EKS33" s="388"/>
      <c r="EKT33" s="388"/>
      <c r="EKU33" s="388"/>
      <c r="EKV33" s="388"/>
      <c r="EKW33" s="388"/>
      <c r="EKX33" s="388"/>
      <c r="EKY33" s="388"/>
      <c r="EKZ33" s="388"/>
      <c r="ELA33" s="388"/>
      <c r="ELB33" s="388"/>
      <c r="ELC33" s="388"/>
      <c r="ELD33" s="388"/>
      <c r="ELE33" s="388"/>
      <c r="ELF33" s="388"/>
      <c r="ELG33" s="388"/>
      <c r="ELH33" s="388"/>
      <c r="ELI33" s="388"/>
      <c r="ELJ33" s="388"/>
      <c r="ELK33" s="388"/>
      <c r="ELL33" s="388"/>
      <c r="ELM33" s="388"/>
      <c r="ELN33" s="388"/>
      <c r="ELO33" s="388"/>
      <c r="ELP33" s="388"/>
      <c r="ELQ33" s="388"/>
      <c r="ELR33" s="388"/>
      <c r="ELS33" s="388"/>
      <c r="ELT33" s="388"/>
      <c r="ELU33" s="388"/>
      <c r="ELV33" s="388"/>
      <c r="ELW33" s="388"/>
      <c r="ELX33" s="388"/>
      <c r="ELY33" s="388"/>
      <c r="ELZ33" s="388"/>
      <c r="EMA33" s="388"/>
      <c r="EMB33" s="388"/>
      <c r="EMC33" s="388"/>
      <c r="EMD33" s="388"/>
      <c r="EME33" s="388"/>
      <c r="EMF33" s="388"/>
      <c r="EMG33" s="388"/>
      <c r="EMH33" s="388"/>
      <c r="EMI33" s="388"/>
      <c r="EMJ33" s="388"/>
      <c r="EMK33" s="388"/>
      <c r="EML33" s="388"/>
      <c r="EMM33" s="388"/>
      <c r="EMN33" s="388"/>
      <c r="EMO33" s="388"/>
      <c r="EMP33" s="388"/>
      <c r="EMQ33" s="388"/>
      <c r="EMR33" s="388"/>
      <c r="EMS33" s="388"/>
      <c r="EMT33" s="388"/>
      <c r="EMU33" s="388"/>
      <c r="EMV33" s="388"/>
      <c r="EMW33" s="388"/>
      <c r="EMX33" s="388"/>
      <c r="EMY33" s="388"/>
      <c r="EMZ33" s="388"/>
      <c r="ENA33" s="388"/>
      <c r="ENB33" s="388"/>
      <c r="ENC33" s="388"/>
      <c r="END33" s="388"/>
      <c r="ENE33" s="388"/>
      <c r="ENF33" s="388"/>
      <c r="ENG33" s="388"/>
      <c r="ENH33" s="388"/>
      <c r="ENI33" s="388"/>
      <c r="ENJ33" s="388"/>
      <c r="ENK33" s="388"/>
      <c r="ENL33" s="388"/>
      <c r="ENM33" s="388"/>
      <c r="ENN33" s="388"/>
      <c r="ENO33" s="388"/>
      <c r="ENP33" s="388"/>
      <c r="ENQ33" s="388"/>
      <c r="ENR33" s="388"/>
      <c r="ENS33" s="388"/>
      <c r="ENT33" s="388"/>
      <c r="ENU33" s="388"/>
      <c r="ENV33" s="388"/>
      <c r="ENW33" s="388"/>
      <c r="ENX33" s="388"/>
      <c r="ENY33" s="388"/>
      <c r="ENZ33" s="388"/>
      <c r="EOA33" s="388"/>
      <c r="EOB33" s="388"/>
      <c r="EOC33" s="388"/>
      <c r="EOD33" s="388"/>
      <c r="EOE33" s="388"/>
      <c r="EOF33" s="388"/>
      <c r="EOG33" s="388"/>
      <c r="EOH33" s="388"/>
      <c r="EOI33" s="388"/>
      <c r="EOJ33" s="388"/>
      <c r="EOK33" s="388"/>
      <c r="EOL33" s="388"/>
      <c r="EOM33" s="388"/>
      <c r="EON33" s="388"/>
      <c r="EOO33" s="388"/>
      <c r="EOP33" s="388"/>
      <c r="EOQ33" s="388"/>
      <c r="EOR33" s="388"/>
      <c r="EOS33" s="388"/>
      <c r="EOT33" s="388"/>
      <c r="EOU33" s="388"/>
      <c r="EOV33" s="388"/>
      <c r="EOW33" s="388"/>
      <c r="EOX33" s="388"/>
      <c r="EOY33" s="388"/>
      <c r="EOZ33" s="388"/>
      <c r="EPA33" s="388"/>
      <c r="EPB33" s="388"/>
      <c r="EPC33" s="388"/>
      <c r="EPD33" s="388"/>
      <c r="EPE33" s="388"/>
      <c r="EPF33" s="388"/>
      <c r="EPG33" s="388"/>
      <c r="EPH33" s="388"/>
      <c r="EPI33" s="388"/>
      <c r="EPJ33" s="388"/>
      <c r="EPK33" s="388"/>
      <c r="EPL33" s="388"/>
      <c r="EPM33" s="388"/>
      <c r="EPN33" s="388"/>
      <c r="EPO33" s="388"/>
      <c r="EPP33" s="388"/>
      <c r="EPQ33" s="388"/>
      <c r="EPR33" s="388"/>
      <c r="EPS33" s="388"/>
      <c r="EPT33" s="388"/>
      <c r="EPU33" s="388"/>
      <c r="EPV33" s="388"/>
      <c r="EPW33" s="388"/>
      <c r="EPX33" s="388"/>
      <c r="EPY33" s="388"/>
      <c r="EPZ33" s="388"/>
      <c r="EQA33" s="388"/>
      <c r="EQB33" s="388"/>
      <c r="EQC33" s="388"/>
      <c r="EQD33" s="388"/>
      <c r="EQE33" s="388"/>
      <c r="EQF33" s="388"/>
      <c r="EQG33" s="388"/>
      <c r="EQH33" s="388"/>
      <c r="EQI33" s="388"/>
      <c r="EQJ33" s="388"/>
      <c r="EQK33" s="388"/>
      <c r="EQL33" s="388"/>
      <c r="EQM33" s="388"/>
      <c r="EQN33" s="388"/>
      <c r="EQO33" s="388"/>
      <c r="EQP33" s="388"/>
      <c r="EQQ33" s="388"/>
      <c r="EQR33" s="388"/>
      <c r="EQS33" s="388"/>
      <c r="EQT33" s="388"/>
      <c r="EQU33" s="388"/>
      <c r="EQV33" s="388"/>
      <c r="EQW33" s="388"/>
      <c r="EQX33" s="388"/>
      <c r="EQY33" s="388"/>
      <c r="EQZ33" s="388"/>
      <c r="ERA33" s="388"/>
      <c r="ERB33" s="388"/>
      <c r="ERC33" s="388"/>
      <c r="ERD33" s="388"/>
      <c r="ERE33" s="388"/>
      <c r="ERF33" s="388"/>
      <c r="ERG33" s="388"/>
      <c r="ERH33" s="388"/>
      <c r="ERI33" s="388"/>
      <c r="ERJ33" s="388"/>
      <c r="ERK33" s="388"/>
      <c r="ERL33" s="388"/>
      <c r="ERM33" s="388"/>
      <c r="ERN33" s="388"/>
      <c r="ERO33" s="388"/>
      <c r="ERP33" s="388"/>
      <c r="ERQ33" s="388"/>
      <c r="ERR33" s="388"/>
      <c r="ERS33" s="388"/>
      <c r="ERT33" s="388"/>
      <c r="ERU33" s="388"/>
      <c r="ERV33" s="388"/>
      <c r="ERW33" s="388"/>
      <c r="ERX33" s="388"/>
      <c r="ERY33" s="388"/>
      <c r="ERZ33" s="388"/>
      <c r="ESA33" s="388"/>
      <c r="ESB33" s="388"/>
      <c r="ESC33" s="388"/>
      <c r="ESD33" s="388"/>
      <c r="ESE33" s="388"/>
      <c r="ESF33" s="388"/>
      <c r="ESG33" s="388"/>
      <c r="ESH33" s="388"/>
      <c r="ESI33" s="388"/>
      <c r="ESJ33" s="388"/>
      <c r="ESK33" s="388"/>
      <c r="ESL33" s="388"/>
      <c r="ESM33" s="388"/>
      <c r="ESN33" s="388"/>
      <c r="ESO33" s="388"/>
      <c r="ESP33" s="388"/>
      <c r="ESQ33" s="388"/>
      <c r="ESR33" s="388"/>
      <c r="ESS33" s="388"/>
      <c r="EST33" s="388"/>
      <c r="ESU33" s="388"/>
      <c r="ESV33" s="388"/>
      <c r="ESW33" s="388"/>
      <c r="ESX33" s="388"/>
      <c r="ESY33" s="388"/>
      <c r="ESZ33" s="388"/>
      <c r="ETA33" s="388"/>
      <c r="ETB33" s="388"/>
      <c r="ETC33" s="388"/>
      <c r="ETD33" s="388"/>
      <c r="ETE33" s="388"/>
      <c r="ETF33" s="388"/>
      <c r="ETG33" s="388"/>
      <c r="ETH33" s="388"/>
      <c r="ETI33" s="388"/>
      <c r="ETJ33" s="388"/>
      <c r="ETK33" s="388"/>
      <c r="ETL33" s="388"/>
      <c r="ETM33" s="388"/>
      <c r="ETN33" s="388"/>
      <c r="ETO33" s="388"/>
      <c r="ETP33" s="388"/>
      <c r="ETQ33" s="388"/>
      <c r="ETR33" s="388"/>
      <c r="ETS33" s="388"/>
      <c r="ETT33" s="388"/>
      <c r="ETU33" s="388"/>
      <c r="ETV33" s="388"/>
      <c r="ETW33" s="388"/>
      <c r="ETX33" s="388"/>
      <c r="ETY33" s="388"/>
      <c r="ETZ33" s="388"/>
      <c r="EUA33" s="388"/>
      <c r="EUB33" s="388"/>
      <c r="EUC33" s="388"/>
      <c r="EUD33" s="388"/>
      <c r="EUE33" s="388"/>
      <c r="EUF33" s="388"/>
      <c r="EUG33" s="388"/>
      <c r="EUH33" s="388"/>
      <c r="EUI33" s="388"/>
      <c r="EUJ33" s="388"/>
      <c r="EUK33" s="388"/>
      <c r="EUL33" s="388"/>
      <c r="EUM33" s="388"/>
      <c r="EUN33" s="388"/>
      <c r="EUO33" s="388"/>
      <c r="EUP33" s="388"/>
      <c r="EUQ33" s="388"/>
      <c r="EUR33" s="388"/>
      <c r="EUS33" s="388"/>
      <c r="EUT33" s="388"/>
      <c r="EUU33" s="388"/>
      <c r="EUV33" s="388"/>
      <c r="EUW33" s="388"/>
      <c r="EUX33" s="388"/>
      <c r="EUY33" s="388"/>
      <c r="EUZ33" s="388"/>
      <c r="EVA33" s="388"/>
      <c r="EVB33" s="388"/>
      <c r="EVC33" s="388"/>
      <c r="EVD33" s="388"/>
      <c r="EVE33" s="388"/>
      <c r="EVF33" s="388"/>
      <c r="EVG33" s="388"/>
      <c r="EVH33" s="388"/>
      <c r="EVI33" s="388"/>
      <c r="EVJ33" s="388"/>
      <c r="EVK33" s="388"/>
      <c r="EVL33" s="388"/>
      <c r="EVM33" s="388"/>
      <c r="EVN33" s="388"/>
      <c r="EVO33" s="388"/>
      <c r="EVP33" s="388"/>
      <c r="EVQ33" s="388"/>
      <c r="EVR33" s="388"/>
      <c r="EVS33" s="388"/>
      <c r="EVT33" s="388"/>
      <c r="EVU33" s="388"/>
      <c r="EVV33" s="388"/>
      <c r="EVW33" s="388"/>
      <c r="EVX33" s="388"/>
      <c r="EVY33" s="388"/>
      <c r="EVZ33" s="388"/>
      <c r="EWA33" s="388"/>
      <c r="EWB33" s="388"/>
      <c r="EWC33" s="388"/>
      <c r="EWD33" s="388"/>
      <c r="EWE33" s="388"/>
      <c r="EWF33" s="388"/>
      <c r="EWG33" s="388"/>
      <c r="EWH33" s="388"/>
      <c r="EWI33" s="388"/>
      <c r="EWJ33" s="388"/>
      <c r="EWK33" s="388"/>
      <c r="EWL33" s="388"/>
      <c r="EWM33" s="388"/>
      <c r="EWN33" s="388"/>
      <c r="EWO33" s="388"/>
      <c r="EWP33" s="388"/>
      <c r="EWQ33" s="388"/>
      <c r="EWR33" s="388"/>
      <c r="EWS33" s="388"/>
      <c r="EWT33" s="388"/>
      <c r="EWU33" s="388"/>
      <c r="EWV33" s="388"/>
      <c r="EWW33" s="388"/>
      <c r="EWX33" s="388"/>
      <c r="EWY33" s="388"/>
      <c r="EWZ33" s="388"/>
      <c r="EXA33" s="388"/>
      <c r="EXB33" s="388"/>
      <c r="EXC33" s="388"/>
      <c r="EXD33" s="388"/>
      <c r="EXE33" s="388"/>
      <c r="EXF33" s="388"/>
      <c r="EXG33" s="388"/>
      <c r="EXH33" s="388"/>
      <c r="EXI33" s="388"/>
      <c r="EXJ33" s="388"/>
      <c r="EXK33" s="388"/>
      <c r="EXL33" s="388"/>
      <c r="EXM33" s="388"/>
      <c r="EXN33" s="388"/>
      <c r="EXO33" s="388"/>
      <c r="EXP33" s="388"/>
      <c r="EXQ33" s="388"/>
      <c r="EXR33" s="388"/>
      <c r="EXS33" s="388"/>
      <c r="EXT33" s="388"/>
      <c r="EXU33" s="388"/>
      <c r="EXV33" s="388"/>
      <c r="EXW33" s="388"/>
      <c r="EXX33" s="388"/>
      <c r="EXY33" s="388"/>
      <c r="EXZ33" s="388"/>
      <c r="EYA33" s="388"/>
      <c r="EYB33" s="388"/>
      <c r="EYC33" s="388"/>
      <c r="EYD33" s="388"/>
      <c r="EYE33" s="388"/>
      <c r="EYF33" s="388"/>
      <c r="EYG33" s="388"/>
      <c r="EYH33" s="388"/>
      <c r="EYI33" s="388"/>
      <c r="EYJ33" s="388"/>
      <c r="EYK33" s="388"/>
      <c r="EYL33" s="388"/>
      <c r="EYM33" s="388"/>
      <c r="EYN33" s="388"/>
      <c r="EYO33" s="388"/>
      <c r="EYP33" s="388"/>
      <c r="EYQ33" s="388"/>
      <c r="EYR33" s="388"/>
      <c r="EYS33" s="388"/>
      <c r="EYT33" s="388"/>
      <c r="EYU33" s="388"/>
      <c r="EYV33" s="388"/>
      <c r="EYW33" s="388"/>
      <c r="EYX33" s="388"/>
      <c r="EYY33" s="388"/>
      <c r="EYZ33" s="388"/>
      <c r="EZA33" s="388"/>
      <c r="EZB33" s="388"/>
      <c r="EZC33" s="388"/>
      <c r="EZD33" s="388"/>
      <c r="EZE33" s="388"/>
      <c r="EZF33" s="388"/>
      <c r="EZG33" s="388"/>
      <c r="EZH33" s="388"/>
      <c r="EZI33" s="388"/>
      <c r="EZJ33" s="388"/>
      <c r="EZK33" s="388"/>
      <c r="EZL33" s="388"/>
      <c r="EZM33" s="388"/>
      <c r="EZN33" s="388"/>
      <c r="EZO33" s="388"/>
      <c r="EZP33" s="388"/>
      <c r="EZQ33" s="388"/>
      <c r="EZR33" s="388"/>
      <c r="EZS33" s="388"/>
      <c r="EZT33" s="388"/>
      <c r="EZU33" s="388"/>
      <c r="EZV33" s="388"/>
      <c r="EZW33" s="388"/>
      <c r="EZX33" s="388"/>
      <c r="EZY33" s="388"/>
      <c r="EZZ33" s="388"/>
      <c r="FAA33" s="388"/>
      <c r="FAB33" s="388"/>
      <c r="FAC33" s="388"/>
      <c r="FAD33" s="388"/>
      <c r="FAE33" s="388"/>
      <c r="FAF33" s="388"/>
      <c r="FAG33" s="388"/>
      <c r="FAH33" s="388"/>
      <c r="FAI33" s="388"/>
      <c r="FAJ33" s="388"/>
      <c r="FAK33" s="388"/>
      <c r="FAL33" s="388"/>
      <c r="FAM33" s="388"/>
      <c r="FAN33" s="388"/>
      <c r="FAO33" s="388"/>
      <c r="FAP33" s="388"/>
      <c r="FAQ33" s="388"/>
      <c r="FAR33" s="388"/>
      <c r="FAS33" s="388"/>
      <c r="FAT33" s="388"/>
      <c r="FAU33" s="388"/>
      <c r="FAV33" s="388"/>
      <c r="FAW33" s="388"/>
      <c r="FAX33" s="388"/>
      <c r="FAY33" s="388"/>
      <c r="FAZ33" s="388"/>
      <c r="FBA33" s="388"/>
      <c r="FBB33" s="388"/>
      <c r="FBC33" s="388"/>
      <c r="FBD33" s="388"/>
      <c r="FBE33" s="388"/>
      <c r="FBF33" s="388"/>
      <c r="FBG33" s="388"/>
      <c r="FBH33" s="388"/>
      <c r="FBI33" s="388"/>
      <c r="FBJ33" s="388"/>
      <c r="FBK33" s="388"/>
      <c r="FBL33" s="388"/>
      <c r="FBM33" s="388"/>
      <c r="FBN33" s="388"/>
      <c r="FBO33" s="388"/>
      <c r="FBP33" s="388"/>
      <c r="FBQ33" s="388"/>
      <c r="FBR33" s="388"/>
      <c r="FBS33" s="388"/>
      <c r="FBT33" s="388"/>
      <c r="FBU33" s="388"/>
      <c r="FBV33" s="388"/>
      <c r="FBW33" s="388"/>
      <c r="FBX33" s="388"/>
      <c r="FBY33" s="388"/>
      <c r="FBZ33" s="388"/>
      <c r="FCA33" s="388"/>
      <c r="FCB33" s="388"/>
      <c r="FCC33" s="388"/>
      <c r="FCD33" s="388"/>
      <c r="FCE33" s="388"/>
      <c r="FCF33" s="388"/>
      <c r="FCG33" s="388"/>
      <c r="FCH33" s="388"/>
      <c r="FCI33" s="388"/>
      <c r="FCJ33" s="388"/>
      <c r="FCK33" s="388"/>
      <c r="FCL33" s="388"/>
      <c r="FCM33" s="388"/>
      <c r="FCN33" s="388"/>
      <c r="FCO33" s="388"/>
      <c r="FCP33" s="388"/>
      <c r="FCQ33" s="388"/>
      <c r="FCR33" s="388"/>
      <c r="FCS33" s="388"/>
      <c r="FCT33" s="388"/>
      <c r="FCU33" s="388"/>
      <c r="FCV33" s="388"/>
      <c r="FCW33" s="388"/>
      <c r="FCX33" s="388"/>
      <c r="FCY33" s="388"/>
      <c r="FCZ33" s="388"/>
      <c r="FDA33" s="388"/>
      <c r="FDB33" s="388"/>
      <c r="FDC33" s="388"/>
      <c r="FDD33" s="388"/>
      <c r="FDE33" s="388"/>
      <c r="FDF33" s="388"/>
      <c r="FDG33" s="388"/>
      <c r="FDH33" s="388"/>
      <c r="FDI33" s="388"/>
      <c r="FDJ33" s="388"/>
      <c r="FDK33" s="388"/>
      <c r="FDL33" s="388"/>
      <c r="FDM33" s="388"/>
      <c r="FDN33" s="388"/>
      <c r="FDO33" s="388"/>
      <c r="FDP33" s="388"/>
      <c r="FDQ33" s="388"/>
      <c r="FDR33" s="388"/>
      <c r="FDS33" s="388"/>
      <c r="FDT33" s="388"/>
      <c r="FDU33" s="388"/>
      <c r="FDV33" s="388"/>
      <c r="FDW33" s="388"/>
      <c r="FDX33" s="388"/>
      <c r="FDY33" s="388"/>
      <c r="FDZ33" s="388"/>
      <c r="FEA33" s="388"/>
      <c r="FEB33" s="388"/>
      <c r="FEC33" s="388"/>
      <c r="FED33" s="388"/>
      <c r="FEE33" s="388"/>
      <c r="FEF33" s="388"/>
      <c r="FEG33" s="388"/>
      <c r="FEH33" s="388"/>
      <c r="FEI33" s="388"/>
      <c r="FEJ33" s="388"/>
      <c r="FEK33" s="388"/>
      <c r="FEL33" s="388"/>
      <c r="FEM33" s="388"/>
      <c r="FEN33" s="388"/>
      <c r="FEO33" s="388"/>
      <c r="FEP33" s="388"/>
      <c r="FEQ33" s="388"/>
      <c r="FER33" s="388"/>
      <c r="FES33" s="388"/>
      <c r="FET33" s="388"/>
      <c r="FEU33" s="388"/>
      <c r="FEV33" s="388"/>
      <c r="FEW33" s="388"/>
      <c r="FEX33" s="388"/>
      <c r="FEY33" s="388"/>
      <c r="FEZ33" s="388"/>
      <c r="FFA33" s="388"/>
      <c r="FFB33" s="388"/>
      <c r="FFC33" s="388"/>
      <c r="FFD33" s="388"/>
      <c r="FFE33" s="388"/>
      <c r="FFF33" s="388"/>
      <c r="FFG33" s="388"/>
      <c r="FFH33" s="388"/>
      <c r="FFI33" s="388"/>
      <c r="FFJ33" s="388"/>
      <c r="FFK33" s="388"/>
      <c r="FFL33" s="388"/>
      <c r="FFM33" s="388"/>
      <c r="FFN33" s="388"/>
      <c r="FFO33" s="388"/>
      <c r="FFP33" s="388"/>
      <c r="FFQ33" s="388"/>
      <c r="FFR33" s="388"/>
      <c r="FFS33" s="388"/>
      <c r="FFT33" s="388"/>
      <c r="FFU33" s="388"/>
      <c r="FFV33" s="388"/>
      <c r="FFW33" s="388"/>
      <c r="FFX33" s="388"/>
      <c r="FFY33" s="388"/>
      <c r="FFZ33" s="388"/>
      <c r="FGA33" s="388"/>
      <c r="FGB33" s="388"/>
      <c r="FGC33" s="388"/>
      <c r="FGD33" s="388"/>
      <c r="FGE33" s="388"/>
      <c r="FGF33" s="388"/>
      <c r="FGG33" s="388"/>
      <c r="FGH33" s="388"/>
      <c r="FGI33" s="388"/>
      <c r="FGJ33" s="388"/>
      <c r="FGK33" s="388"/>
      <c r="FGL33" s="388"/>
      <c r="FGM33" s="388"/>
      <c r="FGN33" s="388"/>
      <c r="FGO33" s="388"/>
      <c r="FGP33" s="388"/>
      <c r="FGQ33" s="388"/>
      <c r="FGR33" s="388"/>
      <c r="FGS33" s="388"/>
      <c r="FGT33" s="388"/>
      <c r="FGU33" s="388"/>
      <c r="FGV33" s="388"/>
      <c r="FGW33" s="388"/>
      <c r="FGX33" s="388"/>
      <c r="FGY33" s="388"/>
      <c r="FGZ33" s="388"/>
      <c r="FHA33" s="388"/>
      <c r="FHB33" s="388"/>
      <c r="FHC33" s="388"/>
      <c r="FHD33" s="388"/>
      <c r="FHE33" s="388"/>
      <c r="FHF33" s="388"/>
      <c r="FHG33" s="388"/>
      <c r="FHH33" s="388"/>
      <c r="FHI33" s="388"/>
      <c r="FHJ33" s="388"/>
      <c r="FHK33" s="388"/>
      <c r="FHL33" s="388"/>
      <c r="FHM33" s="388"/>
      <c r="FHN33" s="388"/>
      <c r="FHO33" s="388"/>
      <c r="FHP33" s="388"/>
      <c r="FHQ33" s="388"/>
      <c r="FHR33" s="388"/>
      <c r="FHS33" s="388"/>
      <c r="FHT33" s="388"/>
      <c r="FHU33" s="388"/>
      <c r="FHV33" s="388"/>
      <c r="FHW33" s="388"/>
      <c r="FHX33" s="388"/>
      <c r="FHY33" s="388"/>
      <c r="FHZ33" s="388"/>
      <c r="FIA33" s="388"/>
      <c r="FIB33" s="388"/>
      <c r="FIC33" s="388"/>
      <c r="FID33" s="388"/>
      <c r="FIE33" s="388"/>
      <c r="FIF33" s="388"/>
      <c r="FIG33" s="388"/>
      <c r="FIH33" s="388"/>
      <c r="FII33" s="388"/>
      <c r="FIJ33" s="388"/>
      <c r="FIK33" s="388"/>
      <c r="FIL33" s="388"/>
      <c r="FIM33" s="388"/>
      <c r="FIN33" s="388"/>
      <c r="FIO33" s="388"/>
      <c r="FIP33" s="388"/>
      <c r="FIQ33" s="388"/>
      <c r="FIR33" s="388"/>
      <c r="FIS33" s="388"/>
      <c r="FIT33" s="388"/>
      <c r="FIU33" s="388"/>
      <c r="FIV33" s="388"/>
      <c r="FIW33" s="388"/>
      <c r="FIX33" s="388"/>
      <c r="FIY33" s="388"/>
      <c r="FIZ33" s="388"/>
      <c r="FJA33" s="388"/>
      <c r="FJB33" s="388"/>
      <c r="FJC33" s="388"/>
      <c r="FJD33" s="388"/>
      <c r="FJE33" s="388"/>
      <c r="FJF33" s="388"/>
      <c r="FJG33" s="388"/>
      <c r="FJH33" s="388"/>
      <c r="FJI33" s="388"/>
      <c r="FJJ33" s="388"/>
      <c r="FJK33" s="388"/>
      <c r="FJL33" s="388"/>
      <c r="FJM33" s="388"/>
      <c r="FJN33" s="388"/>
      <c r="FJO33" s="388"/>
      <c r="FJP33" s="388"/>
      <c r="FJQ33" s="388"/>
      <c r="FJR33" s="388"/>
      <c r="FJS33" s="388"/>
      <c r="FJT33" s="388"/>
      <c r="FJU33" s="388"/>
      <c r="FJV33" s="388"/>
      <c r="FJW33" s="388"/>
      <c r="FJX33" s="388"/>
      <c r="FJY33" s="388"/>
      <c r="FJZ33" s="388"/>
      <c r="FKA33" s="388"/>
      <c r="FKB33" s="388"/>
      <c r="FKC33" s="388"/>
      <c r="FKD33" s="388"/>
      <c r="FKE33" s="388"/>
      <c r="FKF33" s="388"/>
      <c r="FKG33" s="388"/>
      <c r="FKH33" s="388"/>
      <c r="FKI33" s="388"/>
      <c r="FKJ33" s="388"/>
      <c r="FKK33" s="388"/>
      <c r="FKL33" s="388"/>
      <c r="FKM33" s="388"/>
      <c r="FKN33" s="388"/>
      <c r="FKO33" s="388"/>
      <c r="FKP33" s="388"/>
      <c r="FKQ33" s="388"/>
      <c r="FKR33" s="388"/>
      <c r="FKS33" s="388"/>
      <c r="FKT33" s="388"/>
      <c r="FKU33" s="388"/>
      <c r="FKV33" s="388"/>
      <c r="FKW33" s="388"/>
      <c r="FKX33" s="388"/>
      <c r="FKY33" s="388"/>
      <c r="FKZ33" s="388"/>
      <c r="FLA33" s="388"/>
      <c r="FLB33" s="388"/>
      <c r="FLC33" s="388"/>
      <c r="FLD33" s="388"/>
      <c r="FLE33" s="388"/>
      <c r="FLF33" s="388"/>
      <c r="FLG33" s="388"/>
      <c r="FLH33" s="388"/>
      <c r="FLI33" s="388"/>
      <c r="FLJ33" s="388"/>
      <c r="FLK33" s="388"/>
      <c r="FLL33" s="388"/>
      <c r="FLM33" s="388"/>
      <c r="FLN33" s="388"/>
      <c r="FLO33" s="388"/>
      <c r="FLP33" s="388"/>
      <c r="FLQ33" s="388"/>
      <c r="FLR33" s="388"/>
      <c r="FLS33" s="388"/>
      <c r="FLT33" s="388"/>
      <c r="FLU33" s="388"/>
      <c r="FLV33" s="388"/>
      <c r="FLW33" s="388"/>
      <c r="FLX33" s="388"/>
      <c r="FLY33" s="388"/>
      <c r="FLZ33" s="388"/>
      <c r="FMA33" s="388"/>
      <c r="FMB33" s="388"/>
      <c r="FMC33" s="388"/>
      <c r="FMD33" s="388"/>
      <c r="FME33" s="388"/>
      <c r="FMF33" s="388"/>
      <c r="FMG33" s="388"/>
      <c r="FMH33" s="388"/>
      <c r="FMI33" s="388"/>
      <c r="FMJ33" s="388"/>
      <c r="FMK33" s="388"/>
      <c r="FML33" s="388"/>
      <c r="FMM33" s="388"/>
      <c r="FMN33" s="388"/>
      <c r="FMO33" s="388"/>
      <c r="FMP33" s="388"/>
      <c r="FMQ33" s="388"/>
      <c r="FMR33" s="388"/>
      <c r="FMS33" s="388"/>
      <c r="FMT33" s="388"/>
      <c r="FMU33" s="388"/>
      <c r="FMV33" s="388"/>
      <c r="FMW33" s="388"/>
      <c r="FMX33" s="388"/>
      <c r="FMY33" s="388"/>
      <c r="FMZ33" s="388"/>
      <c r="FNA33" s="388"/>
      <c r="FNB33" s="388"/>
      <c r="FNC33" s="388"/>
      <c r="FND33" s="388"/>
      <c r="FNE33" s="388"/>
      <c r="FNF33" s="388"/>
      <c r="FNG33" s="388"/>
      <c r="FNH33" s="388"/>
      <c r="FNI33" s="388"/>
      <c r="FNJ33" s="388"/>
      <c r="FNK33" s="388"/>
      <c r="FNL33" s="388"/>
      <c r="FNM33" s="388"/>
      <c r="FNN33" s="388"/>
      <c r="FNO33" s="388"/>
      <c r="FNP33" s="388"/>
      <c r="FNQ33" s="388"/>
      <c r="FNR33" s="388"/>
      <c r="FNS33" s="388"/>
      <c r="FNT33" s="388"/>
      <c r="FNU33" s="388"/>
      <c r="FNV33" s="388"/>
      <c r="FNW33" s="388"/>
      <c r="FNX33" s="388"/>
      <c r="FNY33" s="388"/>
      <c r="FNZ33" s="388"/>
      <c r="FOA33" s="388"/>
      <c r="FOB33" s="388"/>
      <c r="FOC33" s="388"/>
      <c r="FOD33" s="388"/>
      <c r="FOE33" s="388"/>
      <c r="FOF33" s="388"/>
      <c r="FOG33" s="388"/>
      <c r="FOH33" s="388"/>
      <c r="FOI33" s="388"/>
      <c r="FOJ33" s="388"/>
      <c r="FOK33" s="388"/>
      <c r="FOL33" s="388"/>
      <c r="FOM33" s="388"/>
      <c r="FON33" s="388"/>
      <c r="FOO33" s="388"/>
      <c r="FOP33" s="388"/>
      <c r="FOQ33" s="388"/>
      <c r="FOR33" s="388"/>
      <c r="FOS33" s="388"/>
      <c r="FOT33" s="388"/>
      <c r="FOU33" s="388"/>
      <c r="FOV33" s="388"/>
      <c r="FOW33" s="388"/>
      <c r="FOX33" s="388"/>
      <c r="FOY33" s="388"/>
      <c r="FOZ33" s="388"/>
      <c r="FPA33" s="388"/>
      <c r="FPB33" s="388"/>
      <c r="FPC33" s="388"/>
      <c r="FPD33" s="388"/>
      <c r="FPE33" s="388"/>
      <c r="FPF33" s="388"/>
      <c r="FPG33" s="388"/>
      <c r="FPH33" s="388"/>
      <c r="FPI33" s="388"/>
      <c r="FPJ33" s="388"/>
      <c r="FPK33" s="388"/>
      <c r="FPL33" s="388"/>
      <c r="FPM33" s="388"/>
      <c r="FPN33" s="388"/>
      <c r="FPO33" s="388"/>
      <c r="FPP33" s="388"/>
      <c r="FPQ33" s="388"/>
      <c r="FPR33" s="388"/>
      <c r="FPS33" s="388"/>
      <c r="FPT33" s="388"/>
      <c r="FPU33" s="388"/>
      <c r="FPV33" s="388"/>
      <c r="FPW33" s="388"/>
      <c r="FPX33" s="388"/>
      <c r="FPY33" s="388"/>
      <c r="FPZ33" s="388"/>
      <c r="FQA33" s="388"/>
      <c r="FQB33" s="388"/>
      <c r="FQC33" s="388"/>
      <c r="FQD33" s="388"/>
      <c r="FQE33" s="388"/>
      <c r="FQF33" s="388"/>
      <c r="FQG33" s="388"/>
      <c r="FQH33" s="388"/>
      <c r="FQI33" s="388"/>
      <c r="FQJ33" s="388"/>
      <c r="FQK33" s="388"/>
      <c r="FQL33" s="388"/>
      <c r="FQM33" s="388"/>
      <c r="FQN33" s="388"/>
      <c r="FQO33" s="388"/>
      <c r="FQP33" s="388"/>
      <c r="FQQ33" s="388"/>
      <c r="FQR33" s="388"/>
      <c r="FQS33" s="388"/>
      <c r="FQT33" s="388"/>
      <c r="FQU33" s="388"/>
      <c r="FQV33" s="388"/>
      <c r="FQW33" s="388"/>
      <c r="FQX33" s="388"/>
      <c r="FQY33" s="388"/>
      <c r="FQZ33" s="388"/>
      <c r="FRA33" s="388"/>
      <c r="FRB33" s="388"/>
      <c r="FRC33" s="388"/>
      <c r="FRD33" s="388"/>
      <c r="FRE33" s="388"/>
      <c r="FRF33" s="388"/>
      <c r="FRG33" s="388"/>
      <c r="FRH33" s="388"/>
      <c r="FRI33" s="388"/>
      <c r="FRJ33" s="388"/>
      <c r="FRK33" s="388"/>
      <c r="FRL33" s="388"/>
      <c r="FRM33" s="388"/>
      <c r="FRN33" s="388"/>
      <c r="FRO33" s="388"/>
      <c r="FRP33" s="388"/>
      <c r="FRQ33" s="388"/>
      <c r="FRR33" s="388"/>
      <c r="FRS33" s="388"/>
      <c r="FRT33" s="388"/>
      <c r="FRU33" s="388"/>
      <c r="FRV33" s="388"/>
      <c r="FRW33" s="388"/>
      <c r="FRX33" s="388"/>
      <c r="FRY33" s="388"/>
      <c r="FRZ33" s="388"/>
      <c r="FSA33" s="388"/>
      <c r="FSB33" s="388"/>
      <c r="FSC33" s="388"/>
      <c r="FSD33" s="388"/>
      <c r="FSE33" s="388"/>
      <c r="FSF33" s="388"/>
      <c r="FSG33" s="388"/>
      <c r="FSH33" s="388"/>
      <c r="FSI33" s="388"/>
      <c r="FSJ33" s="388"/>
      <c r="FSK33" s="388"/>
      <c r="FSL33" s="388"/>
      <c r="FSM33" s="388"/>
      <c r="FSN33" s="388"/>
      <c r="FSO33" s="388"/>
      <c r="FSP33" s="388"/>
      <c r="FSQ33" s="388"/>
      <c r="FSR33" s="388"/>
      <c r="FSS33" s="388"/>
      <c r="FST33" s="388"/>
      <c r="FSU33" s="388"/>
      <c r="FSV33" s="388"/>
      <c r="FSW33" s="388"/>
      <c r="FSX33" s="388"/>
      <c r="FSY33" s="388"/>
      <c r="FSZ33" s="388"/>
      <c r="FTA33" s="388"/>
      <c r="FTB33" s="388"/>
      <c r="FTC33" s="388"/>
      <c r="FTD33" s="388"/>
      <c r="FTE33" s="388"/>
      <c r="FTF33" s="388"/>
      <c r="FTG33" s="388"/>
      <c r="FTH33" s="388"/>
      <c r="FTI33" s="388"/>
      <c r="FTJ33" s="388"/>
      <c r="FTK33" s="388"/>
      <c r="FTL33" s="388"/>
      <c r="FTM33" s="388"/>
      <c r="FTN33" s="388"/>
      <c r="FTO33" s="388"/>
      <c r="FTP33" s="388"/>
      <c r="FTQ33" s="388"/>
      <c r="FTR33" s="388"/>
      <c r="FTS33" s="388"/>
      <c r="FTT33" s="388"/>
      <c r="FTU33" s="388"/>
      <c r="FTV33" s="388"/>
      <c r="FTW33" s="388"/>
      <c r="FTX33" s="388"/>
      <c r="FTY33" s="388"/>
      <c r="FTZ33" s="388"/>
      <c r="FUA33" s="388"/>
      <c r="FUB33" s="388"/>
      <c r="FUC33" s="388"/>
      <c r="FUD33" s="388"/>
      <c r="FUE33" s="388"/>
      <c r="FUF33" s="388"/>
      <c r="FUG33" s="388"/>
      <c r="FUH33" s="388"/>
      <c r="FUI33" s="388"/>
      <c r="FUJ33" s="388"/>
      <c r="FUK33" s="388"/>
      <c r="FUL33" s="388"/>
      <c r="FUM33" s="388"/>
      <c r="FUN33" s="388"/>
      <c r="FUO33" s="388"/>
      <c r="FUP33" s="388"/>
      <c r="FUQ33" s="388"/>
      <c r="FUR33" s="388"/>
      <c r="FUS33" s="388"/>
      <c r="FUT33" s="388"/>
      <c r="FUU33" s="388"/>
      <c r="FUV33" s="388"/>
      <c r="FUW33" s="388"/>
      <c r="FUX33" s="388"/>
      <c r="FUY33" s="388"/>
      <c r="FUZ33" s="388"/>
      <c r="FVA33" s="388"/>
      <c r="FVB33" s="388"/>
      <c r="FVC33" s="388"/>
      <c r="FVD33" s="388"/>
      <c r="FVE33" s="388"/>
      <c r="FVF33" s="388"/>
      <c r="FVG33" s="388"/>
      <c r="FVH33" s="388"/>
      <c r="FVI33" s="388"/>
      <c r="FVJ33" s="388"/>
      <c r="FVK33" s="388"/>
      <c r="FVL33" s="388"/>
      <c r="FVM33" s="388"/>
      <c r="FVN33" s="388"/>
      <c r="FVO33" s="388"/>
      <c r="FVP33" s="388"/>
      <c r="FVQ33" s="388"/>
      <c r="FVR33" s="388"/>
      <c r="FVS33" s="388"/>
      <c r="FVT33" s="388"/>
      <c r="FVU33" s="388"/>
      <c r="FVV33" s="388"/>
      <c r="FVW33" s="388"/>
      <c r="FVX33" s="388"/>
      <c r="FVY33" s="388"/>
      <c r="FVZ33" s="388"/>
      <c r="FWA33" s="388"/>
      <c r="FWB33" s="388"/>
      <c r="FWC33" s="388"/>
      <c r="FWD33" s="388"/>
      <c r="FWE33" s="388"/>
      <c r="FWF33" s="388"/>
      <c r="FWG33" s="388"/>
      <c r="FWH33" s="388"/>
      <c r="FWI33" s="388"/>
      <c r="FWJ33" s="388"/>
      <c r="FWK33" s="388"/>
      <c r="FWL33" s="388"/>
      <c r="FWM33" s="388"/>
      <c r="FWN33" s="388"/>
      <c r="FWO33" s="388"/>
      <c r="FWP33" s="388"/>
      <c r="FWQ33" s="388"/>
      <c r="FWR33" s="388"/>
      <c r="FWS33" s="388"/>
      <c r="FWT33" s="388"/>
      <c r="FWU33" s="388"/>
      <c r="FWV33" s="388"/>
      <c r="FWW33" s="388"/>
      <c r="FWX33" s="388"/>
      <c r="FWY33" s="388"/>
      <c r="FWZ33" s="388"/>
      <c r="FXA33" s="388"/>
      <c r="FXB33" s="388"/>
      <c r="FXC33" s="388"/>
      <c r="FXD33" s="388"/>
      <c r="FXE33" s="388"/>
      <c r="FXF33" s="388"/>
      <c r="FXG33" s="388"/>
      <c r="FXH33" s="388"/>
      <c r="FXI33" s="388"/>
      <c r="FXJ33" s="388"/>
      <c r="FXK33" s="388"/>
      <c r="FXL33" s="388"/>
      <c r="FXM33" s="388"/>
      <c r="FXN33" s="388"/>
      <c r="FXO33" s="388"/>
      <c r="FXP33" s="388"/>
      <c r="FXQ33" s="388"/>
      <c r="FXR33" s="388"/>
      <c r="FXS33" s="388"/>
      <c r="FXT33" s="388"/>
      <c r="FXU33" s="388"/>
      <c r="FXV33" s="388"/>
      <c r="FXW33" s="388"/>
      <c r="FXX33" s="388"/>
      <c r="FXY33" s="388"/>
      <c r="FXZ33" s="388"/>
      <c r="FYA33" s="388"/>
      <c r="FYB33" s="388"/>
      <c r="FYC33" s="388"/>
      <c r="FYD33" s="388"/>
      <c r="FYE33" s="388"/>
      <c r="FYF33" s="388"/>
      <c r="FYG33" s="388"/>
      <c r="FYH33" s="388"/>
      <c r="FYI33" s="388"/>
      <c r="FYJ33" s="388"/>
      <c r="FYK33" s="388"/>
      <c r="FYL33" s="388"/>
      <c r="FYM33" s="388"/>
      <c r="FYN33" s="388"/>
      <c r="FYO33" s="388"/>
      <c r="FYP33" s="388"/>
      <c r="FYQ33" s="388"/>
      <c r="FYR33" s="388"/>
      <c r="FYS33" s="388"/>
      <c r="FYT33" s="388"/>
      <c r="FYU33" s="388"/>
      <c r="FYV33" s="388"/>
      <c r="FYW33" s="388"/>
      <c r="FYX33" s="388"/>
      <c r="FYY33" s="388"/>
      <c r="FYZ33" s="388"/>
      <c r="FZA33" s="388"/>
      <c r="FZB33" s="388"/>
      <c r="FZC33" s="388"/>
      <c r="FZD33" s="388"/>
      <c r="FZE33" s="388"/>
      <c r="FZF33" s="388"/>
      <c r="FZG33" s="388"/>
      <c r="FZH33" s="388"/>
      <c r="FZI33" s="388"/>
      <c r="FZJ33" s="388"/>
      <c r="FZK33" s="388"/>
      <c r="FZL33" s="388"/>
      <c r="FZM33" s="388"/>
      <c r="FZN33" s="388"/>
      <c r="FZO33" s="388"/>
      <c r="FZP33" s="388"/>
      <c r="FZQ33" s="388"/>
      <c r="FZR33" s="388"/>
      <c r="FZS33" s="388"/>
      <c r="FZT33" s="388"/>
      <c r="FZU33" s="388"/>
      <c r="FZV33" s="388"/>
      <c r="FZW33" s="388"/>
      <c r="FZX33" s="388"/>
      <c r="FZY33" s="388"/>
      <c r="FZZ33" s="388"/>
      <c r="GAA33" s="388"/>
      <c r="GAB33" s="388"/>
      <c r="GAC33" s="388"/>
      <c r="GAD33" s="388"/>
      <c r="GAE33" s="388"/>
      <c r="GAF33" s="388"/>
      <c r="GAG33" s="388"/>
      <c r="GAH33" s="388"/>
      <c r="GAI33" s="388"/>
      <c r="GAJ33" s="388"/>
      <c r="GAK33" s="388"/>
      <c r="GAL33" s="388"/>
      <c r="GAM33" s="388"/>
      <c r="GAN33" s="388"/>
      <c r="GAO33" s="388"/>
      <c r="GAP33" s="388"/>
      <c r="GAQ33" s="388"/>
      <c r="GAR33" s="388"/>
      <c r="GAS33" s="388"/>
      <c r="GAT33" s="388"/>
      <c r="GAU33" s="388"/>
      <c r="GAV33" s="388"/>
      <c r="GAW33" s="388"/>
      <c r="GAX33" s="388"/>
      <c r="GAY33" s="388"/>
      <c r="GAZ33" s="388"/>
      <c r="GBA33" s="388"/>
      <c r="GBB33" s="388"/>
      <c r="GBC33" s="388"/>
      <c r="GBD33" s="388"/>
      <c r="GBE33" s="388"/>
      <c r="GBF33" s="388"/>
      <c r="GBG33" s="388"/>
      <c r="GBH33" s="388"/>
      <c r="GBI33" s="388"/>
      <c r="GBJ33" s="388"/>
      <c r="GBK33" s="388"/>
      <c r="GBL33" s="388"/>
      <c r="GBM33" s="388"/>
      <c r="GBN33" s="388"/>
      <c r="GBO33" s="388"/>
      <c r="GBP33" s="388"/>
      <c r="GBQ33" s="388"/>
      <c r="GBR33" s="388"/>
      <c r="GBS33" s="388"/>
      <c r="GBT33" s="388"/>
      <c r="GBU33" s="388"/>
      <c r="GBV33" s="388"/>
      <c r="GBW33" s="388"/>
      <c r="GBX33" s="388"/>
      <c r="GBY33" s="388"/>
      <c r="GBZ33" s="388"/>
      <c r="GCA33" s="388"/>
      <c r="GCB33" s="388"/>
      <c r="GCC33" s="388"/>
      <c r="GCD33" s="388"/>
      <c r="GCE33" s="388"/>
      <c r="GCF33" s="388"/>
      <c r="GCG33" s="388"/>
      <c r="GCH33" s="388"/>
      <c r="GCI33" s="388"/>
      <c r="GCJ33" s="388"/>
      <c r="GCK33" s="388"/>
      <c r="GCL33" s="388"/>
      <c r="GCM33" s="388"/>
      <c r="GCN33" s="388"/>
      <c r="GCO33" s="388"/>
      <c r="GCP33" s="388"/>
      <c r="GCQ33" s="388"/>
      <c r="GCR33" s="388"/>
      <c r="GCS33" s="388"/>
      <c r="GCT33" s="388"/>
      <c r="GCU33" s="388"/>
      <c r="GCV33" s="388"/>
      <c r="GCW33" s="388"/>
      <c r="GCX33" s="388"/>
      <c r="GCY33" s="388"/>
      <c r="GCZ33" s="388"/>
      <c r="GDA33" s="388"/>
      <c r="GDB33" s="388"/>
      <c r="GDC33" s="388"/>
      <c r="GDD33" s="388"/>
      <c r="GDE33" s="388"/>
      <c r="GDF33" s="388"/>
      <c r="GDG33" s="388"/>
      <c r="GDH33" s="388"/>
      <c r="GDI33" s="388"/>
      <c r="GDJ33" s="388"/>
      <c r="GDK33" s="388"/>
      <c r="GDL33" s="388"/>
      <c r="GDM33" s="388"/>
      <c r="GDN33" s="388"/>
      <c r="GDO33" s="388"/>
      <c r="GDP33" s="388"/>
      <c r="GDQ33" s="388"/>
      <c r="GDR33" s="388"/>
      <c r="GDS33" s="388"/>
      <c r="GDT33" s="388"/>
      <c r="GDU33" s="388"/>
      <c r="GDV33" s="388"/>
      <c r="GDW33" s="388"/>
      <c r="GDX33" s="388"/>
      <c r="GDY33" s="388"/>
      <c r="GDZ33" s="388"/>
      <c r="GEA33" s="388"/>
      <c r="GEB33" s="388"/>
      <c r="GEC33" s="388"/>
      <c r="GED33" s="388"/>
      <c r="GEE33" s="388"/>
      <c r="GEF33" s="388"/>
      <c r="GEG33" s="388"/>
      <c r="GEH33" s="388"/>
      <c r="GEI33" s="388"/>
      <c r="GEJ33" s="388"/>
      <c r="GEK33" s="388"/>
      <c r="GEL33" s="388"/>
      <c r="GEM33" s="388"/>
      <c r="GEN33" s="388"/>
      <c r="GEO33" s="388"/>
      <c r="GEP33" s="388"/>
      <c r="GEQ33" s="388"/>
      <c r="GER33" s="388"/>
      <c r="GES33" s="388"/>
      <c r="GET33" s="388"/>
      <c r="GEU33" s="388"/>
      <c r="GEV33" s="388"/>
      <c r="GEW33" s="388"/>
      <c r="GEX33" s="388"/>
      <c r="GEY33" s="388"/>
      <c r="GEZ33" s="388"/>
      <c r="GFA33" s="388"/>
      <c r="GFB33" s="388"/>
      <c r="GFC33" s="388"/>
      <c r="GFD33" s="388"/>
      <c r="GFE33" s="388"/>
      <c r="GFF33" s="388"/>
      <c r="GFG33" s="388"/>
      <c r="GFH33" s="388"/>
      <c r="GFI33" s="388"/>
      <c r="GFJ33" s="388"/>
      <c r="GFK33" s="388"/>
      <c r="GFL33" s="388"/>
      <c r="GFM33" s="388"/>
      <c r="GFN33" s="388"/>
      <c r="GFO33" s="388"/>
      <c r="GFP33" s="388"/>
      <c r="GFQ33" s="388"/>
      <c r="GFR33" s="388"/>
      <c r="GFS33" s="388"/>
      <c r="GFT33" s="388"/>
      <c r="GFU33" s="388"/>
      <c r="GFV33" s="388"/>
      <c r="GFW33" s="388"/>
      <c r="GFX33" s="388"/>
      <c r="GFY33" s="388"/>
      <c r="GFZ33" s="388"/>
      <c r="GGA33" s="388"/>
      <c r="GGB33" s="388"/>
      <c r="GGC33" s="388"/>
      <c r="GGD33" s="388"/>
      <c r="GGE33" s="388"/>
      <c r="GGF33" s="388"/>
      <c r="GGG33" s="388"/>
      <c r="GGH33" s="388"/>
      <c r="GGI33" s="388"/>
      <c r="GGJ33" s="388"/>
      <c r="GGK33" s="388"/>
      <c r="GGL33" s="388"/>
      <c r="GGM33" s="388"/>
      <c r="GGN33" s="388"/>
      <c r="GGO33" s="388"/>
      <c r="GGP33" s="388"/>
      <c r="GGQ33" s="388"/>
      <c r="GGR33" s="388"/>
      <c r="GGS33" s="388"/>
      <c r="GGT33" s="388"/>
      <c r="GGU33" s="388"/>
      <c r="GGV33" s="388"/>
      <c r="GGW33" s="388"/>
      <c r="GGX33" s="388"/>
      <c r="GGY33" s="388"/>
      <c r="GGZ33" s="388"/>
      <c r="GHA33" s="388"/>
      <c r="GHB33" s="388"/>
      <c r="GHC33" s="388"/>
      <c r="GHD33" s="388"/>
      <c r="GHE33" s="388"/>
      <c r="GHF33" s="388"/>
      <c r="GHG33" s="388"/>
      <c r="GHH33" s="388"/>
      <c r="GHI33" s="388"/>
      <c r="GHJ33" s="388"/>
      <c r="GHK33" s="388"/>
      <c r="GHL33" s="388"/>
      <c r="GHM33" s="388"/>
      <c r="GHN33" s="388"/>
      <c r="GHO33" s="388"/>
      <c r="GHP33" s="388"/>
      <c r="GHQ33" s="388"/>
      <c r="GHR33" s="388"/>
      <c r="GHS33" s="388"/>
      <c r="GHT33" s="388"/>
      <c r="GHU33" s="388"/>
      <c r="GHV33" s="388"/>
      <c r="GHW33" s="388"/>
      <c r="GHX33" s="388"/>
      <c r="GHY33" s="388"/>
      <c r="GHZ33" s="388"/>
      <c r="GIA33" s="388"/>
      <c r="GIB33" s="388"/>
      <c r="GIC33" s="388"/>
      <c r="GID33" s="388"/>
      <c r="GIE33" s="388"/>
      <c r="GIF33" s="388"/>
      <c r="GIG33" s="388"/>
      <c r="GIH33" s="388"/>
      <c r="GII33" s="388"/>
      <c r="GIJ33" s="388"/>
      <c r="GIK33" s="388"/>
      <c r="GIL33" s="388"/>
      <c r="GIM33" s="388"/>
      <c r="GIN33" s="388"/>
      <c r="GIO33" s="388"/>
      <c r="GIP33" s="388"/>
      <c r="GIQ33" s="388"/>
      <c r="GIR33" s="388"/>
      <c r="GIS33" s="388"/>
      <c r="GIT33" s="388"/>
      <c r="GIU33" s="388"/>
      <c r="GIV33" s="388"/>
      <c r="GIW33" s="388"/>
      <c r="GIX33" s="388"/>
      <c r="GIY33" s="388"/>
      <c r="GIZ33" s="388"/>
      <c r="GJA33" s="388"/>
      <c r="GJB33" s="388"/>
      <c r="GJC33" s="388"/>
      <c r="GJD33" s="388"/>
      <c r="GJE33" s="388"/>
      <c r="GJF33" s="388"/>
      <c r="GJG33" s="388"/>
      <c r="GJH33" s="388"/>
      <c r="GJI33" s="388"/>
      <c r="GJJ33" s="388"/>
      <c r="GJK33" s="388"/>
      <c r="GJL33" s="388"/>
      <c r="GJM33" s="388"/>
      <c r="GJN33" s="388"/>
      <c r="GJO33" s="388"/>
      <c r="GJP33" s="388"/>
      <c r="GJQ33" s="388"/>
      <c r="GJR33" s="388"/>
      <c r="GJS33" s="388"/>
      <c r="GJT33" s="388"/>
      <c r="GJU33" s="388"/>
      <c r="GJV33" s="388"/>
      <c r="GJW33" s="388"/>
      <c r="GJX33" s="388"/>
      <c r="GJY33" s="388"/>
      <c r="GJZ33" s="388"/>
      <c r="GKA33" s="388"/>
      <c r="GKB33" s="388"/>
      <c r="GKC33" s="388"/>
      <c r="GKD33" s="388"/>
      <c r="GKE33" s="388"/>
      <c r="GKF33" s="388"/>
      <c r="GKG33" s="388"/>
      <c r="GKH33" s="388"/>
      <c r="GKI33" s="388"/>
      <c r="GKJ33" s="388"/>
      <c r="GKK33" s="388"/>
      <c r="GKL33" s="388"/>
      <c r="GKM33" s="388"/>
      <c r="GKN33" s="388"/>
      <c r="GKO33" s="388"/>
      <c r="GKP33" s="388"/>
      <c r="GKQ33" s="388"/>
      <c r="GKR33" s="388"/>
      <c r="GKS33" s="388"/>
      <c r="GKT33" s="388"/>
      <c r="GKU33" s="388"/>
      <c r="GKV33" s="388"/>
      <c r="GKW33" s="388"/>
      <c r="GKX33" s="388"/>
      <c r="GKY33" s="388"/>
      <c r="GKZ33" s="388"/>
      <c r="GLA33" s="388"/>
      <c r="GLB33" s="388"/>
      <c r="GLC33" s="388"/>
      <c r="GLD33" s="388"/>
      <c r="GLE33" s="388"/>
      <c r="GLF33" s="388"/>
      <c r="GLG33" s="388"/>
      <c r="GLH33" s="388"/>
      <c r="GLI33" s="388"/>
      <c r="GLJ33" s="388"/>
      <c r="GLK33" s="388"/>
      <c r="GLL33" s="388"/>
      <c r="GLM33" s="388"/>
      <c r="GLN33" s="388"/>
      <c r="GLO33" s="388"/>
      <c r="GLP33" s="388"/>
      <c r="GLQ33" s="388"/>
      <c r="GLR33" s="388"/>
      <c r="GLS33" s="388"/>
      <c r="GLT33" s="388"/>
      <c r="GLU33" s="388"/>
      <c r="GLV33" s="388"/>
      <c r="GLW33" s="388"/>
      <c r="GLX33" s="388"/>
      <c r="GLY33" s="388"/>
      <c r="GLZ33" s="388"/>
      <c r="GMA33" s="388"/>
      <c r="GMB33" s="388"/>
      <c r="GMC33" s="388"/>
      <c r="GMD33" s="388"/>
      <c r="GME33" s="388"/>
      <c r="GMF33" s="388"/>
      <c r="GMG33" s="388"/>
      <c r="GMH33" s="388"/>
      <c r="GMI33" s="388"/>
      <c r="GMJ33" s="388"/>
      <c r="GMK33" s="388"/>
      <c r="GML33" s="388"/>
      <c r="GMM33" s="388"/>
      <c r="GMN33" s="388"/>
      <c r="GMO33" s="388"/>
      <c r="GMP33" s="388"/>
      <c r="GMQ33" s="388"/>
      <c r="GMR33" s="388"/>
      <c r="GMS33" s="388"/>
      <c r="GMT33" s="388"/>
      <c r="GMU33" s="388"/>
      <c r="GMV33" s="388"/>
      <c r="GMW33" s="388"/>
      <c r="GMX33" s="388"/>
      <c r="GMY33" s="388"/>
      <c r="GMZ33" s="388"/>
      <c r="GNA33" s="388"/>
      <c r="GNB33" s="388"/>
      <c r="GNC33" s="388"/>
      <c r="GND33" s="388"/>
      <c r="GNE33" s="388"/>
      <c r="GNF33" s="388"/>
      <c r="GNG33" s="388"/>
      <c r="GNH33" s="388"/>
      <c r="GNI33" s="388"/>
      <c r="GNJ33" s="388"/>
      <c r="GNK33" s="388"/>
      <c r="GNL33" s="388"/>
      <c r="GNM33" s="388"/>
      <c r="GNN33" s="388"/>
      <c r="GNO33" s="388"/>
      <c r="GNP33" s="388"/>
      <c r="GNQ33" s="388"/>
      <c r="GNR33" s="388"/>
      <c r="GNS33" s="388"/>
      <c r="GNT33" s="388"/>
      <c r="GNU33" s="388"/>
      <c r="GNV33" s="388"/>
      <c r="GNW33" s="388"/>
      <c r="GNX33" s="388"/>
      <c r="GNY33" s="388"/>
      <c r="GNZ33" s="388"/>
      <c r="GOA33" s="388"/>
      <c r="GOB33" s="388"/>
      <c r="GOC33" s="388"/>
      <c r="GOD33" s="388"/>
      <c r="GOE33" s="388"/>
      <c r="GOF33" s="388"/>
      <c r="GOG33" s="388"/>
      <c r="GOH33" s="388"/>
      <c r="GOI33" s="388"/>
      <c r="GOJ33" s="388"/>
      <c r="GOK33" s="388"/>
      <c r="GOL33" s="388"/>
      <c r="GOM33" s="388"/>
      <c r="GON33" s="388"/>
      <c r="GOO33" s="388"/>
      <c r="GOP33" s="388"/>
      <c r="GOQ33" s="388"/>
      <c r="GOR33" s="388"/>
      <c r="GOS33" s="388"/>
      <c r="GOT33" s="388"/>
      <c r="GOU33" s="388"/>
      <c r="GOV33" s="388"/>
      <c r="GOW33" s="388"/>
      <c r="GOX33" s="388"/>
      <c r="GOY33" s="388"/>
      <c r="GOZ33" s="388"/>
      <c r="GPA33" s="388"/>
      <c r="GPB33" s="388"/>
      <c r="GPC33" s="388"/>
      <c r="GPD33" s="388"/>
      <c r="GPE33" s="388"/>
      <c r="GPF33" s="388"/>
      <c r="GPG33" s="388"/>
      <c r="GPH33" s="388"/>
      <c r="GPI33" s="388"/>
      <c r="GPJ33" s="388"/>
      <c r="GPK33" s="388"/>
      <c r="GPL33" s="388"/>
      <c r="GPM33" s="388"/>
      <c r="GPN33" s="388"/>
      <c r="GPO33" s="388"/>
      <c r="GPP33" s="388"/>
      <c r="GPQ33" s="388"/>
      <c r="GPR33" s="388"/>
      <c r="GPS33" s="388"/>
      <c r="GPT33" s="388"/>
      <c r="GPU33" s="388"/>
      <c r="GPV33" s="388"/>
      <c r="GPW33" s="388"/>
      <c r="GPX33" s="388"/>
      <c r="GPY33" s="388"/>
      <c r="GPZ33" s="388"/>
      <c r="GQA33" s="388"/>
      <c r="GQB33" s="388"/>
      <c r="GQC33" s="388"/>
      <c r="GQD33" s="388"/>
      <c r="GQE33" s="388"/>
      <c r="GQF33" s="388"/>
      <c r="GQG33" s="388"/>
      <c r="GQH33" s="388"/>
      <c r="GQI33" s="388"/>
      <c r="GQJ33" s="388"/>
      <c r="GQK33" s="388"/>
      <c r="GQL33" s="388"/>
      <c r="GQM33" s="388"/>
      <c r="GQN33" s="388"/>
      <c r="GQO33" s="388"/>
      <c r="GQP33" s="388"/>
      <c r="GQQ33" s="388"/>
      <c r="GQR33" s="388"/>
      <c r="GQS33" s="388"/>
      <c r="GQT33" s="388"/>
      <c r="GQU33" s="388"/>
      <c r="GQV33" s="388"/>
      <c r="GQW33" s="388"/>
      <c r="GQX33" s="388"/>
      <c r="GQY33" s="388"/>
      <c r="GQZ33" s="388"/>
      <c r="GRA33" s="388"/>
      <c r="GRB33" s="388"/>
      <c r="GRC33" s="388"/>
      <c r="GRD33" s="388"/>
      <c r="GRE33" s="388"/>
      <c r="GRF33" s="388"/>
      <c r="GRG33" s="388"/>
      <c r="GRH33" s="388"/>
      <c r="GRI33" s="388"/>
      <c r="GRJ33" s="388"/>
      <c r="GRK33" s="388"/>
      <c r="GRL33" s="388"/>
      <c r="GRM33" s="388"/>
      <c r="GRN33" s="388"/>
      <c r="GRO33" s="388"/>
      <c r="GRP33" s="388"/>
      <c r="GRQ33" s="388"/>
      <c r="GRR33" s="388"/>
      <c r="GRS33" s="388"/>
      <c r="GRT33" s="388"/>
      <c r="GRU33" s="388"/>
      <c r="GRV33" s="388"/>
      <c r="GRW33" s="388"/>
      <c r="GRX33" s="388"/>
      <c r="GRY33" s="388"/>
      <c r="GRZ33" s="388"/>
      <c r="GSA33" s="388"/>
      <c r="GSB33" s="388"/>
      <c r="GSC33" s="388"/>
      <c r="GSD33" s="388"/>
      <c r="GSE33" s="388"/>
      <c r="GSF33" s="388"/>
      <c r="GSG33" s="388"/>
      <c r="GSH33" s="388"/>
      <c r="GSI33" s="388"/>
      <c r="GSJ33" s="388"/>
      <c r="GSK33" s="388"/>
      <c r="GSL33" s="388"/>
      <c r="GSM33" s="388"/>
      <c r="GSN33" s="388"/>
      <c r="GSO33" s="388"/>
      <c r="GSP33" s="388"/>
      <c r="GSQ33" s="388"/>
      <c r="GSR33" s="388"/>
      <c r="GSS33" s="388"/>
      <c r="GST33" s="388"/>
      <c r="GSU33" s="388"/>
      <c r="GSV33" s="388"/>
      <c r="GSW33" s="388"/>
      <c r="GSX33" s="388"/>
      <c r="GSY33" s="388"/>
      <c r="GSZ33" s="388"/>
      <c r="GTA33" s="388"/>
      <c r="GTB33" s="388"/>
      <c r="GTC33" s="388"/>
      <c r="GTD33" s="388"/>
      <c r="GTE33" s="388"/>
      <c r="GTF33" s="388"/>
      <c r="GTG33" s="388"/>
      <c r="GTH33" s="388"/>
      <c r="GTI33" s="388"/>
      <c r="GTJ33" s="388"/>
      <c r="GTK33" s="388"/>
      <c r="GTL33" s="388"/>
      <c r="GTM33" s="388"/>
      <c r="GTN33" s="388"/>
      <c r="GTO33" s="388"/>
      <c r="GTP33" s="388"/>
      <c r="GTQ33" s="388"/>
      <c r="GTR33" s="388"/>
      <c r="GTS33" s="388"/>
      <c r="GTT33" s="388"/>
      <c r="GTU33" s="388"/>
      <c r="GTV33" s="388"/>
      <c r="GTW33" s="388"/>
      <c r="GTX33" s="388"/>
      <c r="GTY33" s="388"/>
      <c r="GTZ33" s="388"/>
      <c r="GUA33" s="388"/>
      <c r="GUB33" s="388"/>
      <c r="GUC33" s="388"/>
      <c r="GUD33" s="388"/>
      <c r="GUE33" s="388"/>
      <c r="GUF33" s="388"/>
      <c r="GUG33" s="388"/>
      <c r="GUH33" s="388"/>
      <c r="GUI33" s="388"/>
      <c r="GUJ33" s="388"/>
      <c r="GUK33" s="388"/>
      <c r="GUL33" s="388"/>
      <c r="GUM33" s="388"/>
      <c r="GUN33" s="388"/>
      <c r="GUO33" s="388"/>
      <c r="GUP33" s="388"/>
      <c r="GUQ33" s="388"/>
      <c r="GUR33" s="388"/>
      <c r="GUS33" s="388"/>
      <c r="GUT33" s="388"/>
      <c r="GUU33" s="388"/>
      <c r="GUV33" s="388"/>
      <c r="GUW33" s="388"/>
      <c r="GUX33" s="388"/>
      <c r="GUY33" s="388"/>
      <c r="GUZ33" s="388"/>
      <c r="GVA33" s="388"/>
      <c r="GVB33" s="388"/>
      <c r="GVC33" s="388"/>
      <c r="GVD33" s="388"/>
      <c r="GVE33" s="388"/>
      <c r="GVF33" s="388"/>
      <c r="GVG33" s="388"/>
      <c r="GVH33" s="388"/>
      <c r="GVI33" s="388"/>
      <c r="GVJ33" s="388"/>
      <c r="GVK33" s="388"/>
      <c r="GVL33" s="388"/>
      <c r="GVM33" s="388"/>
      <c r="GVN33" s="388"/>
      <c r="GVO33" s="388"/>
      <c r="GVP33" s="388"/>
      <c r="GVQ33" s="388"/>
      <c r="GVR33" s="388"/>
      <c r="GVS33" s="388"/>
      <c r="GVT33" s="388"/>
      <c r="GVU33" s="388"/>
      <c r="GVV33" s="388"/>
      <c r="GVW33" s="388"/>
      <c r="GVX33" s="388"/>
      <c r="GVY33" s="388"/>
      <c r="GVZ33" s="388"/>
      <c r="GWA33" s="388"/>
      <c r="GWB33" s="388"/>
      <c r="GWC33" s="388"/>
      <c r="GWD33" s="388"/>
      <c r="GWE33" s="388"/>
      <c r="GWF33" s="388"/>
      <c r="GWG33" s="388"/>
      <c r="GWH33" s="388"/>
      <c r="GWI33" s="388"/>
      <c r="GWJ33" s="388"/>
      <c r="GWK33" s="388"/>
      <c r="GWL33" s="388"/>
      <c r="GWM33" s="388"/>
      <c r="GWN33" s="388"/>
      <c r="GWO33" s="388"/>
      <c r="GWP33" s="388"/>
      <c r="GWQ33" s="388"/>
      <c r="GWR33" s="388"/>
      <c r="GWS33" s="388"/>
      <c r="GWT33" s="388"/>
      <c r="GWU33" s="388"/>
      <c r="GWV33" s="388"/>
      <c r="GWW33" s="388"/>
      <c r="GWX33" s="388"/>
      <c r="GWY33" s="388"/>
      <c r="GWZ33" s="388"/>
      <c r="GXA33" s="388"/>
      <c r="GXB33" s="388"/>
      <c r="GXC33" s="388"/>
      <c r="GXD33" s="388"/>
      <c r="GXE33" s="388"/>
      <c r="GXF33" s="388"/>
      <c r="GXG33" s="388"/>
      <c r="GXH33" s="388"/>
      <c r="GXI33" s="388"/>
      <c r="GXJ33" s="388"/>
      <c r="GXK33" s="388"/>
      <c r="GXL33" s="388"/>
      <c r="GXM33" s="388"/>
      <c r="GXN33" s="388"/>
      <c r="GXO33" s="388"/>
      <c r="GXP33" s="388"/>
      <c r="GXQ33" s="388"/>
      <c r="GXR33" s="388"/>
      <c r="GXS33" s="388"/>
      <c r="GXT33" s="388"/>
      <c r="GXU33" s="388"/>
      <c r="GXV33" s="388"/>
      <c r="GXW33" s="388"/>
      <c r="GXX33" s="388"/>
      <c r="GXY33" s="388"/>
      <c r="GXZ33" s="388"/>
      <c r="GYA33" s="388"/>
      <c r="GYB33" s="388"/>
      <c r="GYC33" s="388"/>
      <c r="GYD33" s="388"/>
      <c r="GYE33" s="388"/>
      <c r="GYF33" s="388"/>
      <c r="GYG33" s="388"/>
      <c r="GYH33" s="388"/>
      <c r="GYI33" s="388"/>
      <c r="GYJ33" s="388"/>
      <c r="GYK33" s="388"/>
      <c r="GYL33" s="388"/>
      <c r="GYM33" s="388"/>
      <c r="GYN33" s="388"/>
      <c r="GYO33" s="388"/>
      <c r="GYP33" s="388"/>
      <c r="GYQ33" s="388"/>
      <c r="GYR33" s="388"/>
      <c r="GYS33" s="388"/>
      <c r="GYT33" s="388"/>
      <c r="GYU33" s="388"/>
      <c r="GYV33" s="388"/>
      <c r="GYW33" s="388"/>
      <c r="GYX33" s="388"/>
      <c r="GYY33" s="388"/>
      <c r="GYZ33" s="388"/>
      <c r="GZA33" s="388"/>
      <c r="GZB33" s="388"/>
      <c r="GZC33" s="388"/>
      <c r="GZD33" s="388"/>
      <c r="GZE33" s="388"/>
      <c r="GZF33" s="388"/>
      <c r="GZG33" s="388"/>
      <c r="GZH33" s="388"/>
      <c r="GZI33" s="388"/>
      <c r="GZJ33" s="388"/>
      <c r="GZK33" s="388"/>
      <c r="GZL33" s="388"/>
      <c r="GZM33" s="388"/>
      <c r="GZN33" s="388"/>
      <c r="GZO33" s="388"/>
      <c r="GZP33" s="388"/>
      <c r="GZQ33" s="388"/>
      <c r="GZR33" s="388"/>
      <c r="GZS33" s="388"/>
      <c r="GZT33" s="388"/>
      <c r="GZU33" s="388"/>
      <c r="GZV33" s="388"/>
      <c r="GZW33" s="388"/>
      <c r="GZX33" s="388"/>
      <c r="GZY33" s="388"/>
      <c r="GZZ33" s="388"/>
      <c r="HAA33" s="388"/>
      <c r="HAB33" s="388"/>
      <c r="HAC33" s="388"/>
      <c r="HAD33" s="388"/>
      <c r="HAE33" s="388"/>
      <c r="HAF33" s="388"/>
      <c r="HAG33" s="388"/>
      <c r="HAH33" s="388"/>
      <c r="HAI33" s="388"/>
      <c r="HAJ33" s="388"/>
      <c r="HAK33" s="388"/>
      <c r="HAL33" s="388"/>
      <c r="HAM33" s="388"/>
      <c r="HAN33" s="388"/>
      <c r="HAO33" s="388"/>
      <c r="HAP33" s="388"/>
      <c r="HAQ33" s="388"/>
      <c r="HAR33" s="388"/>
      <c r="HAS33" s="388"/>
      <c r="HAT33" s="388"/>
      <c r="HAU33" s="388"/>
      <c r="HAV33" s="388"/>
      <c r="HAW33" s="388"/>
      <c r="HAX33" s="388"/>
      <c r="HAY33" s="388"/>
      <c r="HAZ33" s="388"/>
      <c r="HBA33" s="388"/>
      <c r="HBB33" s="388"/>
      <c r="HBC33" s="388"/>
      <c r="HBD33" s="388"/>
      <c r="HBE33" s="388"/>
      <c r="HBF33" s="388"/>
      <c r="HBG33" s="388"/>
      <c r="HBH33" s="388"/>
      <c r="HBI33" s="388"/>
      <c r="HBJ33" s="388"/>
      <c r="HBK33" s="388"/>
      <c r="HBL33" s="388"/>
      <c r="HBM33" s="388"/>
      <c r="HBN33" s="388"/>
      <c r="HBO33" s="388"/>
      <c r="HBP33" s="388"/>
      <c r="HBQ33" s="388"/>
      <c r="HBR33" s="388"/>
      <c r="HBS33" s="388"/>
      <c r="HBT33" s="388"/>
      <c r="HBU33" s="388"/>
      <c r="HBV33" s="388"/>
      <c r="HBW33" s="388"/>
      <c r="HBX33" s="388"/>
      <c r="HBY33" s="388"/>
      <c r="HBZ33" s="388"/>
      <c r="HCA33" s="388"/>
      <c r="HCB33" s="388"/>
      <c r="HCC33" s="388"/>
      <c r="HCD33" s="388"/>
      <c r="HCE33" s="388"/>
      <c r="HCF33" s="388"/>
      <c r="HCG33" s="388"/>
      <c r="HCH33" s="388"/>
      <c r="HCI33" s="388"/>
      <c r="HCJ33" s="388"/>
      <c r="HCK33" s="388"/>
      <c r="HCL33" s="388"/>
      <c r="HCM33" s="388"/>
      <c r="HCN33" s="388"/>
      <c r="HCO33" s="388"/>
      <c r="HCP33" s="388"/>
      <c r="HCQ33" s="388"/>
      <c r="HCR33" s="388"/>
      <c r="HCS33" s="388"/>
      <c r="HCT33" s="388"/>
      <c r="HCU33" s="388"/>
      <c r="HCV33" s="388"/>
      <c r="HCW33" s="388"/>
      <c r="HCX33" s="388"/>
      <c r="HCY33" s="388"/>
      <c r="HCZ33" s="388"/>
      <c r="HDA33" s="388"/>
      <c r="HDB33" s="388"/>
      <c r="HDC33" s="388"/>
      <c r="HDD33" s="388"/>
      <c r="HDE33" s="388"/>
      <c r="HDF33" s="388"/>
      <c r="HDG33" s="388"/>
      <c r="HDH33" s="388"/>
      <c r="HDI33" s="388"/>
      <c r="HDJ33" s="388"/>
      <c r="HDK33" s="388"/>
      <c r="HDL33" s="388"/>
      <c r="HDM33" s="388"/>
      <c r="HDN33" s="388"/>
      <c r="HDO33" s="388"/>
      <c r="HDP33" s="388"/>
      <c r="HDQ33" s="388"/>
      <c r="HDR33" s="388"/>
      <c r="HDS33" s="388"/>
      <c r="HDT33" s="388"/>
      <c r="HDU33" s="388"/>
      <c r="HDV33" s="388"/>
      <c r="HDW33" s="388"/>
      <c r="HDX33" s="388"/>
      <c r="HDY33" s="388"/>
      <c r="HDZ33" s="388"/>
      <c r="HEA33" s="388"/>
      <c r="HEB33" s="388"/>
      <c r="HEC33" s="388"/>
      <c r="HED33" s="388"/>
      <c r="HEE33" s="388"/>
      <c r="HEF33" s="388"/>
      <c r="HEG33" s="388"/>
      <c r="HEH33" s="388"/>
      <c r="HEI33" s="388"/>
      <c r="HEJ33" s="388"/>
      <c r="HEK33" s="388"/>
      <c r="HEL33" s="388"/>
      <c r="HEM33" s="388"/>
      <c r="HEN33" s="388"/>
      <c r="HEO33" s="388"/>
      <c r="HEP33" s="388"/>
      <c r="HEQ33" s="388"/>
      <c r="HER33" s="388"/>
      <c r="HES33" s="388"/>
      <c r="HET33" s="388"/>
      <c r="HEU33" s="388"/>
      <c r="HEV33" s="388"/>
      <c r="HEW33" s="388"/>
      <c r="HEX33" s="388"/>
      <c r="HEY33" s="388"/>
      <c r="HEZ33" s="388"/>
      <c r="HFA33" s="388"/>
      <c r="HFB33" s="388"/>
      <c r="HFC33" s="388"/>
      <c r="HFD33" s="388"/>
      <c r="HFE33" s="388"/>
      <c r="HFF33" s="388"/>
      <c r="HFG33" s="388"/>
      <c r="HFH33" s="388"/>
      <c r="HFI33" s="388"/>
      <c r="HFJ33" s="388"/>
      <c r="HFK33" s="388"/>
      <c r="HFL33" s="388"/>
      <c r="HFM33" s="388"/>
      <c r="HFN33" s="388"/>
      <c r="HFO33" s="388"/>
      <c r="HFP33" s="388"/>
      <c r="HFQ33" s="388"/>
      <c r="HFR33" s="388"/>
      <c r="HFS33" s="388"/>
      <c r="HFT33" s="388"/>
      <c r="HFU33" s="388"/>
      <c r="HFV33" s="388"/>
      <c r="HFW33" s="388"/>
      <c r="HFX33" s="388"/>
      <c r="HFY33" s="388"/>
      <c r="HFZ33" s="388"/>
      <c r="HGA33" s="388"/>
      <c r="HGB33" s="388"/>
      <c r="HGC33" s="388"/>
      <c r="HGD33" s="388"/>
      <c r="HGE33" s="388"/>
      <c r="HGF33" s="388"/>
      <c r="HGG33" s="388"/>
      <c r="HGH33" s="388"/>
      <c r="HGI33" s="388"/>
      <c r="HGJ33" s="388"/>
      <c r="HGK33" s="388"/>
      <c r="HGL33" s="388"/>
      <c r="HGM33" s="388"/>
      <c r="HGN33" s="388"/>
      <c r="HGO33" s="388"/>
      <c r="HGP33" s="388"/>
      <c r="HGQ33" s="388"/>
      <c r="HGR33" s="388"/>
      <c r="HGS33" s="388"/>
      <c r="HGT33" s="388"/>
      <c r="HGU33" s="388"/>
      <c r="HGV33" s="388"/>
      <c r="HGW33" s="388"/>
      <c r="HGX33" s="388"/>
      <c r="HGY33" s="388"/>
      <c r="HGZ33" s="388"/>
      <c r="HHA33" s="388"/>
      <c r="HHB33" s="388"/>
      <c r="HHC33" s="388"/>
      <c r="HHD33" s="388"/>
      <c r="HHE33" s="388"/>
      <c r="HHF33" s="388"/>
      <c r="HHG33" s="388"/>
      <c r="HHH33" s="388"/>
      <c r="HHI33" s="388"/>
      <c r="HHJ33" s="388"/>
      <c r="HHK33" s="388"/>
      <c r="HHL33" s="388"/>
      <c r="HHM33" s="388"/>
      <c r="HHN33" s="388"/>
      <c r="HHO33" s="388"/>
      <c r="HHP33" s="388"/>
      <c r="HHQ33" s="388"/>
      <c r="HHR33" s="388"/>
      <c r="HHS33" s="388"/>
      <c r="HHT33" s="388"/>
      <c r="HHU33" s="388"/>
      <c r="HHV33" s="388"/>
      <c r="HHW33" s="388"/>
      <c r="HHX33" s="388"/>
      <c r="HHY33" s="388"/>
      <c r="HHZ33" s="388"/>
      <c r="HIA33" s="388"/>
      <c r="HIB33" s="388"/>
      <c r="HIC33" s="388"/>
      <c r="HID33" s="388"/>
      <c r="HIE33" s="388"/>
      <c r="HIF33" s="388"/>
      <c r="HIG33" s="388"/>
      <c r="HIH33" s="388"/>
      <c r="HII33" s="388"/>
      <c r="HIJ33" s="388"/>
      <c r="HIK33" s="388"/>
      <c r="HIL33" s="388"/>
      <c r="HIM33" s="388"/>
      <c r="HIN33" s="388"/>
      <c r="HIO33" s="388"/>
      <c r="HIP33" s="388"/>
      <c r="HIQ33" s="388"/>
      <c r="HIR33" s="388"/>
      <c r="HIS33" s="388"/>
      <c r="HIT33" s="388"/>
      <c r="HIU33" s="388"/>
      <c r="HIV33" s="388"/>
      <c r="HIW33" s="388"/>
      <c r="HIX33" s="388"/>
      <c r="HIY33" s="388"/>
      <c r="HIZ33" s="388"/>
      <c r="HJA33" s="388"/>
      <c r="HJB33" s="388"/>
      <c r="HJC33" s="388"/>
      <c r="HJD33" s="388"/>
      <c r="HJE33" s="388"/>
      <c r="HJF33" s="388"/>
      <c r="HJG33" s="388"/>
      <c r="HJH33" s="388"/>
      <c r="HJI33" s="388"/>
      <c r="HJJ33" s="388"/>
      <c r="HJK33" s="388"/>
      <c r="HJL33" s="388"/>
      <c r="HJM33" s="388"/>
      <c r="HJN33" s="388"/>
      <c r="HJO33" s="388"/>
      <c r="HJP33" s="388"/>
      <c r="HJQ33" s="388"/>
      <c r="HJR33" s="388"/>
      <c r="HJS33" s="388"/>
      <c r="HJT33" s="388"/>
      <c r="HJU33" s="388"/>
      <c r="HJV33" s="388"/>
      <c r="HJW33" s="388"/>
      <c r="HJX33" s="388"/>
      <c r="HJY33" s="388"/>
      <c r="HJZ33" s="388"/>
      <c r="HKA33" s="388"/>
      <c r="HKB33" s="388"/>
      <c r="HKC33" s="388"/>
      <c r="HKD33" s="388"/>
      <c r="HKE33" s="388"/>
      <c r="HKF33" s="388"/>
      <c r="HKG33" s="388"/>
      <c r="HKH33" s="388"/>
      <c r="HKI33" s="388"/>
      <c r="HKJ33" s="388"/>
      <c r="HKK33" s="388"/>
      <c r="HKL33" s="388"/>
      <c r="HKM33" s="388"/>
      <c r="HKN33" s="388"/>
      <c r="HKO33" s="388"/>
      <c r="HKP33" s="388"/>
      <c r="HKQ33" s="388"/>
      <c r="HKR33" s="388"/>
      <c r="HKS33" s="388"/>
      <c r="HKT33" s="388"/>
      <c r="HKU33" s="388"/>
      <c r="HKV33" s="388"/>
      <c r="HKW33" s="388"/>
      <c r="HKX33" s="388"/>
      <c r="HKY33" s="388"/>
      <c r="HKZ33" s="388"/>
      <c r="HLA33" s="388"/>
      <c r="HLB33" s="388"/>
      <c r="HLC33" s="388"/>
      <c r="HLD33" s="388"/>
      <c r="HLE33" s="388"/>
      <c r="HLF33" s="388"/>
      <c r="HLG33" s="388"/>
      <c r="HLH33" s="388"/>
      <c r="HLI33" s="388"/>
      <c r="HLJ33" s="388"/>
      <c r="HLK33" s="388"/>
      <c r="HLL33" s="388"/>
      <c r="HLM33" s="388"/>
      <c r="HLN33" s="388"/>
      <c r="HLO33" s="388"/>
      <c r="HLP33" s="388"/>
      <c r="HLQ33" s="388"/>
      <c r="HLR33" s="388"/>
      <c r="HLS33" s="388"/>
      <c r="HLT33" s="388"/>
      <c r="HLU33" s="388"/>
      <c r="HLV33" s="388"/>
      <c r="HLW33" s="388"/>
      <c r="HLX33" s="388"/>
      <c r="HLY33" s="388"/>
      <c r="HLZ33" s="388"/>
      <c r="HMA33" s="388"/>
      <c r="HMB33" s="388"/>
      <c r="HMC33" s="388"/>
      <c r="HMD33" s="388"/>
      <c r="HME33" s="388"/>
      <c r="HMF33" s="388"/>
      <c r="HMG33" s="388"/>
      <c r="HMH33" s="388"/>
      <c r="HMI33" s="388"/>
      <c r="HMJ33" s="388"/>
      <c r="HMK33" s="388"/>
      <c r="HML33" s="388"/>
      <c r="HMM33" s="388"/>
      <c r="HMN33" s="388"/>
      <c r="HMO33" s="388"/>
      <c r="HMP33" s="388"/>
      <c r="HMQ33" s="388"/>
      <c r="HMR33" s="388"/>
      <c r="HMS33" s="388"/>
      <c r="HMT33" s="388"/>
      <c r="HMU33" s="388"/>
      <c r="HMV33" s="388"/>
      <c r="HMW33" s="388"/>
      <c r="HMX33" s="388"/>
      <c r="HMY33" s="388"/>
      <c r="HMZ33" s="388"/>
      <c r="HNA33" s="388"/>
      <c r="HNB33" s="388"/>
      <c r="HNC33" s="388"/>
      <c r="HND33" s="388"/>
      <c r="HNE33" s="388"/>
      <c r="HNF33" s="388"/>
      <c r="HNG33" s="388"/>
      <c r="HNH33" s="388"/>
      <c r="HNI33" s="388"/>
      <c r="HNJ33" s="388"/>
      <c r="HNK33" s="388"/>
      <c r="HNL33" s="388"/>
      <c r="HNM33" s="388"/>
      <c r="HNN33" s="388"/>
      <c r="HNO33" s="388"/>
      <c r="HNP33" s="388"/>
      <c r="HNQ33" s="388"/>
      <c r="HNR33" s="388"/>
      <c r="HNS33" s="388"/>
      <c r="HNT33" s="388"/>
      <c r="HNU33" s="388"/>
      <c r="HNV33" s="388"/>
      <c r="HNW33" s="388"/>
      <c r="HNX33" s="388"/>
      <c r="HNY33" s="388"/>
      <c r="HNZ33" s="388"/>
      <c r="HOA33" s="388"/>
      <c r="HOB33" s="388"/>
      <c r="HOC33" s="388"/>
      <c r="HOD33" s="388"/>
      <c r="HOE33" s="388"/>
      <c r="HOF33" s="388"/>
      <c r="HOG33" s="388"/>
      <c r="HOH33" s="388"/>
      <c r="HOI33" s="388"/>
      <c r="HOJ33" s="388"/>
      <c r="HOK33" s="388"/>
      <c r="HOL33" s="388"/>
      <c r="HOM33" s="388"/>
      <c r="HON33" s="388"/>
      <c r="HOO33" s="388"/>
      <c r="HOP33" s="388"/>
      <c r="HOQ33" s="388"/>
      <c r="HOR33" s="388"/>
      <c r="HOS33" s="388"/>
      <c r="HOT33" s="388"/>
      <c r="HOU33" s="388"/>
      <c r="HOV33" s="388"/>
      <c r="HOW33" s="388"/>
      <c r="HOX33" s="388"/>
      <c r="HOY33" s="388"/>
      <c r="HOZ33" s="388"/>
      <c r="HPA33" s="388"/>
      <c r="HPB33" s="388"/>
      <c r="HPC33" s="388"/>
      <c r="HPD33" s="388"/>
      <c r="HPE33" s="388"/>
      <c r="HPF33" s="388"/>
      <c r="HPG33" s="388"/>
      <c r="HPH33" s="388"/>
      <c r="HPI33" s="388"/>
      <c r="HPJ33" s="388"/>
      <c r="HPK33" s="388"/>
      <c r="HPL33" s="388"/>
      <c r="HPM33" s="388"/>
      <c r="HPN33" s="388"/>
      <c r="HPO33" s="388"/>
      <c r="HPP33" s="388"/>
      <c r="HPQ33" s="388"/>
      <c r="HPR33" s="388"/>
      <c r="HPS33" s="388"/>
      <c r="HPT33" s="388"/>
      <c r="HPU33" s="388"/>
      <c r="HPV33" s="388"/>
      <c r="HPW33" s="388"/>
      <c r="HPX33" s="388"/>
      <c r="HPY33" s="388"/>
      <c r="HPZ33" s="388"/>
      <c r="HQA33" s="388"/>
      <c r="HQB33" s="388"/>
      <c r="HQC33" s="388"/>
      <c r="HQD33" s="388"/>
      <c r="HQE33" s="388"/>
      <c r="HQF33" s="388"/>
      <c r="HQG33" s="388"/>
      <c r="HQH33" s="388"/>
      <c r="HQI33" s="388"/>
      <c r="HQJ33" s="388"/>
      <c r="HQK33" s="388"/>
      <c r="HQL33" s="388"/>
      <c r="HQM33" s="388"/>
      <c r="HQN33" s="388"/>
      <c r="HQO33" s="388"/>
      <c r="HQP33" s="388"/>
      <c r="HQQ33" s="388"/>
      <c r="HQR33" s="388"/>
      <c r="HQS33" s="388"/>
      <c r="HQT33" s="388"/>
      <c r="HQU33" s="388"/>
      <c r="HQV33" s="388"/>
      <c r="HQW33" s="388"/>
      <c r="HQX33" s="388"/>
      <c r="HQY33" s="388"/>
      <c r="HQZ33" s="388"/>
      <c r="HRA33" s="388"/>
      <c r="HRB33" s="388"/>
      <c r="HRC33" s="388"/>
      <c r="HRD33" s="388"/>
      <c r="HRE33" s="388"/>
      <c r="HRF33" s="388"/>
      <c r="HRG33" s="388"/>
      <c r="HRH33" s="388"/>
      <c r="HRI33" s="388"/>
      <c r="HRJ33" s="388"/>
      <c r="HRK33" s="388"/>
      <c r="HRL33" s="388"/>
      <c r="HRM33" s="388"/>
      <c r="HRN33" s="388"/>
      <c r="HRO33" s="388"/>
      <c r="HRP33" s="388"/>
      <c r="HRQ33" s="388"/>
      <c r="HRR33" s="388"/>
      <c r="HRS33" s="388"/>
      <c r="HRT33" s="388"/>
      <c r="HRU33" s="388"/>
      <c r="HRV33" s="388"/>
      <c r="HRW33" s="388"/>
      <c r="HRX33" s="388"/>
      <c r="HRY33" s="388"/>
      <c r="HRZ33" s="388"/>
      <c r="HSA33" s="388"/>
      <c r="HSB33" s="388"/>
      <c r="HSC33" s="388"/>
      <c r="HSD33" s="388"/>
      <c r="HSE33" s="388"/>
      <c r="HSF33" s="388"/>
      <c r="HSG33" s="388"/>
      <c r="HSH33" s="388"/>
      <c r="HSI33" s="388"/>
      <c r="HSJ33" s="388"/>
      <c r="HSK33" s="388"/>
      <c r="HSL33" s="388"/>
      <c r="HSM33" s="388"/>
      <c r="HSN33" s="388"/>
      <c r="HSO33" s="388"/>
      <c r="HSP33" s="388"/>
      <c r="HSQ33" s="388"/>
      <c r="HSR33" s="388"/>
      <c r="HSS33" s="388"/>
      <c r="HST33" s="388"/>
      <c r="HSU33" s="388"/>
      <c r="HSV33" s="388"/>
      <c r="HSW33" s="388"/>
      <c r="HSX33" s="388"/>
      <c r="HSY33" s="388"/>
      <c r="HSZ33" s="388"/>
      <c r="HTA33" s="388"/>
      <c r="HTB33" s="388"/>
      <c r="HTC33" s="388"/>
      <c r="HTD33" s="388"/>
      <c r="HTE33" s="388"/>
      <c r="HTF33" s="388"/>
      <c r="HTG33" s="388"/>
      <c r="HTH33" s="388"/>
      <c r="HTI33" s="388"/>
      <c r="HTJ33" s="388"/>
      <c r="HTK33" s="388"/>
      <c r="HTL33" s="388"/>
      <c r="HTM33" s="388"/>
      <c r="HTN33" s="388"/>
      <c r="HTO33" s="388"/>
      <c r="HTP33" s="388"/>
      <c r="HTQ33" s="388"/>
      <c r="HTR33" s="388"/>
      <c r="HTS33" s="388"/>
      <c r="HTT33" s="388"/>
      <c r="HTU33" s="388"/>
      <c r="HTV33" s="388"/>
      <c r="HTW33" s="388"/>
      <c r="HTX33" s="388"/>
      <c r="HTY33" s="388"/>
      <c r="HTZ33" s="388"/>
      <c r="HUA33" s="388"/>
      <c r="HUB33" s="388"/>
      <c r="HUC33" s="388"/>
      <c r="HUD33" s="388"/>
      <c r="HUE33" s="388"/>
      <c r="HUF33" s="388"/>
      <c r="HUG33" s="388"/>
      <c r="HUH33" s="388"/>
      <c r="HUI33" s="388"/>
      <c r="HUJ33" s="388"/>
      <c r="HUK33" s="388"/>
      <c r="HUL33" s="388"/>
      <c r="HUM33" s="388"/>
      <c r="HUN33" s="388"/>
      <c r="HUO33" s="388"/>
      <c r="HUP33" s="388"/>
      <c r="HUQ33" s="388"/>
      <c r="HUR33" s="388"/>
      <c r="HUS33" s="388"/>
      <c r="HUT33" s="388"/>
      <c r="HUU33" s="388"/>
      <c r="HUV33" s="388"/>
      <c r="HUW33" s="388"/>
      <c r="HUX33" s="388"/>
      <c r="HUY33" s="388"/>
      <c r="HUZ33" s="388"/>
      <c r="HVA33" s="388"/>
      <c r="HVB33" s="388"/>
      <c r="HVC33" s="388"/>
      <c r="HVD33" s="388"/>
      <c r="HVE33" s="388"/>
      <c r="HVF33" s="388"/>
      <c r="HVG33" s="388"/>
      <c r="HVH33" s="388"/>
      <c r="HVI33" s="388"/>
      <c r="HVJ33" s="388"/>
      <c r="HVK33" s="388"/>
      <c r="HVL33" s="388"/>
      <c r="HVM33" s="388"/>
      <c r="HVN33" s="388"/>
      <c r="HVO33" s="388"/>
      <c r="HVP33" s="388"/>
      <c r="HVQ33" s="388"/>
      <c r="HVR33" s="388"/>
      <c r="HVS33" s="388"/>
      <c r="HVT33" s="388"/>
      <c r="HVU33" s="388"/>
      <c r="HVV33" s="388"/>
      <c r="HVW33" s="388"/>
      <c r="HVX33" s="388"/>
      <c r="HVY33" s="388"/>
      <c r="HVZ33" s="388"/>
      <c r="HWA33" s="388"/>
      <c r="HWB33" s="388"/>
      <c r="HWC33" s="388"/>
      <c r="HWD33" s="388"/>
      <c r="HWE33" s="388"/>
      <c r="HWF33" s="388"/>
      <c r="HWG33" s="388"/>
      <c r="HWH33" s="388"/>
      <c r="HWI33" s="388"/>
      <c r="HWJ33" s="388"/>
      <c r="HWK33" s="388"/>
      <c r="HWL33" s="388"/>
      <c r="HWM33" s="388"/>
      <c r="HWN33" s="388"/>
      <c r="HWO33" s="388"/>
      <c r="HWP33" s="388"/>
      <c r="HWQ33" s="388"/>
      <c r="HWR33" s="388"/>
      <c r="HWS33" s="388"/>
      <c r="HWT33" s="388"/>
      <c r="HWU33" s="388"/>
      <c r="HWV33" s="388"/>
      <c r="HWW33" s="388"/>
      <c r="HWX33" s="388"/>
      <c r="HWY33" s="388"/>
      <c r="HWZ33" s="388"/>
      <c r="HXA33" s="388"/>
      <c r="HXB33" s="388"/>
      <c r="HXC33" s="388"/>
      <c r="HXD33" s="388"/>
      <c r="HXE33" s="388"/>
      <c r="HXF33" s="388"/>
      <c r="HXG33" s="388"/>
      <c r="HXH33" s="388"/>
      <c r="HXI33" s="388"/>
      <c r="HXJ33" s="388"/>
      <c r="HXK33" s="388"/>
      <c r="HXL33" s="388"/>
      <c r="HXM33" s="388"/>
      <c r="HXN33" s="388"/>
      <c r="HXO33" s="388"/>
      <c r="HXP33" s="388"/>
      <c r="HXQ33" s="388"/>
      <c r="HXR33" s="388"/>
      <c r="HXS33" s="388"/>
      <c r="HXT33" s="388"/>
      <c r="HXU33" s="388"/>
      <c r="HXV33" s="388"/>
      <c r="HXW33" s="388"/>
      <c r="HXX33" s="388"/>
      <c r="HXY33" s="388"/>
      <c r="HXZ33" s="388"/>
      <c r="HYA33" s="388"/>
      <c r="HYB33" s="388"/>
      <c r="HYC33" s="388"/>
      <c r="HYD33" s="388"/>
      <c r="HYE33" s="388"/>
      <c r="HYF33" s="388"/>
      <c r="HYG33" s="388"/>
      <c r="HYH33" s="388"/>
      <c r="HYI33" s="388"/>
      <c r="HYJ33" s="388"/>
      <c r="HYK33" s="388"/>
      <c r="HYL33" s="388"/>
      <c r="HYM33" s="388"/>
      <c r="HYN33" s="388"/>
      <c r="HYO33" s="388"/>
      <c r="HYP33" s="388"/>
      <c r="HYQ33" s="388"/>
      <c r="HYR33" s="388"/>
      <c r="HYS33" s="388"/>
      <c r="HYT33" s="388"/>
      <c r="HYU33" s="388"/>
      <c r="HYV33" s="388"/>
      <c r="HYW33" s="388"/>
      <c r="HYX33" s="388"/>
      <c r="HYY33" s="388"/>
      <c r="HYZ33" s="388"/>
      <c r="HZA33" s="388"/>
      <c r="HZB33" s="388"/>
      <c r="HZC33" s="388"/>
      <c r="HZD33" s="388"/>
      <c r="HZE33" s="388"/>
      <c r="HZF33" s="388"/>
      <c r="HZG33" s="388"/>
      <c r="HZH33" s="388"/>
      <c r="HZI33" s="388"/>
      <c r="HZJ33" s="388"/>
      <c r="HZK33" s="388"/>
      <c r="HZL33" s="388"/>
      <c r="HZM33" s="388"/>
      <c r="HZN33" s="388"/>
      <c r="HZO33" s="388"/>
      <c r="HZP33" s="388"/>
      <c r="HZQ33" s="388"/>
      <c r="HZR33" s="388"/>
      <c r="HZS33" s="388"/>
      <c r="HZT33" s="388"/>
      <c r="HZU33" s="388"/>
      <c r="HZV33" s="388"/>
      <c r="HZW33" s="388"/>
      <c r="HZX33" s="388"/>
      <c r="HZY33" s="388"/>
      <c r="HZZ33" s="388"/>
      <c r="IAA33" s="388"/>
      <c r="IAB33" s="388"/>
      <c r="IAC33" s="388"/>
      <c r="IAD33" s="388"/>
      <c r="IAE33" s="388"/>
      <c r="IAF33" s="388"/>
      <c r="IAG33" s="388"/>
      <c r="IAH33" s="388"/>
      <c r="IAI33" s="388"/>
      <c r="IAJ33" s="388"/>
      <c r="IAK33" s="388"/>
      <c r="IAL33" s="388"/>
      <c r="IAM33" s="388"/>
      <c r="IAN33" s="388"/>
      <c r="IAO33" s="388"/>
      <c r="IAP33" s="388"/>
      <c r="IAQ33" s="388"/>
      <c r="IAR33" s="388"/>
      <c r="IAS33" s="388"/>
      <c r="IAT33" s="388"/>
      <c r="IAU33" s="388"/>
      <c r="IAV33" s="388"/>
      <c r="IAW33" s="388"/>
      <c r="IAX33" s="388"/>
      <c r="IAY33" s="388"/>
      <c r="IAZ33" s="388"/>
      <c r="IBA33" s="388"/>
      <c r="IBB33" s="388"/>
      <c r="IBC33" s="388"/>
      <c r="IBD33" s="388"/>
      <c r="IBE33" s="388"/>
      <c r="IBF33" s="388"/>
      <c r="IBG33" s="388"/>
      <c r="IBH33" s="388"/>
      <c r="IBI33" s="388"/>
      <c r="IBJ33" s="388"/>
      <c r="IBK33" s="388"/>
      <c r="IBL33" s="388"/>
      <c r="IBM33" s="388"/>
      <c r="IBN33" s="388"/>
      <c r="IBO33" s="388"/>
      <c r="IBP33" s="388"/>
      <c r="IBQ33" s="388"/>
      <c r="IBR33" s="388"/>
      <c r="IBS33" s="388"/>
      <c r="IBT33" s="388"/>
      <c r="IBU33" s="388"/>
      <c r="IBV33" s="388"/>
      <c r="IBW33" s="388"/>
      <c r="IBX33" s="388"/>
      <c r="IBY33" s="388"/>
      <c r="IBZ33" s="388"/>
      <c r="ICA33" s="388"/>
      <c r="ICB33" s="388"/>
      <c r="ICC33" s="388"/>
      <c r="ICD33" s="388"/>
      <c r="ICE33" s="388"/>
      <c r="ICF33" s="388"/>
      <c r="ICG33" s="388"/>
      <c r="ICH33" s="388"/>
      <c r="ICI33" s="388"/>
      <c r="ICJ33" s="388"/>
      <c r="ICK33" s="388"/>
      <c r="ICL33" s="388"/>
      <c r="ICM33" s="388"/>
      <c r="ICN33" s="388"/>
      <c r="ICO33" s="388"/>
      <c r="ICP33" s="388"/>
      <c r="ICQ33" s="388"/>
      <c r="ICR33" s="388"/>
      <c r="ICS33" s="388"/>
      <c r="ICT33" s="388"/>
      <c r="ICU33" s="388"/>
      <c r="ICV33" s="388"/>
      <c r="ICW33" s="388"/>
      <c r="ICX33" s="388"/>
      <c r="ICY33" s="388"/>
      <c r="ICZ33" s="388"/>
      <c r="IDA33" s="388"/>
      <c r="IDB33" s="388"/>
      <c r="IDC33" s="388"/>
      <c r="IDD33" s="388"/>
      <c r="IDE33" s="388"/>
      <c r="IDF33" s="388"/>
      <c r="IDG33" s="388"/>
      <c r="IDH33" s="388"/>
      <c r="IDI33" s="388"/>
      <c r="IDJ33" s="388"/>
      <c r="IDK33" s="388"/>
      <c r="IDL33" s="388"/>
      <c r="IDM33" s="388"/>
      <c r="IDN33" s="388"/>
      <c r="IDO33" s="388"/>
      <c r="IDP33" s="388"/>
      <c r="IDQ33" s="388"/>
      <c r="IDR33" s="388"/>
      <c r="IDS33" s="388"/>
      <c r="IDT33" s="388"/>
      <c r="IDU33" s="388"/>
      <c r="IDV33" s="388"/>
      <c r="IDW33" s="388"/>
      <c r="IDX33" s="388"/>
      <c r="IDY33" s="388"/>
      <c r="IDZ33" s="388"/>
      <c r="IEA33" s="388"/>
      <c r="IEB33" s="388"/>
      <c r="IEC33" s="388"/>
      <c r="IED33" s="388"/>
      <c r="IEE33" s="388"/>
      <c r="IEF33" s="388"/>
      <c r="IEG33" s="388"/>
      <c r="IEH33" s="388"/>
      <c r="IEI33" s="388"/>
      <c r="IEJ33" s="388"/>
      <c r="IEK33" s="388"/>
      <c r="IEL33" s="388"/>
      <c r="IEM33" s="388"/>
      <c r="IEN33" s="388"/>
      <c r="IEO33" s="388"/>
      <c r="IEP33" s="388"/>
      <c r="IEQ33" s="388"/>
      <c r="IER33" s="388"/>
      <c r="IES33" s="388"/>
      <c r="IET33" s="388"/>
      <c r="IEU33" s="388"/>
      <c r="IEV33" s="388"/>
      <c r="IEW33" s="388"/>
      <c r="IEX33" s="388"/>
      <c r="IEY33" s="388"/>
      <c r="IEZ33" s="388"/>
      <c r="IFA33" s="388"/>
      <c r="IFB33" s="388"/>
      <c r="IFC33" s="388"/>
      <c r="IFD33" s="388"/>
      <c r="IFE33" s="388"/>
      <c r="IFF33" s="388"/>
      <c r="IFG33" s="388"/>
      <c r="IFH33" s="388"/>
      <c r="IFI33" s="388"/>
      <c r="IFJ33" s="388"/>
      <c r="IFK33" s="388"/>
      <c r="IFL33" s="388"/>
      <c r="IFM33" s="388"/>
      <c r="IFN33" s="388"/>
      <c r="IFO33" s="388"/>
      <c r="IFP33" s="388"/>
      <c r="IFQ33" s="388"/>
      <c r="IFR33" s="388"/>
      <c r="IFS33" s="388"/>
      <c r="IFT33" s="388"/>
      <c r="IFU33" s="388"/>
      <c r="IFV33" s="388"/>
      <c r="IFW33" s="388"/>
      <c r="IFX33" s="388"/>
      <c r="IFY33" s="388"/>
      <c r="IFZ33" s="388"/>
      <c r="IGA33" s="388"/>
      <c r="IGB33" s="388"/>
      <c r="IGC33" s="388"/>
      <c r="IGD33" s="388"/>
      <c r="IGE33" s="388"/>
      <c r="IGF33" s="388"/>
      <c r="IGG33" s="388"/>
      <c r="IGH33" s="388"/>
      <c r="IGI33" s="388"/>
      <c r="IGJ33" s="388"/>
      <c r="IGK33" s="388"/>
      <c r="IGL33" s="388"/>
      <c r="IGM33" s="388"/>
      <c r="IGN33" s="388"/>
      <c r="IGO33" s="388"/>
      <c r="IGP33" s="388"/>
      <c r="IGQ33" s="388"/>
      <c r="IGR33" s="388"/>
      <c r="IGS33" s="388"/>
      <c r="IGT33" s="388"/>
      <c r="IGU33" s="388"/>
      <c r="IGV33" s="388"/>
      <c r="IGW33" s="388"/>
      <c r="IGX33" s="388"/>
      <c r="IGY33" s="388"/>
      <c r="IGZ33" s="388"/>
      <c r="IHA33" s="388"/>
      <c r="IHB33" s="388"/>
      <c r="IHC33" s="388"/>
      <c r="IHD33" s="388"/>
      <c r="IHE33" s="388"/>
      <c r="IHF33" s="388"/>
      <c r="IHG33" s="388"/>
      <c r="IHH33" s="388"/>
      <c r="IHI33" s="388"/>
      <c r="IHJ33" s="388"/>
      <c r="IHK33" s="388"/>
      <c r="IHL33" s="388"/>
      <c r="IHM33" s="388"/>
      <c r="IHN33" s="388"/>
      <c r="IHO33" s="388"/>
      <c r="IHP33" s="388"/>
      <c r="IHQ33" s="388"/>
      <c r="IHR33" s="388"/>
      <c r="IHS33" s="388"/>
      <c r="IHT33" s="388"/>
      <c r="IHU33" s="388"/>
      <c r="IHV33" s="388"/>
      <c r="IHW33" s="388"/>
      <c r="IHX33" s="388"/>
      <c r="IHY33" s="388"/>
      <c r="IHZ33" s="388"/>
      <c r="IIA33" s="388"/>
      <c r="IIB33" s="388"/>
      <c r="IIC33" s="388"/>
      <c r="IID33" s="388"/>
      <c r="IIE33" s="388"/>
      <c r="IIF33" s="388"/>
      <c r="IIG33" s="388"/>
      <c r="IIH33" s="388"/>
      <c r="III33" s="388"/>
      <c r="IIJ33" s="388"/>
      <c r="IIK33" s="388"/>
      <c r="IIL33" s="388"/>
      <c r="IIM33" s="388"/>
      <c r="IIN33" s="388"/>
      <c r="IIO33" s="388"/>
      <c r="IIP33" s="388"/>
      <c r="IIQ33" s="388"/>
      <c r="IIR33" s="388"/>
      <c r="IIS33" s="388"/>
      <c r="IIT33" s="388"/>
      <c r="IIU33" s="388"/>
      <c r="IIV33" s="388"/>
      <c r="IIW33" s="388"/>
      <c r="IIX33" s="388"/>
      <c r="IIY33" s="388"/>
      <c r="IIZ33" s="388"/>
      <c r="IJA33" s="388"/>
      <c r="IJB33" s="388"/>
      <c r="IJC33" s="388"/>
      <c r="IJD33" s="388"/>
      <c r="IJE33" s="388"/>
      <c r="IJF33" s="388"/>
      <c r="IJG33" s="388"/>
      <c r="IJH33" s="388"/>
      <c r="IJI33" s="388"/>
      <c r="IJJ33" s="388"/>
      <c r="IJK33" s="388"/>
      <c r="IJL33" s="388"/>
      <c r="IJM33" s="388"/>
      <c r="IJN33" s="388"/>
      <c r="IJO33" s="388"/>
      <c r="IJP33" s="388"/>
      <c r="IJQ33" s="388"/>
      <c r="IJR33" s="388"/>
      <c r="IJS33" s="388"/>
      <c r="IJT33" s="388"/>
      <c r="IJU33" s="388"/>
      <c r="IJV33" s="388"/>
      <c r="IJW33" s="388"/>
      <c r="IJX33" s="388"/>
      <c r="IJY33" s="388"/>
      <c r="IJZ33" s="388"/>
      <c r="IKA33" s="388"/>
      <c r="IKB33" s="388"/>
      <c r="IKC33" s="388"/>
      <c r="IKD33" s="388"/>
      <c r="IKE33" s="388"/>
      <c r="IKF33" s="388"/>
      <c r="IKG33" s="388"/>
      <c r="IKH33" s="388"/>
      <c r="IKI33" s="388"/>
      <c r="IKJ33" s="388"/>
      <c r="IKK33" s="388"/>
      <c r="IKL33" s="388"/>
      <c r="IKM33" s="388"/>
      <c r="IKN33" s="388"/>
      <c r="IKO33" s="388"/>
      <c r="IKP33" s="388"/>
      <c r="IKQ33" s="388"/>
      <c r="IKR33" s="388"/>
      <c r="IKS33" s="388"/>
      <c r="IKT33" s="388"/>
      <c r="IKU33" s="388"/>
      <c r="IKV33" s="388"/>
      <c r="IKW33" s="388"/>
      <c r="IKX33" s="388"/>
      <c r="IKY33" s="388"/>
      <c r="IKZ33" s="388"/>
      <c r="ILA33" s="388"/>
      <c r="ILB33" s="388"/>
      <c r="ILC33" s="388"/>
      <c r="ILD33" s="388"/>
      <c r="ILE33" s="388"/>
      <c r="ILF33" s="388"/>
      <c r="ILG33" s="388"/>
      <c r="ILH33" s="388"/>
      <c r="ILI33" s="388"/>
      <c r="ILJ33" s="388"/>
      <c r="ILK33" s="388"/>
      <c r="ILL33" s="388"/>
      <c r="ILM33" s="388"/>
      <c r="ILN33" s="388"/>
      <c r="ILO33" s="388"/>
      <c r="ILP33" s="388"/>
      <c r="ILQ33" s="388"/>
      <c r="ILR33" s="388"/>
      <c r="ILS33" s="388"/>
      <c r="ILT33" s="388"/>
      <c r="ILU33" s="388"/>
      <c r="ILV33" s="388"/>
      <c r="ILW33" s="388"/>
      <c r="ILX33" s="388"/>
      <c r="ILY33" s="388"/>
      <c r="ILZ33" s="388"/>
      <c r="IMA33" s="388"/>
      <c r="IMB33" s="388"/>
      <c r="IMC33" s="388"/>
      <c r="IMD33" s="388"/>
      <c r="IME33" s="388"/>
      <c r="IMF33" s="388"/>
      <c r="IMG33" s="388"/>
      <c r="IMH33" s="388"/>
      <c r="IMI33" s="388"/>
      <c r="IMJ33" s="388"/>
      <c r="IMK33" s="388"/>
      <c r="IML33" s="388"/>
      <c r="IMM33" s="388"/>
      <c r="IMN33" s="388"/>
      <c r="IMO33" s="388"/>
      <c r="IMP33" s="388"/>
      <c r="IMQ33" s="388"/>
      <c r="IMR33" s="388"/>
      <c r="IMS33" s="388"/>
      <c r="IMT33" s="388"/>
      <c r="IMU33" s="388"/>
      <c r="IMV33" s="388"/>
      <c r="IMW33" s="388"/>
      <c r="IMX33" s="388"/>
      <c r="IMY33" s="388"/>
      <c r="IMZ33" s="388"/>
      <c r="INA33" s="388"/>
      <c r="INB33" s="388"/>
      <c r="INC33" s="388"/>
      <c r="IND33" s="388"/>
      <c r="INE33" s="388"/>
      <c r="INF33" s="388"/>
      <c r="ING33" s="388"/>
      <c r="INH33" s="388"/>
      <c r="INI33" s="388"/>
      <c r="INJ33" s="388"/>
      <c r="INK33" s="388"/>
      <c r="INL33" s="388"/>
      <c r="INM33" s="388"/>
      <c r="INN33" s="388"/>
      <c r="INO33" s="388"/>
      <c r="INP33" s="388"/>
      <c r="INQ33" s="388"/>
      <c r="INR33" s="388"/>
      <c r="INS33" s="388"/>
      <c r="INT33" s="388"/>
      <c r="INU33" s="388"/>
      <c r="INV33" s="388"/>
      <c r="INW33" s="388"/>
      <c r="INX33" s="388"/>
      <c r="INY33" s="388"/>
      <c r="INZ33" s="388"/>
      <c r="IOA33" s="388"/>
      <c r="IOB33" s="388"/>
      <c r="IOC33" s="388"/>
      <c r="IOD33" s="388"/>
      <c r="IOE33" s="388"/>
      <c r="IOF33" s="388"/>
      <c r="IOG33" s="388"/>
      <c r="IOH33" s="388"/>
      <c r="IOI33" s="388"/>
      <c r="IOJ33" s="388"/>
      <c r="IOK33" s="388"/>
      <c r="IOL33" s="388"/>
      <c r="IOM33" s="388"/>
      <c r="ION33" s="388"/>
      <c r="IOO33" s="388"/>
      <c r="IOP33" s="388"/>
      <c r="IOQ33" s="388"/>
      <c r="IOR33" s="388"/>
      <c r="IOS33" s="388"/>
      <c r="IOT33" s="388"/>
      <c r="IOU33" s="388"/>
      <c r="IOV33" s="388"/>
      <c r="IOW33" s="388"/>
      <c r="IOX33" s="388"/>
      <c r="IOY33" s="388"/>
      <c r="IOZ33" s="388"/>
      <c r="IPA33" s="388"/>
      <c r="IPB33" s="388"/>
      <c r="IPC33" s="388"/>
      <c r="IPD33" s="388"/>
      <c r="IPE33" s="388"/>
      <c r="IPF33" s="388"/>
      <c r="IPG33" s="388"/>
      <c r="IPH33" s="388"/>
      <c r="IPI33" s="388"/>
      <c r="IPJ33" s="388"/>
      <c r="IPK33" s="388"/>
      <c r="IPL33" s="388"/>
      <c r="IPM33" s="388"/>
      <c r="IPN33" s="388"/>
      <c r="IPO33" s="388"/>
      <c r="IPP33" s="388"/>
      <c r="IPQ33" s="388"/>
      <c r="IPR33" s="388"/>
      <c r="IPS33" s="388"/>
      <c r="IPT33" s="388"/>
      <c r="IPU33" s="388"/>
      <c r="IPV33" s="388"/>
      <c r="IPW33" s="388"/>
      <c r="IPX33" s="388"/>
      <c r="IPY33" s="388"/>
      <c r="IPZ33" s="388"/>
      <c r="IQA33" s="388"/>
      <c r="IQB33" s="388"/>
      <c r="IQC33" s="388"/>
      <c r="IQD33" s="388"/>
      <c r="IQE33" s="388"/>
      <c r="IQF33" s="388"/>
      <c r="IQG33" s="388"/>
      <c r="IQH33" s="388"/>
      <c r="IQI33" s="388"/>
      <c r="IQJ33" s="388"/>
      <c r="IQK33" s="388"/>
      <c r="IQL33" s="388"/>
      <c r="IQM33" s="388"/>
      <c r="IQN33" s="388"/>
      <c r="IQO33" s="388"/>
      <c r="IQP33" s="388"/>
      <c r="IQQ33" s="388"/>
      <c r="IQR33" s="388"/>
      <c r="IQS33" s="388"/>
      <c r="IQT33" s="388"/>
      <c r="IQU33" s="388"/>
      <c r="IQV33" s="388"/>
      <c r="IQW33" s="388"/>
      <c r="IQX33" s="388"/>
      <c r="IQY33" s="388"/>
      <c r="IQZ33" s="388"/>
      <c r="IRA33" s="388"/>
      <c r="IRB33" s="388"/>
      <c r="IRC33" s="388"/>
      <c r="IRD33" s="388"/>
      <c r="IRE33" s="388"/>
      <c r="IRF33" s="388"/>
      <c r="IRG33" s="388"/>
      <c r="IRH33" s="388"/>
      <c r="IRI33" s="388"/>
      <c r="IRJ33" s="388"/>
      <c r="IRK33" s="388"/>
      <c r="IRL33" s="388"/>
      <c r="IRM33" s="388"/>
      <c r="IRN33" s="388"/>
      <c r="IRO33" s="388"/>
      <c r="IRP33" s="388"/>
      <c r="IRQ33" s="388"/>
      <c r="IRR33" s="388"/>
      <c r="IRS33" s="388"/>
      <c r="IRT33" s="388"/>
      <c r="IRU33" s="388"/>
      <c r="IRV33" s="388"/>
      <c r="IRW33" s="388"/>
      <c r="IRX33" s="388"/>
      <c r="IRY33" s="388"/>
      <c r="IRZ33" s="388"/>
      <c r="ISA33" s="388"/>
      <c r="ISB33" s="388"/>
      <c r="ISC33" s="388"/>
      <c r="ISD33" s="388"/>
      <c r="ISE33" s="388"/>
      <c r="ISF33" s="388"/>
      <c r="ISG33" s="388"/>
      <c r="ISH33" s="388"/>
      <c r="ISI33" s="388"/>
      <c r="ISJ33" s="388"/>
      <c r="ISK33" s="388"/>
      <c r="ISL33" s="388"/>
      <c r="ISM33" s="388"/>
      <c r="ISN33" s="388"/>
      <c r="ISO33" s="388"/>
      <c r="ISP33" s="388"/>
      <c r="ISQ33" s="388"/>
      <c r="ISR33" s="388"/>
      <c r="ISS33" s="388"/>
      <c r="IST33" s="388"/>
      <c r="ISU33" s="388"/>
      <c r="ISV33" s="388"/>
      <c r="ISW33" s="388"/>
      <c r="ISX33" s="388"/>
      <c r="ISY33" s="388"/>
      <c r="ISZ33" s="388"/>
      <c r="ITA33" s="388"/>
      <c r="ITB33" s="388"/>
      <c r="ITC33" s="388"/>
      <c r="ITD33" s="388"/>
      <c r="ITE33" s="388"/>
      <c r="ITF33" s="388"/>
      <c r="ITG33" s="388"/>
      <c r="ITH33" s="388"/>
      <c r="ITI33" s="388"/>
      <c r="ITJ33" s="388"/>
      <c r="ITK33" s="388"/>
      <c r="ITL33" s="388"/>
      <c r="ITM33" s="388"/>
      <c r="ITN33" s="388"/>
      <c r="ITO33" s="388"/>
      <c r="ITP33" s="388"/>
      <c r="ITQ33" s="388"/>
      <c r="ITR33" s="388"/>
      <c r="ITS33" s="388"/>
      <c r="ITT33" s="388"/>
      <c r="ITU33" s="388"/>
      <c r="ITV33" s="388"/>
      <c r="ITW33" s="388"/>
      <c r="ITX33" s="388"/>
      <c r="ITY33" s="388"/>
      <c r="ITZ33" s="388"/>
      <c r="IUA33" s="388"/>
      <c r="IUB33" s="388"/>
      <c r="IUC33" s="388"/>
      <c r="IUD33" s="388"/>
      <c r="IUE33" s="388"/>
      <c r="IUF33" s="388"/>
      <c r="IUG33" s="388"/>
      <c r="IUH33" s="388"/>
      <c r="IUI33" s="388"/>
      <c r="IUJ33" s="388"/>
      <c r="IUK33" s="388"/>
      <c r="IUL33" s="388"/>
      <c r="IUM33" s="388"/>
      <c r="IUN33" s="388"/>
      <c r="IUO33" s="388"/>
      <c r="IUP33" s="388"/>
      <c r="IUQ33" s="388"/>
      <c r="IUR33" s="388"/>
      <c r="IUS33" s="388"/>
      <c r="IUT33" s="388"/>
      <c r="IUU33" s="388"/>
      <c r="IUV33" s="388"/>
      <c r="IUW33" s="388"/>
      <c r="IUX33" s="388"/>
      <c r="IUY33" s="388"/>
      <c r="IUZ33" s="388"/>
      <c r="IVA33" s="388"/>
      <c r="IVB33" s="388"/>
      <c r="IVC33" s="388"/>
      <c r="IVD33" s="388"/>
      <c r="IVE33" s="388"/>
      <c r="IVF33" s="388"/>
      <c r="IVG33" s="388"/>
      <c r="IVH33" s="388"/>
      <c r="IVI33" s="388"/>
      <c r="IVJ33" s="388"/>
      <c r="IVK33" s="388"/>
      <c r="IVL33" s="388"/>
      <c r="IVM33" s="388"/>
      <c r="IVN33" s="388"/>
      <c r="IVO33" s="388"/>
      <c r="IVP33" s="388"/>
      <c r="IVQ33" s="388"/>
      <c r="IVR33" s="388"/>
      <c r="IVS33" s="388"/>
      <c r="IVT33" s="388"/>
      <c r="IVU33" s="388"/>
      <c r="IVV33" s="388"/>
      <c r="IVW33" s="388"/>
      <c r="IVX33" s="388"/>
      <c r="IVY33" s="388"/>
      <c r="IVZ33" s="388"/>
      <c r="IWA33" s="388"/>
      <c r="IWB33" s="388"/>
      <c r="IWC33" s="388"/>
      <c r="IWD33" s="388"/>
      <c r="IWE33" s="388"/>
      <c r="IWF33" s="388"/>
      <c r="IWG33" s="388"/>
      <c r="IWH33" s="388"/>
      <c r="IWI33" s="388"/>
      <c r="IWJ33" s="388"/>
      <c r="IWK33" s="388"/>
      <c r="IWL33" s="388"/>
      <c r="IWM33" s="388"/>
      <c r="IWN33" s="388"/>
      <c r="IWO33" s="388"/>
      <c r="IWP33" s="388"/>
      <c r="IWQ33" s="388"/>
      <c r="IWR33" s="388"/>
      <c r="IWS33" s="388"/>
      <c r="IWT33" s="388"/>
      <c r="IWU33" s="388"/>
      <c r="IWV33" s="388"/>
      <c r="IWW33" s="388"/>
      <c r="IWX33" s="388"/>
      <c r="IWY33" s="388"/>
      <c r="IWZ33" s="388"/>
      <c r="IXA33" s="388"/>
      <c r="IXB33" s="388"/>
      <c r="IXC33" s="388"/>
      <c r="IXD33" s="388"/>
      <c r="IXE33" s="388"/>
      <c r="IXF33" s="388"/>
      <c r="IXG33" s="388"/>
      <c r="IXH33" s="388"/>
      <c r="IXI33" s="388"/>
      <c r="IXJ33" s="388"/>
      <c r="IXK33" s="388"/>
      <c r="IXL33" s="388"/>
      <c r="IXM33" s="388"/>
      <c r="IXN33" s="388"/>
      <c r="IXO33" s="388"/>
      <c r="IXP33" s="388"/>
      <c r="IXQ33" s="388"/>
      <c r="IXR33" s="388"/>
      <c r="IXS33" s="388"/>
      <c r="IXT33" s="388"/>
      <c r="IXU33" s="388"/>
      <c r="IXV33" s="388"/>
      <c r="IXW33" s="388"/>
      <c r="IXX33" s="388"/>
      <c r="IXY33" s="388"/>
      <c r="IXZ33" s="388"/>
      <c r="IYA33" s="388"/>
      <c r="IYB33" s="388"/>
      <c r="IYC33" s="388"/>
      <c r="IYD33" s="388"/>
      <c r="IYE33" s="388"/>
      <c r="IYF33" s="388"/>
      <c r="IYG33" s="388"/>
      <c r="IYH33" s="388"/>
      <c r="IYI33" s="388"/>
      <c r="IYJ33" s="388"/>
      <c r="IYK33" s="388"/>
      <c r="IYL33" s="388"/>
      <c r="IYM33" s="388"/>
      <c r="IYN33" s="388"/>
      <c r="IYO33" s="388"/>
      <c r="IYP33" s="388"/>
      <c r="IYQ33" s="388"/>
      <c r="IYR33" s="388"/>
      <c r="IYS33" s="388"/>
      <c r="IYT33" s="388"/>
      <c r="IYU33" s="388"/>
      <c r="IYV33" s="388"/>
      <c r="IYW33" s="388"/>
      <c r="IYX33" s="388"/>
      <c r="IYY33" s="388"/>
      <c r="IYZ33" s="388"/>
      <c r="IZA33" s="388"/>
      <c r="IZB33" s="388"/>
      <c r="IZC33" s="388"/>
      <c r="IZD33" s="388"/>
      <c r="IZE33" s="388"/>
      <c r="IZF33" s="388"/>
      <c r="IZG33" s="388"/>
      <c r="IZH33" s="388"/>
      <c r="IZI33" s="388"/>
      <c r="IZJ33" s="388"/>
      <c r="IZK33" s="388"/>
      <c r="IZL33" s="388"/>
      <c r="IZM33" s="388"/>
      <c r="IZN33" s="388"/>
      <c r="IZO33" s="388"/>
      <c r="IZP33" s="388"/>
      <c r="IZQ33" s="388"/>
      <c r="IZR33" s="388"/>
      <c r="IZS33" s="388"/>
      <c r="IZT33" s="388"/>
      <c r="IZU33" s="388"/>
      <c r="IZV33" s="388"/>
      <c r="IZW33" s="388"/>
      <c r="IZX33" s="388"/>
      <c r="IZY33" s="388"/>
      <c r="IZZ33" s="388"/>
      <c r="JAA33" s="388"/>
      <c r="JAB33" s="388"/>
      <c r="JAC33" s="388"/>
      <c r="JAD33" s="388"/>
      <c r="JAE33" s="388"/>
      <c r="JAF33" s="388"/>
      <c r="JAG33" s="388"/>
      <c r="JAH33" s="388"/>
      <c r="JAI33" s="388"/>
      <c r="JAJ33" s="388"/>
      <c r="JAK33" s="388"/>
      <c r="JAL33" s="388"/>
      <c r="JAM33" s="388"/>
      <c r="JAN33" s="388"/>
      <c r="JAO33" s="388"/>
      <c r="JAP33" s="388"/>
      <c r="JAQ33" s="388"/>
      <c r="JAR33" s="388"/>
      <c r="JAS33" s="388"/>
      <c r="JAT33" s="388"/>
      <c r="JAU33" s="388"/>
      <c r="JAV33" s="388"/>
      <c r="JAW33" s="388"/>
      <c r="JAX33" s="388"/>
      <c r="JAY33" s="388"/>
      <c r="JAZ33" s="388"/>
      <c r="JBA33" s="388"/>
      <c r="JBB33" s="388"/>
      <c r="JBC33" s="388"/>
      <c r="JBD33" s="388"/>
      <c r="JBE33" s="388"/>
      <c r="JBF33" s="388"/>
      <c r="JBG33" s="388"/>
      <c r="JBH33" s="388"/>
      <c r="JBI33" s="388"/>
      <c r="JBJ33" s="388"/>
      <c r="JBK33" s="388"/>
      <c r="JBL33" s="388"/>
      <c r="JBM33" s="388"/>
      <c r="JBN33" s="388"/>
      <c r="JBO33" s="388"/>
      <c r="JBP33" s="388"/>
      <c r="JBQ33" s="388"/>
      <c r="JBR33" s="388"/>
      <c r="JBS33" s="388"/>
      <c r="JBT33" s="388"/>
      <c r="JBU33" s="388"/>
      <c r="JBV33" s="388"/>
      <c r="JBW33" s="388"/>
      <c r="JBX33" s="388"/>
      <c r="JBY33" s="388"/>
      <c r="JBZ33" s="388"/>
      <c r="JCA33" s="388"/>
      <c r="JCB33" s="388"/>
      <c r="JCC33" s="388"/>
      <c r="JCD33" s="388"/>
      <c r="JCE33" s="388"/>
      <c r="JCF33" s="388"/>
      <c r="JCG33" s="388"/>
      <c r="JCH33" s="388"/>
      <c r="JCI33" s="388"/>
      <c r="JCJ33" s="388"/>
      <c r="JCK33" s="388"/>
      <c r="JCL33" s="388"/>
      <c r="JCM33" s="388"/>
      <c r="JCN33" s="388"/>
      <c r="JCO33" s="388"/>
      <c r="JCP33" s="388"/>
      <c r="JCQ33" s="388"/>
      <c r="JCR33" s="388"/>
      <c r="JCS33" s="388"/>
      <c r="JCT33" s="388"/>
      <c r="JCU33" s="388"/>
      <c r="JCV33" s="388"/>
      <c r="JCW33" s="388"/>
      <c r="JCX33" s="388"/>
      <c r="JCY33" s="388"/>
      <c r="JCZ33" s="388"/>
      <c r="JDA33" s="388"/>
      <c r="JDB33" s="388"/>
      <c r="JDC33" s="388"/>
      <c r="JDD33" s="388"/>
      <c r="JDE33" s="388"/>
      <c r="JDF33" s="388"/>
      <c r="JDG33" s="388"/>
      <c r="JDH33" s="388"/>
      <c r="JDI33" s="388"/>
      <c r="JDJ33" s="388"/>
      <c r="JDK33" s="388"/>
      <c r="JDL33" s="388"/>
      <c r="JDM33" s="388"/>
      <c r="JDN33" s="388"/>
      <c r="JDO33" s="388"/>
      <c r="JDP33" s="388"/>
      <c r="JDQ33" s="388"/>
      <c r="JDR33" s="388"/>
      <c r="JDS33" s="388"/>
      <c r="JDT33" s="388"/>
      <c r="JDU33" s="388"/>
      <c r="JDV33" s="388"/>
      <c r="JDW33" s="388"/>
      <c r="JDX33" s="388"/>
      <c r="JDY33" s="388"/>
      <c r="JDZ33" s="388"/>
      <c r="JEA33" s="388"/>
      <c r="JEB33" s="388"/>
      <c r="JEC33" s="388"/>
      <c r="JED33" s="388"/>
      <c r="JEE33" s="388"/>
      <c r="JEF33" s="388"/>
      <c r="JEG33" s="388"/>
      <c r="JEH33" s="388"/>
      <c r="JEI33" s="388"/>
      <c r="JEJ33" s="388"/>
      <c r="JEK33" s="388"/>
      <c r="JEL33" s="388"/>
      <c r="JEM33" s="388"/>
      <c r="JEN33" s="388"/>
      <c r="JEO33" s="388"/>
      <c r="JEP33" s="388"/>
      <c r="JEQ33" s="388"/>
      <c r="JER33" s="388"/>
      <c r="JES33" s="388"/>
      <c r="JET33" s="388"/>
      <c r="JEU33" s="388"/>
      <c r="JEV33" s="388"/>
      <c r="JEW33" s="388"/>
      <c r="JEX33" s="388"/>
      <c r="JEY33" s="388"/>
      <c r="JEZ33" s="388"/>
      <c r="JFA33" s="388"/>
      <c r="JFB33" s="388"/>
      <c r="JFC33" s="388"/>
      <c r="JFD33" s="388"/>
      <c r="JFE33" s="388"/>
      <c r="JFF33" s="388"/>
      <c r="JFG33" s="388"/>
      <c r="JFH33" s="388"/>
      <c r="JFI33" s="388"/>
      <c r="JFJ33" s="388"/>
      <c r="JFK33" s="388"/>
      <c r="JFL33" s="388"/>
      <c r="JFM33" s="388"/>
      <c r="JFN33" s="388"/>
      <c r="JFO33" s="388"/>
      <c r="JFP33" s="388"/>
      <c r="JFQ33" s="388"/>
      <c r="JFR33" s="388"/>
      <c r="JFS33" s="388"/>
      <c r="JFT33" s="388"/>
      <c r="JFU33" s="388"/>
      <c r="JFV33" s="388"/>
      <c r="JFW33" s="388"/>
      <c r="JFX33" s="388"/>
      <c r="JFY33" s="388"/>
      <c r="JFZ33" s="388"/>
      <c r="JGA33" s="388"/>
      <c r="JGB33" s="388"/>
      <c r="JGC33" s="388"/>
      <c r="JGD33" s="388"/>
      <c r="JGE33" s="388"/>
      <c r="JGF33" s="388"/>
      <c r="JGG33" s="388"/>
      <c r="JGH33" s="388"/>
      <c r="JGI33" s="388"/>
      <c r="JGJ33" s="388"/>
      <c r="JGK33" s="388"/>
      <c r="JGL33" s="388"/>
      <c r="JGM33" s="388"/>
      <c r="JGN33" s="388"/>
      <c r="JGO33" s="388"/>
      <c r="JGP33" s="388"/>
      <c r="JGQ33" s="388"/>
      <c r="JGR33" s="388"/>
      <c r="JGS33" s="388"/>
      <c r="JGT33" s="388"/>
      <c r="JGU33" s="388"/>
      <c r="JGV33" s="388"/>
      <c r="JGW33" s="388"/>
      <c r="JGX33" s="388"/>
      <c r="JGY33" s="388"/>
      <c r="JGZ33" s="388"/>
      <c r="JHA33" s="388"/>
      <c r="JHB33" s="388"/>
      <c r="JHC33" s="388"/>
      <c r="JHD33" s="388"/>
      <c r="JHE33" s="388"/>
      <c r="JHF33" s="388"/>
      <c r="JHG33" s="388"/>
      <c r="JHH33" s="388"/>
      <c r="JHI33" s="388"/>
      <c r="JHJ33" s="388"/>
      <c r="JHK33" s="388"/>
      <c r="JHL33" s="388"/>
      <c r="JHM33" s="388"/>
      <c r="JHN33" s="388"/>
      <c r="JHO33" s="388"/>
      <c r="JHP33" s="388"/>
      <c r="JHQ33" s="388"/>
      <c r="JHR33" s="388"/>
      <c r="JHS33" s="388"/>
      <c r="JHT33" s="388"/>
      <c r="JHU33" s="388"/>
      <c r="JHV33" s="388"/>
      <c r="JHW33" s="388"/>
      <c r="JHX33" s="388"/>
      <c r="JHY33" s="388"/>
      <c r="JHZ33" s="388"/>
      <c r="JIA33" s="388"/>
      <c r="JIB33" s="388"/>
      <c r="JIC33" s="388"/>
      <c r="JID33" s="388"/>
      <c r="JIE33" s="388"/>
      <c r="JIF33" s="388"/>
      <c r="JIG33" s="388"/>
      <c r="JIH33" s="388"/>
      <c r="JII33" s="388"/>
      <c r="JIJ33" s="388"/>
      <c r="JIK33" s="388"/>
      <c r="JIL33" s="388"/>
      <c r="JIM33" s="388"/>
      <c r="JIN33" s="388"/>
      <c r="JIO33" s="388"/>
      <c r="JIP33" s="388"/>
      <c r="JIQ33" s="388"/>
      <c r="JIR33" s="388"/>
      <c r="JIS33" s="388"/>
      <c r="JIT33" s="388"/>
      <c r="JIU33" s="388"/>
      <c r="JIV33" s="388"/>
      <c r="JIW33" s="388"/>
      <c r="JIX33" s="388"/>
      <c r="JIY33" s="388"/>
      <c r="JIZ33" s="388"/>
      <c r="JJA33" s="388"/>
      <c r="JJB33" s="388"/>
      <c r="JJC33" s="388"/>
      <c r="JJD33" s="388"/>
      <c r="JJE33" s="388"/>
      <c r="JJF33" s="388"/>
      <c r="JJG33" s="388"/>
      <c r="JJH33" s="388"/>
      <c r="JJI33" s="388"/>
      <c r="JJJ33" s="388"/>
      <c r="JJK33" s="388"/>
      <c r="JJL33" s="388"/>
      <c r="JJM33" s="388"/>
      <c r="JJN33" s="388"/>
      <c r="JJO33" s="388"/>
      <c r="JJP33" s="388"/>
      <c r="JJQ33" s="388"/>
      <c r="JJR33" s="388"/>
      <c r="JJS33" s="388"/>
      <c r="JJT33" s="388"/>
      <c r="JJU33" s="388"/>
      <c r="JJV33" s="388"/>
      <c r="JJW33" s="388"/>
      <c r="JJX33" s="388"/>
      <c r="JJY33" s="388"/>
      <c r="JJZ33" s="388"/>
      <c r="JKA33" s="388"/>
      <c r="JKB33" s="388"/>
      <c r="JKC33" s="388"/>
      <c r="JKD33" s="388"/>
      <c r="JKE33" s="388"/>
      <c r="JKF33" s="388"/>
      <c r="JKG33" s="388"/>
      <c r="JKH33" s="388"/>
      <c r="JKI33" s="388"/>
      <c r="JKJ33" s="388"/>
      <c r="JKK33" s="388"/>
      <c r="JKL33" s="388"/>
      <c r="JKM33" s="388"/>
      <c r="JKN33" s="388"/>
      <c r="JKO33" s="388"/>
      <c r="JKP33" s="388"/>
      <c r="JKQ33" s="388"/>
      <c r="JKR33" s="388"/>
      <c r="JKS33" s="388"/>
      <c r="JKT33" s="388"/>
      <c r="JKU33" s="388"/>
      <c r="JKV33" s="388"/>
      <c r="JKW33" s="388"/>
      <c r="JKX33" s="388"/>
      <c r="JKY33" s="388"/>
      <c r="JKZ33" s="388"/>
      <c r="JLA33" s="388"/>
      <c r="JLB33" s="388"/>
      <c r="JLC33" s="388"/>
      <c r="JLD33" s="388"/>
      <c r="JLE33" s="388"/>
      <c r="JLF33" s="388"/>
      <c r="JLG33" s="388"/>
      <c r="JLH33" s="388"/>
      <c r="JLI33" s="388"/>
      <c r="JLJ33" s="388"/>
      <c r="JLK33" s="388"/>
      <c r="JLL33" s="388"/>
      <c r="JLM33" s="388"/>
      <c r="JLN33" s="388"/>
      <c r="JLO33" s="388"/>
      <c r="JLP33" s="388"/>
      <c r="JLQ33" s="388"/>
      <c r="JLR33" s="388"/>
      <c r="JLS33" s="388"/>
      <c r="JLT33" s="388"/>
      <c r="JLU33" s="388"/>
      <c r="JLV33" s="388"/>
      <c r="JLW33" s="388"/>
      <c r="JLX33" s="388"/>
      <c r="JLY33" s="388"/>
      <c r="JLZ33" s="388"/>
      <c r="JMA33" s="388"/>
      <c r="JMB33" s="388"/>
      <c r="JMC33" s="388"/>
      <c r="JMD33" s="388"/>
      <c r="JME33" s="388"/>
      <c r="JMF33" s="388"/>
      <c r="JMG33" s="388"/>
      <c r="JMH33" s="388"/>
      <c r="JMI33" s="388"/>
      <c r="JMJ33" s="388"/>
      <c r="JMK33" s="388"/>
      <c r="JML33" s="388"/>
      <c r="JMM33" s="388"/>
      <c r="JMN33" s="388"/>
      <c r="JMO33" s="388"/>
      <c r="JMP33" s="388"/>
      <c r="JMQ33" s="388"/>
      <c r="JMR33" s="388"/>
      <c r="JMS33" s="388"/>
      <c r="JMT33" s="388"/>
      <c r="JMU33" s="388"/>
      <c r="JMV33" s="388"/>
      <c r="JMW33" s="388"/>
      <c r="JMX33" s="388"/>
      <c r="JMY33" s="388"/>
      <c r="JMZ33" s="388"/>
      <c r="JNA33" s="388"/>
      <c r="JNB33" s="388"/>
      <c r="JNC33" s="388"/>
      <c r="JND33" s="388"/>
      <c r="JNE33" s="388"/>
      <c r="JNF33" s="388"/>
      <c r="JNG33" s="388"/>
      <c r="JNH33" s="388"/>
      <c r="JNI33" s="388"/>
      <c r="JNJ33" s="388"/>
      <c r="JNK33" s="388"/>
      <c r="JNL33" s="388"/>
      <c r="JNM33" s="388"/>
      <c r="JNN33" s="388"/>
      <c r="JNO33" s="388"/>
      <c r="JNP33" s="388"/>
      <c r="JNQ33" s="388"/>
      <c r="JNR33" s="388"/>
      <c r="JNS33" s="388"/>
      <c r="JNT33" s="388"/>
      <c r="JNU33" s="388"/>
      <c r="JNV33" s="388"/>
      <c r="JNW33" s="388"/>
      <c r="JNX33" s="388"/>
      <c r="JNY33" s="388"/>
      <c r="JNZ33" s="388"/>
      <c r="JOA33" s="388"/>
      <c r="JOB33" s="388"/>
      <c r="JOC33" s="388"/>
      <c r="JOD33" s="388"/>
      <c r="JOE33" s="388"/>
      <c r="JOF33" s="388"/>
      <c r="JOG33" s="388"/>
      <c r="JOH33" s="388"/>
      <c r="JOI33" s="388"/>
      <c r="JOJ33" s="388"/>
      <c r="JOK33" s="388"/>
      <c r="JOL33" s="388"/>
      <c r="JOM33" s="388"/>
      <c r="JON33" s="388"/>
      <c r="JOO33" s="388"/>
      <c r="JOP33" s="388"/>
      <c r="JOQ33" s="388"/>
      <c r="JOR33" s="388"/>
      <c r="JOS33" s="388"/>
      <c r="JOT33" s="388"/>
      <c r="JOU33" s="388"/>
      <c r="JOV33" s="388"/>
      <c r="JOW33" s="388"/>
      <c r="JOX33" s="388"/>
      <c r="JOY33" s="388"/>
      <c r="JOZ33" s="388"/>
      <c r="JPA33" s="388"/>
      <c r="JPB33" s="388"/>
      <c r="JPC33" s="388"/>
      <c r="JPD33" s="388"/>
      <c r="JPE33" s="388"/>
      <c r="JPF33" s="388"/>
      <c r="JPG33" s="388"/>
      <c r="JPH33" s="388"/>
      <c r="JPI33" s="388"/>
      <c r="JPJ33" s="388"/>
      <c r="JPK33" s="388"/>
      <c r="JPL33" s="388"/>
      <c r="JPM33" s="388"/>
      <c r="JPN33" s="388"/>
      <c r="JPO33" s="388"/>
      <c r="JPP33" s="388"/>
      <c r="JPQ33" s="388"/>
      <c r="JPR33" s="388"/>
      <c r="JPS33" s="388"/>
      <c r="JPT33" s="388"/>
      <c r="JPU33" s="388"/>
      <c r="JPV33" s="388"/>
      <c r="JPW33" s="388"/>
      <c r="JPX33" s="388"/>
      <c r="JPY33" s="388"/>
      <c r="JPZ33" s="388"/>
      <c r="JQA33" s="388"/>
      <c r="JQB33" s="388"/>
      <c r="JQC33" s="388"/>
      <c r="JQD33" s="388"/>
      <c r="JQE33" s="388"/>
      <c r="JQF33" s="388"/>
      <c r="JQG33" s="388"/>
      <c r="JQH33" s="388"/>
      <c r="JQI33" s="388"/>
      <c r="JQJ33" s="388"/>
      <c r="JQK33" s="388"/>
      <c r="JQL33" s="388"/>
      <c r="JQM33" s="388"/>
      <c r="JQN33" s="388"/>
      <c r="JQO33" s="388"/>
      <c r="JQP33" s="388"/>
      <c r="JQQ33" s="388"/>
      <c r="JQR33" s="388"/>
      <c r="JQS33" s="388"/>
      <c r="JQT33" s="388"/>
      <c r="JQU33" s="388"/>
      <c r="JQV33" s="388"/>
      <c r="JQW33" s="388"/>
      <c r="JQX33" s="388"/>
      <c r="JQY33" s="388"/>
      <c r="JQZ33" s="388"/>
      <c r="JRA33" s="388"/>
      <c r="JRB33" s="388"/>
      <c r="JRC33" s="388"/>
      <c r="JRD33" s="388"/>
      <c r="JRE33" s="388"/>
      <c r="JRF33" s="388"/>
      <c r="JRG33" s="388"/>
      <c r="JRH33" s="388"/>
      <c r="JRI33" s="388"/>
      <c r="JRJ33" s="388"/>
      <c r="JRK33" s="388"/>
      <c r="JRL33" s="388"/>
      <c r="JRM33" s="388"/>
      <c r="JRN33" s="388"/>
      <c r="JRO33" s="388"/>
      <c r="JRP33" s="388"/>
      <c r="JRQ33" s="388"/>
      <c r="JRR33" s="388"/>
      <c r="JRS33" s="388"/>
      <c r="JRT33" s="388"/>
      <c r="JRU33" s="388"/>
      <c r="JRV33" s="388"/>
      <c r="JRW33" s="388"/>
      <c r="JRX33" s="388"/>
      <c r="JRY33" s="388"/>
      <c r="JRZ33" s="388"/>
      <c r="JSA33" s="388"/>
      <c r="JSB33" s="388"/>
      <c r="JSC33" s="388"/>
      <c r="JSD33" s="388"/>
      <c r="JSE33" s="388"/>
      <c r="JSF33" s="388"/>
      <c r="JSG33" s="388"/>
      <c r="JSH33" s="388"/>
      <c r="JSI33" s="388"/>
      <c r="JSJ33" s="388"/>
      <c r="JSK33" s="388"/>
      <c r="JSL33" s="388"/>
      <c r="JSM33" s="388"/>
      <c r="JSN33" s="388"/>
      <c r="JSO33" s="388"/>
      <c r="JSP33" s="388"/>
      <c r="JSQ33" s="388"/>
      <c r="JSR33" s="388"/>
      <c r="JSS33" s="388"/>
      <c r="JST33" s="388"/>
      <c r="JSU33" s="388"/>
      <c r="JSV33" s="388"/>
      <c r="JSW33" s="388"/>
      <c r="JSX33" s="388"/>
      <c r="JSY33" s="388"/>
      <c r="JSZ33" s="388"/>
      <c r="JTA33" s="388"/>
      <c r="JTB33" s="388"/>
      <c r="JTC33" s="388"/>
      <c r="JTD33" s="388"/>
      <c r="JTE33" s="388"/>
      <c r="JTF33" s="388"/>
      <c r="JTG33" s="388"/>
      <c r="JTH33" s="388"/>
      <c r="JTI33" s="388"/>
      <c r="JTJ33" s="388"/>
      <c r="JTK33" s="388"/>
      <c r="JTL33" s="388"/>
      <c r="JTM33" s="388"/>
      <c r="JTN33" s="388"/>
      <c r="JTO33" s="388"/>
      <c r="JTP33" s="388"/>
      <c r="JTQ33" s="388"/>
      <c r="JTR33" s="388"/>
      <c r="JTS33" s="388"/>
      <c r="JTT33" s="388"/>
      <c r="JTU33" s="388"/>
      <c r="JTV33" s="388"/>
      <c r="JTW33" s="388"/>
      <c r="JTX33" s="388"/>
      <c r="JTY33" s="388"/>
      <c r="JTZ33" s="388"/>
      <c r="JUA33" s="388"/>
      <c r="JUB33" s="388"/>
      <c r="JUC33" s="388"/>
      <c r="JUD33" s="388"/>
      <c r="JUE33" s="388"/>
      <c r="JUF33" s="388"/>
      <c r="JUG33" s="388"/>
      <c r="JUH33" s="388"/>
      <c r="JUI33" s="388"/>
      <c r="JUJ33" s="388"/>
      <c r="JUK33" s="388"/>
      <c r="JUL33" s="388"/>
      <c r="JUM33" s="388"/>
      <c r="JUN33" s="388"/>
      <c r="JUO33" s="388"/>
      <c r="JUP33" s="388"/>
      <c r="JUQ33" s="388"/>
      <c r="JUR33" s="388"/>
      <c r="JUS33" s="388"/>
      <c r="JUT33" s="388"/>
      <c r="JUU33" s="388"/>
      <c r="JUV33" s="388"/>
      <c r="JUW33" s="388"/>
      <c r="JUX33" s="388"/>
      <c r="JUY33" s="388"/>
      <c r="JUZ33" s="388"/>
      <c r="JVA33" s="388"/>
      <c r="JVB33" s="388"/>
      <c r="JVC33" s="388"/>
      <c r="JVD33" s="388"/>
      <c r="JVE33" s="388"/>
      <c r="JVF33" s="388"/>
      <c r="JVG33" s="388"/>
      <c r="JVH33" s="388"/>
      <c r="JVI33" s="388"/>
      <c r="JVJ33" s="388"/>
      <c r="JVK33" s="388"/>
      <c r="JVL33" s="388"/>
      <c r="JVM33" s="388"/>
      <c r="JVN33" s="388"/>
      <c r="JVO33" s="388"/>
      <c r="JVP33" s="388"/>
      <c r="JVQ33" s="388"/>
      <c r="JVR33" s="388"/>
      <c r="JVS33" s="388"/>
      <c r="JVT33" s="388"/>
      <c r="JVU33" s="388"/>
      <c r="JVV33" s="388"/>
      <c r="JVW33" s="388"/>
      <c r="JVX33" s="388"/>
      <c r="JVY33" s="388"/>
      <c r="JVZ33" s="388"/>
      <c r="JWA33" s="388"/>
      <c r="JWB33" s="388"/>
      <c r="JWC33" s="388"/>
      <c r="JWD33" s="388"/>
      <c r="JWE33" s="388"/>
      <c r="JWF33" s="388"/>
      <c r="JWG33" s="388"/>
      <c r="JWH33" s="388"/>
      <c r="JWI33" s="388"/>
      <c r="JWJ33" s="388"/>
      <c r="JWK33" s="388"/>
      <c r="JWL33" s="388"/>
      <c r="JWM33" s="388"/>
      <c r="JWN33" s="388"/>
      <c r="JWO33" s="388"/>
      <c r="JWP33" s="388"/>
      <c r="JWQ33" s="388"/>
      <c r="JWR33" s="388"/>
      <c r="JWS33" s="388"/>
      <c r="JWT33" s="388"/>
      <c r="JWU33" s="388"/>
      <c r="JWV33" s="388"/>
      <c r="JWW33" s="388"/>
      <c r="JWX33" s="388"/>
      <c r="JWY33" s="388"/>
      <c r="JWZ33" s="388"/>
      <c r="JXA33" s="388"/>
      <c r="JXB33" s="388"/>
      <c r="JXC33" s="388"/>
      <c r="JXD33" s="388"/>
      <c r="JXE33" s="388"/>
      <c r="JXF33" s="388"/>
      <c r="JXG33" s="388"/>
      <c r="JXH33" s="388"/>
      <c r="JXI33" s="388"/>
      <c r="JXJ33" s="388"/>
      <c r="JXK33" s="388"/>
      <c r="JXL33" s="388"/>
      <c r="JXM33" s="388"/>
      <c r="JXN33" s="388"/>
      <c r="JXO33" s="388"/>
      <c r="JXP33" s="388"/>
      <c r="JXQ33" s="388"/>
      <c r="JXR33" s="388"/>
      <c r="JXS33" s="388"/>
      <c r="JXT33" s="388"/>
      <c r="JXU33" s="388"/>
      <c r="JXV33" s="388"/>
      <c r="JXW33" s="388"/>
      <c r="JXX33" s="388"/>
      <c r="JXY33" s="388"/>
      <c r="JXZ33" s="388"/>
      <c r="JYA33" s="388"/>
      <c r="JYB33" s="388"/>
      <c r="JYC33" s="388"/>
      <c r="JYD33" s="388"/>
      <c r="JYE33" s="388"/>
      <c r="JYF33" s="388"/>
      <c r="JYG33" s="388"/>
      <c r="JYH33" s="388"/>
      <c r="JYI33" s="388"/>
      <c r="JYJ33" s="388"/>
      <c r="JYK33" s="388"/>
      <c r="JYL33" s="388"/>
      <c r="JYM33" s="388"/>
      <c r="JYN33" s="388"/>
      <c r="JYO33" s="388"/>
      <c r="JYP33" s="388"/>
      <c r="JYQ33" s="388"/>
      <c r="JYR33" s="388"/>
      <c r="JYS33" s="388"/>
      <c r="JYT33" s="388"/>
      <c r="JYU33" s="388"/>
      <c r="JYV33" s="388"/>
      <c r="JYW33" s="388"/>
      <c r="JYX33" s="388"/>
      <c r="JYY33" s="388"/>
      <c r="JYZ33" s="388"/>
      <c r="JZA33" s="388"/>
      <c r="JZB33" s="388"/>
      <c r="JZC33" s="388"/>
      <c r="JZD33" s="388"/>
      <c r="JZE33" s="388"/>
      <c r="JZF33" s="388"/>
      <c r="JZG33" s="388"/>
      <c r="JZH33" s="388"/>
      <c r="JZI33" s="388"/>
      <c r="JZJ33" s="388"/>
      <c r="JZK33" s="388"/>
      <c r="JZL33" s="388"/>
      <c r="JZM33" s="388"/>
      <c r="JZN33" s="388"/>
      <c r="JZO33" s="388"/>
      <c r="JZP33" s="388"/>
      <c r="JZQ33" s="388"/>
      <c r="JZR33" s="388"/>
      <c r="JZS33" s="388"/>
      <c r="JZT33" s="388"/>
      <c r="JZU33" s="388"/>
      <c r="JZV33" s="388"/>
      <c r="JZW33" s="388"/>
      <c r="JZX33" s="388"/>
      <c r="JZY33" s="388"/>
      <c r="JZZ33" s="388"/>
      <c r="KAA33" s="388"/>
      <c r="KAB33" s="388"/>
      <c r="KAC33" s="388"/>
      <c r="KAD33" s="388"/>
      <c r="KAE33" s="388"/>
      <c r="KAF33" s="388"/>
      <c r="KAG33" s="388"/>
      <c r="KAH33" s="388"/>
      <c r="KAI33" s="388"/>
      <c r="KAJ33" s="388"/>
      <c r="KAK33" s="388"/>
      <c r="KAL33" s="388"/>
      <c r="KAM33" s="388"/>
      <c r="KAN33" s="388"/>
      <c r="KAO33" s="388"/>
      <c r="KAP33" s="388"/>
      <c r="KAQ33" s="388"/>
      <c r="KAR33" s="388"/>
      <c r="KAS33" s="388"/>
      <c r="KAT33" s="388"/>
      <c r="KAU33" s="388"/>
      <c r="KAV33" s="388"/>
      <c r="KAW33" s="388"/>
      <c r="KAX33" s="388"/>
      <c r="KAY33" s="388"/>
      <c r="KAZ33" s="388"/>
      <c r="KBA33" s="388"/>
      <c r="KBB33" s="388"/>
      <c r="KBC33" s="388"/>
      <c r="KBD33" s="388"/>
      <c r="KBE33" s="388"/>
      <c r="KBF33" s="388"/>
      <c r="KBG33" s="388"/>
      <c r="KBH33" s="388"/>
      <c r="KBI33" s="388"/>
      <c r="KBJ33" s="388"/>
      <c r="KBK33" s="388"/>
      <c r="KBL33" s="388"/>
      <c r="KBM33" s="388"/>
      <c r="KBN33" s="388"/>
      <c r="KBO33" s="388"/>
      <c r="KBP33" s="388"/>
      <c r="KBQ33" s="388"/>
      <c r="KBR33" s="388"/>
      <c r="KBS33" s="388"/>
      <c r="KBT33" s="388"/>
      <c r="KBU33" s="388"/>
      <c r="KBV33" s="388"/>
      <c r="KBW33" s="388"/>
      <c r="KBX33" s="388"/>
      <c r="KBY33" s="388"/>
      <c r="KBZ33" s="388"/>
      <c r="KCA33" s="388"/>
      <c r="KCB33" s="388"/>
      <c r="KCC33" s="388"/>
      <c r="KCD33" s="388"/>
      <c r="KCE33" s="388"/>
      <c r="KCF33" s="388"/>
      <c r="KCG33" s="388"/>
      <c r="KCH33" s="388"/>
      <c r="KCI33" s="388"/>
      <c r="KCJ33" s="388"/>
      <c r="KCK33" s="388"/>
      <c r="KCL33" s="388"/>
      <c r="KCM33" s="388"/>
      <c r="KCN33" s="388"/>
      <c r="KCO33" s="388"/>
      <c r="KCP33" s="388"/>
      <c r="KCQ33" s="388"/>
      <c r="KCR33" s="388"/>
      <c r="KCS33" s="388"/>
      <c r="KCT33" s="388"/>
      <c r="KCU33" s="388"/>
      <c r="KCV33" s="388"/>
      <c r="KCW33" s="388"/>
      <c r="KCX33" s="388"/>
      <c r="KCY33" s="388"/>
      <c r="KCZ33" s="388"/>
      <c r="KDA33" s="388"/>
      <c r="KDB33" s="388"/>
      <c r="KDC33" s="388"/>
      <c r="KDD33" s="388"/>
      <c r="KDE33" s="388"/>
      <c r="KDF33" s="388"/>
      <c r="KDG33" s="388"/>
      <c r="KDH33" s="388"/>
      <c r="KDI33" s="388"/>
      <c r="KDJ33" s="388"/>
      <c r="KDK33" s="388"/>
      <c r="KDL33" s="388"/>
      <c r="KDM33" s="388"/>
      <c r="KDN33" s="388"/>
      <c r="KDO33" s="388"/>
      <c r="KDP33" s="388"/>
      <c r="KDQ33" s="388"/>
      <c r="KDR33" s="388"/>
      <c r="KDS33" s="388"/>
      <c r="KDT33" s="388"/>
      <c r="KDU33" s="388"/>
      <c r="KDV33" s="388"/>
      <c r="KDW33" s="388"/>
      <c r="KDX33" s="388"/>
      <c r="KDY33" s="388"/>
      <c r="KDZ33" s="388"/>
      <c r="KEA33" s="388"/>
      <c r="KEB33" s="388"/>
      <c r="KEC33" s="388"/>
      <c r="KED33" s="388"/>
      <c r="KEE33" s="388"/>
      <c r="KEF33" s="388"/>
      <c r="KEG33" s="388"/>
      <c r="KEH33" s="388"/>
      <c r="KEI33" s="388"/>
      <c r="KEJ33" s="388"/>
      <c r="KEK33" s="388"/>
      <c r="KEL33" s="388"/>
      <c r="KEM33" s="388"/>
      <c r="KEN33" s="388"/>
      <c r="KEO33" s="388"/>
      <c r="KEP33" s="388"/>
      <c r="KEQ33" s="388"/>
      <c r="KER33" s="388"/>
      <c r="KES33" s="388"/>
      <c r="KET33" s="388"/>
      <c r="KEU33" s="388"/>
      <c r="KEV33" s="388"/>
      <c r="KEW33" s="388"/>
      <c r="KEX33" s="388"/>
      <c r="KEY33" s="388"/>
      <c r="KEZ33" s="388"/>
      <c r="KFA33" s="388"/>
      <c r="KFB33" s="388"/>
      <c r="KFC33" s="388"/>
      <c r="KFD33" s="388"/>
      <c r="KFE33" s="388"/>
      <c r="KFF33" s="388"/>
      <c r="KFG33" s="388"/>
      <c r="KFH33" s="388"/>
      <c r="KFI33" s="388"/>
      <c r="KFJ33" s="388"/>
      <c r="KFK33" s="388"/>
      <c r="KFL33" s="388"/>
      <c r="KFM33" s="388"/>
      <c r="KFN33" s="388"/>
      <c r="KFO33" s="388"/>
      <c r="KFP33" s="388"/>
      <c r="KFQ33" s="388"/>
      <c r="KFR33" s="388"/>
      <c r="KFS33" s="388"/>
      <c r="KFT33" s="388"/>
      <c r="KFU33" s="388"/>
      <c r="KFV33" s="388"/>
      <c r="KFW33" s="388"/>
      <c r="KFX33" s="388"/>
      <c r="KFY33" s="388"/>
      <c r="KFZ33" s="388"/>
      <c r="KGA33" s="388"/>
      <c r="KGB33" s="388"/>
      <c r="KGC33" s="388"/>
      <c r="KGD33" s="388"/>
      <c r="KGE33" s="388"/>
      <c r="KGF33" s="388"/>
      <c r="KGG33" s="388"/>
      <c r="KGH33" s="388"/>
      <c r="KGI33" s="388"/>
      <c r="KGJ33" s="388"/>
      <c r="KGK33" s="388"/>
      <c r="KGL33" s="388"/>
      <c r="KGM33" s="388"/>
      <c r="KGN33" s="388"/>
      <c r="KGO33" s="388"/>
      <c r="KGP33" s="388"/>
      <c r="KGQ33" s="388"/>
      <c r="KGR33" s="388"/>
      <c r="KGS33" s="388"/>
      <c r="KGT33" s="388"/>
      <c r="KGU33" s="388"/>
      <c r="KGV33" s="388"/>
      <c r="KGW33" s="388"/>
      <c r="KGX33" s="388"/>
      <c r="KGY33" s="388"/>
      <c r="KGZ33" s="388"/>
      <c r="KHA33" s="388"/>
      <c r="KHB33" s="388"/>
      <c r="KHC33" s="388"/>
      <c r="KHD33" s="388"/>
      <c r="KHE33" s="388"/>
      <c r="KHF33" s="388"/>
      <c r="KHG33" s="388"/>
      <c r="KHH33" s="388"/>
      <c r="KHI33" s="388"/>
      <c r="KHJ33" s="388"/>
      <c r="KHK33" s="388"/>
      <c r="KHL33" s="388"/>
      <c r="KHM33" s="388"/>
      <c r="KHN33" s="388"/>
      <c r="KHO33" s="388"/>
      <c r="KHP33" s="388"/>
      <c r="KHQ33" s="388"/>
      <c r="KHR33" s="388"/>
      <c r="KHS33" s="388"/>
      <c r="KHT33" s="388"/>
      <c r="KHU33" s="388"/>
      <c r="KHV33" s="388"/>
      <c r="KHW33" s="388"/>
      <c r="KHX33" s="388"/>
      <c r="KHY33" s="388"/>
      <c r="KHZ33" s="388"/>
      <c r="KIA33" s="388"/>
      <c r="KIB33" s="388"/>
      <c r="KIC33" s="388"/>
      <c r="KID33" s="388"/>
      <c r="KIE33" s="388"/>
      <c r="KIF33" s="388"/>
      <c r="KIG33" s="388"/>
      <c r="KIH33" s="388"/>
      <c r="KII33" s="388"/>
      <c r="KIJ33" s="388"/>
      <c r="KIK33" s="388"/>
      <c r="KIL33" s="388"/>
      <c r="KIM33" s="388"/>
      <c r="KIN33" s="388"/>
      <c r="KIO33" s="388"/>
      <c r="KIP33" s="388"/>
      <c r="KIQ33" s="388"/>
      <c r="KIR33" s="388"/>
      <c r="KIS33" s="388"/>
      <c r="KIT33" s="388"/>
      <c r="KIU33" s="388"/>
      <c r="KIV33" s="388"/>
      <c r="KIW33" s="388"/>
      <c r="KIX33" s="388"/>
      <c r="KIY33" s="388"/>
      <c r="KIZ33" s="388"/>
      <c r="KJA33" s="388"/>
      <c r="KJB33" s="388"/>
      <c r="KJC33" s="388"/>
      <c r="KJD33" s="388"/>
      <c r="KJE33" s="388"/>
      <c r="KJF33" s="388"/>
      <c r="KJG33" s="388"/>
      <c r="KJH33" s="388"/>
      <c r="KJI33" s="388"/>
      <c r="KJJ33" s="388"/>
      <c r="KJK33" s="388"/>
      <c r="KJL33" s="388"/>
      <c r="KJM33" s="388"/>
      <c r="KJN33" s="388"/>
      <c r="KJO33" s="388"/>
      <c r="KJP33" s="388"/>
      <c r="KJQ33" s="388"/>
      <c r="KJR33" s="388"/>
      <c r="KJS33" s="388"/>
      <c r="KJT33" s="388"/>
      <c r="KJU33" s="388"/>
      <c r="KJV33" s="388"/>
      <c r="KJW33" s="388"/>
      <c r="KJX33" s="388"/>
      <c r="KJY33" s="388"/>
      <c r="KJZ33" s="388"/>
      <c r="KKA33" s="388"/>
      <c r="KKB33" s="388"/>
      <c r="KKC33" s="388"/>
      <c r="KKD33" s="388"/>
      <c r="KKE33" s="388"/>
      <c r="KKF33" s="388"/>
      <c r="KKG33" s="388"/>
      <c r="KKH33" s="388"/>
      <c r="KKI33" s="388"/>
      <c r="KKJ33" s="388"/>
      <c r="KKK33" s="388"/>
      <c r="KKL33" s="388"/>
      <c r="KKM33" s="388"/>
      <c r="KKN33" s="388"/>
      <c r="KKO33" s="388"/>
      <c r="KKP33" s="388"/>
      <c r="KKQ33" s="388"/>
      <c r="KKR33" s="388"/>
      <c r="KKS33" s="388"/>
      <c r="KKT33" s="388"/>
      <c r="KKU33" s="388"/>
      <c r="KKV33" s="388"/>
      <c r="KKW33" s="388"/>
      <c r="KKX33" s="388"/>
      <c r="KKY33" s="388"/>
      <c r="KKZ33" s="388"/>
      <c r="KLA33" s="388"/>
      <c r="KLB33" s="388"/>
      <c r="KLC33" s="388"/>
      <c r="KLD33" s="388"/>
      <c r="KLE33" s="388"/>
      <c r="KLF33" s="388"/>
      <c r="KLG33" s="388"/>
      <c r="KLH33" s="388"/>
      <c r="KLI33" s="388"/>
      <c r="KLJ33" s="388"/>
      <c r="KLK33" s="388"/>
      <c r="KLL33" s="388"/>
      <c r="KLM33" s="388"/>
      <c r="KLN33" s="388"/>
      <c r="KLO33" s="388"/>
      <c r="KLP33" s="388"/>
      <c r="KLQ33" s="388"/>
      <c r="KLR33" s="388"/>
      <c r="KLS33" s="388"/>
      <c r="KLT33" s="388"/>
      <c r="KLU33" s="388"/>
      <c r="KLV33" s="388"/>
      <c r="KLW33" s="388"/>
      <c r="KLX33" s="388"/>
      <c r="KLY33" s="388"/>
      <c r="KLZ33" s="388"/>
      <c r="KMA33" s="388"/>
      <c r="KMB33" s="388"/>
      <c r="KMC33" s="388"/>
      <c r="KMD33" s="388"/>
      <c r="KME33" s="388"/>
      <c r="KMF33" s="388"/>
      <c r="KMG33" s="388"/>
      <c r="KMH33" s="388"/>
      <c r="KMI33" s="388"/>
      <c r="KMJ33" s="388"/>
      <c r="KMK33" s="388"/>
      <c r="KML33" s="388"/>
      <c r="KMM33" s="388"/>
      <c r="KMN33" s="388"/>
      <c r="KMO33" s="388"/>
      <c r="KMP33" s="388"/>
      <c r="KMQ33" s="388"/>
      <c r="KMR33" s="388"/>
      <c r="KMS33" s="388"/>
      <c r="KMT33" s="388"/>
      <c r="KMU33" s="388"/>
      <c r="KMV33" s="388"/>
      <c r="KMW33" s="388"/>
      <c r="KMX33" s="388"/>
      <c r="KMY33" s="388"/>
      <c r="KMZ33" s="388"/>
      <c r="KNA33" s="388"/>
      <c r="KNB33" s="388"/>
      <c r="KNC33" s="388"/>
      <c r="KND33" s="388"/>
      <c r="KNE33" s="388"/>
      <c r="KNF33" s="388"/>
      <c r="KNG33" s="388"/>
      <c r="KNH33" s="388"/>
      <c r="KNI33" s="388"/>
      <c r="KNJ33" s="388"/>
      <c r="KNK33" s="388"/>
      <c r="KNL33" s="388"/>
      <c r="KNM33" s="388"/>
      <c r="KNN33" s="388"/>
      <c r="KNO33" s="388"/>
      <c r="KNP33" s="388"/>
      <c r="KNQ33" s="388"/>
      <c r="KNR33" s="388"/>
      <c r="KNS33" s="388"/>
      <c r="KNT33" s="388"/>
      <c r="KNU33" s="388"/>
      <c r="KNV33" s="388"/>
      <c r="KNW33" s="388"/>
      <c r="KNX33" s="388"/>
      <c r="KNY33" s="388"/>
      <c r="KNZ33" s="388"/>
      <c r="KOA33" s="388"/>
      <c r="KOB33" s="388"/>
      <c r="KOC33" s="388"/>
      <c r="KOD33" s="388"/>
      <c r="KOE33" s="388"/>
      <c r="KOF33" s="388"/>
      <c r="KOG33" s="388"/>
      <c r="KOH33" s="388"/>
      <c r="KOI33" s="388"/>
      <c r="KOJ33" s="388"/>
      <c r="KOK33" s="388"/>
      <c r="KOL33" s="388"/>
      <c r="KOM33" s="388"/>
      <c r="KON33" s="388"/>
      <c r="KOO33" s="388"/>
      <c r="KOP33" s="388"/>
      <c r="KOQ33" s="388"/>
      <c r="KOR33" s="388"/>
      <c r="KOS33" s="388"/>
      <c r="KOT33" s="388"/>
      <c r="KOU33" s="388"/>
      <c r="KOV33" s="388"/>
      <c r="KOW33" s="388"/>
      <c r="KOX33" s="388"/>
      <c r="KOY33" s="388"/>
      <c r="KOZ33" s="388"/>
      <c r="KPA33" s="388"/>
      <c r="KPB33" s="388"/>
      <c r="KPC33" s="388"/>
      <c r="KPD33" s="388"/>
      <c r="KPE33" s="388"/>
      <c r="KPF33" s="388"/>
      <c r="KPG33" s="388"/>
      <c r="KPH33" s="388"/>
      <c r="KPI33" s="388"/>
      <c r="KPJ33" s="388"/>
      <c r="KPK33" s="388"/>
      <c r="KPL33" s="388"/>
      <c r="KPM33" s="388"/>
      <c r="KPN33" s="388"/>
      <c r="KPO33" s="388"/>
      <c r="KPP33" s="388"/>
      <c r="KPQ33" s="388"/>
      <c r="KPR33" s="388"/>
      <c r="KPS33" s="388"/>
      <c r="KPT33" s="388"/>
      <c r="KPU33" s="388"/>
      <c r="KPV33" s="388"/>
      <c r="KPW33" s="388"/>
      <c r="KPX33" s="388"/>
      <c r="KPY33" s="388"/>
      <c r="KPZ33" s="388"/>
      <c r="KQA33" s="388"/>
      <c r="KQB33" s="388"/>
      <c r="KQC33" s="388"/>
      <c r="KQD33" s="388"/>
      <c r="KQE33" s="388"/>
      <c r="KQF33" s="388"/>
      <c r="KQG33" s="388"/>
      <c r="KQH33" s="388"/>
      <c r="KQI33" s="388"/>
      <c r="KQJ33" s="388"/>
      <c r="KQK33" s="388"/>
      <c r="KQL33" s="388"/>
      <c r="KQM33" s="388"/>
      <c r="KQN33" s="388"/>
      <c r="KQO33" s="388"/>
      <c r="KQP33" s="388"/>
      <c r="KQQ33" s="388"/>
      <c r="KQR33" s="388"/>
      <c r="KQS33" s="388"/>
      <c r="KQT33" s="388"/>
      <c r="KQU33" s="388"/>
      <c r="KQV33" s="388"/>
      <c r="KQW33" s="388"/>
      <c r="KQX33" s="388"/>
      <c r="KQY33" s="388"/>
      <c r="KQZ33" s="388"/>
      <c r="KRA33" s="388"/>
      <c r="KRB33" s="388"/>
      <c r="KRC33" s="388"/>
      <c r="KRD33" s="388"/>
      <c r="KRE33" s="388"/>
      <c r="KRF33" s="388"/>
      <c r="KRG33" s="388"/>
      <c r="KRH33" s="388"/>
      <c r="KRI33" s="388"/>
      <c r="KRJ33" s="388"/>
      <c r="KRK33" s="388"/>
      <c r="KRL33" s="388"/>
      <c r="KRM33" s="388"/>
      <c r="KRN33" s="388"/>
      <c r="KRO33" s="388"/>
      <c r="KRP33" s="388"/>
      <c r="KRQ33" s="388"/>
      <c r="KRR33" s="388"/>
      <c r="KRS33" s="388"/>
      <c r="KRT33" s="388"/>
      <c r="KRU33" s="388"/>
      <c r="KRV33" s="388"/>
      <c r="KRW33" s="388"/>
      <c r="KRX33" s="388"/>
      <c r="KRY33" s="388"/>
      <c r="KRZ33" s="388"/>
      <c r="KSA33" s="388"/>
      <c r="KSB33" s="388"/>
      <c r="KSC33" s="388"/>
      <c r="KSD33" s="388"/>
      <c r="KSE33" s="388"/>
      <c r="KSF33" s="388"/>
      <c r="KSG33" s="388"/>
      <c r="KSH33" s="388"/>
      <c r="KSI33" s="388"/>
      <c r="KSJ33" s="388"/>
      <c r="KSK33" s="388"/>
      <c r="KSL33" s="388"/>
      <c r="KSM33" s="388"/>
      <c r="KSN33" s="388"/>
      <c r="KSO33" s="388"/>
      <c r="KSP33" s="388"/>
      <c r="KSQ33" s="388"/>
      <c r="KSR33" s="388"/>
      <c r="KSS33" s="388"/>
      <c r="KST33" s="388"/>
      <c r="KSU33" s="388"/>
      <c r="KSV33" s="388"/>
      <c r="KSW33" s="388"/>
      <c r="KSX33" s="388"/>
      <c r="KSY33" s="388"/>
      <c r="KSZ33" s="388"/>
      <c r="KTA33" s="388"/>
      <c r="KTB33" s="388"/>
      <c r="KTC33" s="388"/>
      <c r="KTD33" s="388"/>
      <c r="KTE33" s="388"/>
      <c r="KTF33" s="388"/>
      <c r="KTG33" s="388"/>
      <c r="KTH33" s="388"/>
      <c r="KTI33" s="388"/>
      <c r="KTJ33" s="388"/>
      <c r="KTK33" s="388"/>
      <c r="KTL33" s="388"/>
      <c r="KTM33" s="388"/>
      <c r="KTN33" s="388"/>
      <c r="KTO33" s="388"/>
      <c r="KTP33" s="388"/>
      <c r="KTQ33" s="388"/>
      <c r="KTR33" s="388"/>
      <c r="KTS33" s="388"/>
      <c r="KTT33" s="388"/>
      <c r="KTU33" s="388"/>
      <c r="KTV33" s="388"/>
      <c r="KTW33" s="388"/>
      <c r="KTX33" s="388"/>
      <c r="KTY33" s="388"/>
      <c r="KTZ33" s="388"/>
      <c r="KUA33" s="388"/>
      <c r="KUB33" s="388"/>
      <c r="KUC33" s="388"/>
      <c r="KUD33" s="388"/>
      <c r="KUE33" s="388"/>
      <c r="KUF33" s="388"/>
      <c r="KUG33" s="388"/>
      <c r="KUH33" s="388"/>
      <c r="KUI33" s="388"/>
      <c r="KUJ33" s="388"/>
      <c r="KUK33" s="388"/>
      <c r="KUL33" s="388"/>
      <c r="KUM33" s="388"/>
      <c r="KUN33" s="388"/>
      <c r="KUO33" s="388"/>
      <c r="KUP33" s="388"/>
      <c r="KUQ33" s="388"/>
      <c r="KUR33" s="388"/>
      <c r="KUS33" s="388"/>
      <c r="KUT33" s="388"/>
      <c r="KUU33" s="388"/>
      <c r="KUV33" s="388"/>
      <c r="KUW33" s="388"/>
      <c r="KUX33" s="388"/>
      <c r="KUY33" s="388"/>
      <c r="KUZ33" s="388"/>
      <c r="KVA33" s="388"/>
      <c r="KVB33" s="388"/>
      <c r="KVC33" s="388"/>
      <c r="KVD33" s="388"/>
      <c r="KVE33" s="388"/>
      <c r="KVF33" s="388"/>
      <c r="KVG33" s="388"/>
      <c r="KVH33" s="388"/>
      <c r="KVI33" s="388"/>
      <c r="KVJ33" s="388"/>
      <c r="KVK33" s="388"/>
      <c r="KVL33" s="388"/>
      <c r="KVM33" s="388"/>
      <c r="KVN33" s="388"/>
      <c r="KVO33" s="388"/>
      <c r="KVP33" s="388"/>
      <c r="KVQ33" s="388"/>
      <c r="KVR33" s="388"/>
      <c r="KVS33" s="388"/>
      <c r="KVT33" s="388"/>
      <c r="KVU33" s="388"/>
      <c r="KVV33" s="388"/>
      <c r="KVW33" s="388"/>
      <c r="KVX33" s="388"/>
      <c r="KVY33" s="388"/>
      <c r="KVZ33" s="388"/>
      <c r="KWA33" s="388"/>
      <c r="KWB33" s="388"/>
      <c r="KWC33" s="388"/>
      <c r="KWD33" s="388"/>
      <c r="KWE33" s="388"/>
      <c r="KWF33" s="388"/>
      <c r="KWG33" s="388"/>
      <c r="KWH33" s="388"/>
      <c r="KWI33" s="388"/>
      <c r="KWJ33" s="388"/>
      <c r="KWK33" s="388"/>
      <c r="KWL33" s="388"/>
      <c r="KWM33" s="388"/>
      <c r="KWN33" s="388"/>
      <c r="KWO33" s="388"/>
      <c r="KWP33" s="388"/>
      <c r="KWQ33" s="388"/>
      <c r="KWR33" s="388"/>
      <c r="KWS33" s="388"/>
      <c r="KWT33" s="388"/>
      <c r="KWU33" s="388"/>
      <c r="KWV33" s="388"/>
      <c r="KWW33" s="388"/>
      <c r="KWX33" s="388"/>
      <c r="KWY33" s="388"/>
      <c r="KWZ33" s="388"/>
      <c r="KXA33" s="388"/>
      <c r="KXB33" s="388"/>
      <c r="KXC33" s="388"/>
      <c r="KXD33" s="388"/>
      <c r="KXE33" s="388"/>
      <c r="KXF33" s="388"/>
      <c r="KXG33" s="388"/>
      <c r="KXH33" s="388"/>
      <c r="KXI33" s="388"/>
      <c r="KXJ33" s="388"/>
      <c r="KXK33" s="388"/>
      <c r="KXL33" s="388"/>
      <c r="KXM33" s="388"/>
      <c r="KXN33" s="388"/>
      <c r="KXO33" s="388"/>
      <c r="KXP33" s="388"/>
      <c r="KXQ33" s="388"/>
      <c r="KXR33" s="388"/>
      <c r="KXS33" s="388"/>
      <c r="KXT33" s="388"/>
      <c r="KXU33" s="388"/>
      <c r="KXV33" s="388"/>
      <c r="KXW33" s="388"/>
      <c r="KXX33" s="388"/>
      <c r="KXY33" s="388"/>
      <c r="KXZ33" s="388"/>
      <c r="KYA33" s="388"/>
      <c r="KYB33" s="388"/>
      <c r="KYC33" s="388"/>
      <c r="KYD33" s="388"/>
      <c r="KYE33" s="388"/>
      <c r="KYF33" s="388"/>
      <c r="KYG33" s="388"/>
      <c r="KYH33" s="388"/>
      <c r="KYI33" s="388"/>
      <c r="KYJ33" s="388"/>
      <c r="KYK33" s="388"/>
      <c r="KYL33" s="388"/>
      <c r="KYM33" s="388"/>
      <c r="KYN33" s="388"/>
      <c r="KYO33" s="388"/>
      <c r="KYP33" s="388"/>
      <c r="KYQ33" s="388"/>
      <c r="KYR33" s="388"/>
      <c r="KYS33" s="388"/>
      <c r="KYT33" s="388"/>
      <c r="KYU33" s="388"/>
      <c r="KYV33" s="388"/>
      <c r="KYW33" s="388"/>
      <c r="KYX33" s="388"/>
      <c r="KYY33" s="388"/>
      <c r="KYZ33" s="388"/>
      <c r="KZA33" s="388"/>
      <c r="KZB33" s="388"/>
      <c r="KZC33" s="388"/>
      <c r="KZD33" s="388"/>
      <c r="KZE33" s="388"/>
      <c r="KZF33" s="388"/>
      <c r="KZG33" s="388"/>
      <c r="KZH33" s="388"/>
      <c r="KZI33" s="388"/>
      <c r="KZJ33" s="388"/>
      <c r="KZK33" s="388"/>
      <c r="KZL33" s="388"/>
      <c r="KZM33" s="388"/>
      <c r="KZN33" s="388"/>
      <c r="KZO33" s="388"/>
      <c r="KZP33" s="388"/>
      <c r="KZQ33" s="388"/>
      <c r="KZR33" s="388"/>
      <c r="KZS33" s="388"/>
      <c r="KZT33" s="388"/>
      <c r="KZU33" s="388"/>
      <c r="KZV33" s="388"/>
      <c r="KZW33" s="388"/>
      <c r="KZX33" s="388"/>
      <c r="KZY33" s="388"/>
      <c r="KZZ33" s="388"/>
      <c r="LAA33" s="388"/>
      <c r="LAB33" s="388"/>
      <c r="LAC33" s="388"/>
      <c r="LAD33" s="388"/>
      <c r="LAE33" s="388"/>
      <c r="LAF33" s="388"/>
      <c r="LAG33" s="388"/>
      <c r="LAH33" s="388"/>
      <c r="LAI33" s="388"/>
      <c r="LAJ33" s="388"/>
      <c r="LAK33" s="388"/>
      <c r="LAL33" s="388"/>
      <c r="LAM33" s="388"/>
      <c r="LAN33" s="388"/>
      <c r="LAO33" s="388"/>
      <c r="LAP33" s="388"/>
      <c r="LAQ33" s="388"/>
      <c r="LAR33" s="388"/>
      <c r="LAS33" s="388"/>
      <c r="LAT33" s="388"/>
      <c r="LAU33" s="388"/>
      <c r="LAV33" s="388"/>
      <c r="LAW33" s="388"/>
      <c r="LAX33" s="388"/>
      <c r="LAY33" s="388"/>
      <c r="LAZ33" s="388"/>
      <c r="LBA33" s="388"/>
      <c r="LBB33" s="388"/>
      <c r="LBC33" s="388"/>
      <c r="LBD33" s="388"/>
      <c r="LBE33" s="388"/>
      <c r="LBF33" s="388"/>
      <c r="LBG33" s="388"/>
      <c r="LBH33" s="388"/>
      <c r="LBI33" s="388"/>
      <c r="LBJ33" s="388"/>
      <c r="LBK33" s="388"/>
      <c r="LBL33" s="388"/>
      <c r="LBM33" s="388"/>
      <c r="LBN33" s="388"/>
      <c r="LBO33" s="388"/>
      <c r="LBP33" s="388"/>
      <c r="LBQ33" s="388"/>
      <c r="LBR33" s="388"/>
      <c r="LBS33" s="388"/>
      <c r="LBT33" s="388"/>
      <c r="LBU33" s="388"/>
      <c r="LBV33" s="388"/>
      <c r="LBW33" s="388"/>
      <c r="LBX33" s="388"/>
      <c r="LBY33" s="388"/>
      <c r="LBZ33" s="388"/>
      <c r="LCA33" s="388"/>
      <c r="LCB33" s="388"/>
      <c r="LCC33" s="388"/>
      <c r="LCD33" s="388"/>
      <c r="LCE33" s="388"/>
      <c r="LCF33" s="388"/>
      <c r="LCG33" s="388"/>
      <c r="LCH33" s="388"/>
      <c r="LCI33" s="388"/>
      <c r="LCJ33" s="388"/>
      <c r="LCK33" s="388"/>
      <c r="LCL33" s="388"/>
      <c r="LCM33" s="388"/>
      <c r="LCN33" s="388"/>
      <c r="LCO33" s="388"/>
      <c r="LCP33" s="388"/>
      <c r="LCQ33" s="388"/>
      <c r="LCR33" s="388"/>
      <c r="LCS33" s="388"/>
      <c r="LCT33" s="388"/>
      <c r="LCU33" s="388"/>
      <c r="LCV33" s="388"/>
      <c r="LCW33" s="388"/>
      <c r="LCX33" s="388"/>
      <c r="LCY33" s="388"/>
      <c r="LCZ33" s="388"/>
      <c r="LDA33" s="388"/>
      <c r="LDB33" s="388"/>
      <c r="LDC33" s="388"/>
      <c r="LDD33" s="388"/>
      <c r="LDE33" s="388"/>
      <c r="LDF33" s="388"/>
      <c r="LDG33" s="388"/>
      <c r="LDH33" s="388"/>
      <c r="LDI33" s="388"/>
      <c r="LDJ33" s="388"/>
      <c r="LDK33" s="388"/>
      <c r="LDL33" s="388"/>
      <c r="LDM33" s="388"/>
      <c r="LDN33" s="388"/>
      <c r="LDO33" s="388"/>
      <c r="LDP33" s="388"/>
      <c r="LDQ33" s="388"/>
      <c r="LDR33" s="388"/>
      <c r="LDS33" s="388"/>
      <c r="LDT33" s="388"/>
      <c r="LDU33" s="388"/>
      <c r="LDV33" s="388"/>
      <c r="LDW33" s="388"/>
      <c r="LDX33" s="388"/>
      <c r="LDY33" s="388"/>
      <c r="LDZ33" s="388"/>
      <c r="LEA33" s="388"/>
      <c r="LEB33" s="388"/>
      <c r="LEC33" s="388"/>
      <c r="LED33" s="388"/>
      <c r="LEE33" s="388"/>
      <c r="LEF33" s="388"/>
      <c r="LEG33" s="388"/>
      <c r="LEH33" s="388"/>
      <c r="LEI33" s="388"/>
      <c r="LEJ33" s="388"/>
      <c r="LEK33" s="388"/>
      <c r="LEL33" s="388"/>
      <c r="LEM33" s="388"/>
      <c r="LEN33" s="388"/>
      <c r="LEO33" s="388"/>
      <c r="LEP33" s="388"/>
      <c r="LEQ33" s="388"/>
      <c r="LER33" s="388"/>
      <c r="LES33" s="388"/>
      <c r="LET33" s="388"/>
      <c r="LEU33" s="388"/>
      <c r="LEV33" s="388"/>
      <c r="LEW33" s="388"/>
      <c r="LEX33" s="388"/>
      <c r="LEY33" s="388"/>
      <c r="LEZ33" s="388"/>
      <c r="LFA33" s="388"/>
      <c r="LFB33" s="388"/>
      <c r="LFC33" s="388"/>
      <c r="LFD33" s="388"/>
      <c r="LFE33" s="388"/>
      <c r="LFF33" s="388"/>
      <c r="LFG33" s="388"/>
      <c r="LFH33" s="388"/>
      <c r="LFI33" s="388"/>
      <c r="LFJ33" s="388"/>
      <c r="LFK33" s="388"/>
      <c r="LFL33" s="388"/>
      <c r="LFM33" s="388"/>
      <c r="LFN33" s="388"/>
      <c r="LFO33" s="388"/>
      <c r="LFP33" s="388"/>
      <c r="LFQ33" s="388"/>
      <c r="LFR33" s="388"/>
      <c r="LFS33" s="388"/>
      <c r="LFT33" s="388"/>
      <c r="LFU33" s="388"/>
      <c r="LFV33" s="388"/>
      <c r="LFW33" s="388"/>
      <c r="LFX33" s="388"/>
      <c r="LFY33" s="388"/>
      <c r="LFZ33" s="388"/>
      <c r="LGA33" s="388"/>
      <c r="LGB33" s="388"/>
      <c r="LGC33" s="388"/>
      <c r="LGD33" s="388"/>
      <c r="LGE33" s="388"/>
      <c r="LGF33" s="388"/>
      <c r="LGG33" s="388"/>
      <c r="LGH33" s="388"/>
      <c r="LGI33" s="388"/>
      <c r="LGJ33" s="388"/>
      <c r="LGK33" s="388"/>
      <c r="LGL33" s="388"/>
      <c r="LGM33" s="388"/>
      <c r="LGN33" s="388"/>
      <c r="LGO33" s="388"/>
      <c r="LGP33" s="388"/>
      <c r="LGQ33" s="388"/>
      <c r="LGR33" s="388"/>
      <c r="LGS33" s="388"/>
      <c r="LGT33" s="388"/>
      <c r="LGU33" s="388"/>
      <c r="LGV33" s="388"/>
      <c r="LGW33" s="388"/>
      <c r="LGX33" s="388"/>
      <c r="LGY33" s="388"/>
      <c r="LGZ33" s="388"/>
      <c r="LHA33" s="388"/>
      <c r="LHB33" s="388"/>
      <c r="LHC33" s="388"/>
      <c r="LHD33" s="388"/>
      <c r="LHE33" s="388"/>
      <c r="LHF33" s="388"/>
      <c r="LHG33" s="388"/>
      <c r="LHH33" s="388"/>
      <c r="LHI33" s="388"/>
      <c r="LHJ33" s="388"/>
      <c r="LHK33" s="388"/>
      <c r="LHL33" s="388"/>
      <c r="LHM33" s="388"/>
      <c r="LHN33" s="388"/>
      <c r="LHO33" s="388"/>
      <c r="LHP33" s="388"/>
      <c r="LHQ33" s="388"/>
      <c r="LHR33" s="388"/>
      <c r="LHS33" s="388"/>
      <c r="LHT33" s="388"/>
      <c r="LHU33" s="388"/>
      <c r="LHV33" s="388"/>
      <c r="LHW33" s="388"/>
      <c r="LHX33" s="388"/>
      <c r="LHY33" s="388"/>
      <c r="LHZ33" s="388"/>
      <c r="LIA33" s="388"/>
      <c r="LIB33" s="388"/>
      <c r="LIC33" s="388"/>
      <c r="LID33" s="388"/>
      <c r="LIE33" s="388"/>
      <c r="LIF33" s="388"/>
      <c r="LIG33" s="388"/>
      <c r="LIH33" s="388"/>
      <c r="LII33" s="388"/>
      <c r="LIJ33" s="388"/>
      <c r="LIK33" s="388"/>
      <c r="LIL33" s="388"/>
      <c r="LIM33" s="388"/>
      <c r="LIN33" s="388"/>
      <c r="LIO33" s="388"/>
      <c r="LIP33" s="388"/>
      <c r="LIQ33" s="388"/>
      <c r="LIR33" s="388"/>
      <c r="LIS33" s="388"/>
      <c r="LIT33" s="388"/>
      <c r="LIU33" s="388"/>
      <c r="LIV33" s="388"/>
      <c r="LIW33" s="388"/>
      <c r="LIX33" s="388"/>
      <c r="LIY33" s="388"/>
      <c r="LIZ33" s="388"/>
      <c r="LJA33" s="388"/>
      <c r="LJB33" s="388"/>
      <c r="LJC33" s="388"/>
      <c r="LJD33" s="388"/>
      <c r="LJE33" s="388"/>
      <c r="LJF33" s="388"/>
      <c r="LJG33" s="388"/>
      <c r="LJH33" s="388"/>
      <c r="LJI33" s="388"/>
      <c r="LJJ33" s="388"/>
      <c r="LJK33" s="388"/>
      <c r="LJL33" s="388"/>
      <c r="LJM33" s="388"/>
      <c r="LJN33" s="388"/>
      <c r="LJO33" s="388"/>
      <c r="LJP33" s="388"/>
      <c r="LJQ33" s="388"/>
      <c r="LJR33" s="388"/>
      <c r="LJS33" s="388"/>
      <c r="LJT33" s="388"/>
      <c r="LJU33" s="388"/>
      <c r="LJV33" s="388"/>
      <c r="LJW33" s="388"/>
      <c r="LJX33" s="388"/>
      <c r="LJY33" s="388"/>
      <c r="LJZ33" s="388"/>
      <c r="LKA33" s="388"/>
      <c r="LKB33" s="388"/>
      <c r="LKC33" s="388"/>
      <c r="LKD33" s="388"/>
      <c r="LKE33" s="388"/>
      <c r="LKF33" s="388"/>
      <c r="LKG33" s="388"/>
      <c r="LKH33" s="388"/>
      <c r="LKI33" s="388"/>
      <c r="LKJ33" s="388"/>
      <c r="LKK33" s="388"/>
      <c r="LKL33" s="388"/>
      <c r="LKM33" s="388"/>
      <c r="LKN33" s="388"/>
      <c r="LKO33" s="388"/>
      <c r="LKP33" s="388"/>
      <c r="LKQ33" s="388"/>
      <c r="LKR33" s="388"/>
      <c r="LKS33" s="388"/>
      <c r="LKT33" s="388"/>
      <c r="LKU33" s="388"/>
      <c r="LKV33" s="388"/>
      <c r="LKW33" s="388"/>
      <c r="LKX33" s="388"/>
      <c r="LKY33" s="388"/>
      <c r="LKZ33" s="388"/>
      <c r="LLA33" s="388"/>
      <c r="LLB33" s="388"/>
      <c r="LLC33" s="388"/>
      <c r="LLD33" s="388"/>
      <c r="LLE33" s="388"/>
      <c r="LLF33" s="388"/>
      <c r="LLG33" s="388"/>
      <c r="LLH33" s="388"/>
      <c r="LLI33" s="388"/>
      <c r="LLJ33" s="388"/>
      <c r="LLK33" s="388"/>
      <c r="LLL33" s="388"/>
      <c r="LLM33" s="388"/>
      <c r="LLN33" s="388"/>
      <c r="LLO33" s="388"/>
      <c r="LLP33" s="388"/>
      <c r="LLQ33" s="388"/>
      <c r="LLR33" s="388"/>
      <c r="LLS33" s="388"/>
      <c r="LLT33" s="388"/>
      <c r="LLU33" s="388"/>
      <c r="LLV33" s="388"/>
      <c r="LLW33" s="388"/>
      <c r="LLX33" s="388"/>
      <c r="LLY33" s="388"/>
      <c r="LLZ33" s="388"/>
      <c r="LMA33" s="388"/>
      <c r="LMB33" s="388"/>
      <c r="LMC33" s="388"/>
      <c r="LMD33" s="388"/>
      <c r="LME33" s="388"/>
      <c r="LMF33" s="388"/>
      <c r="LMG33" s="388"/>
      <c r="LMH33" s="388"/>
      <c r="LMI33" s="388"/>
      <c r="LMJ33" s="388"/>
      <c r="LMK33" s="388"/>
      <c r="LML33" s="388"/>
      <c r="LMM33" s="388"/>
      <c r="LMN33" s="388"/>
      <c r="LMO33" s="388"/>
      <c r="LMP33" s="388"/>
      <c r="LMQ33" s="388"/>
      <c r="LMR33" s="388"/>
      <c r="LMS33" s="388"/>
      <c r="LMT33" s="388"/>
      <c r="LMU33" s="388"/>
      <c r="LMV33" s="388"/>
      <c r="LMW33" s="388"/>
      <c r="LMX33" s="388"/>
      <c r="LMY33" s="388"/>
      <c r="LMZ33" s="388"/>
      <c r="LNA33" s="388"/>
      <c r="LNB33" s="388"/>
      <c r="LNC33" s="388"/>
      <c r="LND33" s="388"/>
      <c r="LNE33" s="388"/>
      <c r="LNF33" s="388"/>
      <c r="LNG33" s="388"/>
      <c r="LNH33" s="388"/>
      <c r="LNI33" s="388"/>
      <c r="LNJ33" s="388"/>
      <c r="LNK33" s="388"/>
      <c r="LNL33" s="388"/>
      <c r="LNM33" s="388"/>
      <c r="LNN33" s="388"/>
      <c r="LNO33" s="388"/>
      <c r="LNP33" s="388"/>
      <c r="LNQ33" s="388"/>
      <c r="LNR33" s="388"/>
      <c r="LNS33" s="388"/>
      <c r="LNT33" s="388"/>
      <c r="LNU33" s="388"/>
      <c r="LNV33" s="388"/>
      <c r="LNW33" s="388"/>
      <c r="LNX33" s="388"/>
      <c r="LNY33" s="388"/>
      <c r="LNZ33" s="388"/>
      <c r="LOA33" s="388"/>
      <c r="LOB33" s="388"/>
      <c r="LOC33" s="388"/>
      <c r="LOD33" s="388"/>
      <c r="LOE33" s="388"/>
      <c r="LOF33" s="388"/>
      <c r="LOG33" s="388"/>
      <c r="LOH33" s="388"/>
      <c r="LOI33" s="388"/>
      <c r="LOJ33" s="388"/>
      <c r="LOK33" s="388"/>
      <c r="LOL33" s="388"/>
      <c r="LOM33" s="388"/>
      <c r="LON33" s="388"/>
      <c r="LOO33" s="388"/>
      <c r="LOP33" s="388"/>
      <c r="LOQ33" s="388"/>
      <c r="LOR33" s="388"/>
      <c r="LOS33" s="388"/>
      <c r="LOT33" s="388"/>
      <c r="LOU33" s="388"/>
      <c r="LOV33" s="388"/>
      <c r="LOW33" s="388"/>
      <c r="LOX33" s="388"/>
      <c r="LOY33" s="388"/>
      <c r="LOZ33" s="388"/>
      <c r="LPA33" s="388"/>
      <c r="LPB33" s="388"/>
      <c r="LPC33" s="388"/>
      <c r="LPD33" s="388"/>
      <c r="LPE33" s="388"/>
      <c r="LPF33" s="388"/>
      <c r="LPG33" s="388"/>
      <c r="LPH33" s="388"/>
      <c r="LPI33" s="388"/>
      <c r="LPJ33" s="388"/>
      <c r="LPK33" s="388"/>
      <c r="LPL33" s="388"/>
      <c r="LPM33" s="388"/>
      <c r="LPN33" s="388"/>
      <c r="LPO33" s="388"/>
      <c r="LPP33" s="388"/>
      <c r="LPQ33" s="388"/>
      <c r="LPR33" s="388"/>
      <c r="LPS33" s="388"/>
      <c r="LPT33" s="388"/>
      <c r="LPU33" s="388"/>
      <c r="LPV33" s="388"/>
      <c r="LPW33" s="388"/>
      <c r="LPX33" s="388"/>
      <c r="LPY33" s="388"/>
      <c r="LPZ33" s="388"/>
      <c r="LQA33" s="388"/>
      <c r="LQB33" s="388"/>
      <c r="LQC33" s="388"/>
      <c r="LQD33" s="388"/>
      <c r="LQE33" s="388"/>
      <c r="LQF33" s="388"/>
      <c r="LQG33" s="388"/>
      <c r="LQH33" s="388"/>
      <c r="LQI33" s="388"/>
      <c r="LQJ33" s="388"/>
      <c r="LQK33" s="388"/>
      <c r="LQL33" s="388"/>
      <c r="LQM33" s="388"/>
      <c r="LQN33" s="388"/>
      <c r="LQO33" s="388"/>
      <c r="LQP33" s="388"/>
      <c r="LQQ33" s="388"/>
      <c r="LQR33" s="388"/>
      <c r="LQS33" s="388"/>
      <c r="LQT33" s="388"/>
      <c r="LQU33" s="388"/>
      <c r="LQV33" s="388"/>
      <c r="LQW33" s="388"/>
      <c r="LQX33" s="388"/>
      <c r="LQY33" s="388"/>
      <c r="LQZ33" s="388"/>
      <c r="LRA33" s="388"/>
      <c r="LRB33" s="388"/>
      <c r="LRC33" s="388"/>
      <c r="LRD33" s="388"/>
      <c r="LRE33" s="388"/>
      <c r="LRF33" s="388"/>
      <c r="LRG33" s="388"/>
      <c r="LRH33" s="388"/>
      <c r="LRI33" s="388"/>
      <c r="LRJ33" s="388"/>
      <c r="LRK33" s="388"/>
      <c r="LRL33" s="388"/>
      <c r="LRM33" s="388"/>
      <c r="LRN33" s="388"/>
      <c r="LRO33" s="388"/>
      <c r="LRP33" s="388"/>
      <c r="LRQ33" s="388"/>
      <c r="LRR33" s="388"/>
      <c r="LRS33" s="388"/>
      <c r="LRT33" s="388"/>
      <c r="LRU33" s="388"/>
      <c r="LRV33" s="388"/>
      <c r="LRW33" s="388"/>
      <c r="LRX33" s="388"/>
      <c r="LRY33" s="388"/>
      <c r="LRZ33" s="388"/>
      <c r="LSA33" s="388"/>
      <c r="LSB33" s="388"/>
      <c r="LSC33" s="388"/>
      <c r="LSD33" s="388"/>
      <c r="LSE33" s="388"/>
      <c r="LSF33" s="388"/>
      <c r="LSG33" s="388"/>
      <c r="LSH33" s="388"/>
      <c r="LSI33" s="388"/>
      <c r="LSJ33" s="388"/>
      <c r="LSK33" s="388"/>
      <c r="LSL33" s="388"/>
      <c r="LSM33" s="388"/>
      <c r="LSN33" s="388"/>
      <c r="LSO33" s="388"/>
      <c r="LSP33" s="388"/>
      <c r="LSQ33" s="388"/>
      <c r="LSR33" s="388"/>
      <c r="LSS33" s="388"/>
      <c r="LST33" s="388"/>
      <c r="LSU33" s="388"/>
      <c r="LSV33" s="388"/>
      <c r="LSW33" s="388"/>
      <c r="LSX33" s="388"/>
      <c r="LSY33" s="388"/>
      <c r="LSZ33" s="388"/>
      <c r="LTA33" s="388"/>
      <c r="LTB33" s="388"/>
      <c r="LTC33" s="388"/>
      <c r="LTD33" s="388"/>
      <c r="LTE33" s="388"/>
      <c r="LTF33" s="388"/>
      <c r="LTG33" s="388"/>
      <c r="LTH33" s="388"/>
      <c r="LTI33" s="388"/>
      <c r="LTJ33" s="388"/>
      <c r="LTK33" s="388"/>
      <c r="LTL33" s="388"/>
      <c r="LTM33" s="388"/>
      <c r="LTN33" s="388"/>
      <c r="LTO33" s="388"/>
      <c r="LTP33" s="388"/>
      <c r="LTQ33" s="388"/>
      <c r="LTR33" s="388"/>
      <c r="LTS33" s="388"/>
      <c r="LTT33" s="388"/>
      <c r="LTU33" s="388"/>
      <c r="LTV33" s="388"/>
      <c r="LTW33" s="388"/>
      <c r="LTX33" s="388"/>
      <c r="LTY33" s="388"/>
      <c r="LTZ33" s="388"/>
      <c r="LUA33" s="388"/>
      <c r="LUB33" s="388"/>
      <c r="LUC33" s="388"/>
      <c r="LUD33" s="388"/>
      <c r="LUE33" s="388"/>
      <c r="LUF33" s="388"/>
      <c r="LUG33" s="388"/>
      <c r="LUH33" s="388"/>
      <c r="LUI33" s="388"/>
      <c r="LUJ33" s="388"/>
      <c r="LUK33" s="388"/>
      <c r="LUL33" s="388"/>
      <c r="LUM33" s="388"/>
      <c r="LUN33" s="388"/>
      <c r="LUO33" s="388"/>
      <c r="LUP33" s="388"/>
      <c r="LUQ33" s="388"/>
      <c r="LUR33" s="388"/>
      <c r="LUS33" s="388"/>
      <c r="LUT33" s="388"/>
      <c r="LUU33" s="388"/>
      <c r="LUV33" s="388"/>
      <c r="LUW33" s="388"/>
      <c r="LUX33" s="388"/>
      <c r="LUY33" s="388"/>
      <c r="LUZ33" s="388"/>
      <c r="LVA33" s="388"/>
      <c r="LVB33" s="388"/>
      <c r="LVC33" s="388"/>
      <c r="LVD33" s="388"/>
      <c r="LVE33" s="388"/>
      <c r="LVF33" s="388"/>
      <c r="LVG33" s="388"/>
      <c r="LVH33" s="388"/>
      <c r="LVI33" s="388"/>
      <c r="LVJ33" s="388"/>
      <c r="LVK33" s="388"/>
      <c r="LVL33" s="388"/>
      <c r="LVM33" s="388"/>
      <c r="LVN33" s="388"/>
      <c r="LVO33" s="388"/>
      <c r="LVP33" s="388"/>
      <c r="LVQ33" s="388"/>
      <c r="LVR33" s="388"/>
      <c r="LVS33" s="388"/>
      <c r="LVT33" s="388"/>
      <c r="LVU33" s="388"/>
      <c r="LVV33" s="388"/>
      <c r="LVW33" s="388"/>
      <c r="LVX33" s="388"/>
      <c r="LVY33" s="388"/>
      <c r="LVZ33" s="388"/>
      <c r="LWA33" s="388"/>
      <c r="LWB33" s="388"/>
      <c r="LWC33" s="388"/>
      <c r="LWD33" s="388"/>
      <c r="LWE33" s="388"/>
      <c r="LWF33" s="388"/>
      <c r="LWG33" s="388"/>
      <c r="LWH33" s="388"/>
      <c r="LWI33" s="388"/>
      <c r="LWJ33" s="388"/>
      <c r="LWK33" s="388"/>
      <c r="LWL33" s="388"/>
      <c r="LWM33" s="388"/>
      <c r="LWN33" s="388"/>
      <c r="LWO33" s="388"/>
      <c r="LWP33" s="388"/>
      <c r="LWQ33" s="388"/>
      <c r="LWR33" s="388"/>
      <c r="LWS33" s="388"/>
      <c r="LWT33" s="388"/>
      <c r="LWU33" s="388"/>
      <c r="LWV33" s="388"/>
      <c r="LWW33" s="388"/>
      <c r="LWX33" s="388"/>
      <c r="LWY33" s="388"/>
      <c r="LWZ33" s="388"/>
      <c r="LXA33" s="388"/>
      <c r="LXB33" s="388"/>
      <c r="LXC33" s="388"/>
      <c r="LXD33" s="388"/>
      <c r="LXE33" s="388"/>
      <c r="LXF33" s="388"/>
      <c r="LXG33" s="388"/>
      <c r="LXH33" s="388"/>
      <c r="LXI33" s="388"/>
      <c r="LXJ33" s="388"/>
      <c r="LXK33" s="388"/>
      <c r="LXL33" s="388"/>
      <c r="LXM33" s="388"/>
      <c r="LXN33" s="388"/>
      <c r="LXO33" s="388"/>
      <c r="LXP33" s="388"/>
      <c r="LXQ33" s="388"/>
      <c r="LXR33" s="388"/>
      <c r="LXS33" s="388"/>
      <c r="LXT33" s="388"/>
      <c r="LXU33" s="388"/>
      <c r="LXV33" s="388"/>
      <c r="LXW33" s="388"/>
      <c r="LXX33" s="388"/>
      <c r="LXY33" s="388"/>
      <c r="LXZ33" s="388"/>
      <c r="LYA33" s="388"/>
      <c r="LYB33" s="388"/>
      <c r="LYC33" s="388"/>
      <c r="LYD33" s="388"/>
      <c r="LYE33" s="388"/>
      <c r="LYF33" s="388"/>
      <c r="LYG33" s="388"/>
      <c r="LYH33" s="388"/>
      <c r="LYI33" s="388"/>
      <c r="LYJ33" s="388"/>
      <c r="LYK33" s="388"/>
      <c r="LYL33" s="388"/>
      <c r="LYM33" s="388"/>
      <c r="LYN33" s="388"/>
      <c r="LYO33" s="388"/>
      <c r="LYP33" s="388"/>
      <c r="LYQ33" s="388"/>
      <c r="LYR33" s="388"/>
      <c r="LYS33" s="388"/>
      <c r="LYT33" s="388"/>
      <c r="LYU33" s="388"/>
      <c r="LYV33" s="388"/>
      <c r="LYW33" s="388"/>
      <c r="LYX33" s="388"/>
      <c r="LYY33" s="388"/>
      <c r="LYZ33" s="388"/>
      <c r="LZA33" s="388"/>
      <c r="LZB33" s="388"/>
      <c r="LZC33" s="388"/>
      <c r="LZD33" s="388"/>
      <c r="LZE33" s="388"/>
      <c r="LZF33" s="388"/>
      <c r="LZG33" s="388"/>
      <c r="LZH33" s="388"/>
      <c r="LZI33" s="388"/>
      <c r="LZJ33" s="388"/>
      <c r="LZK33" s="388"/>
      <c r="LZL33" s="388"/>
      <c r="LZM33" s="388"/>
      <c r="LZN33" s="388"/>
      <c r="LZO33" s="388"/>
      <c r="LZP33" s="388"/>
      <c r="LZQ33" s="388"/>
      <c r="LZR33" s="388"/>
      <c r="LZS33" s="388"/>
      <c r="LZT33" s="388"/>
      <c r="LZU33" s="388"/>
      <c r="LZV33" s="388"/>
      <c r="LZW33" s="388"/>
      <c r="LZX33" s="388"/>
      <c r="LZY33" s="388"/>
      <c r="LZZ33" s="388"/>
      <c r="MAA33" s="388"/>
      <c r="MAB33" s="388"/>
      <c r="MAC33" s="388"/>
      <c r="MAD33" s="388"/>
      <c r="MAE33" s="388"/>
      <c r="MAF33" s="388"/>
      <c r="MAG33" s="388"/>
      <c r="MAH33" s="388"/>
      <c r="MAI33" s="388"/>
      <c r="MAJ33" s="388"/>
      <c r="MAK33" s="388"/>
      <c r="MAL33" s="388"/>
      <c r="MAM33" s="388"/>
      <c r="MAN33" s="388"/>
      <c r="MAO33" s="388"/>
      <c r="MAP33" s="388"/>
      <c r="MAQ33" s="388"/>
      <c r="MAR33" s="388"/>
      <c r="MAS33" s="388"/>
      <c r="MAT33" s="388"/>
      <c r="MAU33" s="388"/>
      <c r="MAV33" s="388"/>
      <c r="MAW33" s="388"/>
      <c r="MAX33" s="388"/>
      <c r="MAY33" s="388"/>
      <c r="MAZ33" s="388"/>
      <c r="MBA33" s="388"/>
      <c r="MBB33" s="388"/>
      <c r="MBC33" s="388"/>
      <c r="MBD33" s="388"/>
      <c r="MBE33" s="388"/>
      <c r="MBF33" s="388"/>
      <c r="MBG33" s="388"/>
      <c r="MBH33" s="388"/>
      <c r="MBI33" s="388"/>
      <c r="MBJ33" s="388"/>
      <c r="MBK33" s="388"/>
      <c r="MBL33" s="388"/>
      <c r="MBM33" s="388"/>
      <c r="MBN33" s="388"/>
      <c r="MBO33" s="388"/>
      <c r="MBP33" s="388"/>
      <c r="MBQ33" s="388"/>
      <c r="MBR33" s="388"/>
      <c r="MBS33" s="388"/>
      <c r="MBT33" s="388"/>
      <c r="MBU33" s="388"/>
      <c r="MBV33" s="388"/>
      <c r="MBW33" s="388"/>
      <c r="MBX33" s="388"/>
      <c r="MBY33" s="388"/>
      <c r="MBZ33" s="388"/>
      <c r="MCA33" s="388"/>
      <c r="MCB33" s="388"/>
      <c r="MCC33" s="388"/>
      <c r="MCD33" s="388"/>
      <c r="MCE33" s="388"/>
      <c r="MCF33" s="388"/>
      <c r="MCG33" s="388"/>
      <c r="MCH33" s="388"/>
      <c r="MCI33" s="388"/>
      <c r="MCJ33" s="388"/>
      <c r="MCK33" s="388"/>
      <c r="MCL33" s="388"/>
      <c r="MCM33" s="388"/>
      <c r="MCN33" s="388"/>
      <c r="MCO33" s="388"/>
      <c r="MCP33" s="388"/>
      <c r="MCQ33" s="388"/>
      <c r="MCR33" s="388"/>
      <c r="MCS33" s="388"/>
      <c r="MCT33" s="388"/>
      <c r="MCU33" s="388"/>
      <c r="MCV33" s="388"/>
      <c r="MCW33" s="388"/>
      <c r="MCX33" s="388"/>
      <c r="MCY33" s="388"/>
      <c r="MCZ33" s="388"/>
      <c r="MDA33" s="388"/>
      <c r="MDB33" s="388"/>
      <c r="MDC33" s="388"/>
      <c r="MDD33" s="388"/>
      <c r="MDE33" s="388"/>
      <c r="MDF33" s="388"/>
      <c r="MDG33" s="388"/>
      <c r="MDH33" s="388"/>
      <c r="MDI33" s="388"/>
      <c r="MDJ33" s="388"/>
      <c r="MDK33" s="388"/>
      <c r="MDL33" s="388"/>
      <c r="MDM33" s="388"/>
      <c r="MDN33" s="388"/>
      <c r="MDO33" s="388"/>
      <c r="MDP33" s="388"/>
      <c r="MDQ33" s="388"/>
      <c r="MDR33" s="388"/>
      <c r="MDS33" s="388"/>
      <c r="MDT33" s="388"/>
      <c r="MDU33" s="388"/>
      <c r="MDV33" s="388"/>
      <c r="MDW33" s="388"/>
      <c r="MDX33" s="388"/>
      <c r="MDY33" s="388"/>
      <c r="MDZ33" s="388"/>
      <c r="MEA33" s="388"/>
      <c r="MEB33" s="388"/>
      <c r="MEC33" s="388"/>
      <c r="MED33" s="388"/>
      <c r="MEE33" s="388"/>
      <c r="MEF33" s="388"/>
      <c r="MEG33" s="388"/>
      <c r="MEH33" s="388"/>
      <c r="MEI33" s="388"/>
      <c r="MEJ33" s="388"/>
      <c r="MEK33" s="388"/>
      <c r="MEL33" s="388"/>
      <c r="MEM33" s="388"/>
      <c r="MEN33" s="388"/>
      <c r="MEO33" s="388"/>
      <c r="MEP33" s="388"/>
      <c r="MEQ33" s="388"/>
      <c r="MER33" s="388"/>
      <c r="MES33" s="388"/>
      <c r="MET33" s="388"/>
      <c r="MEU33" s="388"/>
      <c r="MEV33" s="388"/>
      <c r="MEW33" s="388"/>
      <c r="MEX33" s="388"/>
      <c r="MEY33" s="388"/>
      <c r="MEZ33" s="388"/>
      <c r="MFA33" s="388"/>
      <c r="MFB33" s="388"/>
      <c r="MFC33" s="388"/>
      <c r="MFD33" s="388"/>
      <c r="MFE33" s="388"/>
      <c r="MFF33" s="388"/>
      <c r="MFG33" s="388"/>
      <c r="MFH33" s="388"/>
      <c r="MFI33" s="388"/>
      <c r="MFJ33" s="388"/>
      <c r="MFK33" s="388"/>
      <c r="MFL33" s="388"/>
      <c r="MFM33" s="388"/>
      <c r="MFN33" s="388"/>
      <c r="MFO33" s="388"/>
      <c r="MFP33" s="388"/>
      <c r="MFQ33" s="388"/>
      <c r="MFR33" s="388"/>
      <c r="MFS33" s="388"/>
      <c r="MFT33" s="388"/>
      <c r="MFU33" s="388"/>
      <c r="MFV33" s="388"/>
      <c r="MFW33" s="388"/>
      <c r="MFX33" s="388"/>
      <c r="MFY33" s="388"/>
      <c r="MFZ33" s="388"/>
      <c r="MGA33" s="388"/>
      <c r="MGB33" s="388"/>
      <c r="MGC33" s="388"/>
      <c r="MGD33" s="388"/>
      <c r="MGE33" s="388"/>
      <c r="MGF33" s="388"/>
      <c r="MGG33" s="388"/>
      <c r="MGH33" s="388"/>
      <c r="MGI33" s="388"/>
      <c r="MGJ33" s="388"/>
      <c r="MGK33" s="388"/>
      <c r="MGL33" s="388"/>
      <c r="MGM33" s="388"/>
      <c r="MGN33" s="388"/>
      <c r="MGO33" s="388"/>
      <c r="MGP33" s="388"/>
      <c r="MGQ33" s="388"/>
      <c r="MGR33" s="388"/>
      <c r="MGS33" s="388"/>
      <c r="MGT33" s="388"/>
      <c r="MGU33" s="388"/>
      <c r="MGV33" s="388"/>
      <c r="MGW33" s="388"/>
      <c r="MGX33" s="388"/>
      <c r="MGY33" s="388"/>
      <c r="MGZ33" s="388"/>
      <c r="MHA33" s="388"/>
      <c r="MHB33" s="388"/>
      <c r="MHC33" s="388"/>
      <c r="MHD33" s="388"/>
      <c r="MHE33" s="388"/>
      <c r="MHF33" s="388"/>
      <c r="MHG33" s="388"/>
      <c r="MHH33" s="388"/>
      <c r="MHI33" s="388"/>
      <c r="MHJ33" s="388"/>
      <c r="MHK33" s="388"/>
      <c r="MHL33" s="388"/>
      <c r="MHM33" s="388"/>
      <c r="MHN33" s="388"/>
      <c r="MHO33" s="388"/>
      <c r="MHP33" s="388"/>
      <c r="MHQ33" s="388"/>
      <c r="MHR33" s="388"/>
      <c r="MHS33" s="388"/>
      <c r="MHT33" s="388"/>
      <c r="MHU33" s="388"/>
      <c r="MHV33" s="388"/>
      <c r="MHW33" s="388"/>
      <c r="MHX33" s="388"/>
      <c r="MHY33" s="388"/>
      <c r="MHZ33" s="388"/>
      <c r="MIA33" s="388"/>
      <c r="MIB33" s="388"/>
      <c r="MIC33" s="388"/>
      <c r="MID33" s="388"/>
      <c r="MIE33" s="388"/>
      <c r="MIF33" s="388"/>
      <c r="MIG33" s="388"/>
      <c r="MIH33" s="388"/>
      <c r="MII33" s="388"/>
      <c r="MIJ33" s="388"/>
      <c r="MIK33" s="388"/>
      <c r="MIL33" s="388"/>
      <c r="MIM33" s="388"/>
      <c r="MIN33" s="388"/>
      <c r="MIO33" s="388"/>
      <c r="MIP33" s="388"/>
      <c r="MIQ33" s="388"/>
      <c r="MIR33" s="388"/>
      <c r="MIS33" s="388"/>
      <c r="MIT33" s="388"/>
      <c r="MIU33" s="388"/>
      <c r="MIV33" s="388"/>
      <c r="MIW33" s="388"/>
      <c r="MIX33" s="388"/>
      <c r="MIY33" s="388"/>
      <c r="MIZ33" s="388"/>
      <c r="MJA33" s="388"/>
      <c r="MJB33" s="388"/>
      <c r="MJC33" s="388"/>
      <c r="MJD33" s="388"/>
      <c r="MJE33" s="388"/>
      <c r="MJF33" s="388"/>
      <c r="MJG33" s="388"/>
      <c r="MJH33" s="388"/>
      <c r="MJI33" s="388"/>
      <c r="MJJ33" s="388"/>
      <c r="MJK33" s="388"/>
      <c r="MJL33" s="388"/>
      <c r="MJM33" s="388"/>
      <c r="MJN33" s="388"/>
      <c r="MJO33" s="388"/>
      <c r="MJP33" s="388"/>
      <c r="MJQ33" s="388"/>
      <c r="MJR33" s="388"/>
      <c r="MJS33" s="388"/>
      <c r="MJT33" s="388"/>
      <c r="MJU33" s="388"/>
      <c r="MJV33" s="388"/>
      <c r="MJW33" s="388"/>
      <c r="MJX33" s="388"/>
      <c r="MJY33" s="388"/>
      <c r="MJZ33" s="388"/>
      <c r="MKA33" s="388"/>
      <c r="MKB33" s="388"/>
      <c r="MKC33" s="388"/>
      <c r="MKD33" s="388"/>
      <c r="MKE33" s="388"/>
      <c r="MKF33" s="388"/>
      <c r="MKG33" s="388"/>
      <c r="MKH33" s="388"/>
      <c r="MKI33" s="388"/>
      <c r="MKJ33" s="388"/>
      <c r="MKK33" s="388"/>
      <c r="MKL33" s="388"/>
      <c r="MKM33" s="388"/>
      <c r="MKN33" s="388"/>
      <c r="MKO33" s="388"/>
      <c r="MKP33" s="388"/>
      <c r="MKQ33" s="388"/>
      <c r="MKR33" s="388"/>
      <c r="MKS33" s="388"/>
      <c r="MKT33" s="388"/>
      <c r="MKU33" s="388"/>
      <c r="MKV33" s="388"/>
      <c r="MKW33" s="388"/>
      <c r="MKX33" s="388"/>
      <c r="MKY33" s="388"/>
      <c r="MKZ33" s="388"/>
      <c r="MLA33" s="388"/>
      <c r="MLB33" s="388"/>
      <c r="MLC33" s="388"/>
      <c r="MLD33" s="388"/>
      <c r="MLE33" s="388"/>
      <c r="MLF33" s="388"/>
      <c r="MLG33" s="388"/>
      <c r="MLH33" s="388"/>
      <c r="MLI33" s="388"/>
      <c r="MLJ33" s="388"/>
      <c r="MLK33" s="388"/>
      <c r="MLL33" s="388"/>
      <c r="MLM33" s="388"/>
      <c r="MLN33" s="388"/>
      <c r="MLO33" s="388"/>
      <c r="MLP33" s="388"/>
      <c r="MLQ33" s="388"/>
      <c r="MLR33" s="388"/>
      <c r="MLS33" s="388"/>
      <c r="MLT33" s="388"/>
      <c r="MLU33" s="388"/>
      <c r="MLV33" s="388"/>
      <c r="MLW33" s="388"/>
      <c r="MLX33" s="388"/>
      <c r="MLY33" s="388"/>
      <c r="MLZ33" s="388"/>
      <c r="MMA33" s="388"/>
      <c r="MMB33" s="388"/>
      <c r="MMC33" s="388"/>
      <c r="MMD33" s="388"/>
      <c r="MME33" s="388"/>
      <c r="MMF33" s="388"/>
      <c r="MMG33" s="388"/>
      <c r="MMH33" s="388"/>
      <c r="MMI33" s="388"/>
      <c r="MMJ33" s="388"/>
      <c r="MMK33" s="388"/>
      <c r="MML33" s="388"/>
      <c r="MMM33" s="388"/>
      <c r="MMN33" s="388"/>
      <c r="MMO33" s="388"/>
      <c r="MMP33" s="388"/>
      <c r="MMQ33" s="388"/>
      <c r="MMR33" s="388"/>
      <c r="MMS33" s="388"/>
      <c r="MMT33" s="388"/>
      <c r="MMU33" s="388"/>
      <c r="MMV33" s="388"/>
      <c r="MMW33" s="388"/>
      <c r="MMX33" s="388"/>
      <c r="MMY33" s="388"/>
      <c r="MMZ33" s="388"/>
      <c r="MNA33" s="388"/>
      <c r="MNB33" s="388"/>
      <c r="MNC33" s="388"/>
      <c r="MND33" s="388"/>
      <c r="MNE33" s="388"/>
      <c r="MNF33" s="388"/>
      <c r="MNG33" s="388"/>
      <c r="MNH33" s="388"/>
      <c r="MNI33" s="388"/>
      <c r="MNJ33" s="388"/>
      <c r="MNK33" s="388"/>
      <c r="MNL33" s="388"/>
      <c r="MNM33" s="388"/>
      <c r="MNN33" s="388"/>
      <c r="MNO33" s="388"/>
      <c r="MNP33" s="388"/>
      <c r="MNQ33" s="388"/>
      <c r="MNR33" s="388"/>
      <c r="MNS33" s="388"/>
      <c r="MNT33" s="388"/>
      <c r="MNU33" s="388"/>
      <c r="MNV33" s="388"/>
      <c r="MNW33" s="388"/>
      <c r="MNX33" s="388"/>
      <c r="MNY33" s="388"/>
      <c r="MNZ33" s="388"/>
      <c r="MOA33" s="388"/>
      <c r="MOB33" s="388"/>
      <c r="MOC33" s="388"/>
      <c r="MOD33" s="388"/>
      <c r="MOE33" s="388"/>
      <c r="MOF33" s="388"/>
      <c r="MOG33" s="388"/>
      <c r="MOH33" s="388"/>
      <c r="MOI33" s="388"/>
      <c r="MOJ33" s="388"/>
      <c r="MOK33" s="388"/>
      <c r="MOL33" s="388"/>
      <c r="MOM33" s="388"/>
      <c r="MON33" s="388"/>
      <c r="MOO33" s="388"/>
      <c r="MOP33" s="388"/>
      <c r="MOQ33" s="388"/>
      <c r="MOR33" s="388"/>
      <c r="MOS33" s="388"/>
      <c r="MOT33" s="388"/>
      <c r="MOU33" s="388"/>
      <c r="MOV33" s="388"/>
      <c r="MOW33" s="388"/>
      <c r="MOX33" s="388"/>
      <c r="MOY33" s="388"/>
      <c r="MOZ33" s="388"/>
      <c r="MPA33" s="388"/>
      <c r="MPB33" s="388"/>
      <c r="MPC33" s="388"/>
      <c r="MPD33" s="388"/>
      <c r="MPE33" s="388"/>
      <c r="MPF33" s="388"/>
      <c r="MPG33" s="388"/>
      <c r="MPH33" s="388"/>
      <c r="MPI33" s="388"/>
      <c r="MPJ33" s="388"/>
      <c r="MPK33" s="388"/>
      <c r="MPL33" s="388"/>
      <c r="MPM33" s="388"/>
      <c r="MPN33" s="388"/>
      <c r="MPO33" s="388"/>
      <c r="MPP33" s="388"/>
      <c r="MPQ33" s="388"/>
      <c r="MPR33" s="388"/>
      <c r="MPS33" s="388"/>
      <c r="MPT33" s="388"/>
      <c r="MPU33" s="388"/>
      <c r="MPV33" s="388"/>
      <c r="MPW33" s="388"/>
      <c r="MPX33" s="388"/>
      <c r="MPY33" s="388"/>
      <c r="MPZ33" s="388"/>
      <c r="MQA33" s="388"/>
      <c r="MQB33" s="388"/>
      <c r="MQC33" s="388"/>
      <c r="MQD33" s="388"/>
      <c r="MQE33" s="388"/>
      <c r="MQF33" s="388"/>
      <c r="MQG33" s="388"/>
      <c r="MQH33" s="388"/>
      <c r="MQI33" s="388"/>
      <c r="MQJ33" s="388"/>
      <c r="MQK33" s="388"/>
      <c r="MQL33" s="388"/>
      <c r="MQM33" s="388"/>
      <c r="MQN33" s="388"/>
      <c r="MQO33" s="388"/>
      <c r="MQP33" s="388"/>
      <c r="MQQ33" s="388"/>
      <c r="MQR33" s="388"/>
      <c r="MQS33" s="388"/>
      <c r="MQT33" s="388"/>
      <c r="MQU33" s="388"/>
      <c r="MQV33" s="388"/>
      <c r="MQW33" s="388"/>
      <c r="MQX33" s="388"/>
      <c r="MQY33" s="388"/>
      <c r="MQZ33" s="388"/>
      <c r="MRA33" s="388"/>
      <c r="MRB33" s="388"/>
      <c r="MRC33" s="388"/>
      <c r="MRD33" s="388"/>
      <c r="MRE33" s="388"/>
      <c r="MRF33" s="388"/>
      <c r="MRG33" s="388"/>
      <c r="MRH33" s="388"/>
      <c r="MRI33" s="388"/>
      <c r="MRJ33" s="388"/>
      <c r="MRK33" s="388"/>
      <c r="MRL33" s="388"/>
      <c r="MRM33" s="388"/>
      <c r="MRN33" s="388"/>
      <c r="MRO33" s="388"/>
      <c r="MRP33" s="388"/>
      <c r="MRQ33" s="388"/>
      <c r="MRR33" s="388"/>
      <c r="MRS33" s="388"/>
      <c r="MRT33" s="388"/>
      <c r="MRU33" s="388"/>
      <c r="MRV33" s="388"/>
      <c r="MRW33" s="388"/>
      <c r="MRX33" s="388"/>
      <c r="MRY33" s="388"/>
      <c r="MRZ33" s="388"/>
      <c r="MSA33" s="388"/>
      <c r="MSB33" s="388"/>
      <c r="MSC33" s="388"/>
      <c r="MSD33" s="388"/>
      <c r="MSE33" s="388"/>
      <c r="MSF33" s="388"/>
      <c r="MSG33" s="388"/>
      <c r="MSH33" s="388"/>
      <c r="MSI33" s="388"/>
      <c r="MSJ33" s="388"/>
      <c r="MSK33" s="388"/>
      <c r="MSL33" s="388"/>
      <c r="MSM33" s="388"/>
      <c r="MSN33" s="388"/>
      <c r="MSO33" s="388"/>
      <c r="MSP33" s="388"/>
      <c r="MSQ33" s="388"/>
      <c r="MSR33" s="388"/>
      <c r="MSS33" s="388"/>
      <c r="MST33" s="388"/>
      <c r="MSU33" s="388"/>
      <c r="MSV33" s="388"/>
      <c r="MSW33" s="388"/>
      <c r="MSX33" s="388"/>
      <c r="MSY33" s="388"/>
      <c r="MSZ33" s="388"/>
      <c r="MTA33" s="388"/>
      <c r="MTB33" s="388"/>
      <c r="MTC33" s="388"/>
      <c r="MTD33" s="388"/>
      <c r="MTE33" s="388"/>
      <c r="MTF33" s="388"/>
      <c r="MTG33" s="388"/>
      <c r="MTH33" s="388"/>
      <c r="MTI33" s="388"/>
      <c r="MTJ33" s="388"/>
      <c r="MTK33" s="388"/>
      <c r="MTL33" s="388"/>
      <c r="MTM33" s="388"/>
      <c r="MTN33" s="388"/>
      <c r="MTO33" s="388"/>
      <c r="MTP33" s="388"/>
      <c r="MTQ33" s="388"/>
      <c r="MTR33" s="388"/>
      <c r="MTS33" s="388"/>
      <c r="MTT33" s="388"/>
      <c r="MTU33" s="388"/>
      <c r="MTV33" s="388"/>
      <c r="MTW33" s="388"/>
      <c r="MTX33" s="388"/>
      <c r="MTY33" s="388"/>
      <c r="MTZ33" s="388"/>
      <c r="MUA33" s="388"/>
      <c r="MUB33" s="388"/>
      <c r="MUC33" s="388"/>
      <c r="MUD33" s="388"/>
      <c r="MUE33" s="388"/>
      <c r="MUF33" s="388"/>
      <c r="MUG33" s="388"/>
      <c r="MUH33" s="388"/>
      <c r="MUI33" s="388"/>
      <c r="MUJ33" s="388"/>
      <c r="MUK33" s="388"/>
      <c r="MUL33" s="388"/>
      <c r="MUM33" s="388"/>
      <c r="MUN33" s="388"/>
      <c r="MUO33" s="388"/>
      <c r="MUP33" s="388"/>
      <c r="MUQ33" s="388"/>
      <c r="MUR33" s="388"/>
      <c r="MUS33" s="388"/>
      <c r="MUT33" s="388"/>
      <c r="MUU33" s="388"/>
      <c r="MUV33" s="388"/>
      <c r="MUW33" s="388"/>
      <c r="MUX33" s="388"/>
      <c r="MUY33" s="388"/>
      <c r="MUZ33" s="388"/>
      <c r="MVA33" s="388"/>
      <c r="MVB33" s="388"/>
      <c r="MVC33" s="388"/>
      <c r="MVD33" s="388"/>
      <c r="MVE33" s="388"/>
      <c r="MVF33" s="388"/>
      <c r="MVG33" s="388"/>
      <c r="MVH33" s="388"/>
      <c r="MVI33" s="388"/>
      <c r="MVJ33" s="388"/>
      <c r="MVK33" s="388"/>
      <c r="MVL33" s="388"/>
      <c r="MVM33" s="388"/>
      <c r="MVN33" s="388"/>
      <c r="MVO33" s="388"/>
      <c r="MVP33" s="388"/>
      <c r="MVQ33" s="388"/>
      <c r="MVR33" s="388"/>
      <c r="MVS33" s="388"/>
      <c r="MVT33" s="388"/>
      <c r="MVU33" s="388"/>
      <c r="MVV33" s="388"/>
      <c r="MVW33" s="388"/>
      <c r="MVX33" s="388"/>
      <c r="MVY33" s="388"/>
      <c r="MVZ33" s="388"/>
      <c r="MWA33" s="388"/>
      <c r="MWB33" s="388"/>
      <c r="MWC33" s="388"/>
      <c r="MWD33" s="388"/>
      <c r="MWE33" s="388"/>
      <c r="MWF33" s="388"/>
      <c r="MWG33" s="388"/>
      <c r="MWH33" s="388"/>
      <c r="MWI33" s="388"/>
      <c r="MWJ33" s="388"/>
      <c r="MWK33" s="388"/>
      <c r="MWL33" s="388"/>
      <c r="MWM33" s="388"/>
      <c r="MWN33" s="388"/>
      <c r="MWO33" s="388"/>
      <c r="MWP33" s="388"/>
      <c r="MWQ33" s="388"/>
      <c r="MWR33" s="388"/>
      <c r="MWS33" s="388"/>
      <c r="MWT33" s="388"/>
      <c r="MWU33" s="388"/>
      <c r="MWV33" s="388"/>
      <c r="MWW33" s="388"/>
      <c r="MWX33" s="388"/>
      <c r="MWY33" s="388"/>
      <c r="MWZ33" s="388"/>
      <c r="MXA33" s="388"/>
      <c r="MXB33" s="388"/>
      <c r="MXC33" s="388"/>
      <c r="MXD33" s="388"/>
      <c r="MXE33" s="388"/>
      <c r="MXF33" s="388"/>
      <c r="MXG33" s="388"/>
      <c r="MXH33" s="388"/>
      <c r="MXI33" s="388"/>
      <c r="MXJ33" s="388"/>
      <c r="MXK33" s="388"/>
      <c r="MXL33" s="388"/>
      <c r="MXM33" s="388"/>
      <c r="MXN33" s="388"/>
      <c r="MXO33" s="388"/>
      <c r="MXP33" s="388"/>
      <c r="MXQ33" s="388"/>
      <c r="MXR33" s="388"/>
      <c r="MXS33" s="388"/>
      <c r="MXT33" s="388"/>
      <c r="MXU33" s="388"/>
      <c r="MXV33" s="388"/>
      <c r="MXW33" s="388"/>
      <c r="MXX33" s="388"/>
      <c r="MXY33" s="388"/>
      <c r="MXZ33" s="388"/>
      <c r="MYA33" s="388"/>
      <c r="MYB33" s="388"/>
      <c r="MYC33" s="388"/>
      <c r="MYD33" s="388"/>
      <c r="MYE33" s="388"/>
      <c r="MYF33" s="388"/>
      <c r="MYG33" s="388"/>
      <c r="MYH33" s="388"/>
      <c r="MYI33" s="388"/>
      <c r="MYJ33" s="388"/>
      <c r="MYK33" s="388"/>
      <c r="MYL33" s="388"/>
      <c r="MYM33" s="388"/>
      <c r="MYN33" s="388"/>
      <c r="MYO33" s="388"/>
      <c r="MYP33" s="388"/>
      <c r="MYQ33" s="388"/>
      <c r="MYR33" s="388"/>
      <c r="MYS33" s="388"/>
      <c r="MYT33" s="388"/>
      <c r="MYU33" s="388"/>
      <c r="MYV33" s="388"/>
      <c r="MYW33" s="388"/>
      <c r="MYX33" s="388"/>
      <c r="MYY33" s="388"/>
      <c r="MYZ33" s="388"/>
      <c r="MZA33" s="388"/>
      <c r="MZB33" s="388"/>
      <c r="MZC33" s="388"/>
      <c r="MZD33" s="388"/>
      <c r="MZE33" s="388"/>
      <c r="MZF33" s="388"/>
      <c r="MZG33" s="388"/>
      <c r="MZH33" s="388"/>
      <c r="MZI33" s="388"/>
      <c r="MZJ33" s="388"/>
      <c r="MZK33" s="388"/>
      <c r="MZL33" s="388"/>
      <c r="MZM33" s="388"/>
      <c r="MZN33" s="388"/>
      <c r="MZO33" s="388"/>
      <c r="MZP33" s="388"/>
      <c r="MZQ33" s="388"/>
      <c r="MZR33" s="388"/>
      <c r="MZS33" s="388"/>
      <c r="MZT33" s="388"/>
      <c r="MZU33" s="388"/>
      <c r="MZV33" s="388"/>
      <c r="MZW33" s="388"/>
      <c r="MZX33" s="388"/>
      <c r="MZY33" s="388"/>
      <c r="MZZ33" s="388"/>
      <c r="NAA33" s="388"/>
      <c r="NAB33" s="388"/>
      <c r="NAC33" s="388"/>
      <c r="NAD33" s="388"/>
      <c r="NAE33" s="388"/>
      <c r="NAF33" s="388"/>
      <c r="NAG33" s="388"/>
      <c r="NAH33" s="388"/>
      <c r="NAI33" s="388"/>
      <c r="NAJ33" s="388"/>
      <c r="NAK33" s="388"/>
      <c r="NAL33" s="388"/>
      <c r="NAM33" s="388"/>
      <c r="NAN33" s="388"/>
      <c r="NAO33" s="388"/>
      <c r="NAP33" s="388"/>
      <c r="NAQ33" s="388"/>
      <c r="NAR33" s="388"/>
      <c r="NAS33" s="388"/>
      <c r="NAT33" s="388"/>
      <c r="NAU33" s="388"/>
      <c r="NAV33" s="388"/>
      <c r="NAW33" s="388"/>
      <c r="NAX33" s="388"/>
      <c r="NAY33" s="388"/>
      <c r="NAZ33" s="388"/>
      <c r="NBA33" s="388"/>
      <c r="NBB33" s="388"/>
      <c r="NBC33" s="388"/>
      <c r="NBD33" s="388"/>
      <c r="NBE33" s="388"/>
      <c r="NBF33" s="388"/>
      <c r="NBG33" s="388"/>
      <c r="NBH33" s="388"/>
      <c r="NBI33" s="388"/>
      <c r="NBJ33" s="388"/>
      <c r="NBK33" s="388"/>
      <c r="NBL33" s="388"/>
      <c r="NBM33" s="388"/>
      <c r="NBN33" s="388"/>
      <c r="NBO33" s="388"/>
      <c r="NBP33" s="388"/>
      <c r="NBQ33" s="388"/>
      <c r="NBR33" s="388"/>
      <c r="NBS33" s="388"/>
      <c r="NBT33" s="388"/>
      <c r="NBU33" s="388"/>
      <c r="NBV33" s="388"/>
      <c r="NBW33" s="388"/>
      <c r="NBX33" s="388"/>
      <c r="NBY33" s="388"/>
      <c r="NBZ33" s="388"/>
      <c r="NCA33" s="388"/>
      <c r="NCB33" s="388"/>
      <c r="NCC33" s="388"/>
      <c r="NCD33" s="388"/>
      <c r="NCE33" s="388"/>
      <c r="NCF33" s="388"/>
      <c r="NCG33" s="388"/>
      <c r="NCH33" s="388"/>
      <c r="NCI33" s="388"/>
      <c r="NCJ33" s="388"/>
      <c r="NCK33" s="388"/>
      <c r="NCL33" s="388"/>
      <c r="NCM33" s="388"/>
      <c r="NCN33" s="388"/>
      <c r="NCO33" s="388"/>
      <c r="NCP33" s="388"/>
      <c r="NCQ33" s="388"/>
      <c r="NCR33" s="388"/>
      <c r="NCS33" s="388"/>
      <c r="NCT33" s="388"/>
      <c r="NCU33" s="388"/>
      <c r="NCV33" s="388"/>
      <c r="NCW33" s="388"/>
      <c r="NCX33" s="388"/>
      <c r="NCY33" s="388"/>
      <c r="NCZ33" s="388"/>
      <c r="NDA33" s="388"/>
      <c r="NDB33" s="388"/>
      <c r="NDC33" s="388"/>
      <c r="NDD33" s="388"/>
      <c r="NDE33" s="388"/>
      <c r="NDF33" s="388"/>
      <c r="NDG33" s="388"/>
      <c r="NDH33" s="388"/>
      <c r="NDI33" s="388"/>
      <c r="NDJ33" s="388"/>
      <c r="NDK33" s="388"/>
      <c r="NDL33" s="388"/>
      <c r="NDM33" s="388"/>
      <c r="NDN33" s="388"/>
      <c r="NDO33" s="388"/>
      <c r="NDP33" s="388"/>
      <c r="NDQ33" s="388"/>
      <c r="NDR33" s="388"/>
      <c r="NDS33" s="388"/>
      <c r="NDT33" s="388"/>
      <c r="NDU33" s="388"/>
      <c r="NDV33" s="388"/>
      <c r="NDW33" s="388"/>
      <c r="NDX33" s="388"/>
      <c r="NDY33" s="388"/>
      <c r="NDZ33" s="388"/>
      <c r="NEA33" s="388"/>
      <c r="NEB33" s="388"/>
      <c r="NEC33" s="388"/>
      <c r="NED33" s="388"/>
      <c r="NEE33" s="388"/>
      <c r="NEF33" s="388"/>
      <c r="NEG33" s="388"/>
      <c r="NEH33" s="388"/>
      <c r="NEI33" s="388"/>
      <c r="NEJ33" s="388"/>
      <c r="NEK33" s="388"/>
      <c r="NEL33" s="388"/>
      <c r="NEM33" s="388"/>
      <c r="NEN33" s="388"/>
      <c r="NEO33" s="388"/>
      <c r="NEP33" s="388"/>
      <c r="NEQ33" s="388"/>
      <c r="NER33" s="388"/>
      <c r="NES33" s="388"/>
      <c r="NET33" s="388"/>
      <c r="NEU33" s="388"/>
      <c r="NEV33" s="388"/>
      <c r="NEW33" s="388"/>
      <c r="NEX33" s="388"/>
      <c r="NEY33" s="388"/>
      <c r="NEZ33" s="388"/>
      <c r="NFA33" s="388"/>
      <c r="NFB33" s="388"/>
      <c r="NFC33" s="388"/>
      <c r="NFD33" s="388"/>
      <c r="NFE33" s="388"/>
      <c r="NFF33" s="388"/>
      <c r="NFG33" s="388"/>
      <c r="NFH33" s="388"/>
      <c r="NFI33" s="388"/>
      <c r="NFJ33" s="388"/>
      <c r="NFK33" s="388"/>
      <c r="NFL33" s="388"/>
      <c r="NFM33" s="388"/>
      <c r="NFN33" s="388"/>
      <c r="NFO33" s="388"/>
      <c r="NFP33" s="388"/>
      <c r="NFQ33" s="388"/>
      <c r="NFR33" s="388"/>
      <c r="NFS33" s="388"/>
      <c r="NFT33" s="388"/>
      <c r="NFU33" s="388"/>
      <c r="NFV33" s="388"/>
      <c r="NFW33" s="388"/>
      <c r="NFX33" s="388"/>
      <c r="NFY33" s="388"/>
      <c r="NFZ33" s="388"/>
      <c r="NGA33" s="388"/>
      <c r="NGB33" s="388"/>
      <c r="NGC33" s="388"/>
      <c r="NGD33" s="388"/>
      <c r="NGE33" s="388"/>
      <c r="NGF33" s="388"/>
      <c r="NGG33" s="388"/>
      <c r="NGH33" s="388"/>
      <c r="NGI33" s="388"/>
      <c r="NGJ33" s="388"/>
      <c r="NGK33" s="388"/>
      <c r="NGL33" s="388"/>
      <c r="NGM33" s="388"/>
      <c r="NGN33" s="388"/>
      <c r="NGO33" s="388"/>
      <c r="NGP33" s="388"/>
      <c r="NGQ33" s="388"/>
      <c r="NGR33" s="388"/>
      <c r="NGS33" s="388"/>
      <c r="NGT33" s="388"/>
      <c r="NGU33" s="388"/>
      <c r="NGV33" s="388"/>
      <c r="NGW33" s="388"/>
      <c r="NGX33" s="388"/>
      <c r="NGY33" s="388"/>
      <c r="NGZ33" s="388"/>
      <c r="NHA33" s="388"/>
      <c r="NHB33" s="388"/>
      <c r="NHC33" s="388"/>
      <c r="NHD33" s="388"/>
      <c r="NHE33" s="388"/>
      <c r="NHF33" s="388"/>
      <c r="NHG33" s="388"/>
      <c r="NHH33" s="388"/>
      <c r="NHI33" s="388"/>
      <c r="NHJ33" s="388"/>
      <c r="NHK33" s="388"/>
      <c r="NHL33" s="388"/>
      <c r="NHM33" s="388"/>
      <c r="NHN33" s="388"/>
      <c r="NHO33" s="388"/>
      <c r="NHP33" s="388"/>
      <c r="NHQ33" s="388"/>
      <c r="NHR33" s="388"/>
      <c r="NHS33" s="388"/>
      <c r="NHT33" s="388"/>
      <c r="NHU33" s="388"/>
      <c r="NHV33" s="388"/>
      <c r="NHW33" s="388"/>
      <c r="NHX33" s="388"/>
      <c r="NHY33" s="388"/>
      <c r="NHZ33" s="388"/>
      <c r="NIA33" s="388"/>
      <c r="NIB33" s="388"/>
      <c r="NIC33" s="388"/>
      <c r="NID33" s="388"/>
      <c r="NIE33" s="388"/>
      <c r="NIF33" s="388"/>
      <c r="NIG33" s="388"/>
      <c r="NIH33" s="388"/>
      <c r="NII33" s="388"/>
      <c r="NIJ33" s="388"/>
      <c r="NIK33" s="388"/>
      <c r="NIL33" s="388"/>
      <c r="NIM33" s="388"/>
      <c r="NIN33" s="388"/>
      <c r="NIO33" s="388"/>
      <c r="NIP33" s="388"/>
      <c r="NIQ33" s="388"/>
      <c r="NIR33" s="388"/>
      <c r="NIS33" s="388"/>
      <c r="NIT33" s="388"/>
      <c r="NIU33" s="388"/>
      <c r="NIV33" s="388"/>
      <c r="NIW33" s="388"/>
      <c r="NIX33" s="388"/>
      <c r="NIY33" s="388"/>
      <c r="NIZ33" s="388"/>
      <c r="NJA33" s="388"/>
      <c r="NJB33" s="388"/>
      <c r="NJC33" s="388"/>
      <c r="NJD33" s="388"/>
      <c r="NJE33" s="388"/>
      <c r="NJF33" s="388"/>
      <c r="NJG33" s="388"/>
      <c r="NJH33" s="388"/>
      <c r="NJI33" s="388"/>
      <c r="NJJ33" s="388"/>
      <c r="NJK33" s="388"/>
      <c r="NJL33" s="388"/>
      <c r="NJM33" s="388"/>
      <c r="NJN33" s="388"/>
      <c r="NJO33" s="388"/>
      <c r="NJP33" s="388"/>
      <c r="NJQ33" s="388"/>
      <c r="NJR33" s="388"/>
      <c r="NJS33" s="388"/>
      <c r="NJT33" s="388"/>
      <c r="NJU33" s="388"/>
      <c r="NJV33" s="388"/>
      <c r="NJW33" s="388"/>
      <c r="NJX33" s="388"/>
      <c r="NJY33" s="388"/>
      <c r="NJZ33" s="388"/>
      <c r="NKA33" s="388"/>
      <c r="NKB33" s="388"/>
      <c r="NKC33" s="388"/>
      <c r="NKD33" s="388"/>
      <c r="NKE33" s="388"/>
      <c r="NKF33" s="388"/>
      <c r="NKG33" s="388"/>
      <c r="NKH33" s="388"/>
      <c r="NKI33" s="388"/>
      <c r="NKJ33" s="388"/>
      <c r="NKK33" s="388"/>
      <c r="NKL33" s="388"/>
      <c r="NKM33" s="388"/>
      <c r="NKN33" s="388"/>
      <c r="NKO33" s="388"/>
      <c r="NKP33" s="388"/>
      <c r="NKQ33" s="388"/>
      <c r="NKR33" s="388"/>
      <c r="NKS33" s="388"/>
      <c r="NKT33" s="388"/>
      <c r="NKU33" s="388"/>
      <c r="NKV33" s="388"/>
      <c r="NKW33" s="388"/>
      <c r="NKX33" s="388"/>
      <c r="NKY33" s="388"/>
      <c r="NKZ33" s="388"/>
      <c r="NLA33" s="388"/>
      <c r="NLB33" s="388"/>
      <c r="NLC33" s="388"/>
      <c r="NLD33" s="388"/>
      <c r="NLE33" s="388"/>
      <c r="NLF33" s="388"/>
      <c r="NLG33" s="388"/>
      <c r="NLH33" s="388"/>
      <c r="NLI33" s="388"/>
      <c r="NLJ33" s="388"/>
      <c r="NLK33" s="388"/>
      <c r="NLL33" s="388"/>
      <c r="NLM33" s="388"/>
      <c r="NLN33" s="388"/>
      <c r="NLO33" s="388"/>
      <c r="NLP33" s="388"/>
      <c r="NLQ33" s="388"/>
      <c r="NLR33" s="388"/>
      <c r="NLS33" s="388"/>
      <c r="NLT33" s="388"/>
      <c r="NLU33" s="388"/>
      <c r="NLV33" s="388"/>
      <c r="NLW33" s="388"/>
      <c r="NLX33" s="388"/>
      <c r="NLY33" s="388"/>
      <c r="NLZ33" s="388"/>
      <c r="NMA33" s="388"/>
      <c r="NMB33" s="388"/>
      <c r="NMC33" s="388"/>
      <c r="NMD33" s="388"/>
      <c r="NME33" s="388"/>
      <c r="NMF33" s="388"/>
      <c r="NMG33" s="388"/>
      <c r="NMH33" s="388"/>
      <c r="NMI33" s="388"/>
      <c r="NMJ33" s="388"/>
      <c r="NMK33" s="388"/>
      <c r="NML33" s="388"/>
      <c r="NMM33" s="388"/>
      <c r="NMN33" s="388"/>
      <c r="NMO33" s="388"/>
      <c r="NMP33" s="388"/>
      <c r="NMQ33" s="388"/>
      <c r="NMR33" s="388"/>
      <c r="NMS33" s="388"/>
      <c r="NMT33" s="388"/>
      <c r="NMU33" s="388"/>
      <c r="NMV33" s="388"/>
      <c r="NMW33" s="388"/>
      <c r="NMX33" s="388"/>
      <c r="NMY33" s="388"/>
      <c r="NMZ33" s="388"/>
      <c r="NNA33" s="388"/>
      <c r="NNB33" s="388"/>
      <c r="NNC33" s="388"/>
      <c r="NND33" s="388"/>
      <c r="NNE33" s="388"/>
      <c r="NNF33" s="388"/>
      <c r="NNG33" s="388"/>
      <c r="NNH33" s="388"/>
      <c r="NNI33" s="388"/>
      <c r="NNJ33" s="388"/>
      <c r="NNK33" s="388"/>
      <c r="NNL33" s="388"/>
      <c r="NNM33" s="388"/>
      <c r="NNN33" s="388"/>
      <c r="NNO33" s="388"/>
      <c r="NNP33" s="388"/>
      <c r="NNQ33" s="388"/>
      <c r="NNR33" s="388"/>
      <c r="NNS33" s="388"/>
      <c r="NNT33" s="388"/>
      <c r="NNU33" s="388"/>
      <c r="NNV33" s="388"/>
      <c r="NNW33" s="388"/>
      <c r="NNX33" s="388"/>
      <c r="NNY33" s="388"/>
      <c r="NNZ33" s="388"/>
      <c r="NOA33" s="388"/>
      <c r="NOB33" s="388"/>
      <c r="NOC33" s="388"/>
      <c r="NOD33" s="388"/>
      <c r="NOE33" s="388"/>
      <c r="NOF33" s="388"/>
      <c r="NOG33" s="388"/>
      <c r="NOH33" s="388"/>
      <c r="NOI33" s="388"/>
      <c r="NOJ33" s="388"/>
      <c r="NOK33" s="388"/>
      <c r="NOL33" s="388"/>
      <c r="NOM33" s="388"/>
      <c r="NON33" s="388"/>
      <c r="NOO33" s="388"/>
      <c r="NOP33" s="388"/>
      <c r="NOQ33" s="388"/>
      <c r="NOR33" s="388"/>
      <c r="NOS33" s="388"/>
      <c r="NOT33" s="388"/>
      <c r="NOU33" s="388"/>
      <c r="NOV33" s="388"/>
      <c r="NOW33" s="388"/>
      <c r="NOX33" s="388"/>
      <c r="NOY33" s="388"/>
      <c r="NOZ33" s="388"/>
      <c r="NPA33" s="388"/>
      <c r="NPB33" s="388"/>
      <c r="NPC33" s="388"/>
      <c r="NPD33" s="388"/>
      <c r="NPE33" s="388"/>
      <c r="NPF33" s="388"/>
      <c r="NPG33" s="388"/>
      <c r="NPH33" s="388"/>
      <c r="NPI33" s="388"/>
      <c r="NPJ33" s="388"/>
      <c r="NPK33" s="388"/>
      <c r="NPL33" s="388"/>
      <c r="NPM33" s="388"/>
      <c r="NPN33" s="388"/>
      <c r="NPO33" s="388"/>
      <c r="NPP33" s="388"/>
      <c r="NPQ33" s="388"/>
      <c r="NPR33" s="388"/>
      <c r="NPS33" s="388"/>
      <c r="NPT33" s="388"/>
      <c r="NPU33" s="388"/>
      <c r="NPV33" s="388"/>
      <c r="NPW33" s="388"/>
      <c r="NPX33" s="388"/>
      <c r="NPY33" s="388"/>
      <c r="NPZ33" s="388"/>
      <c r="NQA33" s="388"/>
      <c r="NQB33" s="388"/>
      <c r="NQC33" s="388"/>
      <c r="NQD33" s="388"/>
      <c r="NQE33" s="388"/>
      <c r="NQF33" s="388"/>
      <c r="NQG33" s="388"/>
      <c r="NQH33" s="388"/>
      <c r="NQI33" s="388"/>
      <c r="NQJ33" s="388"/>
      <c r="NQK33" s="388"/>
      <c r="NQL33" s="388"/>
      <c r="NQM33" s="388"/>
      <c r="NQN33" s="388"/>
      <c r="NQO33" s="388"/>
      <c r="NQP33" s="388"/>
      <c r="NQQ33" s="388"/>
      <c r="NQR33" s="388"/>
      <c r="NQS33" s="388"/>
      <c r="NQT33" s="388"/>
      <c r="NQU33" s="388"/>
      <c r="NQV33" s="388"/>
      <c r="NQW33" s="388"/>
      <c r="NQX33" s="388"/>
      <c r="NQY33" s="388"/>
      <c r="NQZ33" s="388"/>
      <c r="NRA33" s="388"/>
      <c r="NRB33" s="388"/>
      <c r="NRC33" s="388"/>
      <c r="NRD33" s="388"/>
      <c r="NRE33" s="388"/>
      <c r="NRF33" s="388"/>
      <c r="NRG33" s="388"/>
      <c r="NRH33" s="388"/>
      <c r="NRI33" s="388"/>
      <c r="NRJ33" s="388"/>
      <c r="NRK33" s="388"/>
      <c r="NRL33" s="388"/>
      <c r="NRM33" s="388"/>
      <c r="NRN33" s="388"/>
      <c r="NRO33" s="388"/>
      <c r="NRP33" s="388"/>
      <c r="NRQ33" s="388"/>
      <c r="NRR33" s="388"/>
      <c r="NRS33" s="388"/>
      <c r="NRT33" s="388"/>
      <c r="NRU33" s="388"/>
      <c r="NRV33" s="388"/>
      <c r="NRW33" s="388"/>
      <c r="NRX33" s="388"/>
      <c r="NRY33" s="388"/>
      <c r="NRZ33" s="388"/>
      <c r="NSA33" s="388"/>
      <c r="NSB33" s="388"/>
      <c r="NSC33" s="388"/>
      <c r="NSD33" s="388"/>
      <c r="NSE33" s="388"/>
      <c r="NSF33" s="388"/>
      <c r="NSG33" s="388"/>
      <c r="NSH33" s="388"/>
      <c r="NSI33" s="388"/>
      <c r="NSJ33" s="388"/>
      <c r="NSK33" s="388"/>
      <c r="NSL33" s="388"/>
      <c r="NSM33" s="388"/>
      <c r="NSN33" s="388"/>
      <c r="NSO33" s="388"/>
      <c r="NSP33" s="388"/>
      <c r="NSQ33" s="388"/>
      <c r="NSR33" s="388"/>
      <c r="NSS33" s="388"/>
      <c r="NST33" s="388"/>
      <c r="NSU33" s="388"/>
      <c r="NSV33" s="388"/>
      <c r="NSW33" s="388"/>
      <c r="NSX33" s="388"/>
      <c r="NSY33" s="388"/>
      <c r="NSZ33" s="388"/>
      <c r="NTA33" s="388"/>
      <c r="NTB33" s="388"/>
      <c r="NTC33" s="388"/>
      <c r="NTD33" s="388"/>
      <c r="NTE33" s="388"/>
      <c r="NTF33" s="388"/>
      <c r="NTG33" s="388"/>
      <c r="NTH33" s="388"/>
      <c r="NTI33" s="388"/>
      <c r="NTJ33" s="388"/>
      <c r="NTK33" s="388"/>
      <c r="NTL33" s="388"/>
      <c r="NTM33" s="388"/>
      <c r="NTN33" s="388"/>
      <c r="NTO33" s="388"/>
      <c r="NTP33" s="388"/>
      <c r="NTQ33" s="388"/>
      <c r="NTR33" s="388"/>
      <c r="NTS33" s="388"/>
      <c r="NTT33" s="388"/>
      <c r="NTU33" s="388"/>
      <c r="NTV33" s="388"/>
      <c r="NTW33" s="388"/>
      <c r="NTX33" s="388"/>
      <c r="NTY33" s="388"/>
      <c r="NTZ33" s="388"/>
      <c r="NUA33" s="388"/>
      <c r="NUB33" s="388"/>
      <c r="NUC33" s="388"/>
      <c r="NUD33" s="388"/>
      <c r="NUE33" s="388"/>
      <c r="NUF33" s="388"/>
      <c r="NUG33" s="388"/>
      <c r="NUH33" s="388"/>
      <c r="NUI33" s="388"/>
      <c r="NUJ33" s="388"/>
      <c r="NUK33" s="388"/>
      <c r="NUL33" s="388"/>
      <c r="NUM33" s="388"/>
      <c r="NUN33" s="388"/>
      <c r="NUO33" s="388"/>
      <c r="NUP33" s="388"/>
      <c r="NUQ33" s="388"/>
      <c r="NUR33" s="388"/>
      <c r="NUS33" s="388"/>
      <c r="NUT33" s="388"/>
      <c r="NUU33" s="388"/>
      <c r="NUV33" s="388"/>
      <c r="NUW33" s="388"/>
      <c r="NUX33" s="388"/>
      <c r="NUY33" s="388"/>
      <c r="NUZ33" s="388"/>
      <c r="NVA33" s="388"/>
      <c r="NVB33" s="388"/>
      <c r="NVC33" s="388"/>
      <c r="NVD33" s="388"/>
      <c r="NVE33" s="388"/>
      <c r="NVF33" s="388"/>
      <c r="NVG33" s="388"/>
      <c r="NVH33" s="388"/>
      <c r="NVI33" s="388"/>
      <c r="NVJ33" s="388"/>
      <c r="NVK33" s="388"/>
      <c r="NVL33" s="388"/>
      <c r="NVM33" s="388"/>
      <c r="NVN33" s="388"/>
      <c r="NVO33" s="388"/>
      <c r="NVP33" s="388"/>
      <c r="NVQ33" s="388"/>
      <c r="NVR33" s="388"/>
      <c r="NVS33" s="388"/>
      <c r="NVT33" s="388"/>
      <c r="NVU33" s="388"/>
      <c r="NVV33" s="388"/>
      <c r="NVW33" s="388"/>
      <c r="NVX33" s="388"/>
      <c r="NVY33" s="388"/>
      <c r="NVZ33" s="388"/>
      <c r="NWA33" s="388"/>
      <c r="NWB33" s="388"/>
      <c r="NWC33" s="388"/>
      <c r="NWD33" s="388"/>
      <c r="NWE33" s="388"/>
      <c r="NWF33" s="388"/>
      <c r="NWG33" s="388"/>
      <c r="NWH33" s="388"/>
      <c r="NWI33" s="388"/>
      <c r="NWJ33" s="388"/>
      <c r="NWK33" s="388"/>
      <c r="NWL33" s="388"/>
      <c r="NWM33" s="388"/>
      <c r="NWN33" s="388"/>
      <c r="NWO33" s="388"/>
      <c r="NWP33" s="388"/>
      <c r="NWQ33" s="388"/>
      <c r="NWR33" s="388"/>
      <c r="NWS33" s="388"/>
      <c r="NWT33" s="388"/>
      <c r="NWU33" s="388"/>
      <c r="NWV33" s="388"/>
      <c r="NWW33" s="388"/>
      <c r="NWX33" s="388"/>
      <c r="NWY33" s="388"/>
      <c r="NWZ33" s="388"/>
      <c r="NXA33" s="388"/>
      <c r="NXB33" s="388"/>
      <c r="NXC33" s="388"/>
      <c r="NXD33" s="388"/>
      <c r="NXE33" s="388"/>
      <c r="NXF33" s="388"/>
      <c r="NXG33" s="388"/>
      <c r="NXH33" s="388"/>
      <c r="NXI33" s="388"/>
      <c r="NXJ33" s="388"/>
      <c r="NXK33" s="388"/>
      <c r="NXL33" s="388"/>
      <c r="NXM33" s="388"/>
      <c r="NXN33" s="388"/>
      <c r="NXO33" s="388"/>
      <c r="NXP33" s="388"/>
      <c r="NXQ33" s="388"/>
      <c r="NXR33" s="388"/>
      <c r="NXS33" s="388"/>
      <c r="NXT33" s="388"/>
      <c r="NXU33" s="388"/>
      <c r="NXV33" s="388"/>
      <c r="NXW33" s="388"/>
      <c r="NXX33" s="388"/>
      <c r="NXY33" s="388"/>
      <c r="NXZ33" s="388"/>
      <c r="NYA33" s="388"/>
      <c r="NYB33" s="388"/>
      <c r="NYC33" s="388"/>
      <c r="NYD33" s="388"/>
      <c r="NYE33" s="388"/>
      <c r="NYF33" s="388"/>
      <c r="NYG33" s="388"/>
      <c r="NYH33" s="388"/>
      <c r="NYI33" s="388"/>
      <c r="NYJ33" s="388"/>
      <c r="NYK33" s="388"/>
      <c r="NYL33" s="388"/>
      <c r="NYM33" s="388"/>
      <c r="NYN33" s="388"/>
      <c r="NYO33" s="388"/>
      <c r="NYP33" s="388"/>
      <c r="NYQ33" s="388"/>
      <c r="NYR33" s="388"/>
      <c r="NYS33" s="388"/>
      <c r="NYT33" s="388"/>
      <c r="NYU33" s="388"/>
      <c r="NYV33" s="388"/>
      <c r="NYW33" s="388"/>
      <c r="NYX33" s="388"/>
      <c r="NYY33" s="388"/>
      <c r="NYZ33" s="388"/>
      <c r="NZA33" s="388"/>
      <c r="NZB33" s="388"/>
      <c r="NZC33" s="388"/>
      <c r="NZD33" s="388"/>
      <c r="NZE33" s="388"/>
      <c r="NZF33" s="388"/>
      <c r="NZG33" s="388"/>
      <c r="NZH33" s="388"/>
      <c r="NZI33" s="388"/>
      <c r="NZJ33" s="388"/>
      <c r="NZK33" s="388"/>
      <c r="NZL33" s="388"/>
      <c r="NZM33" s="388"/>
      <c r="NZN33" s="388"/>
      <c r="NZO33" s="388"/>
      <c r="NZP33" s="388"/>
      <c r="NZQ33" s="388"/>
      <c r="NZR33" s="388"/>
      <c r="NZS33" s="388"/>
      <c r="NZT33" s="388"/>
      <c r="NZU33" s="388"/>
      <c r="NZV33" s="388"/>
      <c r="NZW33" s="388"/>
      <c r="NZX33" s="388"/>
      <c r="NZY33" s="388"/>
      <c r="NZZ33" s="388"/>
      <c r="OAA33" s="388"/>
      <c r="OAB33" s="388"/>
      <c r="OAC33" s="388"/>
      <c r="OAD33" s="388"/>
      <c r="OAE33" s="388"/>
      <c r="OAF33" s="388"/>
      <c r="OAG33" s="388"/>
      <c r="OAH33" s="388"/>
      <c r="OAI33" s="388"/>
      <c r="OAJ33" s="388"/>
      <c r="OAK33" s="388"/>
      <c r="OAL33" s="388"/>
      <c r="OAM33" s="388"/>
      <c r="OAN33" s="388"/>
      <c r="OAO33" s="388"/>
      <c r="OAP33" s="388"/>
      <c r="OAQ33" s="388"/>
      <c r="OAR33" s="388"/>
      <c r="OAS33" s="388"/>
      <c r="OAT33" s="388"/>
      <c r="OAU33" s="388"/>
      <c r="OAV33" s="388"/>
      <c r="OAW33" s="388"/>
      <c r="OAX33" s="388"/>
      <c r="OAY33" s="388"/>
      <c r="OAZ33" s="388"/>
      <c r="OBA33" s="388"/>
      <c r="OBB33" s="388"/>
      <c r="OBC33" s="388"/>
      <c r="OBD33" s="388"/>
      <c r="OBE33" s="388"/>
      <c r="OBF33" s="388"/>
      <c r="OBG33" s="388"/>
      <c r="OBH33" s="388"/>
      <c r="OBI33" s="388"/>
      <c r="OBJ33" s="388"/>
      <c r="OBK33" s="388"/>
      <c r="OBL33" s="388"/>
      <c r="OBM33" s="388"/>
      <c r="OBN33" s="388"/>
      <c r="OBO33" s="388"/>
      <c r="OBP33" s="388"/>
      <c r="OBQ33" s="388"/>
      <c r="OBR33" s="388"/>
      <c r="OBS33" s="388"/>
      <c r="OBT33" s="388"/>
      <c r="OBU33" s="388"/>
      <c r="OBV33" s="388"/>
      <c r="OBW33" s="388"/>
      <c r="OBX33" s="388"/>
      <c r="OBY33" s="388"/>
      <c r="OBZ33" s="388"/>
      <c r="OCA33" s="388"/>
      <c r="OCB33" s="388"/>
      <c r="OCC33" s="388"/>
      <c r="OCD33" s="388"/>
      <c r="OCE33" s="388"/>
      <c r="OCF33" s="388"/>
      <c r="OCG33" s="388"/>
      <c r="OCH33" s="388"/>
      <c r="OCI33" s="388"/>
      <c r="OCJ33" s="388"/>
      <c r="OCK33" s="388"/>
      <c r="OCL33" s="388"/>
      <c r="OCM33" s="388"/>
      <c r="OCN33" s="388"/>
      <c r="OCO33" s="388"/>
      <c r="OCP33" s="388"/>
      <c r="OCQ33" s="388"/>
      <c r="OCR33" s="388"/>
      <c r="OCS33" s="388"/>
      <c r="OCT33" s="388"/>
      <c r="OCU33" s="388"/>
      <c r="OCV33" s="388"/>
      <c r="OCW33" s="388"/>
      <c r="OCX33" s="388"/>
      <c r="OCY33" s="388"/>
      <c r="OCZ33" s="388"/>
      <c r="ODA33" s="388"/>
      <c r="ODB33" s="388"/>
      <c r="ODC33" s="388"/>
      <c r="ODD33" s="388"/>
      <c r="ODE33" s="388"/>
      <c r="ODF33" s="388"/>
      <c r="ODG33" s="388"/>
      <c r="ODH33" s="388"/>
      <c r="ODI33" s="388"/>
      <c r="ODJ33" s="388"/>
      <c r="ODK33" s="388"/>
      <c r="ODL33" s="388"/>
      <c r="ODM33" s="388"/>
      <c r="ODN33" s="388"/>
      <c r="ODO33" s="388"/>
      <c r="ODP33" s="388"/>
      <c r="ODQ33" s="388"/>
      <c r="ODR33" s="388"/>
      <c r="ODS33" s="388"/>
      <c r="ODT33" s="388"/>
      <c r="ODU33" s="388"/>
      <c r="ODV33" s="388"/>
      <c r="ODW33" s="388"/>
      <c r="ODX33" s="388"/>
      <c r="ODY33" s="388"/>
      <c r="ODZ33" s="388"/>
      <c r="OEA33" s="388"/>
      <c r="OEB33" s="388"/>
      <c r="OEC33" s="388"/>
      <c r="OED33" s="388"/>
      <c r="OEE33" s="388"/>
      <c r="OEF33" s="388"/>
      <c r="OEG33" s="388"/>
      <c r="OEH33" s="388"/>
      <c r="OEI33" s="388"/>
      <c r="OEJ33" s="388"/>
      <c r="OEK33" s="388"/>
      <c r="OEL33" s="388"/>
      <c r="OEM33" s="388"/>
      <c r="OEN33" s="388"/>
      <c r="OEO33" s="388"/>
      <c r="OEP33" s="388"/>
      <c r="OEQ33" s="388"/>
      <c r="OER33" s="388"/>
      <c r="OES33" s="388"/>
      <c r="OET33" s="388"/>
      <c r="OEU33" s="388"/>
      <c r="OEV33" s="388"/>
      <c r="OEW33" s="388"/>
      <c r="OEX33" s="388"/>
      <c r="OEY33" s="388"/>
      <c r="OEZ33" s="388"/>
      <c r="OFA33" s="388"/>
      <c r="OFB33" s="388"/>
      <c r="OFC33" s="388"/>
      <c r="OFD33" s="388"/>
      <c r="OFE33" s="388"/>
      <c r="OFF33" s="388"/>
      <c r="OFG33" s="388"/>
      <c r="OFH33" s="388"/>
      <c r="OFI33" s="388"/>
      <c r="OFJ33" s="388"/>
      <c r="OFK33" s="388"/>
      <c r="OFL33" s="388"/>
      <c r="OFM33" s="388"/>
      <c r="OFN33" s="388"/>
      <c r="OFO33" s="388"/>
      <c r="OFP33" s="388"/>
      <c r="OFQ33" s="388"/>
      <c r="OFR33" s="388"/>
      <c r="OFS33" s="388"/>
      <c r="OFT33" s="388"/>
      <c r="OFU33" s="388"/>
      <c r="OFV33" s="388"/>
      <c r="OFW33" s="388"/>
      <c r="OFX33" s="388"/>
      <c r="OFY33" s="388"/>
      <c r="OFZ33" s="388"/>
      <c r="OGA33" s="388"/>
      <c r="OGB33" s="388"/>
      <c r="OGC33" s="388"/>
      <c r="OGD33" s="388"/>
      <c r="OGE33" s="388"/>
      <c r="OGF33" s="388"/>
      <c r="OGG33" s="388"/>
      <c r="OGH33" s="388"/>
      <c r="OGI33" s="388"/>
      <c r="OGJ33" s="388"/>
      <c r="OGK33" s="388"/>
      <c r="OGL33" s="388"/>
      <c r="OGM33" s="388"/>
      <c r="OGN33" s="388"/>
      <c r="OGO33" s="388"/>
      <c r="OGP33" s="388"/>
      <c r="OGQ33" s="388"/>
      <c r="OGR33" s="388"/>
      <c r="OGS33" s="388"/>
      <c r="OGT33" s="388"/>
      <c r="OGU33" s="388"/>
      <c r="OGV33" s="388"/>
      <c r="OGW33" s="388"/>
      <c r="OGX33" s="388"/>
      <c r="OGY33" s="388"/>
      <c r="OGZ33" s="388"/>
      <c r="OHA33" s="388"/>
      <c r="OHB33" s="388"/>
      <c r="OHC33" s="388"/>
      <c r="OHD33" s="388"/>
      <c r="OHE33" s="388"/>
      <c r="OHF33" s="388"/>
      <c r="OHG33" s="388"/>
      <c r="OHH33" s="388"/>
      <c r="OHI33" s="388"/>
      <c r="OHJ33" s="388"/>
      <c r="OHK33" s="388"/>
      <c r="OHL33" s="388"/>
      <c r="OHM33" s="388"/>
      <c r="OHN33" s="388"/>
      <c r="OHO33" s="388"/>
      <c r="OHP33" s="388"/>
      <c r="OHQ33" s="388"/>
      <c r="OHR33" s="388"/>
      <c r="OHS33" s="388"/>
      <c r="OHT33" s="388"/>
      <c r="OHU33" s="388"/>
      <c r="OHV33" s="388"/>
      <c r="OHW33" s="388"/>
      <c r="OHX33" s="388"/>
      <c r="OHY33" s="388"/>
      <c r="OHZ33" s="388"/>
      <c r="OIA33" s="388"/>
      <c r="OIB33" s="388"/>
      <c r="OIC33" s="388"/>
      <c r="OID33" s="388"/>
      <c r="OIE33" s="388"/>
      <c r="OIF33" s="388"/>
      <c r="OIG33" s="388"/>
      <c r="OIH33" s="388"/>
      <c r="OII33" s="388"/>
      <c r="OIJ33" s="388"/>
      <c r="OIK33" s="388"/>
      <c r="OIL33" s="388"/>
      <c r="OIM33" s="388"/>
      <c r="OIN33" s="388"/>
      <c r="OIO33" s="388"/>
      <c r="OIP33" s="388"/>
      <c r="OIQ33" s="388"/>
      <c r="OIR33" s="388"/>
      <c r="OIS33" s="388"/>
      <c r="OIT33" s="388"/>
      <c r="OIU33" s="388"/>
      <c r="OIV33" s="388"/>
      <c r="OIW33" s="388"/>
      <c r="OIX33" s="388"/>
      <c r="OIY33" s="388"/>
      <c r="OIZ33" s="388"/>
      <c r="OJA33" s="388"/>
      <c r="OJB33" s="388"/>
      <c r="OJC33" s="388"/>
      <c r="OJD33" s="388"/>
      <c r="OJE33" s="388"/>
      <c r="OJF33" s="388"/>
      <c r="OJG33" s="388"/>
      <c r="OJH33" s="388"/>
      <c r="OJI33" s="388"/>
      <c r="OJJ33" s="388"/>
      <c r="OJK33" s="388"/>
      <c r="OJL33" s="388"/>
      <c r="OJM33" s="388"/>
      <c r="OJN33" s="388"/>
      <c r="OJO33" s="388"/>
      <c r="OJP33" s="388"/>
      <c r="OJQ33" s="388"/>
      <c r="OJR33" s="388"/>
      <c r="OJS33" s="388"/>
      <c r="OJT33" s="388"/>
      <c r="OJU33" s="388"/>
      <c r="OJV33" s="388"/>
      <c r="OJW33" s="388"/>
      <c r="OJX33" s="388"/>
      <c r="OJY33" s="388"/>
      <c r="OJZ33" s="388"/>
      <c r="OKA33" s="388"/>
      <c r="OKB33" s="388"/>
      <c r="OKC33" s="388"/>
      <c r="OKD33" s="388"/>
      <c r="OKE33" s="388"/>
      <c r="OKF33" s="388"/>
      <c r="OKG33" s="388"/>
      <c r="OKH33" s="388"/>
      <c r="OKI33" s="388"/>
      <c r="OKJ33" s="388"/>
      <c r="OKK33" s="388"/>
      <c r="OKL33" s="388"/>
      <c r="OKM33" s="388"/>
      <c r="OKN33" s="388"/>
      <c r="OKO33" s="388"/>
      <c r="OKP33" s="388"/>
      <c r="OKQ33" s="388"/>
      <c r="OKR33" s="388"/>
      <c r="OKS33" s="388"/>
      <c r="OKT33" s="388"/>
      <c r="OKU33" s="388"/>
      <c r="OKV33" s="388"/>
      <c r="OKW33" s="388"/>
      <c r="OKX33" s="388"/>
      <c r="OKY33" s="388"/>
      <c r="OKZ33" s="388"/>
      <c r="OLA33" s="388"/>
      <c r="OLB33" s="388"/>
      <c r="OLC33" s="388"/>
      <c r="OLD33" s="388"/>
      <c r="OLE33" s="388"/>
      <c r="OLF33" s="388"/>
      <c r="OLG33" s="388"/>
      <c r="OLH33" s="388"/>
      <c r="OLI33" s="388"/>
      <c r="OLJ33" s="388"/>
      <c r="OLK33" s="388"/>
      <c r="OLL33" s="388"/>
      <c r="OLM33" s="388"/>
      <c r="OLN33" s="388"/>
      <c r="OLO33" s="388"/>
      <c r="OLP33" s="388"/>
      <c r="OLQ33" s="388"/>
      <c r="OLR33" s="388"/>
      <c r="OLS33" s="388"/>
      <c r="OLT33" s="388"/>
      <c r="OLU33" s="388"/>
      <c r="OLV33" s="388"/>
      <c r="OLW33" s="388"/>
      <c r="OLX33" s="388"/>
      <c r="OLY33" s="388"/>
      <c r="OLZ33" s="388"/>
      <c r="OMA33" s="388"/>
      <c r="OMB33" s="388"/>
      <c r="OMC33" s="388"/>
      <c r="OMD33" s="388"/>
      <c r="OME33" s="388"/>
      <c r="OMF33" s="388"/>
      <c r="OMG33" s="388"/>
      <c r="OMH33" s="388"/>
      <c r="OMI33" s="388"/>
      <c r="OMJ33" s="388"/>
      <c r="OMK33" s="388"/>
      <c r="OML33" s="388"/>
      <c r="OMM33" s="388"/>
      <c r="OMN33" s="388"/>
      <c r="OMO33" s="388"/>
      <c r="OMP33" s="388"/>
      <c r="OMQ33" s="388"/>
      <c r="OMR33" s="388"/>
      <c r="OMS33" s="388"/>
      <c r="OMT33" s="388"/>
      <c r="OMU33" s="388"/>
      <c r="OMV33" s="388"/>
      <c r="OMW33" s="388"/>
      <c r="OMX33" s="388"/>
      <c r="OMY33" s="388"/>
      <c r="OMZ33" s="388"/>
      <c r="ONA33" s="388"/>
      <c r="ONB33" s="388"/>
      <c r="ONC33" s="388"/>
      <c r="OND33" s="388"/>
      <c r="ONE33" s="388"/>
      <c r="ONF33" s="388"/>
      <c r="ONG33" s="388"/>
      <c r="ONH33" s="388"/>
      <c r="ONI33" s="388"/>
      <c r="ONJ33" s="388"/>
      <c r="ONK33" s="388"/>
      <c r="ONL33" s="388"/>
      <c r="ONM33" s="388"/>
      <c r="ONN33" s="388"/>
      <c r="ONO33" s="388"/>
      <c r="ONP33" s="388"/>
      <c r="ONQ33" s="388"/>
      <c r="ONR33" s="388"/>
      <c r="ONS33" s="388"/>
      <c r="ONT33" s="388"/>
      <c r="ONU33" s="388"/>
      <c r="ONV33" s="388"/>
      <c r="ONW33" s="388"/>
      <c r="ONX33" s="388"/>
      <c r="ONY33" s="388"/>
      <c r="ONZ33" s="388"/>
      <c r="OOA33" s="388"/>
      <c r="OOB33" s="388"/>
      <c r="OOC33" s="388"/>
      <c r="OOD33" s="388"/>
      <c r="OOE33" s="388"/>
      <c r="OOF33" s="388"/>
      <c r="OOG33" s="388"/>
      <c r="OOH33" s="388"/>
      <c r="OOI33" s="388"/>
      <c r="OOJ33" s="388"/>
      <c r="OOK33" s="388"/>
      <c r="OOL33" s="388"/>
      <c r="OOM33" s="388"/>
      <c r="OON33" s="388"/>
      <c r="OOO33" s="388"/>
      <c r="OOP33" s="388"/>
      <c r="OOQ33" s="388"/>
      <c r="OOR33" s="388"/>
      <c r="OOS33" s="388"/>
      <c r="OOT33" s="388"/>
      <c r="OOU33" s="388"/>
      <c r="OOV33" s="388"/>
      <c r="OOW33" s="388"/>
      <c r="OOX33" s="388"/>
      <c r="OOY33" s="388"/>
      <c r="OOZ33" s="388"/>
      <c r="OPA33" s="388"/>
      <c r="OPB33" s="388"/>
      <c r="OPC33" s="388"/>
      <c r="OPD33" s="388"/>
      <c r="OPE33" s="388"/>
      <c r="OPF33" s="388"/>
      <c r="OPG33" s="388"/>
      <c r="OPH33" s="388"/>
      <c r="OPI33" s="388"/>
      <c r="OPJ33" s="388"/>
      <c r="OPK33" s="388"/>
      <c r="OPL33" s="388"/>
      <c r="OPM33" s="388"/>
      <c r="OPN33" s="388"/>
      <c r="OPO33" s="388"/>
      <c r="OPP33" s="388"/>
      <c r="OPQ33" s="388"/>
      <c r="OPR33" s="388"/>
      <c r="OPS33" s="388"/>
      <c r="OPT33" s="388"/>
      <c r="OPU33" s="388"/>
      <c r="OPV33" s="388"/>
      <c r="OPW33" s="388"/>
      <c r="OPX33" s="388"/>
      <c r="OPY33" s="388"/>
      <c r="OPZ33" s="388"/>
      <c r="OQA33" s="388"/>
      <c r="OQB33" s="388"/>
      <c r="OQC33" s="388"/>
      <c r="OQD33" s="388"/>
      <c r="OQE33" s="388"/>
      <c r="OQF33" s="388"/>
      <c r="OQG33" s="388"/>
      <c r="OQH33" s="388"/>
      <c r="OQI33" s="388"/>
      <c r="OQJ33" s="388"/>
      <c r="OQK33" s="388"/>
      <c r="OQL33" s="388"/>
      <c r="OQM33" s="388"/>
      <c r="OQN33" s="388"/>
      <c r="OQO33" s="388"/>
      <c r="OQP33" s="388"/>
      <c r="OQQ33" s="388"/>
      <c r="OQR33" s="388"/>
      <c r="OQS33" s="388"/>
      <c r="OQT33" s="388"/>
      <c r="OQU33" s="388"/>
      <c r="OQV33" s="388"/>
      <c r="OQW33" s="388"/>
      <c r="OQX33" s="388"/>
      <c r="OQY33" s="388"/>
      <c r="OQZ33" s="388"/>
      <c r="ORA33" s="388"/>
      <c r="ORB33" s="388"/>
      <c r="ORC33" s="388"/>
      <c r="ORD33" s="388"/>
      <c r="ORE33" s="388"/>
      <c r="ORF33" s="388"/>
      <c r="ORG33" s="388"/>
      <c r="ORH33" s="388"/>
      <c r="ORI33" s="388"/>
      <c r="ORJ33" s="388"/>
      <c r="ORK33" s="388"/>
      <c r="ORL33" s="388"/>
      <c r="ORM33" s="388"/>
      <c r="ORN33" s="388"/>
      <c r="ORO33" s="388"/>
      <c r="ORP33" s="388"/>
      <c r="ORQ33" s="388"/>
      <c r="ORR33" s="388"/>
      <c r="ORS33" s="388"/>
      <c r="ORT33" s="388"/>
      <c r="ORU33" s="388"/>
      <c r="ORV33" s="388"/>
      <c r="ORW33" s="388"/>
      <c r="ORX33" s="388"/>
      <c r="ORY33" s="388"/>
      <c r="ORZ33" s="388"/>
      <c r="OSA33" s="388"/>
      <c r="OSB33" s="388"/>
      <c r="OSC33" s="388"/>
      <c r="OSD33" s="388"/>
      <c r="OSE33" s="388"/>
      <c r="OSF33" s="388"/>
      <c r="OSG33" s="388"/>
      <c r="OSH33" s="388"/>
      <c r="OSI33" s="388"/>
      <c r="OSJ33" s="388"/>
      <c r="OSK33" s="388"/>
      <c r="OSL33" s="388"/>
      <c r="OSM33" s="388"/>
      <c r="OSN33" s="388"/>
      <c r="OSO33" s="388"/>
      <c r="OSP33" s="388"/>
      <c r="OSQ33" s="388"/>
      <c r="OSR33" s="388"/>
      <c r="OSS33" s="388"/>
      <c r="OST33" s="388"/>
      <c r="OSU33" s="388"/>
      <c r="OSV33" s="388"/>
      <c r="OSW33" s="388"/>
      <c r="OSX33" s="388"/>
      <c r="OSY33" s="388"/>
      <c r="OSZ33" s="388"/>
      <c r="OTA33" s="388"/>
      <c r="OTB33" s="388"/>
      <c r="OTC33" s="388"/>
      <c r="OTD33" s="388"/>
      <c r="OTE33" s="388"/>
      <c r="OTF33" s="388"/>
      <c r="OTG33" s="388"/>
      <c r="OTH33" s="388"/>
      <c r="OTI33" s="388"/>
      <c r="OTJ33" s="388"/>
      <c r="OTK33" s="388"/>
      <c r="OTL33" s="388"/>
      <c r="OTM33" s="388"/>
      <c r="OTN33" s="388"/>
      <c r="OTO33" s="388"/>
      <c r="OTP33" s="388"/>
      <c r="OTQ33" s="388"/>
      <c r="OTR33" s="388"/>
      <c r="OTS33" s="388"/>
      <c r="OTT33" s="388"/>
      <c r="OTU33" s="388"/>
      <c r="OTV33" s="388"/>
      <c r="OTW33" s="388"/>
      <c r="OTX33" s="388"/>
      <c r="OTY33" s="388"/>
      <c r="OTZ33" s="388"/>
      <c r="OUA33" s="388"/>
      <c r="OUB33" s="388"/>
      <c r="OUC33" s="388"/>
      <c r="OUD33" s="388"/>
      <c r="OUE33" s="388"/>
      <c r="OUF33" s="388"/>
      <c r="OUG33" s="388"/>
      <c r="OUH33" s="388"/>
      <c r="OUI33" s="388"/>
      <c r="OUJ33" s="388"/>
      <c r="OUK33" s="388"/>
      <c r="OUL33" s="388"/>
      <c r="OUM33" s="388"/>
      <c r="OUN33" s="388"/>
      <c r="OUO33" s="388"/>
      <c r="OUP33" s="388"/>
      <c r="OUQ33" s="388"/>
      <c r="OUR33" s="388"/>
      <c r="OUS33" s="388"/>
      <c r="OUT33" s="388"/>
      <c r="OUU33" s="388"/>
      <c r="OUV33" s="388"/>
      <c r="OUW33" s="388"/>
      <c r="OUX33" s="388"/>
      <c r="OUY33" s="388"/>
      <c r="OUZ33" s="388"/>
      <c r="OVA33" s="388"/>
      <c r="OVB33" s="388"/>
      <c r="OVC33" s="388"/>
      <c r="OVD33" s="388"/>
      <c r="OVE33" s="388"/>
      <c r="OVF33" s="388"/>
      <c r="OVG33" s="388"/>
      <c r="OVH33" s="388"/>
      <c r="OVI33" s="388"/>
      <c r="OVJ33" s="388"/>
      <c r="OVK33" s="388"/>
      <c r="OVL33" s="388"/>
      <c r="OVM33" s="388"/>
      <c r="OVN33" s="388"/>
      <c r="OVO33" s="388"/>
      <c r="OVP33" s="388"/>
      <c r="OVQ33" s="388"/>
      <c r="OVR33" s="388"/>
      <c r="OVS33" s="388"/>
      <c r="OVT33" s="388"/>
      <c r="OVU33" s="388"/>
      <c r="OVV33" s="388"/>
      <c r="OVW33" s="388"/>
      <c r="OVX33" s="388"/>
      <c r="OVY33" s="388"/>
      <c r="OVZ33" s="388"/>
      <c r="OWA33" s="388"/>
      <c r="OWB33" s="388"/>
      <c r="OWC33" s="388"/>
      <c r="OWD33" s="388"/>
      <c r="OWE33" s="388"/>
      <c r="OWF33" s="388"/>
      <c r="OWG33" s="388"/>
      <c r="OWH33" s="388"/>
      <c r="OWI33" s="388"/>
      <c r="OWJ33" s="388"/>
      <c r="OWK33" s="388"/>
      <c r="OWL33" s="388"/>
      <c r="OWM33" s="388"/>
      <c r="OWN33" s="388"/>
      <c r="OWO33" s="388"/>
      <c r="OWP33" s="388"/>
      <c r="OWQ33" s="388"/>
      <c r="OWR33" s="388"/>
      <c r="OWS33" s="388"/>
      <c r="OWT33" s="388"/>
      <c r="OWU33" s="388"/>
      <c r="OWV33" s="388"/>
      <c r="OWW33" s="388"/>
      <c r="OWX33" s="388"/>
      <c r="OWY33" s="388"/>
      <c r="OWZ33" s="388"/>
      <c r="OXA33" s="388"/>
      <c r="OXB33" s="388"/>
      <c r="OXC33" s="388"/>
      <c r="OXD33" s="388"/>
      <c r="OXE33" s="388"/>
      <c r="OXF33" s="388"/>
      <c r="OXG33" s="388"/>
      <c r="OXH33" s="388"/>
      <c r="OXI33" s="388"/>
      <c r="OXJ33" s="388"/>
      <c r="OXK33" s="388"/>
      <c r="OXL33" s="388"/>
      <c r="OXM33" s="388"/>
      <c r="OXN33" s="388"/>
      <c r="OXO33" s="388"/>
      <c r="OXP33" s="388"/>
      <c r="OXQ33" s="388"/>
      <c r="OXR33" s="388"/>
      <c r="OXS33" s="388"/>
      <c r="OXT33" s="388"/>
      <c r="OXU33" s="388"/>
      <c r="OXV33" s="388"/>
      <c r="OXW33" s="388"/>
      <c r="OXX33" s="388"/>
      <c r="OXY33" s="388"/>
      <c r="OXZ33" s="388"/>
      <c r="OYA33" s="388"/>
      <c r="OYB33" s="388"/>
      <c r="OYC33" s="388"/>
      <c r="OYD33" s="388"/>
      <c r="OYE33" s="388"/>
      <c r="OYF33" s="388"/>
      <c r="OYG33" s="388"/>
      <c r="OYH33" s="388"/>
      <c r="OYI33" s="388"/>
      <c r="OYJ33" s="388"/>
      <c r="OYK33" s="388"/>
      <c r="OYL33" s="388"/>
      <c r="OYM33" s="388"/>
      <c r="OYN33" s="388"/>
      <c r="OYO33" s="388"/>
      <c r="OYP33" s="388"/>
      <c r="OYQ33" s="388"/>
      <c r="OYR33" s="388"/>
      <c r="OYS33" s="388"/>
      <c r="OYT33" s="388"/>
      <c r="OYU33" s="388"/>
      <c r="OYV33" s="388"/>
      <c r="OYW33" s="388"/>
      <c r="OYX33" s="388"/>
      <c r="OYY33" s="388"/>
      <c r="OYZ33" s="388"/>
      <c r="OZA33" s="388"/>
      <c r="OZB33" s="388"/>
      <c r="OZC33" s="388"/>
      <c r="OZD33" s="388"/>
      <c r="OZE33" s="388"/>
      <c r="OZF33" s="388"/>
      <c r="OZG33" s="388"/>
      <c r="OZH33" s="388"/>
      <c r="OZI33" s="388"/>
      <c r="OZJ33" s="388"/>
      <c r="OZK33" s="388"/>
      <c r="OZL33" s="388"/>
      <c r="OZM33" s="388"/>
      <c r="OZN33" s="388"/>
      <c r="OZO33" s="388"/>
      <c r="OZP33" s="388"/>
      <c r="OZQ33" s="388"/>
      <c r="OZR33" s="388"/>
      <c r="OZS33" s="388"/>
      <c r="OZT33" s="388"/>
      <c r="OZU33" s="388"/>
      <c r="OZV33" s="388"/>
      <c r="OZW33" s="388"/>
      <c r="OZX33" s="388"/>
      <c r="OZY33" s="388"/>
      <c r="OZZ33" s="388"/>
      <c r="PAA33" s="388"/>
      <c r="PAB33" s="388"/>
      <c r="PAC33" s="388"/>
      <c r="PAD33" s="388"/>
      <c r="PAE33" s="388"/>
      <c r="PAF33" s="388"/>
      <c r="PAG33" s="388"/>
      <c r="PAH33" s="388"/>
      <c r="PAI33" s="388"/>
      <c r="PAJ33" s="388"/>
      <c r="PAK33" s="388"/>
      <c r="PAL33" s="388"/>
      <c r="PAM33" s="388"/>
      <c r="PAN33" s="388"/>
      <c r="PAO33" s="388"/>
      <c r="PAP33" s="388"/>
      <c r="PAQ33" s="388"/>
      <c r="PAR33" s="388"/>
      <c r="PAS33" s="388"/>
      <c r="PAT33" s="388"/>
      <c r="PAU33" s="388"/>
      <c r="PAV33" s="388"/>
      <c r="PAW33" s="388"/>
      <c r="PAX33" s="388"/>
      <c r="PAY33" s="388"/>
      <c r="PAZ33" s="388"/>
      <c r="PBA33" s="388"/>
      <c r="PBB33" s="388"/>
      <c r="PBC33" s="388"/>
      <c r="PBD33" s="388"/>
      <c r="PBE33" s="388"/>
      <c r="PBF33" s="388"/>
      <c r="PBG33" s="388"/>
      <c r="PBH33" s="388"/>
      <c r="PBI33" s="388"/>
      <c r="PBJ33" s="388"/>
      <c r="PBK33" s="388"/>
      <c r="PBL33" s="388"/>
      <c r="PBM33" s="388"/>
      <c r="PBN33" s="388"/>
      <c r="PBO33" s="388"/>
      <c r="PBP33" s="388"/>
      <c r="PBQ33" s="388"/>
      <c r="PBR33" s="388"/>
      <c r="PBS33" s="388"/>
      <c r="PBT33" s="388"/>
      <c r="PBU33" s="388"/>
      <c r="PBV33" s="388"/>
      <c r="PBW33" s="388"/>
      <c r="PBX33" s="388"/>
      <c r="PBY33" s="388"/>
      <c r="PBZ33" s="388"/>
      <c r="PCA33" s="388"/>
      <c r="PCB33" s="388"/>
      <c r="PCC33" s="388"/>
      <c r="PCD33" s="388"/>
      <c r="PCE33" s="388"/>
      <c r="PCF33" s="388"/>
      <c r="PCG33" s="388"/>
      <c r="PCH33" s="388"/>
      <c r="PCI33" s="388"/>
      <c r="PCJ33" s="388"/>
      <c r="PCK33" s="388"/>
      <c r="PCL33" s="388"/>
      <c r="PCM33" s="388"/>
      <c r="PCN33" s="388"/>
      <c r="PCO33" s="388"/>
      <c r="PCP33" s="388"/>
      <c r="PCQ33" s="388"/>
      <c r="PCR33" s="388"/>
      <c r="PCS33" s="388"/>
      <c r="PCT33" s="388"/>
      <c r="PCU33" s="388"/>
      <c r="PCV33" s="388"/>
      <c r="PCW33" s="388"/>
      <c r="PCX33" s="388"/>
      <c r="PCY33" s="388"/>
      <c r="PCZ33" s="388"/>
      <c r="PDA33" s="388"/>
      <c r="PDB33" s="388"/>
      <c r="PDC33" s="388"/>
      <c r="PDD33" s="388"/>
      <c r="PDE33" s="388"/>
      <c r="PDF33" s="388"/>
      <c r="PDG33" s="388"/>
      <c r="PDH33" s="388"/>
      <c r="PDI33" s="388"/>
      <c r="PDJ33" s="388"/>
      <c r="PDK33" s="388"/>
      <c r="PDL33" s="388"/>
      <c r="PDM33" s="388"/>
      <c r="PDN33" s="388"/>
      <c r="PDO33" s="388"/>
      <c r="PDP33" s="388"/>
      <c r="PDQ33" s="388"/>
      <c r="PDR33" s="388"/>
      <c r="PDS33" s="388"/>
      <c r="PDT33" s="388"/>
      <c r="PDU33" s="388"/>
      <c r="PDV33" s="388"/>
      <c r="PDW33" s="388"/>
      <c r="PDX33" s="388"/>
      <c r="PDY33" s="388"/>
      <c r="PDZ33" s="388"/>
      <c r="PEA33" s="388"/>
      <c r="PEB33" s="388"/>
      <c r="PEC33" s="388"/>
      <c r="PED33" s="388"/>
      <c r="PEE33" s="388"/>
      <c r="PEF33" s="388"/>
      <c r="PEG33" s="388"/>
      <c r="PEH33" s="388"/>
      <c r="PEI33" s="388"/>
      <c r="PEJ33" s="388"/>
      <c r="PEK33" s="388"/>
      <c r="PEL33" s="388"/>
      <c r="PEM33" s="388"/>
      <c r="PEN33" s="388"/>
      <c r="PEO33" s="388"/>
      <c r="PEP33" s="388"/>
      <c r="PEQ33" s="388"/>
      <c r="PER33" s="388"/>
      <c r="PES33" s="388"/>
      <c r="PET33" s="388"/>
      <c r="PEU33" s="388"/>
      <c r="PEV33" s="388"/>
      <c r="PEW33" s="388"/>
      <c r="PEX33" s="388"/>
      <c r="PEY33" s="388"/>
      <c r="PEZ33" s="388"/>
      <c r="PFA33" s="388"/>
      <c r="PFB33" s="388"/>
      <c r="PFC33" s="388"/>
      <c r="PFD33" s="388"/>
      <c r="PFE33" s="388"/>
      <c r="PFF33" s="388"/>
      <c r="PFG33" s="388"/>
      <c r="PFH33" s="388"/>
      <c r="PFI33" s="388"/>
      <c r="PFJ33" s="388"/>
      <c r="PFK33" s="388"/>
      <c r="PFL33" s="388"/>
      <c r="PFM33" s="388"/>
      <c r="PFN33" s="388"/>
      <c r="PFO33" s="388"/>
      <c r="PFP33" s="388"/>
      <c r="PFQ33" s="388"/>
      <c r="PFR33" s="388"/>
      <c r="PFS33" s="388"/>
      <c r="PFT33" s="388"/>
      <c r="PFU33" s="388"/>
      <c r="PFV33" s="388"/>
      <c r="PFW33" s="388"/>
      <c r="PFX33" s="388"/>
      <c r="PFY33" s="388"/>
      <c r="PFZ33" s="388"/>
      <c r="PGA33" s="388"/>
      <c r="PGB33" s="388"/>
      <c r="PGC33" s="388"/>
      <c r="PGD33" s="388"/>
      <c r="PGE33" s="388"/>
      <c r="PGF33" s="388"/>
      <c r="PGG33" s="388"/>
      <c r="PGH33" s="388"/>
      <c r="PGI33" s="388"/>
      <c r="PGJ33" s="388"/>
      <c r="PGK33" s="388"/>
      <c r="PGL33" s="388"/>
      <c r="PGM33" s="388"/>
      <c r="PGN33" s="388"/>
      <c r="PGO33" s="388"/>
      <c r="PGP33" s="388"/>
      <c r="PGQ33" s="388"/>
      <c r="PGR33" s="388"/>
      <c r="PGS33" s="388"/>
      <c r="PGT33" s="388"/>
      <c r="PGU33" s="388"/>
      <c r="PGV33" s="388"/>
      <c r="PGW33" s="388"/>
      <c r="PGX33" s="388"/>
      <c r="PGY33" s="388"/>
      <c r="PGZ33" s="388"/>
      <c r="PHA33" s="388"/>
      <c r="PHB33" s="388"/>
      <c r="PHC33" s="388"/>
      <c r="PHD33" s="388"/>
      <c r="PHE33" s="388"/>
      <c r="PHF33" s="388"/>
      <c r="PHG33" s="388"/>
      <c r="PHH33" s="388"/>
      <c r="PHI33" s="388"/>
      <c r="PHJ33" s="388"/>
      <c r="PHK33" s="388"/>
      <c r="PHL33" s="388"/>
      <c r="PHM33" s="388"/>
      <c r="PHN33" s="388"/>
      <c r="PHO33" s="388"/>
      <c r="PHP33" s="388"/>
      <c r="PHQ33" s="388"/>
      <c r="PHR33" s="388"/>
      <c r="PHS33" s="388"/>
      <c r="PHT33" s="388"/>
      <c r="PHU33" s="388"/>
      <c r="PHV33" s="388"/>
      <c r="PHW33" s="388"/>
      <c r="PHX33" s="388"/>
      <c r="PHY33" s="388"/>
      <c r="PHZ33" s="388"/>
      <c r="PIA33" s="388"/>
      <c r="PIB33" s="388"/>
      <c r="PIC33" s="388"/>
      <c r="PID33" s="388"/>
      <c r="PIE33" s="388"/>
      <c r="PIF33" s="388"/>
      <c r="PIG33" s="388"/>
      <c r="PIH33" s="388"/>
      <c r="PII33" s="388"/>
      <c r="PIJ33" s="388"/>
      <c r="PIK33" s="388"/>
      <c r="PIL33" s="388"/>
      <c r="PIM33" s="388"/>
      <c r="PIN33" s="388"/>
      <c r="PIO33" s="388"/>
      <c r="PIP33" s="388"/>
      <c r="PIQ33" s="388"/>
      <c r="PIR33" s="388"/>
      <c r="PIS33" s="388"/>
      <c r="PIT33" s="388"/>
      <c r="PIU33" s="388"/>
      <c r="PIV33" s="388"/>
      <c r="PIW33" s="388"/>
      <c r="PIX33" s="388"/>
      <c r="PIY33" s="388"/>
      <c r="PIZ33" s="388"/>
      <c r="PJA33" s="388"/>
      <c r="PJB33" s="388"/>
      <c r="PJC33" s="388"/>
      <c r="PJD33" s="388"/>
      <c r="PJE33" s="388"/>
      <c r="PJF33" s="388"/>
      <c r="PJG33" s="388"/>
      <c r="PJH33" s="388"/>
      <c r="PJI33" s="388"/>
      <c r="PJJ33" s="388"/>
      <c r="PJK33" s="388"/>
      <c r="PJL33" s="388"/>
      <c r="PJM33" s="388"/>
      <c r="PJN33" s="388"/>
      <c r="PJO33" s="388"/>
      <c r="PJP33" s="388"/>
      <c r="PJQ33" s="388"/>
      <c r="PJR33" s="388"/>
      <c r="PJS33" s="388"/>
      <c r="PJT33" s="388"/>
      <c r="PJU33" s="388"/>
      <c r="PJV33" s="388"/>
      <c r="PJW33" s="388"/>
      <c r="PJX33" s="388"/>
      <c r="PJY33" s="388"/>
      <c r="PJZ33" s="388"/>
      <c r="PKA33" s="388"/>
      <c r="PKB33" s="388"/>
      <c r="PKC33" s="388"/>
      <c r="PKD33" s="388"/>
      <c r="PKE33" s="388"/>
      <c r="PKF33" s="388"/>
      <c r="PKG33" s="388"/>
      <c r="PKH33" s="388"/>
      <c r="PKI33" s="388"/>
      <c r="PKJ33" s="388"/>
      <c r="PKK33" s="388"/>
      <c r="PKL33" s="388"/>
      <c r="PKM33" s="388"/>
      <c r="PKN33" s="388"/>
      <c r="PKO33" s="388"/>
      <c r="PKP33" s="388"/>
      <c r="PKQ33" s="388"/>
      <c r="PKR33" s="388"/>
      <c r="PKS33" s="388"/>
      <c r="PKT33" s="388"/>
      <c r="PKU33" s="388"/>
      <c r="PKV33" s="388"/>
      <c r="PKW33" s="388"/>
      <c r="PKX33" s="388"/>
      <c r="PKY33" s="388"/>
      <c r="PKZ33" s="388"/>
      <c r="PLA33" s="388"/>
      <c r="PLB33" s="388"/>
      <c r="PLC33" s="388"/>
      <c r="PLD33" s="388"/>
      <c r="PLE33" s="388"/>
      <c r="PLF33" s="388"/>
      <c r="PLG33" s="388"/>
      <c r="PLH33" s="388"/>
      <c r="PLI33" s="388"/>
      <c r="PLJ33" s="388"/>
      <c r="PLK33" s="388"/>
      <c r="PLL33" s="388"/>
      <c r="PLM33" s="388"/>
      <c r="PLN33" s="388"/>
      <c r="PLO33" s="388"/>
      <c r="PLP33" s="388"/>
      <c r="PLQ33" s="388"/>
      <c r="PLR33" s="388"/>
      <c r="PLS33" s="388"/>
      <c r="PLT33" s="388"/>
      <c r="PLU33" s="388"/>
      <c r="PLV33" s="388"/>
      <c r="PLW33" s="388"/>
      <c r="PLX33" s="388"/>
      <c r="PLY33" s="388"/>
      <c r="PLZ33" s="388"/>
      <c r="PMA33" s="388"/>
      <c r="PMB33" s="388"/>
      <c r="PMC33" s="388"/>
      <c r="PMD33" s="388"/>
      <c r="PME33" s="388"/>
      <c r="PMF33" s="388"/>
      <c r="PMG33" s="388"/>
      <c r="PMH33" s="388"/>
      <c r="PMI33" s="388"/>
      <c r="PMJ33" s="388"/>
      <c r="PMK33" s="388"/>
      <c r="PML33" s="388"/>
      <c r="PMM33" s="388"/>
      <c r="PMN33" s="388"/>
      <c r="PMO33" s="388"/>
      <c r="PMP33" s="388"/>
      <c r="PMQ33" s="388"/>
      <c r="PMR33" s="388"/>
      <c r="PMS33" s="388"/>
      <c r="PMT33" s="388"/>
      <c r="PMU33" s="388"/>
      <c r="PMV33" s="388"/>
      <c r="PMW33" s="388"/>
      <c r="PMX33" s="388"/>
      <c r="PMY33" s="388"/>
      <c r="PMZ33" s="388"/>
      <c r="PNA33" s="388"/>
      <c r="PNB33" s="388"/>
      <c r="PNC33" s="388"/>
      <c r="PND33" s="388"/>
      <c r="PNE33" s="388"/>
      <c r="PNF33" s="388"/>
      <c r="PNG33" s="388"/>
      <c r="PNH33" s="388"/>
      <c r="PNI33" s="388"/>
      <c r="PNJ33" s="388"/>
      <c r="PNK33" s="388"/>
      <c r="PNL33" s="388"/>
      <c r="PNM33" s="388"/>
      <c r="PNN33" s="388"/>
      <c r="PNO33" s="388"/>
      <c r="PNP33" s="388"/>
      <c r="PNQ33" s="388"/>
      <c r="PNR33" s="388"/>
      <c r="PNS33" s="388"/>
      <c r="PNT33" s="388"/>
      <c r="PNU33" s="388"/>
      <c r="PNV33" s="388"/>
      <c r="PNW33" s="388"/>
      <c r="PNX33" s="388"/>
      <c r="PNY33" s="388"/>
      <c r="PNZ33" s="388"/>
      <c r="POA33" s="388"/>
      <c r="POB33" s="388"/>
      <c r="POC33" s="388"/>
      <c r="POD33" s="388"/>
      <c r="POE33" s="388"/>
      <c r="POF33" s="388"/>
      <c r="POG33" s="388"/>
      <c r="POH33" s="388"/>
      <c r="POI33" s="388"/>
      <c r="POJ33" s="388"/>
      <c r="POK33" s="388"/>
      <c r="POL33" s="388"/>
      <c r="POM33" s="388"/>
      <c r="PON33" s="388"/>
      <c r="POO33" s="388"/>
      <c r="POP33" s="388"/>
      <c r="POQ33" s="388"/>
      <c r="POR33" s="388"/>
      <c r="POS33" s="388"/>
      <c r="POT33" s="388"/>
      <c r="POU33" s="388"/>
      <c r="POV33" s="388"/>
      <c r="POW33" s="388"/>
      <c r="POX33" s="388"/>
      <c r="POY33" s="388"/>
      <c r="POZ33" s="388"/>
      <c r="PPA33" s="388"/>
      <c r="PPB33" s="388"/>
      <c r="PPC33" s="388"/>
      <c r="PPD33" s="388"/>
      <c r="PPE33" s="388"/>
      <c r="PPF33" s="388"/>
      <c r="PPG33" s="388"/>
      <c r="PPH33" s="388"/>
      <c r="PPI33" s="388"/>
      <c r="PPJ33" s="388"/>
      <c r="PPK33" s="388"/>
      <c r="PPL33" s="388"/>
      <c r="PPM33" s="388"/>
      <c r="PPN33" s="388"/>
      <c r="PPO33" s="388"/>
      <c r="PPP33" s="388"/>
      <c r="PPQ33" s="388"/>
      <c r="PPR33" s="388"/>
      <c r="PPS33" s="388"/>
      <c r="PPT33" s="388"/>
      <c r="PPU33" s="388"/>
      <c r="PPV33" s="388"/>
      <c r="PPW33" s="388"/>
      <c r="PPX33" s="388"/>
      <c r="PPY33" s="388"/>
      <c r="PPZ33" s="388"/>
      <c r="PQA33" s="388"/>
      <c r="PQB33" s="388"/>
      <c r="PQC33" s="388"/>
      <c r="PQD33" s="388"/>
      <c r="PQE33" s="388"/>
      <c r="PQF33" s="388"/>
      <c r="PQG33" s="388"/>
      <c r="PQH33" s="388"/>
      <c r="PQI33" s="388"/>
      <c r="PQJ33" s="388"/>
      <c r="PQK33" s="388"/>
      <c r="PQL33" s="388"/>
      <c r="PQM33" s="388"/>
      <c r="PQN33" s="388"/>
      <c r="PQO33" s="388"/>
      <c r="PQP33" s="388"/>
      <c r="PQQ33" s="388"/>
      <c r="PQR33" s="388"/>
      <c r="PQS33" s="388"/>
      <c r="PQT33" s="388"/>
      <c r="PQU33" s="388"/>
      <c r="PQV33" s="388"/>
      <c r="PQW33" s="388"/>
      <c r="PQX33" s="388"/>
      <c r="PQY33" s="388"/>
      <c r="PQZ33" s="388"/>
      <c r="PRA33" s="388"/>
      <c r="PRB33" s="388"/>
      <c r="PRC33" s="388"/>
      <c r="PRD33" s="388"/>
      <c r="PRE33" s="388"/>
      <c r="PRF33" s="388"/>
      <c r="PRG33" s="388"/>
      <c r="PRH33" s="388"/>
      <c r="PRI33" s="388"/>
      <c r="PRJ33" s="388"/>
      <c r="PRK33" s="388"/>
      <c r="PRL33" s="388"/>
      <c r="PRM33" s="388"/>
      <c r="PRN33" s="388"/>
      <c r="PRO33" s="388"/>
      <c r="PRP33" s="388"/>
      <c r="PRQ33" s="388"/>
      <c r="PRR33" s="388"/>
      <c r="PRS33" s="388"/>
      <c r="PRT33" s="388"/>
      <c r="PRU33" s="388"/>
      <c r="PRV33" s="388"/>
      <c r="PRW33" s="388"/>
      <c r="PRX33" s="388"/>
      <c r="PRY33" s="388"/>
      <c r="PRZ33" s="388"/>
      <c r="PSA33" s="388"/>
      <c r="PSB33" s="388"/>
      <c r="PSC33" s="388"/>
      <c r="PSD33" s="388"/>
      <c r="PSE33" s="388"/>
      <c r="PSF33" s="388"/>
      <c r="PSG33" s="388"/>
      <c r="PSH33" s="388"/>
      <c r="PSI33" s="388"/>
      <c r="PSJ33" s="388"/>
      <c r="PSK33" s="388"/>
      <c r="PSL33" s="388"/>
      <c r="PSM33" s="388"/>
      <c r="PSN33" s="388"/>
      <c r="PSO33" s="388"/>
      <c r="PSP33" s="388"/>
      <c r="PSQ33" s="388"/>
      <c r="PSR33" s="388"/>
      <c r="PSS33" s="388"/>
      <c r="PST33" s="388"/>
      <c r="PSU33" s="388"/>
      <c r="PSV33" s="388"/>
      <c r="PSW33" s="388"/>
      <c r="PSX33" s="388"/>
      <c r="PSY33" s="388"/>
      <c r="PSZ33" s="388"/>
      <c r="PTA33" s="388"/>
      <c r="PTB33" s="388"/>
      <c r="PTC33" s="388"/>
      <c r="PTD33" s="388"/>
      <c r="PTE33" s="388"/>
      <c r="PTF33" s="388"/>
      <c r="PTG33" s="388"/>
      <c r="PTH33" s="388"/>
      <c r="PTI33" s="388"/>
      <c r="PTJ33" s="388"/>
      <c r="PTK33" s="388"/>
      <c r="PTL33" s="388"/>
      <c r="PTM33" s="388"/>
      <c r="PTN33" s="388"/>
      <c r="PTO33" s="388"/>
      <c r="PTP33" s="388"/>
      <c r="PTQ33" s="388"/>
      <c r="PTR33" s="388"/>
      <c r="PTS33" s="388"/>
      <c r="PTT33" s="388"/>
      <c r="PTU33" s="388"/>
      <c r="PTV33" s="388"/>
      <c r="PTW33" s="388"/>
      <c r="PTX33" s="388"/>
      <c r="PTY33" s="388"/>
      <c r="PTZ33" s="388"/>
      <c r="PUA33" s="388"/>
      <c r="PUB33" s="388"/>
      <c r="PUC33" s="388"/>
      <c r="PUD33" s="388"/>
      <c r="PUE33" s="388"/>
      <c r="PUF33" s="388"/>
      <c r="PUG33" s="388"/>
      <c r="PUH33" s="388"/>
      <c r="PUI33" s="388"/>
      <c r="PUJ33" s="388"/>
      <c r="PUK33" s="388"/>
      <c r="PUL33" s="388"/>
      <c r="PUM33" s="388"/>
      <c r="PUN33" s="388"/>
      <c r="PUO33" s="388"/>
      <c r="PUP33" s="388"/>
      <c r="PUQ33" s="388"/>
      <c r="PUR33" s="388"/>
      <c r="PUS33" s="388"/>
      <c r="PUT33" s="388"/>
      <c r="PUU33" s="388"/>
      <c r="PUV33" s="388"/>
      <c r="PUW33" s="388"/>
      <c r="PUX33" s="388"/>
      <c r="PUY33" s="388"/>
      <c r="PUZ33" s="388"/>
      <c r="PVA33" s="388"/>
      <c r="PVB33" s="388"/>
      <c r="PVC33" s="388"/>
      <c r="PVD33" s="388"/>
      <c r="PVE33" s="388"/>
      <c r="PVF33" s="388"/>
      <c r="PVG33" s="388"/>
      <c r="PVH33" s="388"/>
      <c r="PVI33" s="388"/>
      <c r="PVJ33" s="388"/>
      <c r="PVK33" s="388"/>
      <c r="PVL33" s="388"/>
      <c r="PVM33" s="388"/>
      <c r="PVN33" s="388"/>
      <c r="PVO33" s="388"/>
      <c r="PVP33" s="388"/>
      <c r="PVQ33" s="388"/>
      <c r="PVR33" s="388"/>
      <c r="PVS33" s="388"/>
      <c r="PVT33" s="388"/>
      <c r="PVU33" s="388"/>
      <c r="PVV33" s="388"/>
      <c r="PVW33" s="388"/>
      <c r="PVX33" s="388"/>
      <c r="PVY33" s="388"/>
      <c r="PVZ33" s="388"/>
      <c r="PWA33" s="388"/>
      <c r="PWB33" s="388"/>
      <c r="PWC33" s="388"/>
      <c r="PWD33" s="388"/>
      <c r="PWE33" s="388"/>
      <c r="PWF33" s="388"/>
      <c r="PWG33" s="388"/>
      <c r="PWH33" s="388"/>
      <c r="PWI33" s="388"/>
      <c r="PWJ33" s="388"/>
      <c r="PWK33" s="388"/>
      <c r="PWL33" s="388"/>
      <c r="PWM33" s="388"/>
      <c r="PWN33" s="388"/>
      <c r="PWO33" s="388"/>
      <c r="PWP33" s="388"/>
      <c r="PWQ33" s="388"/>
      <c r="PWR33" s="388"/>
      <c r="PWS33" s="388"/>
      <c r="PWT33" s="388"/>
      <c r="PWU33" s="388"/>
      <c r="PWV33" s="388"/>
      <c r="PWW33" s="388"/>
      <c r="PWX33" s="388"/>
      <c r="PWY33" s="388"/>
      <c r="PWZ33" s="388"/>
      <c r="PXA33" s="388"/>
      <c r="PXB33" s="388"/>
      <c r="PXC33" s="388"/>
      <c r="PXD33" s="388"/>
      <c r="PXE33" s="388"/>
      <c r="PXF33" s="388"/>
      <c r="PXG33" s="388"/>
      <c r="PXH33" s="388"/>
      <c r="PXI33" s="388"/>
      <c r="PXJ33" s="388"/>
      <c r="PXK33" s="388"/>
      <c r="PXL33" s="388"/>
      <c r="PXM33" s="388"/>
      <c r="PXN33" s="388"/>
      <c r="PXO33" s="388"/>
      <c r="PXP33" s="388"/>
      <c r="PXQ33" s="388"/>
      <c r="PXR33" s="388"/>
      <c r="PXS33" s="388"/>
      <c r="PXT33" s="388"/>
      <c r="PXU33" s="388"/>
      <c r="PXV33" s="388"/>
      <c r="PXW33" s="388"/>
      <c r="PXX33" s="388"/>
      <c r="PXY33" s="388"/>
      <c r="PXZ33" s="388"/>
      <c r="PYA33" s="388"/>
      <c r="PYB33" s="388"/>
      <c r="PYC33" s="388"/>
      <c r="PYD33" s="388"/>
      <c r="PYE33" s="388"/>
      <c r="PYF33" s="388"/>
      <c r="PYG33" s="388"/>
      <c r="PYH33" s="388"/>
      <c r="PYI33" s="388"/>
      <c r="PYJ33" s="388"/>
      <c r="PYK33" s="388"/>
      <c r="PYL33" s="388"/>
      <c r="PYM33" s="388"/>
      <c r="PYN33" s="388"/>
      <c r="PYO33" s="388"/>
      <c r="PYP33" s="388"/>
      <c r="PYQ33" s="388"/>
      <c r="PYR33" s="388"/>
      <c r="PYS33" s="388"/>
      <c r="PYT33" s="388"/>
      <c r="PYU33" s="388"/>
      <c r="PYV33" s="388"/>
      <c r="PYW33" s="388"/>
      <c r="PYX33" s="388"/>
      <c r="PYY33" s="388"/>
      <c r="PYZ33" s="388"/>
      <c r="PZA33" s="388"/>
      <c r="PZB33" s="388"/>
      <c r="PZC33" s="388"/>
      <c r="PZD33" s="388"/>
      <c r="PZE33" s="388"/>
      <c r="PZF33" s="388"/>
      <c r="PZG33" s="388"/>
      <c r="PZH33" s="388"/>
      <c r="PZI33" s="388"/>
      <c r="PZJ33" s="388"/>
      <c r="PZK33" s="388"/>
      <c r="PZL33" s="388"/>
      <c r="PZM33" s="388"/>
      <c r="PZN33" s="388"/>
      <c r="PZO33" s="388"/>
      <c r="PZP33" s="388"/>
      <c r="PZQ33" s="388"/>
      <c r="PZR33" s="388"/>
      <c r="PZS33" s="388"/>
      <c r="PZT33" s="388"/>
      <c r="PZU33" s="388"/>
      <c r="PZV33" s="388"/>
      <c r="PZW33" s="388"/>
      <c r="PZX33" s="388"/>
      <c r="PZY33" s="388"/>
      <c r="PZZ33" s="388"/>
      <c r="QAA33" s="388"/>
      <c r="QAB33" s="388"/>
      <c r="QAC33" s="388"/>
      <c r="QAD33" s="388"/>
      <c r="QAE33" s="388"/>
      <c r="QAF33" s="388"/>
      <c r="QAG33" s="388"/>
      <c r="QAH33" s="388"/>
      <c r="QAI33" s="388"/>
      <c r="QAJ33" s="388"/>
      <c r="QAK33" s="388"/>
      <c r="QAL33" s="388"/>
      <c r="QAM33" s="388"/>
      <c r="QAN33" s="388"/>
      <c r="QAO33" s="388"/>
      <c r="QAP33" s="388"/>
      <c r="QAQ33" s="388"/>
      <c r="QAR33" s="388"/>
      <c r="QAS33" s="388"/>
      <c r="QAT33" s="388"/>
      <c r="QAU33" s="388"/>
      <c r="QAV33" s="388"/>
      <c r="QAW33" s="388"/>
      <c r="QAX33" s="388"/>
      <c r="QAY33" s="388"/>
      <c r="QAZ33" s="388"/>
      <c r="QBA33" s="388"/>
      <c r="QBB33" s="388"/>
      <c r="QBC33" s="388"/>
      <c r="QBD33" s="388"/>
      <c r="QBE33" s="388"/>
      <c r="QBF33" s="388"/>
      <c r="QBG33" s="388"/>
      <c r="QBH33" s="388"/>
      <c r="QBI33" s="388"/>
      <c r="QBJ33" s="388"/>
      <c r="QBK33" s="388"/>
      <c r="QBL33" s="388"/>
      <c r="QBM33" s="388"/>
      <c r="QBN33" s="388"/>
      <c r="QBO33" s="388"/>
      <c r="QBP33" s="388"/>
      <c r="QBQ33" s="388"/>
      <c r="QBR33" s="388"/>
      <c r="QBS33" s="388"/>
      <c r="QBT33" s="388"/>
      <c r="QBU33" s="388"/>
      <c r="QBV33" s="388"/>
      <c r="QBW33" s="388"/>
      <c r="QBX33" s="388"/>
      <c r="QBY33" s="388"/>
      <c r="QBZ33" s="388"/>
      <c r="QCA33" s="388"/>
      <c r="QCB33" s="388"/>
      <c r="QCC33" s="388"/>
      <c r="QCD33" s="388"/>
      <c r="QCE33" s="388"/>
      <c r="QCF33" s="388"/>
      <c r="QCG33" s="388"/>
      <c r="QCH33" s="388"/>
      <c r="QCI33" s="388"/>
      <c r="QCJ33" s="388"/>
      <c r="QCK33" s="388"/>
      <c r="QCL33" s="388"/>
      <c r="QCM33" s="388"/>
      <c r="QCN33" s="388"/>
      <c r="QCO33" s="388"/>
      <c r="QCP33" s="388"/>
      <c r="QCQ33" s="388"/>
      <c r="QCR33" s="388"/>
      <c r="QCS33" s="388"/>
      <c r="QCT33" s="388"/>
      <c r="QCU33" s="388"/>
      <c r="QCV33" s="388"/>
      <c r="QCW33" s="388"/>
      <c r="QCX33" s="388"/>
      <c r="QCY33" s="388"/>
      <c r="QCZ33" s="388"/>
      <c r="QDA33" s="388"/>
      <c r="QDB33" s="388"/>
      <c r="QDC33" s="388"/>
      <c r="QDD33" s="388"/>
      <c r="QDE33" s="388"/>
      <c r="QDF33" s="388"/>
      <c r="QDG33" s="388"/>
      <c r="QDH33" s="388"/>
      <c r="QDI33" s="388"/>
      <c r="QDJ33" s="388"/>
      <c r="QDK33" s="388"/>
      <c r="QDL33" s="388"/>
      <c r="QDM33" s="388"/>
      <c r="QDN33" s="388"/>
      <c r="QDO33" s="388"/>
      <c r="QDP33" s="388"/>
      <c r="QDQ33" s="388"/>
      <c r="QDR33" s="388"/>
      <c r="QDS33" s="388"/>
      <c r="QDT33" s="388"/>
      <c r="QDU33" s="388"/>
      <c r="QDV33" s="388"/>
      <c r="QDW33" s="388"/>
      <c r="QDX33" s="388"/>
      <c r="QDY33" s="388"/>
      <c r="QDZ33" s="388"/>
      <c r="QEA33" s="388"/>
      <c r="QEB33" s="388"/>
      <c r="QEC33" s="388"/>
      <c r="QED33" s="388"/>
      <c r="QEE33" s="388"/>
      <c r="QEF33" s="388"/>
      <c r="QEG33" s="388"/>
      <c r="QEH33" s="388"/>
      <c r="QEI33" s="388"/>
      <c r="QEJ33" s="388"/>
      <c r="QEK33" s="388"/>
      <c r="QEL33" s="388"/>
      <c r="QEM33" s="388"/>
      <c r="QEN33" s="388"/>
      <c r="QEO33" s="388"/>
      <c r="QEP33" s="388"/>
      <c r="QEQ33" s="388"/>
      <c r="QER33" s="388"/>
      <c r="QES33" s="388"/>
      <c r="QET33" s="388"/>
      <c r="QEU33" s="388"/>
      <c r="QEV33" s="388"/>
      <c r="QEW33" s="388"/>
      <c r="QEX33" s="388"/>
      <c r="QEY33" s="388"/>
      <c r="QEZ33" s="388"/>
      <c r="QFA33" s="388"/>
      <c r="QFB33" s="388"/>
      <c r="QFC33" s="388"/>
      <c r="QFD33" s="388"/>
      <c r="QFE33" s="388"/>
      <c r="QFF33" s="388"/>
      <c r="QFG33" s="388"/>
      <c r="QFH33" s="388"/>
      <c r="QFI33" s="388"/>
      <c r="QFJ33" s="388"/>
      <c r="QFK33" s="388"/>
      <c r="QFL33" s="388"/>
      <c r="QFM33" s="388"/>
      <c r="QFN33" s="388"/>
      <c r="QFO33" s="388"/>
      <c r="QFP33" s="388"/>
      <c r="QFQ33" s="388"/>
      <c r="QFR33" s="388"/>
      <c r="QFS33" s="388"/>
      <c r="QFT33" s="388"/>
      <c r="QFU33" s="388"/>
      <c r="QFV33" s="388"/>
      <c r="QFW33" s="388"/>
      <c r="QFX33" s="388"/>
      <c r="QFY33" s="388"/>
      <c r="QFZ33" s="388"/>
      <c r="QGA33" s="388"/>
      <c r="QGB33" s="388"/>
      <c r="QGC33" s="388"/>
      <c r="QGD33" s="388"/>
      <c r="QGE33" s="388"/>
      <c r="QGF33" s="388"/>
      <c r="QGG33" s="388"/>
      <c r="QGH33" s="388"/>
      <c r="QGI33" s="388"/>
      <c r="QGJ33" s="388"/>
      <c r="QGK33" s="388"/>
      <c r="QGL33" s="388"/>
      <c r="QGM33" s="388"/>
      <c r="QGN33" s="388"/>
      <c r="QGO33" s="388"/>
      <c r="QGP33" s="388"/>
      <c r="QGQ33" s="388"/>
      <c r="QGR33" s="388"/>
      <c r="QGS33" s="388"/>
      <c r="QGT33" s="388"/>
      <c r="QGU33" s="388"/>
      <c r="QGV33" s="388"/>
      <c r="QGW33" s="388"/>
      <c r="QGX33" s="388"/>
      <c r="QGY33" s="388"/>
      <c r="QGZ33" s="388"/>
      <c r="QHA33" s="388"/>
      <c r="QHB33" s="388"/>
      <c r="QHC33" s="388"/>
      <c r="QHD33" s="388"/>
      <c r="QHE33" s="388"/>
      <c r="QHF33" s="388"/>
      <c r="QHG33" s="388"/>
      <c r="QHH33" s="388"/>
      <c r="QHI33" s="388"/>
      <c r="QHJ33" s="388"/>
      <c r="QHK33" s="388"/>
      <c r="QHL33" s="388"/>
      <c r="QHM33" s="388"/>
      <c r="QHN33" s="388"/>
      <c r="QHO33" s="388"/>
      <c r="QHP33" s="388"/>
      <c r="QHQ33" s="388"/>
      <c r="QHR33" s="388"/>
      <c r="QHS33" s="388"/>
      <c r="QHT33" s="388"/>
      <c r="QHU33" s="388"/>
      <c r="QHV33" s="388"/>
      <c r="QHW33" s="388"/>
      <c r="QHX33" s="388"/>
      <c r="QHY33" s="388"/>
      <c r="QHZ33" s="388"/>
      <c r="QIA33" s="388"/>
      <c r="QIB33" s="388"/>
      <c r="QIC33" s="388"/>
      <c r="QID33" s="388"/>
      <c r="QIE33" s="388"/>
      <c r="QIF33" s="388"/>
      <c r="QIG33" s="388"/>
      <c r="QIH33" s="388"/>
      <c r="QII33" s="388"/>
      <c r="QIJ33" s="388"/>
      <c r="QIK33" s="388"/>
      <c r="QIL33" s="388"/>
      <c r="QIM33" s="388"/>
      <c r="QIN33" s="388"/>
      <c r="QIO33" s="388"/>
      <c r="QIP33" s="388"/>
      <c r="QIQ33" s="388"/>
      <c r="QIR33" s="388"/>
      <c r="QIS33" s="388"/>
      <c r="QIT33" s="388"/>
      <c r="QIU33" s="388"/>
      <c r="QIV33" s="388"/>
      <c r="QIW33" s="388"/>
      <c r="QIX33" s="388"/>
      <c r="QIY33" s="388"/>
      <c r="QIZ33" s="388"/>
      <c r="QJA33" s="388"/>
      <c r="QJB33" s="388"/>
      <c r="QJC33" s="388"/>
      <c r="QJD33" s="388"/>
      <c r="QJE33" s="388"/>
      <c r="QJF33" s="388"/>
      <c r="QJG33" s="388"/>
      <c r="QJH33" s="388"/>
      <c r="QJI33" s="388"/>
      <c r="QJJ33" s="388"/>
      <c r="QJK33" s="388"/>
      <c r="QJL33" s="388"/>
      <c r="QJM33" s="388"/>
      <c r="QJN33" s="388"/>
      <c r="QJO33" s="388"/>
      <c r="QJP33" s="388"/>
      <c r="QJQ33" s="388"/>
      <c r="QJR33" s="388"/>
      <c r="QJS33" s="388"/>
      <c r="QJT33" s="388"/>
      <c r="QJU33" s="388"/>
      <c r="QJV33" s="388"/>
      <c r="QJW33" s="388"/>
      <c r="QJX33" s="388"/>
      <c r="QJY33" s="388"/>
      <c r="QJZ33" s="388"/>
      <c r="QKA33" s="388"/>
      <c r="QKB33" s="388"/>
      <c r="QKC33" s="388"/>
      <c r="QKD33" s="388"/>
      <c r="QKE33" s="388"/>
      <c r="QKF33" s="388"/>
      <c r="QKG33" s="388"/>
      <c r="QKH33" s="388"/>
      <c r="QKI33" s="388"/>
      <c r="QKJ33" s="388"/>
      <c r="QKK33" s="388"/>
      <c r="QKL33" s="388"/>
      <c r="QKM33" s="388"/>
      <c r="QKN33" s="388"/>
      <c r="QKO33" s="388"/>
      <c r="QKP33" s="388"/>
      <c r="QKQ33" s="388"/>
      <c r="QKR33" s="388"/>
      <c r="QKS33" s="388"/>
      <c r="QKT33" s="388"/>
      <c r="QKU33" s="388"/>
      <c r="QKV33" s="388"/>
      <c r="QKW33" s="388"/>
      <c r="QKX33" s="388"/>
      <c r="QKY33" s="388"/>
      <c r="QKZ33" s="388"/>
      <c r="QLA33" s="388"/>
      <c r="QLB33" s="388"/>
      <c r="QLC33" s="388"/>
      <c r="QLD33" s="388"/>
      <c r="QLE33" s="388"/>
      <c r="QLF33" s="388"/>
      <c r="QLG33" s="388"/>
      <c r="QLH33" s="388"/>
      <c r="QLI33" s="388"/>
      <c r="QLJ33" s="388"/>
      <c r="QLK33" s="388"/>
      <c r="QLL33" s="388"/>
      <c r="QLM33" s="388"/>
      <c r="QLN33" s="388"/>
      <c r="QLO33" s="388"/>
      <c r="QLP33" s="388"/>
      <c r="QLQ33" s="388"/>
      <c r="QLR33" s="388"/>
      <c r="QLS33" s="388"/>
      <c r="QLT33" s="388"/>
      <c r="QLU33" s="388"/>
      <c r="QLV33" s="388"/>
      <c r="QLW33" s="388"/>
      <c r="QLX33" s="388"/>
      <c r="QLY33" s="388"/>
      <c r="QLZ33" s="388"/>
      <c r="QMA33" s="388"/>
      <c r="QMB33" s="388"/>
      <c r="QMC33" s="388"/>
      <c r="QMD33" s="388"/>
      <c r="QME33" s="388"/>
      <c r="QMF33" s="388"/>
      <c r="QMG33" s="388"/>
      <c r="QMH33" s="388"/>
      <c r="QMI33" s="388"/>
      <c r="QMJ33" s="388"/>
      <c r="QMK33" s="388"/>
      <c r="QML33" s="388"/>
      <c r="QMM33" s="388"/>
      <c r="QMN33" s="388"/>
      <c r="QMO33" s="388"/>
      <c r="QMP33" s="388"/>
      <c r="QMQ33" s="388"/>
      <c r="QMR33" s="388"/>
      <c r="QMS33" s="388"/>
      <c r="QMT33" s="388"/>
      <c r="QMU33" s="388"/>
      <c r="QMV33" s="388"/>
      <c r="QMW33" s="388"/>
      <c r="QMX33" s="388"/>
      <c r="QMY33" s="388"/>
      <c r="QMZ33" s="388"/>
      <c r="QNA33" s="388"/>
      <c r="QNB33" s="388"/>
      <c r="QNC33" s="388"/>
      <c r="QND33" s="388"/>
      <c r="QNE33" s="388"/>
      <c r="QNF33" s="388"/>
      <c r="QNG33" s="388"/>
      <c r="QNH33" s="388"/>
      <c r="QNI33" s="388"/>
      <c r="QNJ33" s="388"/>
      <c r="QNK33" s="388"/>
      <c r="QNL33" s="388"/>
      <c r="QNM33" s="388"/>
      <c r="QNN33" s="388"/>
      <c r="QNO33" s="388"/>
      <c r="QNP33" s="388"/>
      <c r="QNQ33" s="388"/>
      <c r="QNR33" s="388"/>
      <c r="QNS33" s="388"/>
      <c r="QNT33" s="388"/>
      <c r="QNU33" s="388"/>
      <c r="QNV33" s="388"/>
      <c r="QNW33" s="388"/>
      <c r="QNX33" s="388"/>
      <c r="QNY33" s="388"/>
      <c r="QNZ33" s="388"/>
      <c r="QOA33" s="388"/>
      <c r="QOB33" s="388"/>
      <c r="QOC33" s="388"/>
      <c r="QOD33" s="388"/>
      <c r="QOE33" s="388"/>
      <c r="QOF33" s="388"/>
      <c r="QOG33" s="388"/>
      <c r="QOH33" s="388"/>
      <c r="QOI33" s="388"/>
      <c r="QOJ33" s="388"/>
      <c r="QOK33" s="388"/>
      <c r="QOL33" s="388"/>
      <c r="QOM33" s="388"/>
      <c r="QON33" s="388"/>
      <c r="QOO33" s="388"/>
      <c r="QOP33" s="388"/>
      <c r="QOQ33" s="388"/>
      <c r="QOR33" s="388"/>
      <c r="QOS33" s="388"/>
      <c r="QOT33" s="388"/>
      <c r="QOU33" s="388"/>
      <c r="QOV33" s="388"/>
      <c r="QOW33" s="388"/>
      <c r="QOX33" s="388"/>
      <c r="QOY33" s="388"/>
      <c r="QOZ33" s="388"/>
      <c r="QPA33" s="388"/>
      <c r="QPB33" s="388"/>
      <c r="QPC33" s="388"/>
      <c r="QPD33" s="388"/>
      <c r="QPE33" s="388"/>
      <c r="QPF33" s="388"/>
      <c r="QPG33" s="388"/>
      <c r="QPH33" s="388"/>
      <c r="QPI33" s="388"/>
      <c r="QPJ33" s="388"/>
      <c r="QPK33" s="388"/>
      <c r="QPL33" s="388"/>
      <c r="QPM33" s="388"/>
      <c r="QPN33" s="388"/>
      <c r="QPO33" s="388"/>
      <c r="QPP33" s="388"/>
      <c r="QPQ33" s="388"/>
      <c r="QPR33" s="388"/>
      <c r="QPS33" s="388"/>
      <c r="QPT33" s="388"/>
      <c r="QPU33" s="388"/>
      <c r="QPV33" s="388"/>
      <c r="QPW33" s="388"/>
      <c r="QPX33" s="388"/>
      <c r="QPY33" s="388"/>
      <c r="QPZ33" s="388"/>
      <c r="QQA33" s="388"/>
      <c r="QQB33" s="388"/>
      <c r="QQC33" s="388"/>
      <c r="QQD33" s="388"/>
      <c r="QQE33" s="388"/>
      <c r="QQF33" s="388"/>
      <c r="QQG33" s="388"/>
      <c r="QQH33" s="388"/>
      <c r="QQI33" s="388"/>
      <c r="QQJ33" s="388"/>
      <c r="QQK33" s="388"/>
      <c r="QQL33" s="388"/>
      <c r="QQM33" s="388"/>
      <c r="QQN33" s="388"/>
      <c r="QQO33" s="388"/>
      <c r="QQP33" s="388"/>
      <c r="QQQ33" s="388"/>
      <c r="QQR33" s="388"/>
      <c r="QQS33" s="388"/>
      <c r="QQT33" s="388"/>
      <c r="QQU33" s="388"/>
      <c r="QQV33" s="388"/>
      <c r="QQW33" s="388"/>
      <c r="QQX33" s="388"/>
      <c r="QQY33" s="388"/>
      <c r="QQZ33" s="388"/>
      <c r="QRA33" s="388"/>
      <c r="QRB33" s="388"/>
      <c r="QRC33" s="388"/>
      <c r="QRD33" s="388"/>
      <c r="QRE33" s="388"/>
      <c r="QRF33" s="388"/>
      <c r="QRG33" s="388"/>
      <c r="QRH33" s="388"/>
      <c r="QRI33" s="388"/>
      <c r="QRJ33" s="388"/>
      <c r="QRK33" s="388"/>
      <c r="QRL33" s="388"/>
      <c r="QRM33" s="388"/>
      <c r="QRN33" s="388"/>
      <c r="QRO33" s="388"/>
      <c r="QRP33" s="388"/>
      <c r="QRQ33" s="388"/>
      <c r="QRR33" s="388"/>
      <c r="QRS33" s="388"/>
      <c r="QRT33" s="388"/>
      <c r="QRU33" s="388"/>
      <c r="QRV33" s="388"/>
      <c r="QRW33" s="388"/>
      <c r="QRX33" s="388"/>
      <c r="QRY33" s="388"/>
      <c r="QRZ33" s="388"/>
      <c r="QSA33" s="388"/>
      <c r="QSB33" s="388"/>
      <c r="QSC33" s="388"/>
      <c r="QSD33" s="388"/>
      <c r="QSE33" s="388"/>
      <c r="QSF33" s="388"/>
      <c r="QSG33" s="388"/>
      <c r="QSH33" s="388"/>
      <c r="QSI33" s="388"/>
      <c r="QSJ33" s="388"/>
      <c r="QSK33" s="388"/>
      <c r="QSL33" s="388"/>
      <c r="QSM33" s="388"/>
      <c r="QSN33" s="388"/>
      <c r="QSO33" s="388"/>
      <c r="QSP33" s="388"/>
      <c r="QSQ33" s="388"/>
      <c r="QSR33" s="388"/>
      <c r="QSS33" s="388"/>
      <c r="QST33" s="388"/>
      <c r="QSU33" s="388"/>
      <c r="QSV33" s="388"/>
      <c r="QSW33" s="388"/>
      <c r="QSX33" s="388"/>
      <c r="QSY33" s="388"/>
      <c r="QSZ33" s="388"/>
      <c r="QTA33" s="388"/>
      <c r="QTB33" s="388"/>
      <c r="QTC33" s="388"/>
      <c r="QTD33" s="388"/>
      <c r="QTE33" s="388"/>
      <c r="QTF33" s="388"/>
      <c r="QTG33" s="388"/>
      <c r="QTH33" s="388"/>
      <c r="QTI33" s="388"/>
      <c r="QTJ33" s="388"/>
      <c r="QTK33" s="388"/>
      <c r="QTL33" s="388"/>
      <c r="QTM33" s="388"/>
      <c r="QTN33" s="388"/>
      <c r="QTO33" s="388"/>
      <c r="QTP33" s="388"/>
      <c r="QTQ33" s="388"/>
      <c r="QTR33" s="388"/>
      <c r="QTS33" s="388"/>
      <c r="QTT33" s="388"/>
      <c r="QTU33" s="388"/>
      <c r="QTV33" s="388"/>
      <c r="QTW33" s="388"/>
      <c r="QTX33" s="388"/>
      <c r="QTY33" s="388"/>
      <c r="QTZ33" s="388"/>
      <c r="QUA33" s="388"/>
      <c r="QUB33" s="388"/>
      <c r="QUC33" s="388"/>
      <c r="QUD33" s="388"/>
      <c r="QUE33" s="388"/>
      <c r="QUF33" s="388"/>
      <c r="QUG33" s="388"/>
      <c r="QUH33" s="388"/>
      <c r="QUI33" s="388"/>
      <c r="QUJ33" s="388"/>
      <c r="QUK33" s="388"/>
      <c r="QUL33" s="388"/>
      <c r="QUM33" s="388"/>
      <c r="QUN33" s="388"/>
      <c r="QUO33" s="388"/>
      <c r="QUP33" s="388"/>
      <c r="QUQ33" s="388"/>
      <c r="QUR33" s="388"/>
      <c r="QUS33" s="388"/>
      <c r="QUT33" s="388"/>
      <c r="QUU33" s="388"/>
      <c r="QUV33" s="388"/>
      <c r="QUW33" s="388"/>
      <c r="QUX33" s="388"/>
      <c r="QUY33" s="388"/>
      <c r="QUZ33" s="388"/>
      <c r="QVA33" s="388"/>
      <c r="QVB33" s="388"/>
      <c r="QVC33" s="388"/>
      <c r="QVD33" s="388"/>
      <c r="QVE33" s="388"/>
      <c r="QVF33" s="388"/>
      <c r="QVG33" s="388"/>
      <c r="QVH33" s="388"/>
      <c r="QVI33" s="388"/>
      <c r="QVJ33" s="388"/>
      <c r="QVK33" s="388"/>
      <c r="QVL33" s="388"/>
      <c r="QVM33" s="388"/>
      <c r="QVN33" s="388"/>
      <c r="QVO33" s="388"/>
      <c r="QVP33" s="388"/>
      <c r="QVQ33" s="388"/>
      <c r="QVR33" s="388"/>
      <c r="QVS33" s="388"/>
      <c r="QVT33" s="388"/>
      <c r="QVU33" s="388"/>
      <c r="QVV33" s="388"/>
      <c r="QVW33" s="388"/>
      <c r="QVX33" s="388"/>
      <c r="QVY33" s="388"/>
      <c r="QVZ33" s="388"/>
      <c r="QWA33" s="388"/>
      <c r="QWB33" s="388"/>
      <c r="QWC33" s="388"/>
      <c r="QWD33" s="388"/>
      <c r="QWE33" s="388"/>
      <c r="QWF33" s="388"/>
      <c r="QWG33" s="388"/>
      <c r="QWH33" s="388"/>
      <c r="QWI33" s="388"/>
      <c r="QWJ33" s="388"/>
      <c r="QWK33" s="388"/>
      <c r="QWL33" s="388"/>
      <c r="QWM33" s="388"/>
      <c r="QWN33" s="388"/>
      <c r="QWO33" s="388"/>
      <c r="QWP33" s="388"/>
      <c r="QWQ33" s="388"/>
      <c r="QWR33" s="388"/>
      <c r="QWS33" s="388"/>
      <c r="QWT33" s="388"/>
      <c r="QWU33" s="388"/>
      <c r="QWV33" s="388"/>
      <c r="QWW33" s="388"/>
      <c r="QWX33" s="388"/>
      <c r="QWY33" s="388"/>
      <c r="QWZ33" s="388"/>
      <c r="QXA33" s="388"/>
      <c r="QXB33" s="388"/>
      <c r="QXC33" s="388"/>
      <c r="QXD33" s="388"/>
      <c r="QXE33" s="388"/>
      <c r="QXF33" s="388"/>
      <c r="QXG33" s="388"/>
      <c r="QXH33" s="388"/>
      <c r="QXI33" s="388"/>
      <c r="QXJ33" s="388"/>
      <c r="QXK33" s="388"/>
      <c r="QXL33" s="388"/>
      <c r="QXM33" s="388"/>
      <c r="QXN33" s="388"/>
      <c r="QXO33" s="388"/>
      <c r="QXP33" s="388"/>
      <c r="QXQ33" s="388"/>
      <c r="QXR33" s="388"/>
      <c r="QXS33" s="388"/>
      <c r="QXT33" s="388"/>
      <c r="QXU33" s="388"/>
      <c r="QXV33" s="388"/>
      <c r="QXW33" s="388"/>
      <c r="QXX33" s="388"/>
      <c r="QXY33" s="388"/>
      <c r="QXZ33" s="388"/>
      <c r="QYA33" s="388"/>
      <c r="QYB33" s="388"/>
      <c r="QYC33" s="388"/>
      <c r="QYD33" s="388"/>
      <c r="QYE33" s="388"/>
      <c r="QYF33" s="388"/>
      <c r="QYG33" s="388"/>
      <c r="QYH33" s="388"/>
      <c r="QYI33" s="388"/>
      <c r="QYJ33" s="388"/>
      <c r="QYK33" s="388"/>
      <c r="QYL33" s="388"/>
      <c r="QYM33" s="388"/>
      <c r="QYN33" s="388"/>
      <c r="QYO33" s="388"/>
      <c r="QYP33" s="388"/>
      <c r="QYQ33" s="388"/>
      <c r="QYR33" s="388"/>
      <c r="QYS33" s="388"/>
      <c r="QYT33" s="388"/>
      <c r="QYU33" s="388"/>
      <c r="QYV33" s="388"/>
      <c r="QYW33" s="388"/>
      <c r="QYX33" s="388"/>
      <c r="QYY33" s="388"/>
      <c r="QYZ33" s="388"/>
      <c r="QZA33" s="388"/>
      <c r="QZB33" s="388"/>
      <c r="QZC33" s="388"/>
      <c r="QZD33" s="388"/>
      <c r="QZE33" s="388"/>
      <c r="QZF33" s="388"/>
      <c r="QZG33" s="388"/>
      <c r="QZH33" s="388"/>
      <c r="QZI33" s="388"/>
      <c r="QZJ33" s="388"/>
      <c r="QZK33" s="388"/>
      <c r="QZL33" s="388"/>
      <c r="QZM33" s="388"/>
      <c r="QZN33" s="388"/>
      <c r="QZO33" s="388"/>
      <c r="QZP33" s="388"/>
      <c r="QZQ33" s="388"/>
      <c r="QZR33" s="388"/>
      <c r="QZS33" s="388"/>
      <c r="QZT33" s="388"/>
      <c r="QZU33" s="388"/>
      <c r="QZV33" s="388"/>
      <c r="QZW33" s="388"/>
      <c r="QZX33" s="388"/>
      <c r="QZY33" s="388"/>
      <c r="QZZ33" s="388"/>
      <c r="RAA33" s="388"/>
      <c r="RAB33" s="388"/>
      <c r="RAC33" s="388"/>
      <c r="RAD33" s="388"/>
      <c r="RAE33" s="388"/>
      <c r="RAF33" s="388"/>
      <c r="RAG33" s="388"/>
      <c r="RAH33" s="388"/>
      <c r="RAI33" s="388"/>
      <c r="RAJ33" s="388"/>
      <c r="RAK33" s="388"/>
      <c r="RAL33" s="388"/>
      <c r="RAM33" s="388"/>
      <c r="RAN33" s="388"/>
      <c r="RAO33" s="388"/>
      <c r="RAP33" s="388"/>
      <c r="RAQ33" s="388"/>
      <c r="RAR33" s="388"/>
      <c r="RAS33" s="388"/>
      <c r="RAT33" s="388"/>
      <c r="RAU33" s="388"/>
      <c r="RAV33" s="388"/>
      <c r="RAW33" s="388"/>
      <c r="RAX33" s="388"/>
      <c r="RAY33" s="388"/>
      <c r="RAZ33" s="388"/>
      <c r="RBA33" s="388"/>
      <c r="RBB33" s="388"/>
      <c r="RBC33" s="388"/>
      <c r="RBD33" s="388"/>
      <c r="RBE33" s="388"/>
      <c r="RBF33" s="388"/>
      <c r="RBG33" s="388"/>
      <c r="RBH33" s="388"/>
      <c r="RBI33" s="388"/>
      <c r="RBJ33" s="388"/>
      <c r="RBK33" s="388"/>
      <c r="RBL33" s="388"/>
      <c r="RBM33" s="388"/>
      <c r="RBN33" s="388"/>
      <c r="RBO33" s="388"/>
      <c r="RBP33" s="388"/>
      <c r="RBQ33" s="388"/>
      <c r="RBR33" s="388"/>
      <c r="RBS33" s="388"/>
      <c r="RBT33" s="388"/>
      <c r="RBU33" s="388"/>
      <c r="RBV33" s="388"/>
      <c r="RBW33" s="388"/>
      <c r="RBX33" s="388"/>
      <c r="RBY33" s="388"/>
      <c r="RBZ33" s="388"/>
      <c r="RCA33" s="388"/>
      <c r="RCB33" s="388"/>
      <c r="RCC33" s="388"/>
      <c r="RCD33" s="388"/>
      <c r="RCE33" s="388"/>
      <c r="RCF33" s="388"/>
      <c r="RCG33" s="388"/>
      <c r="RCH33" s="388"/>
      <c r="RCI33" s="388"/>
      <c r="RCJ33" s="388"/>
      <c r="RCK33" s="388"/>
      <c r="RCL33" s="388"/>
      <c r="RCM33" s="388"/>
      <c r="RCN33" s="388"/>
      <c r="RCO33" s="388"/>
      <c r="RCP33" s="388"/>
      <c r="RCQ33" s="388"/>
      <c r="RCR33" s="388"/>
      <c r="RCS33" s="388"/>
      <c r="RCT33" s="388"/>
      <c r="RCU33" s="388"/>
      <c r="RCV33" s="388"/>
      <c r="RCW33" s="388"/>
      <c r="RCX33" s="388"/>
      <c r="RCY33" s="388"/>
      <c r="RCZ33" s="388"/>
      <c r="RDA33" s="388"/>
      <c r="RDB33" s="388"/>
      <c r="RDC33" s="388"/>
      <c r="RDD33" s="388"/>
      <c r="RDE33" s="388"/>
      <c r="RDF33" s="388"/>
      <c r="RDG33" s="388"/>
      <c r="RDH33" s="388"/>
      <c r="RDI33" s="388"/>
      <c r="RDJ33" s="388"/>
      <c r="RDK33" s="388"/>
      <c r="RDL33" s="388"/>
      <c r="RDM33" s="388"/>
      <c r="RDN33" s="388"/>
      <c r="RDO33" s="388"/>
      <c r="RDP33" s="388"/>
      <c r="RDQ33" s="388"/>
      <c r="RDR33" s="388"/>
      <c r="RDS33" s="388"/>
      <c r="RDT33" s="388"/>
      <c r="RDU33" s="388"/>
      <c r="RDV33" s="388"/>
      <c r="RDW33" s="388"/>
      <c r="RDX33" s="388"/>
      <c r="RDY33" s="388"/>
      <c r="RDZ33" s="388"/>
      <c r="REA33" s="388"/>
      <c r="REB33" s="388"/>
      <c r="REC33" s="388"/>
      <c r="RED33" s="388"/>
      <c r="REE33" s="388"/>
      <c r="REF33" s="388"/>
      <c r="REG33" s="388"/>
      <c r="REH33" s="388"/>
      <c r="REI33" s="388"/>
      <c r="REJ33" s="388"/>
      <c r="REK33" s="388"/>
      <c r="REL33" s="388"/>
      <c r="REM33" s="388"/>
      <c r="REN33" s="388"/>
      <c r="REO33" s="388"/>
      <c r="REP33" s="388"/>
      <c r="REQ33" s="388"/>
      <c r="RER33" s="388"/>
      <c r="RES33" s="388"/>
      <c r="RET33" s="388"/>
      <c r="REU33" s="388"/>
      <c r="REV33" s="388"/>
      <c r="REW33" s="388"/>
      <c r="REX33" s="388"/>
      <c r="REY33" s="388"/>
      <c r="REZ33" s="388"/>
      <c r="RFA33" s="388"/>
      <c r="RFB33" s="388"/>
      <c r="RFC33" s="388"/>
      <c r="RFD33" s="388"/>
      <c r="RFE33" s="388"/>
      <c r="RFF33" s="388"/>
      <c r="RFG33" s="388"/>
      <c r="RFH33" s="388"/>
      <c r="RFI33" s="388"/>
      <c r="RFJ33" s="388"/>
      <c r="RFK33" s="388"/>
      <c r="RFL33" s="388"/>
      <c r="RFM33" s="388"/>
      <c r="RFN33" s="388"/>
      <c r="RFO33" s="388"/>
      <c r="RFP33" s="388"/>
      <c r="RFQ33" s="388"/>
      <c r="RFR33" s="388"/>
      <c r="RFS33" s="388"/>
      <c r="RFT33" s="388"/>
      <c r="RFU33" s="388"/>
      <c r="RFV33" s="388"/>
      <c r="RFW33" s="388"/>
      <c r="RFX33" s="388"/>
      <c r="RFY33" s="388"/>
      <c r="RFZ33" s="388"/>
      <c r="RGA33" s="388"/>
      <c r="RGB33" s="388"/>
      <c r="RGC33" s="388"/>
      <c r="RGD33" s="388"/>
      <c r="RGE33" s="388"/>
      <c r="RGF33" s="388"/>
      <c r="RGG33" s="388"/>
      <c r="RGH33" s="388"/>
      <c r="RGI33" s="388"/>
      <c r="RGJ33" s="388"/>
      <c r="RGK33" s="388"/>
      <c r="RGL33" s="388"/>
      <c r="RGM33" s="388"/>
      <c r="RGN33" s="388"/>
      <c r="RGO33" s="388"/>
      <c r="RGP33" s="388"/>
      <c r="RGQ33" s="388"/>
      <c r="RGR33" s="388"/>
      <c r="RGS33" s="388"/>
      <c r="RGT33" s="388"/>
      <c r="RGU33" s="388"/>
      <c r="RGV33" s="388"/>
      <c r="RGW33" s="388"/>
      <c r="RGX33" s="388"/>
      <c r="RGY33" s="388"/>
      <c r="RGZ33" s="388"/>
      <c r="RHA33" s="388"/>
      <c r="RHB33" s="388"/>
      <c r="RHC33" s="388"/>
      <c r="RHD33" s="388"/>
      <c r="RHE33" s="388"/>
      <c r="RHF33" s="388"/>
      <c r="RHG33" s="388"/>
      <c r="RHH33" s="388"/>
      <c r="RHI33" s="388"/>
      <c r="RHJ33" s="388"/>
      <c r="RHK33" s="388"/>
      <c r="RHL33" s="388"/>
      <c r="RHM33" s="388"/>
      <c r="RHN33" s="388"/>
      <c r="RHO33" s="388"/>
      <c r="RHP33" s="388"/>
      <c r="RHQ33" s="388"/>
      <c r="RHR33" s="388"/>
      <c r="RHS33" s="388"/>
      <c r="RHT33" s="388"/>
      <c r="RHU33" s="388"/>
      <c r="RHV33" s="388"/>
      <c r="RHW33" s="388"/>
      <c r="RHX33" s="388"/>
      <c r="RHY33" s="388"/>
      <c r="RHZ33" s="388"/>
      <c r="RIA33" s="388"/>
      <c r="RIB33" s="388"/>
      <c r="RIC33" s="388"/>
      <c r="RID33" s="388"/>
      <c r="RIE33" s="388"/>
      <c r="RIF33" s="388"/>
      <c r="RIG33" s="388"/>
      <c r="RIH33" s="388"/>
      <c r="RII33" s="388"/>
      <c r="RIJ33" s="388"/>
      <c r="RIK33" s="388"/>
      <c r="RIL33" s="388"/>
      <c r="RIM33" s="388"/>
      <c r="RIN33" s="388"/>
      <c r="RIO33" s="388"/>
      <c r="RIP33" s="388"/>
      <c r="RIQ33" s="388"/>
      <c r="RIR33" s="388"/>
      <c r="RIS33" s="388"/>
      <c r="RIT33" s="388"/>
      <c r="RIU33" s="388"/>
      <c r="RIV33" s="388"/>
      <c r="RIW33" s="388"/>
      <c r="RIX33" s="388"/>
      <c r="RIY33" s="388"/>
      <c r="RIZ33" s="388"/>
      <c r="RJA33" s="388"/>
      <c r="RJB33" s="388"/>
      <c r="RJC33" s="388"/>
      <c r="RJD33" s="388"/>
      <c r="RJE33" s="388"/>
      <c r="RJF33" s="388"/>
      <c r="RJG33" s="388"/>
      <c r="RJH33" s="388"/>
      <c r="RJI33" s="388"/>
      <c r="RJJ33" s="388"/>
      <c r="RJK33" s="388"/>
      <c r="RJL33" s="388"/>
      <c r="RJM33" s="388"/>
      <c r="RJN33" s="388"/>
      <c r="RJO33" s="388"/>
      <c r="RJP33" s="388"/>
      <c r="RJQ33" s="388"/>
      <c r="RJR33" s="388"/>
      <c r="RJS33" s="388"/>
      <c r="RJT33" s="388"/>
      <c r="RJU33" s="388"/>
      <c r="RJV33" s="388"/>
      <c r="RJW33" s="388"/>
      <c r="RJX33" s="388"/>
      <c r="RJY33" s="388"/>
      <c r="RJZ33" s="388"/>
      <c r="RKA33" s="388"/>
      <c r="RKB33" s="388"/>
      <c r="RKC33" s="388"/>
      <c r="RKD33" s="388"/>
      <c r="RKE33" s="388"/>
      <c r="RKF33" s="388"/>
      <c r="RKG33" s="388"/>
      <c r="RKH33" s="388"/>
      <c r="RKI33" s="388"/>
      <c r="RKJ33" s="388"/>
      <c r="RKK33" s="388"/>
      <c r="RKL33" s="388"/>
      <c r="RKM33" s="388"/>
      <c r="RKN33" s="388"/>
      <c r="RKO33" s="388"/>
      <c r="RKP33" s="388"/>
      <c r="RKQ33" s="388"/>
      <c r="RKR33" s="388"/>
      <c r="RKS33" s="388"/>
      <c r="RKT33" s="388"/>
      <c r="RKU33" s="388"/>
      <c r="RKV33" s="388"/>
      <c r="RKW33" s="388"/>
      <c r="RKX33" s="388"/>
      <c r="RKY33" s="388"/>
      <c r="RKZ33" s="388"/>
      <c r="RLA33" s="388"/>
      <c r="RLB33" s="388"/>
      <c r="RLC33" s="388"/>
      <c r="RLD33" s="388"/>
      <c r="RLE33" s="388"/>
      <c r="RLF33" s="388"/>
      <c r="RLG33" s="388"/>
      <c r="RLH33" s="388"/>
      <c r="RLI33" s="388"/>
      <c r="RLJ33" s="388"/>
      <c r="RLK33" s="388"/>
      <c r="RLL33" s="388"/>
      <c r="RLM33" s="388"/>
      <c r="RLN33" s="388"/>
      <c r="RLO33" s="388"/>
      <c r="RLP33" s="388"/>
      <c r="RLQ33" s="388"/>
      <c r="RLR33" s="388"/>
      <c r="RLS33" s="388"/>
      <c r="RLT33" s="388"/>
      <c r="RLU33" s="388"/>
      <c r="RLV33" s="388"/>
      <c r="RLW33" s="388"/>
      <c r="RLX33" s="388"/>
      <c r="RLY33" s="388"/>
      <c r="RLZ33" s="388"/>
      <c r="RMA33" s="388"/>
      <c r="RMB33" s="388"/>
      <c r="RMC33" s="388"/>
      <c r="RMD33" s="388"/>
      <c r="RME33" s="388"/>
      <c r="RMF33" s="388"/>
      <c r="RMG33" s="388"/>
      <c r="RMH33" s="388"/>
      <c r="RMI33" s="388"/>
      <c r="RMJ33" s="388"/>
      <c r="RMK33" s="388"/>
      <c r="RML33" s="388"/>
      <c r="RMM33" s="388"/>
      <c r="RMN33" s="388"/>
      <c r="RMO33" s="388"/>
      <c r="RMP33" s="388"/>
      <c r="RMQ33" s="388"/>
      <c r="RMR33" s="388"/>
      <c r="RMS33" s="388"/>
      <c r="RMT33" s="388"/>
      <c r="RMU33" s="388"/>
      <c r="RMV33" s="388"/>
      <c r="RMW33" s="388"/>
      <c r="RMX33" s="388"/>
      <c r="RMY33" s="388"/>
      <c r="RMZ33" s="388"/>
      <c r="RNA33" s="388"/>
      <c r="RNB33" s="388"/>
      <c r="RNC33" s="388"/>
      <c r="RND33" s="388"/>
      <c r="RNE33" s="388"/>
      <c r="RNF33" s="388"/>
      <c r="RNG33" s="388"/>
      <c r="RNH33" s="388"/>
      <c r="RNI33" s="388"/>
      <c r="RNJ33" s="388"/>
      <c r="RNK33" s="388"/>
      <c r="RNL33" s="388"/>
      <c r="RNM33" s="388"/>
      <c r="RNN33" s="388"/>
      <c r="RNO33" s="388"/>
      <c r="RNP33" s="388"/>
      <c r="RNQ33" s="388"/>
      <c r="RNR33" s="388"/>
      <c r="RNS33" s="388"/>
      <c r="RNT33" s="388"/>
      <c r="RNU33" s="388"/>
      <c r="RNV33" s="388"/>
      <c r="RNW33" s="388"/>
      <c r="RNX33" s="388"/>
      <c r="RNY33" s="388"/>
      <c r="RNZ33" s="388"/>
      <c r="ROA33" s="388"/>
      <c r="ROB33" s="388"/>
      <c r="ROC33" s="388"/>
      <c r="ROD33" s="388"/>
      <c r="ROE33" s="388"/>
      <c r="ROF33" s="388"/>
      <c r="ROG33" s="388"/>
      <c r="ROH33" s="388"/>
      <c r="ROI33" s="388"/>
      <c r="ROJ33" s="388"/>
      <c r="ROK33" s="388"/>
      <c r="ROL33" s="388"/>
      <c r="ROM33" s="388"/>
      <c r="RON33" s="388"/>
      <c r="ROO33" s="388"/>
      <c r="ROP33" s="388"/>
      <c r="ROQ33" s="388"/>
      <c r="ROR33" s="388"/>
      <c r="ROS33" s="388"/>
      <c r="ROT33" s="388"/>
      <c r="ROU33" s="388"/>
      <c r="ROV33" s="388"/>
      <c r="ROW33" s="388"/>
      <c r="ROX33" s="388"/>
      <c r="ROY33" s="388"/>
      <c r="ROZ33" s="388"/>
      <c r="RPA33" s="388"/>
      <c r="RPB33" s="388"/>
      <c r="RPC33" s="388"/>
      <c r="RPD33" s="388"/>
      <c r="RPE33" s="388"/>
      <c r="RPF33" s="388"/>
      <c r="RPG33" s="388"/>
      <c r="RPH33" s="388"/>
      <c r="RPI33" s="388"/>
      <c r="RPJ33" s="388"/>
      <c r="RPK33" s="388"/>
      <c r="RPL33" s="388"/>
      <c r="RPM33" s="388"/>
      <c r="RPN33" s="388"/>
      <c r="RPO33" s="388"/>
      <c r="RPP33" s="388"/>
      <c r="RPQ33" s="388"/>
      <c r="RPR33" s="388"/>
      <c r="RPS33" s="388"/>
      <c r="RPT33" s="388"/>
      <c r="RPU33" s="388"/>
      <c r="RPV33" s="388"/>
      <c r="RPW33" s="388"/>
      <c r="RPX33" s="388"/>
      <c r="RPY33" s="388"/>
      <c r="RPZ33" s="388"/>
      <c r="RQA33" s="388"/>
      <c r="RQB33" s="388"/>
      <c r="RQC33" s="388"/>
      <c r="RQD33" s="388"/>
      <c r="RQE33" s="388"/>
      <c r="RQF33" s="388"/>
      <c r="RQG33" s="388"/>
      <c r="RQH33" s="388"/>
      <c r="RQI33" s="388"/>
      <c r="RQJ33" s="388"/>
      <c r="RQK33" s="388"/>
      <c r="RQL33" s="388"/>
      <c r="RQM33" s="388"/>
      <c r="RQN33" s="388"/>
      <c r="RQO33" s="388"/>
      <c r="RQP33" s="388"/>
      <c r="RQQ33" s="388"/>
      <c r="RQR33" s="388"/>
      <c r="RQS33" s="388"/>
      <c r="RQT33" s="388"/>
      <c r="RQU33" s="388"/>
      <c r="RQV33" s="388"/>
      <c r="RQW33" s="388"/>
      <c r="RQX33" s="388"/>
      <c r="RQY33" s="388"/>
      <c r="RQZ33" s="388"/>
      <c r="RRA33" s="388"/>
      <c r="RRB33" s="388"/>
      <c r="RRC33" s="388"/>
      <c r="RRD33" s="388"/>
      <c r="RRE33" s="388"/>
      <c r="RRF33" s="388"/>
      <c r="RRG33" s="388"/>
      <c r="RRH33" s="388"/>
      <c r="RRI33" s="388"/>
      <c r="RRJ33" s="388"/>
      <c r="RRK33" s="388"/>
      <c r="RRL33" s="388"/>
      <c r="RRM33" s="388"/>
      <c r="RRN33" s="388"/>
      <c r="RRO33" s="388"/>
      <c r="RRP33" s="388"/>
      <c r="RRQ33" s="388"/>
      <c r="RRR33" s="388"/>
      <c r="RRS33" s="388"/>
      <c r="RRT33" s="388"/>
      <c r="RRU33" s="388"/>
      <c r="RRV33" s="388"/>
      <c r="RRW33" s="388"/>
      <c r="RRX33" s="388"/>
      <c r="RRY33" s="388"/>
      <c r="RRZ33" s="388"/>
      <c r="RSA33" s="388"/>
      <c r="RSB33" s="388"/>
      <c r="RSC33" s="388"/>
      <c r="RSD33" s="388"/>
      <c r="RSE33" s="388"/>
      <c r="RSF33" s="388"/>
      <c r="RSG33" s="388"/>
      <c r="RSH33" s="388"/>
      <c r="RSI33" s="388"/>
      <c r="RSJ33" s="388"/>
      <c r="RSK33" s="388"/>
      <c r="RSL33" s="388"/>
      <c r="RSM33" s="388"/>
      <c r="RSN33" s="388"/>
      <c r="RSO33" s="388"/>
      <c r="RSP33" s="388"/>
      <c r="RSQ33" s="388"/>
      <c r="RSR33" s="388"/>
      <c r="RSS33" s="388"/>
      <c r="RST33" s="388"/>
      <c r="RSU33" s="388"/>
      <c r="RSV33" s="388"/>
      <c r="RSW33" s="388"/>
      <c r="RSX33" s="388"/>
      <c r="RSY33" s="388"/>
      <c r="RSZ33" s="388"/>
      <c r="RTA33" s="388"/>
      <c r="RTB33" s="388"/>
      <c r="RTC33" s="388"/>
      <c r="RTD33" s="388"/>
      <c r="RTE33" s="388"/>
      <c r="RTF33" s="388"/>
      <c r="RTG33" s="388"/>
      <c r="RTH33" s="388"/>
      <c r="RTI33" s="388"/>
      <c r="RTJ33" s="388"/>
      <c r="RTK33" s="388"/>
      <c r="RTL33" s="388"/>
      <c r="RTM33" s="388"/>
      <c r="RTN33" s="388"/>
      <c r="RTO33" s="388"/>
      <c r="RTP33" s="388"/>
      <c r="RTQ33" s="388"/>
      <c r="RTR33" s="388"/>
      <c r="RTS33" s="388"/>
      <c r="RTT33" s="388"/>
      <c r="RTU33" s="388"/>
      <c r="RTV33" s="388"/>
      <c r="RTW33" s="388"/>
      <c r="RTX33" s="388"/>
      <c r="RTY33" s="388"/>
      <c r="RTZ33" s="388"/>
      <c r="RUA33" s="388"/>
      <c r="RUB33" s="388"/>
      <c r="RUC33" s="388"/>
      <c r="RUD33" s="388"/>
      <c r="RUE33" s="388"/>
      <c r="RUF33" s="388"/>
      <c r="RUG33" s="388"/>
      <c r="RUH33" s="388"/>
      <c r="RUI33" s="388"/>
      <c r="RUJ33" s="388"/>
      <c r="RUK33" s="388"/>
      <c r="RUL33" s="388"/>
      <c r="RUM33" s="388"/>
      <c r="RUN33" s="388"/>
      <c r="RUO33" s="388"/>
      <c r="RUP33" s="388"/>
      <c r="RUQ33" s="388"/>
      <c r="RUR33" s="388"/>
      <c r="RUS33" s="388"/>
      <c r="RUT33" s="388"/>
      <c r="RUU33" s="388"/>
      <c r="RUV33" s="388"/>
      <c r="RUW33" s="388"/>
      <c r="RUX33" s="388"/>
      <c r="RUY33" s="388"/>
      <c r="RUZ33" s="388"/>
      <c r="RVA33" s="388"/>
      <c r="RVB33" s="388"/>
      <c r="RVC33" s="388"/>
      <c r="RVD33" s="388"/>
      <c r="RVE33" s="388"/>
      <c r="RVF33" s="388"/>
      <c r="RVG33" s="388"/>
      <c r="RVH33" s="388"/>
      <c r="RVI33" s="388"/>
      <c r="RVJ33" s="388"/>
      <c r="RVK33" s="388"/>
      <c r="RVL33" s="388"/>
      <c r="RVM33" s="388"/>
      <c r="RVN33" s="388"/>
      <c r="RVO33" s="388"/>
      <c r="RVP33" s="388"/>
      <c r="RVQ33" s="388"/>
      <c r="RVR33" s="388"/>
      <c r="RVS33" s="388"/>
      <c r="RVT33" s="388"/>
      <c r="RVU33" s="388"/>
      <c r="RVV33" s="388"/>
      <c r="RVW33" s="388"/>
      <c r="RVX33" s="388"/>
      <c r="RVY33" s="388"/>
      <c r="RVZ33" s="388"/>
      <c r="RWA33" s="388"/>
      <c r="RWB33" s="388"/>
      <c r="RWC33" s="388"/>
      <c r="RWD33" s="388"/>
      <c r="RWE33" s="388"/>
      <c r="RWF33" s="388"/>
      <c r="RWG33" s="388"/>
      <c r="RWH33" s="388"/>
      <c r="RWI33" s="388"/>
      <c r="RWJ33" s="388"/>
      <c r="RWK33" s="388"/>
      <c r="RWL33" s="388"/>
      <c r="RWM33" s="388"/>
      <c r="RWN33" s="388"/>
      <c r="RWO33" s="388"/>
      <c r="RWP33" s="388"/>
      <c r="RWQ33" s="388"/>
      <c r="RWR33" s="388"/>
      <c r="RWS33" s="388"/>
      <c r="RWT33" s="388"/>
      <c r="RWU33" s="388"/>
      <c r="RWV33" s="388"/>
      <c r="RWW33" s="388"/>
      <c r="RWX33" s="388"/>
      <c r="RWY33" s="388"/>
      <c r="RWZ33" s="388"/>
      <c r="RXA33" s="388"/>
      <c r="RXB33" s="388"/>
      <c r="RXC33" s="388"/>
      <c r="RXD33" s="388"/>
      <c r="RXE33" s="388"/>
      <c r="RXF33" s="388"/>
      <c r="RXG33" s="388"/>
      <c r="RXH33" s="388"/>
      <c r="RXI33" s="388"/>
      <c r="RXJ33" s="388"/>
      <c r="RXK33" s="388"/>
      <c r="RXL33" s="388"/>
      <c r="RXM33" s="388"/>
      <c r="RXN33" s="388"/>
      <c r="RXO33" s="388"/>
      <c r="RXP33" s="388"/>
      <c r="RXQ33" s="388"/>
      <c r="RXR33" s="388"/>
      <c r="RXS33" s="388"/>
      <c r="RXT33" s="388"/>
      <c r="RXU33" s="388"/>
      <c r="RXV33" s="388"/>
      <c r="RXW33" s="388"/>
      <c r="RXX33" s="388"/>
      <c r="RXY33" s="388"/>
      <c r="RXZ33" s="388"/>
      <c r="RYA33" s="388"/>
      <c r="RYB33" s="388"/>
      <c r="RYC33" s="388"/>
      <c r="RYD33" s="388"/>
      <c r="RYE33" s="388"/>
      <c r="RYF33" s="388"/>
      <c r="RYG33" s="388"/>
      <c r="RYH33" s="388"/>
      <c r="RYI33" s="388"/>
      <c r="RYJ33" s="388"/>
      <c r="RYK33" s="388"/>
      <c r="RYL33" s="388"/>
      <c r="RYM33" s="388"/>
      <c r="RYN33" s="388"/>
      <c r="RYO33" s="388"/>
      <c r="RYP33" s="388"/>
      <c r="RYQ33" s="388"/>
      <c r="RYR33" s="388"/>
      <c r="RYS33" s="388"/>
      <c r="RYT33" s="388"/>
      <c r="RYU33" s="388"/>
      <c r="RYV33" s="388"/>
      <c r="RYW33" s="388"/>
      <c r="RYX33" s="388"/>
      <c r="RYY33" s="388"/>
      <c r="RYZ33" s="388"/>
      <c r="RZA33" s="388"/>
      <c r="RZB33" s="388"/>
      <c r="RZC33" s="388"/>
      <c r="RZD33" s="388"/>
      <c r="RZE33" s="388"/>
      <c r="RZF33" s="388"/>
      <c r="RZG33" s="388"/>
      <c r="RZH33" s="388"/>
      <c r="RZI33" s="388"/>
      <c r="RZJ33" s="388"/>
      <c r="RZK33" s="388"/>
      <c r="RZL33" s="388"/>
      <c r="RZM33" s="388"/>
      <c r="RZN33" s="388"/>
      <c r="RZO33" s="388"/>
      <c r="RZP33" s="388"/>
      <c r="RZQ33" s="388"/>
      <c r="RZR33" s="388"/>
      <c r="RZS33" s="388"/>
      <c r="RZT33" s="388"/>
      <c r="RZU33" s="388"/>
      <c r="RZV33" s="388"/>
      <c r="RZW33" s="388"/>
      <c r="RZX33" s="388"/>
      <c r="RZY33" s="388"/>
      <c r="RZZ33" s="388"/>
      <c r="SAA33" s="388"/>
      <c r="SAB33" s="388"/>
      <c r="SAC33" s="388"/>
      <c r="SAD33" s="388"/>
      <c r="SAE33" s="388"/>
      <c r="SAF33" s="388"/>
      <c r="SAG33" s="388"/>
      <c r="SAH33" s="388"/>
      <c r="SAI33" s="388"/>
      <c r="SAJ33" s="388"/>
      <c r="SAK33" s="388"/>
      <c r="SAL33" s="388"/>
      <c r="SAM33" s="388"/>
      <c r="SAN33" s="388"/>
      <c r="SAO33" s="388"/>
      <c r="SAP33" s="388"/>
      <c r="SAQ33" s="388"/>
      <c r="SAR33" s="388"/>
      <c r="SAS33" s="388"/>
      <c r="SAT33" s="388"/>
      <c r="SAU33" s="388"/>
      <c r="SAV33" s="388"/>
      <c r="SAW33" s="388"/>
      <c r="SAX33" s="388"/>
      <c r="SAY33" s="388"/>
      <c r="SAZ33" s="388"/>
      <c r="SBA33" s="388"/>
      <c r="SBB33" s="388"/>
      <c r="SBC33" s="388"/>
      <c r="SBD33" s="388"/>
      <c r="SBE33" s="388"/>
      <c r="SBF33" s="388"/>
      <c r="SBG33" s="388"/>
      <c r="SBH33" s="388"/>
      <c r="SBI33" s="388"/>
      <c r="SBJ33" s="388"/>
      <c r="SBK33" s="388"/>
      <c r="SBL33" s="388"/>
      <c r="SBM33" s="388"/>
      <c r="SBN33" s="388"/>
      <c r="SBO33" s="388"/>
      <c r="SBP33" s="388"/>
      <c r="SBQ33" s="388"/>
      <c r="SBR33" s="388"/>
      <c r="SBS33" s="388"/>
      <c r="SBT33" s="388"/>
      <c r="SBU33" s="388"/>
      <c r="SBV33" s="388"/>
      <c r="SBW33" s="388"/>
      <c r="SBX33" s="388"/>
      <c r="SBY33" s="388"/>
      <c r="SBZ33" s="388"/>
      <c r="SCA33" s="388"/>
      <c r="SCB33" s="388"/>
      <c r="SCC33" s="388"/>
      <c r="SCD33" s="388"/>
      <c r="SCE33" s="388"/>
      <c r="SCF33" s="388"/>
      <c r="SCG33" s="388"/>
      <c r="SCH33" s="388"/>
      <c r="SCI33" s="388"/>
      <c r="SCJ33" s="388"/>
      <c r="SCK33" s="388"/>
      <c r="SCL33" s="388"/>
      <c r="SCM33" s="388"/>
      <c r="SCN33" s="388"/>
      <c r="SCO33" s="388"/>
      <c r="SCP33" s="388"/>
      <c r="SCQ33" s="388"/>
      <c r="SCR33" s="388"/>
      <c r="SCS33" s="388"/>
      <c r="SCT33" s="388"/>
      <c r="SCU33" s="388"/>
      <c r="SCV33" s="388"/>
      <c r="SCW33" s="388"/>
      <c r="SCX33" s="388"/>
      <c r="SCY33" s="388"/>
      <c r="SCZ33" s="388"/>
      <c r="SDA33" s="388"/>
      <c r="SDB33" s="388"/>
      <c r="SDC33" s="388"/>
      <c r="SDD33" s="388"/>
      <c r="SDE33" s="388"/>
      <c r="SDF33" s="388"/>
      <c r="SDG33" s="388"/>
      <c r="SDH33" s="388"/>
      <c r="SDI33" s="388"/>
      <c r="SDJ33" s="388"/>
      <c r="SDK33" s="388"/>
      <c r="SDL33" s="388"/>
      <c r="SDM33" s="388"/>
      <c r="SDN33" s="388"/>
      <c r="SDO33" s="388"/>
      <c r="SDP33" s="388"/>
      <c r="SDQ33" s="388"/>
      <c r="SDR33" s="388"/>
      <c r="SDS33" s="388"/>
      <c r="SDT33" s="388"/>
      <c r="SDU33" s="388"/>
      <c r="SDV33" s="388"/>
      <c r="SDW33" s="388"/>
      <c r="SDX33" s="388"/>
      <c r="SDY33" s="388"/>
      <c r="SDZ33" s="388"/>
      <c r="SEA33" s="388"/>
      <c r="SEB33" s="388"/>
      <c r="SEC33" s="388"/>
      <c r="SED33" s="388"/>
      <c r="SEE33" s="388"/>
      <c r="SEF33" s="388"/>
      <c r="SEG33" s="388"/>
      <c r="SEH33" s="388"/>
      <c r="SEI33" s="388"/>
      <c r="SEJ33" s="388"/>
      <c r="SEK33" s="388"/>
      <c r="SEL33" s="388"/>
      <c r="SEM33" s="388"/>
      <c r="SEN33" s="388"/>
      <c r="SEO33" s="388"/>
      <c r="SEP33" s="388"/>
      <c r="SEQ33" s="388"/>
      <c r="SER33" s="388"/>
      <c r="SES33" s="388"/>
      <c r="SET33" s="388"/>
      <c r="SEU33" s="388"/>
      <c r="SEV33" s="388"/>
      <c r="SEW33" s="388"/>
      <c r="SEX33" s="388"/>
      <c r="SEY33" s="388"/>
      <c r="SEZ33" s="388"/>
      <c r="SFA33" s="388"/>
      <c r="SFB33" s="388"/>
      <c r="SFC33" s="388"/>
      <c r="SFD33" s="388"/>
      <c r="SFE33" s="388"/>
      <c r="SFF33" s="388"/>
      <c r="SFG33" s="388"/>
      <c r="SFH33" s="388"/>
      <c r="SFI33" s="388"/>
      <c r="SFJ33" s="388"/>
      <c r="SFK33" s="388"/>
      <c r="SFL33" s="388"/>
      <c r="SFM33" s="388"/>
      <c r="SFN33" s="388"/>
      <c r="SFO33" s="388"/>
      <c r="SFP33" s="388"/>
      <c r="SFQ33" s="388"/>
      <c r="SFR33" s="388"/>
      <c r="SFS33" s="388"/>
      <c r="SFT33" s="388"/>
      <c r="SFU33" s="388"/>
      <c r="SFV33" s="388"/>
      <c r="SFW33" s="388"/>
      <c r="SFX33" s="388"/>
      <c r="SFY33" s="388"/>
      <c r="SFZ33" s="388"/>
      <c r="SGA33" s="388"/>
      <c r="SGB33" s="388"/>
      <c r="SGC33" s="388"/>
      <c r="SGD33" s="388"/>
      <c r="SGE33" s="388"/>
      <c r="SGF33" s="388"/>
      <c r="SGG33" s="388"/>
      <c r="SGH33" s="388"/>
      <c r="SGI33" s="388"/>
      <c r="SGJ33" s="388"/>
      <c r="SGK33" s="388"/>
      <c r="SGL33" s="388"/>
      <c r="SGM33" s="388"/>
      <c r="SGN33" s="388"/>
      <c r="SGO33" s="388"/>
      <c r="SGP33" s="388"/>
      <c r="SGQ33" s="388"/>
      <c r="SGR33" s="388"/>
      <c r="SGS33" s="388"/>
      <c r="SGT33" s="388"/>
      <c r="SGU33" s="388"/>
      <c r="SGV33" s="388"/>
      <c r="SGW33" s="388"/>
      <c r="SGX33" s="388"/>
      <c r="SGY33" s="388"/>
      <c r="SGZ33" s="388"/>
      <c r="SHA33" s="388"/>
      <c r="SHB33" s="388"/>
      <c r="SHC33" s="388"/>
      <c r="SHD33" s="388"/>
      <c r="SHE33" s="388"/>
      <c r="SHF33" s="388"/>
      <c r="SHG33" s="388"/>
      <c r="SHH33" s="388"/>
      <c r="SHI33" s="388"/>
      <c r="SHJ33" s="388"/>
      <c r="SHK33" s="388"/>
      <c r="SHL33" s="388"/>
      <c r="SHM33" s="388"/>
      <c r="SHN33" s="388"/>
      <c r="SHO33" s="388"/>
      <c r="SHP33" s="388"/>
      <c r="SHQ33" s="388"/>
      <c r="SHR33" s="388"/>
      <c r="SHS33" s="388"/>
      <c r="SHT33" s="388"/>
      <c r="SHU33" s="388"/>
      <c r="SHV33" s="388"/>
      <c r="SHW33" s="388"/>
      <c r="SHX33" s="388"/>
      <c r="SHY33" s="388"/>
      <c r="SHZ33" s="388"/>
      <c r="SIA33" s="388"/>
      <c r="SIB33" s="388"/>
      <c r="SIC33" s="388"/>
      <c r="SID33" s="388"/>
      <c r="SIE33" s="388"/>
      <c r="SIF33" s="388"/>
      <c r="SIG33" s="388"/>
      <c r="SIH33" s="388"/>
      <c r="SII33" s="388"/>
      <c r="SIJ33" s="388"/>
      <c r="SIK33" s="388"/>
      <c r="SIL33" s="388"/>
      <c r="SIM33" s="388"/>
      <c r="SIN33" s="388"/>
      <c r="SIO33" s="388"/>
      <c r="SIP33" s="388"/>
      <c r="SIQ33" s="388"/>
      <c r="SIR33" s="388"/>
      <c r="SIS33" s="388"/>
      <c r="SIT33" s="388"/>
      <c r="SIU33" s="388"/>
      <c r="SIV33" s="388"/>
      <c r="SIW33" s="388"/>
      <c r="SIX33" s="388"/>
      <c r="SIY33" s="388"/>
      <c r="SIZ33" s="388"/>
      <c r="SJA33" s="388"/>
      <c r="SJB33" s="388"/>
      <c r="SJC33" s="388"/>
      <c r="SJD33" s="388"/>
      <c r="SJE33" s="388"/>
      <c r="SJF33" s="388"/>
      <c r="SJG33" s="388"/>
      <c r="SJH33" s="388"/>
      <c r="SJI33" s="388"/>
      <c r="SJJ33" s="388"/>
      <c r="SJK33" s="388"/>
      <c r="SJL33" s="388"/>
      <c r="SJM33" s="388"/>
      <c r="SJN33" s="388"/>
      <c r="SJO33" s="388"/>
      <c r="SJP33" s="388"/>
      <c r="SJQ33" s="388"/>
      <c r="SJR33" s="388"/>
      <c r="SJS33" s="388"/>
      <c r="SJT33" s="388"/>
      <c r="SJU33" s="388"/>
      <c r="SJV33" s="388"/>
      <c r="SJW33" s="388"/>
      <c r="SJX33" s="388"/>
      <c r="SJY33" s="388"/>
      <c r="SJZ33" s="388"/>
      <c r="SKA33" s="388"/>
      <c r="SKB33" s="388"/>
      <c r="SKC33" s="388"/>
      <c r="SKD33" s="388"/>
      <c r="SKE33" s="388"/>
      <c r="SKF33" s="388"/>
      <c r="SKG33" s="388"/>
      <c r="SKH33" s="388"/>
      <c r="SKI33" s="388"/>
      <c r="SKJ33" s="388"/>
      <c r="SKK33" s="388"/>
      <c r="SKL33" s="388"/>
      <c r="SKM33" s="388"/>
      <c r="SKN33" s="388"/>
      <c r="SKO33" s="388"/>
      <c r="SKP33" s="388"/>
      <c r="SKQ33" s="388"/>
      <c r="SKR33" s="388"/>
      <c r="SKS33" s="388"/>
      <c r="SKT33" s="388"/>
      <c r="SKU33" s="388"/>
      <c r="SKV33" s="388"/>
      <c r="SKW33" s="388"/>
      <c r="SKX33" s="388"/>
      <c r="SKY33" s="388"/>
      <c r="SKZ33" s="388"/>
      <c r="SLA33" s="388"/>
      <c r="SLB33" s="388"/>
      <c r="SLC33" s="388"/>
      <c r="SLD33" s="388"/>
      <c r="SLE33" s="388"/>
      <c r="SLF33" s="388"/>
      <c r="SLG33" s="388"/>
      <c r="SLH33" s="388"/>
      <c r="SLI33" s="388"/>
      <c r="SLJ33" s="388"/>
      <c r="SLK33" s="388"/>
      <c r="SLL33" s="388"/>
      <c r="SLM33" s="388"/>
      <c r="SLN33" s="388"/>
      <c r="SLO33" s="388"/>
      <c r="SLP33" s="388"/>
      <c r="SLQ33" s="388"/>
      <c r="SLR33" s="388"/>
      <c r="SLS33" s="388"/>
      <c r="SLT33" s="388"/>
      <c r="SLU33" s="388"/>
      <c r="SLV33" s="388"/>
      <c r="SLW33" s="388"/>
      <c r="SLX33" s="388"/>
      <c r="SLY33" s="388"/>
      <c r="SLZ33" s="388"/>
      <c r="SMA33" s="388"/>
      <c r="SMB33" s="388"/>
      <c r="SMC33" s="388"/>
      <c r="SMD33" s="388"/>
      <c r="SME33" s="388"/>
      <c r="SMF33" s="388"/>
      <c r="SMG33" s="388"/>
      <c r="SMH33" s="388"/>
      <c r="SMI33" s="388"/>
      <c r="SMJ33" s="388"/>
      <c r="SMK33" s="388"/>
      <c r="SML33" s="388"/>
      <c r="SMM33" s="388"/>
      <c r="SMN33" s="388"/>
      <c r="SMO33" s="388"/>
      <c r="SMP33" s="388"/>
      <c r="SMQ33" s="388"/>
      <c r="SMR33" s="388"/>
      <c r="SMS33" s="388"/>
      <c r="SMT33" s="388"/>
      <c r="SMU33" s="388"/>
      <c r="SMV33" s="388"/>
      <c r="SMW33" s="388"/>
      <c r="SMX33" s="388"/>
      <c r="SMY33" s="388"/>
      <c r="SMZ33" s="388"/>
      <c r="SNA33" s="388"/>
      <c r="SNB33" s="388"/>
      <c r="SNC33" s="388"/>
      <c r="SND33" s="388"/>
      <c r="SNE33" s="388"/>
      <c r="SNF33" s="388"/>
      <c r="SNG33" s="388"/>
      <c r="SNH33" s="388"/>
      <c r="SNI33" s="388"/>
      <c r="SNJ33" s="388"/>
      <c r="SNK33" s="388"/>
      <c r="SNL33" s="388"/>
      <c r="SNM33" s="388"/>
      <c r="SNN33" s="388"/>
      <c r="SNO33" s="388"/>
      <c r="SNP33" s="388"/>
      <c r="SNQ33" s="388"/>
      <c r="SNR33" s="388"/>
      <c r="SNS33" s="388"/>
      <c r="SNT33" s="388"/>
      <c r="SNU33" s="388"/>
      <c r="SNV33" s="388"/>
      <c r="SNW33" s="388"/>
      <c r="SNX33" s="388"/>
      <c r="SNY33" s="388"/>
      <c r="SNZ33" s="388"/>
      <c r="SOA33" s="388"/>
      <c r="SOB33" s="388"/>
      <c r="SOC33" s="388"/>
      <c r="SOD33" s="388"/>
      <c r="SOE33" s="388"/>
      <c r="SOF33" s="388"/>
      <c r="SOG33" s="388"/>
      <c r="SOH33" s="388"/>
      <c r="SOI33" s="388"/>
      <c r="SOJ33" s="388"/>
      <c r="SOK33" s="388"/>
      <c r="SOL33" s="388"/>
      <c r="SOM33" s="388"/>
      <c r="SON33" s="388"/>
      <c r="SOO33" s="388"/>
      <c r="SOP33" s="388"/>
      <c r="SOQ33" s="388"/>
      <c r="SOR33" s="388"/>
      <c r="SOS33" s="388"/>
      <c r="SOT33" s="388"/>
      <c r="SOU33" s="388"/>
      <c r="SOV33" s="388"/>
      <c r="SOW33" s="388"/>
      <c r="SOX33" s="388"/>
      <c r="SOY33" s="388"/>
      <c r="SOZ33" s="388"/>
      <c r="SPA33" s="388"/>
      <c r="SPB33" s="388"/>
      <c r="SPC33" s="388"/>
      <c r="SPD33" s="388"/>
      <c r="SPE33" s="388"/>
      <c r="SPF33" s="388"/>
      <c r="SPG33" s="388"/>
      <c r="SPH33" s="388"/>
      <c r="SPI33" s="388"/>
      <c r="SPJ33" s="388"/>
      <c r="SPK33" s="388"/>
      <c r="SPL33" s="388"/>
      <c r="SPM33" s="388"/>
      <c r="SPN33" s="388"/>
      <c r="SPO33" s="388"/>
      <c r="SPP33" s="388"/>
      <c r="SPQ33" s="388"/>
      <c r="SPR33" s="388"/>
      <c r="SPS33" s="388"/>
      <c r="SPT33" s="388"/>
      <c r="SPU33" s="388"/>
      <c r="SPV33" s="388"/>
      <c r="SPW33" s="388"/>
      <c r="SPX33" s="388"/>
      <c r="SPY33" s="388"/>
      <c r="SPZ33" s="388"/>
      <c r="SQA33" s="388"/>
      <c r="SQB33" s="388"/>
      <c r="SQC33" s="388"/>
      <c r="SQD33" s="388"/>
      <c r="SQE33" s="388"/>
      <c r="SQF33" s="388"/>
      <c r="SQG33" s="388"/>
      <c r="SQH33" s="388"/>
      <c r="SQI33" s="388"/>
      <c r="SQJ33" s="388"/>
      <c r="SQK33" s="388"/>
      <c r="SQL33" s="388"/>
      <c r="SQM33" s="388"/>
      <c r="SQN33" s="388"/>
      <c r="SQO33" s="388"/>
      <c r="SQP33" s="388"/>
      <c r="SQQ33" s="388"/>
      <c r="SQR33" s="388"/>
      <c r="SQS33" s="388"/>
      <c r="SQT33" s="388"/>
      <c r="SQU33" s="388"/>
      <c r="SQV33" s="388"/>
      <c r="SQW33" s="388"/>
      <c r="SQX33" s="388"/>
      <c r="SQY33" s="388"/>
      <c r="SQZ33" s="388"/>
      <c r="SRA33" s="388"/>
      <c r="SRB33" s="388"/>
      <c r="SRC33" s="388"/>
      <c r="SRD33" s="388"/>
      <c r="SRE33" s="388"/>
      <c r="SRF33" s="388"/>
      <c r="SRG33" s="388"/>
      <c r="SRH33" s="388"/>
      <c r="SRI33" s="388"/>
      <c r="SRJ33" s="388"/>
      <c r="SRK33" s="388"/>
      <c r="SRL33" s="388"/>
      <c r="SRM33" s="388"/>
      <c r="SRN33" s="388"/>
      <c r="SRO33" s="388"/>
      <c r="SRP33" s="388"/>
      <c r="SRQ33" s="388"/>
      <c r="SRR33" s="388"/>
      <c r="SRS33" s="388"/>
      <c r="SRT33" s="388"/>
      <c r="SRU33" s="388"/>
      <c r="SRV33" s="388"/>
      <c r="SRW33" s="388"/>
      <c r="SRX33" s="388"/>
      <c r="SRY33" s="388"/>
      <c r="SRZ33" s="388"/>
      <c r="SSA33" s="388"/>
      <c r="SSB33" s="388"/>
      <c r="SSC33" s="388"/>
      <c r="SSD33" s="388"/>
      <c r="SSE33" s="388"/>
      <c r="SSF33" s="388"/>
      <c r="SSG33" s="388"/>
      <c r="SSH33" s="388"/>
      <c r="SSI33" s="388"/>
      <c r="SSJ33" s="388"/>
      <c r="SSK33" s="388"/>
      <c r="SSL33" s="388"/>
      <c r="SSM33" s="388"/>
      <c r="SSN33" s="388"/>
      <c r="SSO33" s="388"/>
      <c r="SSP33" s="388"/>
      <c r="SSQ33" s="388"/>
      <c r="SSR33" s="388"/>
      <c r="SSS33" s="388"/>
      <c r="SST33" s="388"/>
      <c r="SSU33" s="388"/>
      <c r="SSV33" s="388"/>
      <c r="SSW33" s="388"/>
      <c r="SSX33" s="388"/>
      <c r="SSY33" s="388"/>
      <c r="SSZ33" s="388"/>
      <c r="STA33" s="388"/>
      <c r="STB33" s="388"/>
      <c r="STC33" s="388"/>
      <c r="STD33" s="388"/>
      <c r="STE33" s="388"/>
      <c r="STF33" s="388"/>
      <c r="STG33" s="388"/>
      <c r="STH33" s="388"/>
      <c r="STI33" s="388"/>
      <c r="STJ33" s="388"/>
      <c r="STK33" s="388"/>
      <c r="STL33" s="388"/>
      <c r="STM33" s="388"/>
      <c r="STN33" s="388"/>
      <c r="STO33" s="388"/>
      <c r="STP33" s="388"/>
      <c r="STQ33" s="388"/>
      <c r="STR33" s="388"/>
      <c r="STS33" s="388"/>
      <c r="STT33" s="388"/>
      <c r="STU33" s="388"/>
      <c r="STV33" s="388"/>
      <c r="STW33" s="388"/>
      <c r="STX33" s="388"/>
      <c r="STY33" s="388"/>
      <c r="STZ33" s="388"/>
      <c r="SUA33" s="388"/>
      <c r="SUB33" s="388"/>
      <c r="SUC33" s="388"/>
      <c r="SUD33" s="388"/>
      <c r="SUE33" s="388"/>
      <c r="SUF33" s="388"/>
      <c r="SUG33" s="388"/>
      <c r="SUH33" s="388"/>
      <c r="SUI33" s="388"/>
      <c r="SUJ33" s="388"/>
      <c r="SUK33" s="388"/>
      <c r="SUL33" s="388"/>
      <c r="SUM33" s="388"/>
      <c r="SUN33" s="388"/>
      <c r="SUO33" s="388"/>
      <c r="SUP33" s="388"/>
      <c r="SUQ33" s="388"/>
      <c r="SUR33" s="388"/>
      <c r="SUS33" s="388"/>
      <c r="SUT33" s="388"/>
      <c r="SUU33" s="388"/>
      <c r="SUV33" s="388"/>
      <c r="SUW33" s="388"/>
      <c r="SUX33" s="388"/>
      <c r="SUY33" s="388"/>
      <c r="SUZ33" s="388"/>
      <c r="SVA33" s="388"/>
      <c r="SVB33" s="388"/>
      <c r="SVC33" s="388"/>
      <c r="SVD33" s="388"/>
      <c r="SVE33" s="388"/>
      <c r="SVF33" s="388"/>
      <c r="SVG33" s="388"/>
      <c r="SVH33" s="388"/>
      <c r="SVI33" s="388"/>
      <c r="SVJ33" s="388"/>
      <c r="SVK33" s="388"/>
      <c r="SVL33" s="388"/>
      <c r="SVM33" s="388"/>
      <c r="SVN33" s="388"/>
      <c r="SVO33" s="388"/>
      <c r="SVP33" s="388"/>
      <c r="SVQ33" s="388"/>
      <c r="SVR33" s="388"/>
      <c r="SVS33" s="388"/>
      <c r="SVT33" s="388"/>
      <c r="SVU33" s="388"/>
      <c r="SVV33" s="388"/>
      <c r="SVW33" s="388"/>
      <c r="SVX33" s="388"/>
      <c r="SVY33" s="388"/>
      <c r="SVZ33" s="388"/>
      <c r="SWA33" s="388"/>
      <c r="SWB33" s="388"/>
      <c r="SWC33" s="388"/>
      <c r="SWD33" s="388"/>
      <c r="SWE33" s="388"/>
      <c r="SWF33" s="388"/>
      <c r="SWG33" s="388"/>
      <c r="SWH33" s="388"/>
      <c r="SWI33" s="388"/>
      <c r="SWJ33" s="388"/>
      <c r="SWK33" s="388"/>
      <c r="SWL33" s="388"/>
      <c r="SWM33" s="388"/>
      <c r="SWN33" s="388"/>
      <c r="SWO33" s="388"/>
      <c r="SWP33" s="388"/>
      <c r="SWQ33" s="388"/>
      <c r="SWR33" s="388"/>
      <c r="SWS33" s="388"/>
      <c r="SWT33" s="388"/>
      <c r="SWU33" s="388"/>
      <c r="SWV33" s="388"/>
      <c r="SWW33" s="388"/>
      <c r="SWX33" s="388"/>
      <c r="SWY33" s="388"/>
      <c r="SWZ33" s="388"/>
      <c r="SXA33" s="388"/>
      <c r="SXB33" s="388"/>
      <c r="SXC33" s="388"/>
      <c r="SXD33" s="388"/>
      <c r="SXE33" s="388"/>
      <c r="SXF33" s="388"/>
      <c r="SXG33" s="388"/>
      <c r="SXH33" s="388"/>
      <c r="SXI33" s="388"/>
      <c r="SXJ33" s="388"/>
      <c r="SXK33" s="388"/>
      <c r="SXL33" s="388"/>
      <c r="SXM33" s="388"/>
      <c r="SXN33" s="388"/>
      <c r="SXO33" s="388"/>
      <c r="SXP33" s="388"/>
      <c r="SXQ33" s="388"/>
      <c r="SXR33" s="388"/>
      <c r="SXS33" s="388"/>
      <c r="SXT33" s="388"/>
      <c r="SXU33" s="388"/>
      <c r="SXV33" s="388"/>
      <c r="SXW33" s="388"/>
      <c r="SXX33" s="388"/>
      <c r="SXY33" s="388"/>
      <c r="SXZ33" s="388"/>
      <c r="SYA33" s="388"/>
      <c r="SYB33" s="388"/>
      <c r="SYC33" s="388"/>
      <c r="SYD33" s="388"/>
      <c r="SYE33" s="388"/>
      <c r="SYF33" s="388"/>
      <c r="SYG33" s="388"/>
      <c r="SYH33" s="388"/>
      <c r="SYI33" s="388"/>
      <c r="SYJ33" s="388"/>
      <c r="SYK33" s="388"/>
      <c r="SYL33" s="388"/>
      <c r="SYM33" s="388"/>
      <c r="SYN33" s="388"/>
      <c r="SYO33" s="388"/>
      <c r="SYP33" s="388"/>
      <c r="SYQ33" s="388"/>
      <c r="SYR33" s="388"/>
      <c r="SYS33" s="388"/>
      <c r="SYT33" s="388"/>
      <c r="SYU33" s="388"/>
      <c r="SYV33" s="388"/>
      <c r="SYW33" s="388"/>
      <c r="SYX33" s="388"/>
      <c r="SYY33" s="388"/>
      <c r="SYZ33" s="388"/>
      <c r="SZA33" s="388"/>
      <c r="SZB33" s="388"/>
      <c r="SZC33" s="388"/>
      <c r="SZD33" s="388"/>
      <c r="SZE33" s="388"/>
      <c r="SZF33" s="388"/>
      <c r="SZG33" s="388"/>
      <c r="SZH33" s="388"/>
      <c r="SZI33" s="388"/>
      <c r="SZJ33" s="388"/>
      <c r="SZK33" s="388"/>
      <c r="SZL33" s="388"/>
      <c r="SZM33" s="388"/>
      <c r="SZN33" s="388"/>
      <c r="SZO33" s="388"/>
      <c r="SZP33" s="388"/>
      <c r="SZQ33" s="388"/>
      <c r="SZR33" s="388"/>
      <c r="SZS33" s="388"/>
      <c r="SZT33" s="388"/>
      <c r="SZU33" s="388"/>
      <c r="SZV33" s="388"/>
      <c r="SZW33" s="388"/>
      <c r="SZX33" s="388"/>
      <c r="SZY33" s="388"/>
      <c r="SZZ33" s="388"/>
      <c r="TAA33" s="388"/>
      <c r="TAB33" s="388"/>
      <c r="TAC33" s="388"/>
      <c r="TAD33" s="388"/>
      <c r="TAE33" s="388"/>
      <c r="TAF33" s="388"/>
      <c r="TAG33" s="388"/>
      <c r="TAH33" s="388"/>
      <c r="TAI33" s="388"/>
      <c r="TAJ33" s="388"/>
      <c r="TAK33" s="388"/>
      <c r="TAL33" s="388"/>
      <c r="TAM33" s="388"/>
      <c r="TAN33" s="388"/>
      <c r="TAO33" s="388"/>
      <c r="TAP33" s="388"/>
      <c r="TAQ33" s="388"/>
      <c r="TAR33" s="388"/>
      <c r="TAS33" s="388"/>
      <c r="TAT33" s="388"/>
      <c r="TAU33" s="388"/>
      <c r="TAV33" s="388"/>
      <c r="TAW33" s="388"/>
      <c r="TAX33" s="388"/>
      <c r="TAY33" s="388"/>
      <c r="TAZ33" s="388"/>
      <c r="TBA33" s="388"/>
      <c r="TBB33" s="388"/>
      <c r="TBC33" s="388"/>
      <c r="TBD33" s="388"/>
      <c r="TBE33" s="388"/>
      <c r="TBF33" s="388"/>
      <c r="TBG33" s="388"/>
      <c r="TBH33" s="388"/>
      <c r="TBI33" s="388"/>
      <c r="TBJ33" s="388"/>
      <c r="TBK33" s="388"/>
      <c r="TBL33" s="388"/>
      <c r="TBM33" s="388"/>
      <c r="TBN33" s="388"/>
      <c r="TBO33" s="388"/>
      <c r="TBP33" s="388"/>
      <c r="TBQ33" s="388"/>
      <c r="TBR33" s="388"/>
      <c r="TBS33" s="388"/>
      <c r="TBT33" s="388"/>
      <c r="TBU33" s="388"/>
      <c r="TBV33" s="388"/>
      <c r="TBW33" s="388"/>
      <c r="TBX33" s="388"/>
      <c r="TBY33" s="388"/>
      <c r="TBZ33" s="388"/>
      <c r="TCA33" s="388"/>
      <c r="TCB33" s="388"/>
      <c r="TCC33" s="388"/>
      <c r="TCD33" s="388"/>
      <c r="TCE33" s="388"/>
      <c r="TCF33" s="388"/>
      <c r="TCG33" s="388"/>
      <c r="TCH33" s="388"/>
      <c r="TCI33" s="388"/>
      <c r="TCJ33" s="388"/>
      <c r="TCK33" s="388"/>
      <c r="TCL33" s="388"/>
      <c r="TCM33" s="388"/>
      <c r="TCN33" s="388"/>
      <c r="TCO33" s="388"/>
      <c r="TCP33" s="388"/>
      <c r="TCQ33" s="388"/>
      <c r="TCR33" s="388"/>
      <c r="TCS33" s="388"/>
      <c r="TCT33" s="388"/>
      <c r="TCU33" s="388"/>
      <c r="TCV33" s="388"/>
      <c r="TCW33" s="388"/>
      <c r="TCX33" s="388"/>
      <c r="TCY33" s="388"/>
      <c r="TCZ33" s="388"/>
      <c r="TDA33" s="388"/>
      <c r="TDB33" s="388"/>
      <c r="TDC33" s="388"/>
      <c r="TDD33" s="388"/>
      <c r="TDE33" s="388"/>
      <c r="TDF33" s="388"/>
      <c r="TDG33" s="388"/>
      <c r="TDH33" s="388"/>
      <c r="TDI33" s="388"/>
      <c r="TDJ33" s="388"/>
      <c r="TDK33" s="388"/>
      <c r="TDL33" s="388"/>
      <c r="TDM33" s="388"/>
      <c r="TDN33" s="388"/>
      <c r="TDO33" s="388"/>
      <c r="TDP33" s="388"/>
      <c r="TDQ33" s="388"/>
      <c r="TDR33" s="388"/>
      <c r="TDS33" s="388"/>
      <c r="TDT33" s="388"/>
      <c r="TDU33" s="388"/>
      <c r="TDV33" s="388"/>
      <c r="TDW33" s="388"/>
      <c r="TDX33" s="388"/>
      <c r="TDY33" s="388"/>
      <c r="TDZ33" s="388"/>
      <c r="TEA33" s="388"/>
      <c r="TEB33" s="388"/>
      <c r="TEC33" s="388"/>
      <c r="TED33" s="388"/>
      <c r="TEE33" s="388"/>
      <c r="TEF33" s="388"/>
      <c r="TEG33" s="388"/>
      <c r="TEH33" s="388"/>
      <c r="TEI33" s="388"/>
      <c r="TEJ33" s="388"/>
      <c r="TEK33" s="388"/>
      <c r="TEL33" s="388"/>
      <c r="TEM33" s="388"/>
      <c r="TEN33" s="388"/>
      <c r="TEO33" s="388"/>
      <c r="TEP33" s="388"/>
      <c r="TEQ33" s="388"/>
      <c r="TER33" s="388"/>
      <c r="TES33" s="388"/>
      <c r="TET33" s="388"/>
      <c r="TEU33" s="388"/>
      <c r="TEV33" s="388"/>
      <c r="TEW33" s="388"/>
      <c r="TEX33" s="388"/>
      <c r="TEY33" s="388"/>
      <c r="TEZ33" s="388"/>
      <c r="TFA33" s="388"/>
      <c r="TFB33" s="388"/>
      <c r="TFC33" s="388"/>
      <c r="TFD33" s="388"/>
      <c r="TFE33" s="388"/>
      <c r="TFF33" s="388"/>
      <c r="TFG33" s="388"/>
      <c r="TFH33" s="388"/>
      <c r="TFI33" s="388"/>
      <c r="TFJ33" s="388"/>
      <c r="TFK33" s="388"/>
      <c r="TFL33" s="388"/>
      <c r="TFM33" s="388"/>
      <c r="TFN33" s="388"/>
      <c r="TFO33" s="388"/>
      <c r="TFP33" s="388"/>
      <c r="TFQ33" s="388"/>
      <c r="TFR33" s="388"/>
      <c r="TFS33" s="388"/>
      <c r="TFT33" s="388"/>
      <c r="TFU33" s="388"/>
      <c r="TFV33" s="388"/>
      <c r="TFW33" s="388"/>
      <c r="TFX33" s="388"/>
      <c r="TFY33" s="388"/>
      <c r="TFZ33" s="388"/>
      <c r="TGA33" s="388"/>
      <c r="TGB33" s="388"/>
      <c r="TGC33" s="388"/>
      <c r="TGD33" s="388"/>
      <c r="TGE33" s="388"/>
      <c r="TGF33" s="388"/>
      <c r="TGG33" s="388"/>
      <c r="TGH33" s="388"/>
      <c r="TGI33" s="388"/>
      <c r="TGJ33" s="388"/>
      <c r="TGK33" s="388"/>
      <c r="TGL33" s="388"/>
      <c r="TGM33" s="388"/>
      <c r="TGN33" s="388"/>
      <c r="TGO33" s="388"/>
      <c r="TGP33" s="388"/>
      <c r="TGQ33" s="388"/>
      <c r="TGR33" s="388"/>
      <c r="TGS33" s="388"/>
      <c r="TGT33" s="388"/>
      <c r="TGU33" s="388"/>
      <c r="TGV33" s="388"/>
      <c r="TGW33" s="388"/>
      <c r="TGX33" s="388"/>
      <c r="TGY33" s="388"/>
      <c r="TGZ33" s="388"/>
      <c r="THA33" s="388"/>
      <c r="THB33" s="388"/>
      <c r="THC33" s="388"/>
      <c r="THD33" s="388"/>
      <c r="THE33" s="388"/>
      <c r="THF33" s="388"/>
      <c r="THG33" s="388"/>
      <c r="THH33" s="388"/>
      <c r="THI33" s="388"/>
      <c r="THJ33" s="388"/>
      <c r="THK33" s="388"/>
      <c r="THL33" s="388"/>
      <c r="THM33" s="388"/>
      <c r="THN33" s="388"/>
      <c r="THO33" s="388"/>
      <c r="THP33" s="388"/>
      <c r="THQ33" s="388"/>
      <c r="THR33" s="388"/>
      <c r="THS33" s="388"/>
      <c r="THT33" s="388"/>
      <c r="THU33" s="388"/>
      <c r="THV33" s="388"/>
      <c r="THW33" s="388"/>
      <c r="THX33" s="388"/>
      <c r="THY33" s="388"/>
      <c r="THZ33" s="388"/>
      <c r="TIA33" s="388"/>
      <c r="TIB33" s="388"/>
      <c r="TIC33" s="388"/>
      <c r="TID33" s="388"/>
      <c r="TIE33" s="388"/>
      <c r="TIF33" s="388"/>
      <c r="TIG33" s="388"/>
      <c r="TIH33" s="388"/>
      <c r="TII33" s="388"/>
      <c r="TIJ33" s="388"/>
      <c r="TIK33" s="388"/>
      <c r="TIL33" s="388"/>
      <c r="TIM33" s="388"/>
      <c r="TIN33" s="388"/>
      <c r="TIO33" s="388"/>
      <c r="TIP33" s="388"/>
      <c r="TIQ33" s="388"/>
      <c r="TIR33" s="388"/>
      <c r="TIS33" s="388"/>
      <c r="TIT33" s="388"/>
      <c r="TIU33" s="388"/>
      <c r="TIV33" s="388"/>
      <c r="TIW33" s="388"/>
      <c r="TIX33" s="388"/>
      <c r="TIY33" s="388"/>
      <c r="TIZ33" s="388"/>
      <c r="TJA33" s="388"/>
      <c r="TJB33" s="388"/>
      <c r="TJC33" s="388"/>
      <c r="TJD33" s="388"/>
      <c r="TJE33" s="388"/>
      <c r="TJF33" s="388"/>
      <c r="TJG33" s="388"/>
      <c r="TJH33" s="388"/>
      <c r="TJI33" s="388"/>
      <c r="TJJ33" s="388"/>
      <c r="TJK33" s="388"/>
      <c r="TJL33" s="388"/>
      <c r="TJM33" s="388"/>
      <c r="TJN33" s="388"/>
      <c r="TJO33" s="388"/>
      <c r="TJP33" s="388"/>
      <c r="TJQ33" s="388"/>
      <c r="TJR33" s="388"/>
      <c r="TJS33" s="388"/>
      <c r="TJT33" s="388"/>
      <c r="TJU33" s="388"/>
      <c r="TJV33" s="388"/>
      <c r="TJW33" s="388"/>
      <c r="TJX33" s="388"/>
      <c r="TJY33" s="388"/>
      <c r="TJZ33" s="388"/>
      <c r="TKA33" s="388"/>
      <c r="TKB33" s="388"/>
      <c r="TKC33" s="388"/>
      <c r="TKD33" s="388"/>
      <c r="TKE33" s="388"/>
      <c r="TKF33" s="388"/>
      <c r="TKG33" s="388"/>
      <c r="TKH33" s="388"/>
      <c r="TKI33" s="388"/>
      <c r="TKJ33" s="388"/>
      <c r="TKK33" s="388"/>
      <c r="TKL33" s="388"/>
      <c r="TKM33" s="388"/>
      <c r="TKN33" s="388"/>
      <c r="TKO33" s="388"/>
      <c r="TKP33" s="388"/>
      <c r="TKQ33" s="388"/>
      <c r="TKR33" s="388"/>
      <c r="TKS33" s="388"/>
      <c r="TKT33" s="388"/>
      <c r="TKU33" s="388"/>
      <c r="TKV33" s="388"/>
      <c r="TKW33" s="388"/>
      <c r="TKX33" s="388"/>
      <c r="TKY33" s="388"/>
      <c r="TKZ33" s="388"/>
      <c r="TLA33" s="388"/>
      <c r="TLB33" s="388"/>
      <c r="TLC33" s="388"/>
      <c r="TLD33" s="388"/>
      <c r="TLE33" s="388"/>
      <c r="TLF33" s="388"/>
      <c r="TLG33" s="388"/>
      <c r="TLH33" s="388"/>
      <c r="TLI33" s="388"/>
      <c r="TLJ33" s="388"/>
      <c r="TLK33" s="388"/>
      <c r="TLL33" s="388"/>
      <c r="TLM33" s="388"/>
      <c r="TLN33" s="388"/>
      <c r="TLO33" s="388"/>
      <c r="TLP33" s="388"/>
      <c r="TLQ33" s="388"/>
      <c r="TLR33" s="388"/>
      <c r="TLS33" s="388"/>
      <c r="TLT33" s="388"/>
      <c r="TLU33" s="388"/>
      <c r="TLV33" s="388"/>
      <c r="TLW33" s="388"/>
      <c r="TLX33" s="388"/>
      <c r="TLY33" s="388"/>
      <c r="TLZ33" s="388"/>
      <c r="TMA33" s="388"/>
      <c r="TMB33" s="388"/>
      <c r="TMC33" s="388"/>
      <c r="TMD33" s="388"/>
      <c r="TME33" s="388"/>
      <c r="TMF33" s="388"/>
      <c r="TMG33" s="388"/>
      <c r="TMH33" s="388"/>
      <c r="TMI33" s="388"/>
      <c r="TMJ33" s="388"/>
      <c r="TMK33" s="388"/>
      <c r="TML33" s="388"/>
      <c r="TMM33" s="388"/>
      <c r="TMN33" s="388"/>
      <c r="TMO33" s="388"/>
      <c r="TMP33" s="388"/>
      <c r="TMQ33" s="388"/>
      <c r="TMR33" s="388"/>
      <c r="TMS33" s="388"/>
      <c r="TMT33" s="388"/>
      <c r="TMU33" s="388"/>
      <c r="TMV33" s="388"/>
      <c r="TMW33" s="388"/>
      <c r="TMX33" s="388"/>
      <c r="TMY33" s="388"/>
      <c r="TMZ33" s="388"/>
      <c r="TNA33" s="388"/>
      <c r="TNB33" s="388"/>
      <c r="TNC33" s="388"/>
      <c r="TND33" s="388"/>
      <c r="TNE33" s="388"/>
      <c r="TNF33" s="388"/>
      <c r="TNG33" s="388"/>
      <c r="TNH33" s="388"/>
      <c r="TNI33" s="388"/>
      <c r="TNJ33" s="388"/>
      <c r="TNK33" s="388"/>
      <c r="TNL33" s="388"/>
      <c r="TNM33" s="388"/>
      <c r="TNN33" s="388"/>
      <c r="TNO33" s="388"/>
      <c r="TNP33" s="388"/>
      <c r="TNQ33" s="388"/>
      <c r="TNR33" s="388"/>
      <c r="TNS33" s="388"/>
      <c r="TNT33" s="388"/>
      <c r="TNU33" s="388"/>
      <c r="TNV33" s="388"/>
      <c r="TNW33" s="388"/>
      <c r="TNX33" s="388"/>
      <c r="TNY33" s="388"/>
      <c r="TNZ33" s="388"/>
      <c r="TOA33" s="388"/>
      <c r="TOB33" s="388"/>
      <c r="TOC33" s="388"/>
      <c r="TOD33" s="388"/>
      <c r="TOE33" s="388"/>
      <c r="TOF33" s="388"/>
      <c r="TOG33" s="388"/>
      <c r="TOH33" s="388"/>
      <c r="TOI33" s="388"/>
      <c r="TOJ33" s="388"/>
      <c r="TOK33" s="388"/>
      <c r="TOL33" s="388"/>
      <c r="TOM33" s="388"/>
      <c r="TON33" s="388"/>
      <c r="TOO33" s="388"/>
      <c r="TOP33" s="388"/>
      <c r="TOQ33" s="388"/>
      <c r="TOR33" s="388"/>
      <c r="TOS33" s="388"/>
      <c r="TOT33" s="388"/>
      <c r="TOU33" s="388"/>
      <c r="TOV33" s="388"/>
      <c r="TOW33" s="388"/>
      <c r="TOX33" s="388"/>
      <c r="TOY33" s="388"/>
      <c r="TOZ33" s="388"/>
      <c r="TPA33" s="388"/>
      <c r="TPB33" s="388"/>
      <c r="TPC33" s="388"/>
      <c r="TPD33" s="388"/>
      <c r="TPE33" s="388"/>
      <c r="TPF33" s="388"/>
      <c r="TPG33" s="388"/>
      <c r="TPH33" s="388"/>
      <c r="TPI33" s="388"/>
      <c r="TPJ33" s="388"/>
      <c r="TPK33" s="388"/>
      <c r="TPL33" s="388"/>
      <c r="TPM33" s="388"/>
      <c r="TPN33" s="388"/>
      <c r="TPO33" s="388"/>
      <c r="TPP33" s="388"/>
      <c r="TPQ33" s="388"/>
      <c r="TPR33" s="388"/>
      <c r="TPS33" s="388"/>
      <c r="TPT33" s="388"/>
      <c r="TPU33" s="388"/>
      <c r="TPV33" s="388"/>
      <c r="TPW33" s="388"/>
      <c r="TPX33" s="388"/>
      <c r="TPY33" s="388"/>
      <c r="TPZ33" s="388"/>
      <c r="TQA33" s="388"/>
      <c r="TQB33" s="388"/>
      <c r="TQC33" s="388"/>
      <c r="TQD33" s="388"/>
      <c r="TQE33" s="388"/>
      <c r="TQF33" s="388"/>
      <c r="TQG33" s="388"/>
      <c r="TQH33" s="388"/>
      <c r="TQI33" s="388"/>
      <c r="TQJ33" s="388"/>
      <c r="TQK33" s="388"/>
      <c r="TQL33" s="388"/>
      <c r="TQM33" s="388"/>
      <c r="TQN33" s="388"/>
      <c r="TQO33" s="388"/>
      <c r="TQP33" s="388"/>
      <c r="TQQ33" s="388"/>
      <c r="TQR33" s="388"/>
      <c r="TQS33" s="388"/>
      <c r="TQT33" s="388"/>
      <c r="TQU33" s="388"/>
      <c r="TQV33" s="388"/>
      <c r="TQW33" s="388"/>
      <c r="TQX33" s="388"/>
      <c r="TQY33" s="388"/>
      <c r="TQZ33" s="388"/>
      <c r="TRA33" s="388"/>
      <c r="TRB33" s="388"/>
      <c r="TRC33" s="388"/>
      <c r="TRD33" s="388"/>
      <c r="TRE33" s="388"/>
      <c r="TRF33" s="388"/>
      <c r="TRG33" s="388"/>
      <c r="TRH33" s="388"/>
      <c r="TRI33" s="388"/>
      <c r="TRJ33" s="388"/>
      <c r="TRK33" s="388"/>
      <c r="TRL33" s="388"/>
      <c r="TRM33" s="388"/>
      <c r="TRN33" s="388"/>
      <c r="TRO33" s="388"/>
      <c r="TRP33" s="388"/>
      <c r="TRQ33" s="388"/>
      <c r="TRR33" s="388"/>
      <c r="TRS33" s="388"/>
      <c r="TRT33" s="388"/>
      <c r="TRU33" s="388"/>
      <c r="TRV33" s="388"/>
      <c r="TRW33" s="388"/>
      <c r="TRX33" s="388"/>
      <c r="TRY33" s="388"/>
      <c r="TRZ33" s="388"/>
      <c r="TSA33" s="388"/>
      <c r="TSB33" s="388"/>
      <c r="TSC33" s="388"/>
      <c r="TSD33" s="388"/>
      <c r="TSE33" s="388"/>
      <c r="TSF33" s="388"/>
      <c r="TSG33" s="388"/>
      <c r="TSH33" s="388"/>
      <c r="TSI33" s="388"/>
      <c r="TSJ33" s="388"/>
      <c r="TSK33" s="388"/>
      <c r="TSL33" s="388"/>
      <c r="TSM33" s="388"/>
      <c r="TSN33" s="388"/>
      <c r="TSO33" s="388"/>
      <c r="TSP33" s="388"/>
      <c r="TSQ33" s="388"/>
      <c r="TSR33" s="388"/>
      <c r="TSS33" s="388"/>
      <c r="TST33" s="388"/>
      <c r="TSU33" s="388"/>
      <c r="TSV33" s="388"/>
      <c r="TSW33" s="388"/>
      <c r="TSX33" s="388"/>
      <c r="TSY33" s="388"/>
      <c r="TSZ33" s="388"/>
      <c r="TTA33" s="388"/>
      <c r="TTB33" s="388"/>
      <c r="TTC33" s="388"/>
      <c r="TTD33" s="388"/>
      <c r="TTE33" s="388"/>
      <c r="TTF33" s="388"/>
      <c r="TTG33" s="388"/>
      <c r="TTH33" s="388"/>
      <c r="TTI33" s="388"/>
      <c r="TTJ33" s="388"/>
      <c r="TTK33" s="388"/>
      <c r="TTL33" s="388"/>
      <c r="TTM33" s="388"/>
      <c r="TTN33" s="388"/>
      <c r="TTO33" s="388"/>
      <c r="TTP33" s="388"/>
      <c r="TTQ33" s="388"/>
      <c r="TTR33" s="388"/>
      <c r="TTS33" s="388"/>
      <c r="TTT33" s="388"/>
      <c r="TTU33" s="388"/>
      <c r="TTV33" s="388"/>
      <c r="TTW33" s="388"/>
      <c r="TTX33" s="388"/>
      <c r="TTY33" s="388"/>
      <c r="TTZ33" s="388"/>
      <c r="TUA33" s="388"/>
      <c r="TUB33" s="388"/>
      <c r="TUC33" s="388"/>
      <c r="TUD33" s="388"/>
      <c r="TUE33" s="388"/>
      <c r="TUF33" s="388"/>
      <c r="TUG33" s="388"/>
      <c r="TUH33" s="388"/>
      <c r="TUI33" s="388"/>
      <c r="TUJ33" s="388"/>
      <c r="TUK33" s="388"/>
      <c r="TUL33" s="388"/>
      <c r="TUM33" s="388"/>
      <c r="TUN33" s="388"/>
      <c r="TUO33" s="388"/>
      <c r="TUP33" s="388"/>
      <c r="TUQ33" s="388"/>
      <c r="TUR33" s="388"/>
      <c r="TUS33" s="388"/>
      <c r="TUT33" s="388"/>
      <c r="TUU33" s="388"/>
      <c r="TUV33" s="388"/>
      <c r="TUW33" s="388"/>
      <c r="TUX33" s="388"/>
      <c r="TUY33" s="388"/>
      <c r="TUZ33" s="388"/>
      <c r="TVA33" s="388"/>
      <c r="TVB33" s="388"/>
      <c r="TVC33" s="388"/>
      <c r="TVD33" s="388"/>
      <c r="TVE33" s="388"/>
      <c r="TVF33" s="388"/>
      <c r="TVG33" s="388"/>
      <c r="TVH33" s="388"/>
      <c r="TVI33" s="388"/>
      <c r="TVJ33" s="388"/>
      <c r="TVK33" s="388"/>
      <c r="TVL33" s="388"/>
      <c r="TVM33" s="388"/>
      <c r="TVN33" s="388"/>
      <c r="TVO33" s="388"/>
      <c r="TVP33" s="388"/>
      <c r="TVQ33" s="388"/>
      <c r="TVR33" s="388"/>
      <c r="TVS33" s="388"/>
      <c r="TVT33" s="388"/>
      <c r="TVU33" s="388"/>
      <c r="TVV33" s="388"/>
      <c r="TVW33" s="388"/>
      <c r="TVX33" s="388"/>
      <c r="TVY33" s="388"/>
      <c r="TVZ33" s="388"/>
      <c r="TWA33" s="388"/>
      <c r="TWB33" s="388"/>
      <c r="TWC33" s="388"/>
      <c r="TWD33" s="388"/>
      <c r="TWE33" s="388"/>
      <c r="TWF33" s="388"/>
      <c r="TWG33" s="388"/>
      <c r="TWH33" s="388"/>
      <c r="TWI33" s="388"/>
      <c r="TWJ33" s="388"/>
      <c r="TWK33" s="388"/>
      <c r="TWL33" s="388"/>
      <c r="TWM33" s="388"/>
      <c r="TWN33" s="388"/>
      <c r="TWO33" s="388"/>
      <c r="TWP33" s="388"/>
      <c r="TWQ33" s="388"/>
      <c r="TWR33" s="388"/>
      <c r="TWS33" s="388"/>
      <c r="TWT33" s="388"/>
      <c r="TWU33" s="388"/>
      <c r="TWV33" s="388"/>
      <c r="TWW33" s="388"/>
      <c r="TWX33" s="388"/>
      <c r="TWY33" s="388"/>
      <c r="TWZ33" s="388"/>
      <c r="TXA33" s="388"/>
      <c r="TXB33" s="388"/>
      <c r="TXC33" s="388"/>
      <c r="TXD33" s="388"/>
      <c r="TXE33" s="388"/>
      <c r="TXF33" s="388"/>
      <c r="TXG33" s="388"/>
      <c r="TXH33" s="388"/>
      <c r="TXI33" s="388"/>
      <c r="TXJ33" s="388"/>
      <c r="TXK33" s="388"/>
      <c r="TXL33" s="388"/>
      <c r="TXM33" s="388"/>
      <c r="TXN33" s="388"/>
      <c r="TXO33" s="388"/>
      <c r="TXP33" s="388"/>
      <c r="TXQ33" s="388"/>
      <c r="TXR33" s="388"/>
      <c r="TXS33" s="388"/>
      <c r="TXT33" s="388"/>
      <c r="TXU33" s="388"/>
      <c r="TXV33" s="388"/>
      <c r="TXW33" s="388"/>
      <c r="TXX33" s="388"/>
      <c r="TXY33" s="388"/>
      <c r="TXZ33" s="388"/>
      <c r="TYA33" s="388"/>
      <c r="TYB33" s="388"/>
      <c r="TYC33" s="388"/>
      <c r="TYD33" s="388"/>
      <c r="TYE33" s="388"/>
      <c r="TYF33" s="388"/>
      <c r="TYG33" s="388"/>
      <c r="TYH33" s="388"/>
      <c r="TYI33" s="388"/>
      <c r="TYJ33" s="388"/>
      <c r="TYK33" s="388"/>
      <c r="TYL33" s="388"/>
      <c r="TYM33" s="388"/>
      <c r="TYN33" s="388"/>
      <c r="TYO33" s="388"/>
      <c r="TYP33" s="388"/>
      <c r="TYQ33" s="388"/>
      <c r="TYR33" s="388"/>
      <c r="TYS33" s="388"/>
      <c r="TYT33" s="388"/>
      <c r="TYU33" s="388"/>
      <c r="TYV33" s="388"/>
      <c r="TYW33" s="388"/>
      <c r="TYX33" s="388"/>
      <c r="TYY33" s="388"/>
      <c r="TYZ33" s="388"/>
      <c r="TZA33" s="388"/>
      <c r="TZB33" s="388"/>
      <c r="TZC33" s="388"/>
      <c r="TZD33" s="388"/>
      <c r="TZE33" s="388"/>
      <c r="TZF33" s="388"/>
      <c r="TZG33" s="388"/>
      <c r="TZH33" s="388"/>
      <c r="TZI33" s="388"/>
      <c r="TZJ33" s="388"/>
      <c r="TZK33" s="388"/>
      <c r="TZL33" s="388"/>
      <c r="TZM33" s="388"/>
      <c r="TZN33" s="388"/>
      <c r="TZO33" s="388"/>
      <c r="TZP33" s="388"/>
      <c r="TZQ33" s="388"/>
      <c r="TZR33" s="388"/>
      <c r="TZS33" s="388"/>
      <c r="TZT33" s="388"/>
      <c r="TZU33" s="388"/>
      <c r="TZV33" s="388"/>
      <c r="TZW33" s="388"/>
      <c r="TZX33" s="388"/>
      <c r="TZY33" s="388"/>
      <c r="TZZ33" s="388"/>
      <c r="UAA33" s="388"/>
      <c r="UAB33" s="388"/>
      <c r="UAC33" s="388"/>
      <c r="UAD33" s="388"/>
      <c r="UAE33" s="388"/>
      <c r="UAF33" s="388"/>
      <c r="UAG33" s="388"/>
      <c r="UAH33" s="388"/>
      <c r="UAI33" s="388"/>
      <c r="UAJ33" s="388"/>
      <c r="UAK33" s="388"/>
      <c r="UAL33" s="388"/>
      <c r="UAM33" s="388"/>
      <c r="UAN33" s="388"/>
      <c r="UAO33" s="388"/>
      <c r="UAP33" s="388"/>
      <c r="UAQ33" s="388"/>
      <c r="UAR33" s="388"/>
      <c r="UAS33" s="388"/>
      <c r="UAT33" s="388"/>
      <c r="UAU33" s="388"/>
      <c r="UAV33" s="388"/>
      <c r="UAW33" s="388"/>
      <c r="UAX33" s="388"/>
      <c r="UAY33" s="388"/>
      <c r="UAZ33" s="388"/>
      <c r="UBA33" s="388"/>
      <c r="UBB33" s="388"/>
      <c r="UBC33" s="388"/>
      <c r="UBD33" s="388"/>
      <c r="UBE33" s="388"/>
      <c r="UBF33" s="388"/>
      <c r="UBG33" s="388"/>
      <c r="UBH33" s="388"/>
      <c r="UBI33" s="388"/>
      <c r="UBJ33" s="388"/>
      <c r="UBK33" s="388"/>
      <c r="UBL33" s="388"/>
      <c r="UBM33" s="388"/>
      <c r="UBN33" s="388"/>
      <c r="UBO33" s="388"/>
      <c r="UBP33" s="388"/>
      <c r="UBQ33" s="388"/>
      <c r="UBR33" s="388"/>
      <c r="UBS33" s="388"/>
      <c r="UBT33" s="388"/>
      <c r="UBU33" s="388"/>
      <c r="UBV33" s="388"/>
      <c r="UBW33" s="388"/>
      <c r="UBX33" s="388"/>
      <c r="UBY33" s="388"/>
      <c r="UBZ33" s="388"/>
      <c r="UCA33" s="388"/>
      <c r="UCB33" s="388"/>
      <c r="UCC33" s="388"/>
      <c r="UCD33" s="388"/>
      <c r="UCE33" s="388"/>
      <c r="UCF33" s="388"/>
      <c r="UCG33" s="388"/>
      <c r="UCH33" s="388"/>
      <c r="UCI33" s="388"/>
      <c r="UCJ33" s="388"/>
      <c r="UCK33" s="388"/>
      <c r="UCL33" s="388"/>
      <c r="UCM33" s="388"/>
      <c r="UCN33" s="388"/>
      <c r="UCO33" s="388"/>
      <c r="UCP33" s="388"/>
      <c r="UCQ33" s="388"/>
      <c r="UCR33" s="388"/>
      <c r="UCS33" s="388"/>
      <c r="UCT33" s="388"/>
      <c r="UCU33" s="388"/>
      <c r="UCV33" s="388"/>
      <c r="UCW33" s="388"/>
      <c r="UCX33" s="388"/>
      <c r="UCY33" s="388"/>
      <c r="UCZ33" s="388"/>
      <c r="UDA33" s="388"/>
      <c r="UDB33" s="388"/>
      <c r="UDC33" s="388"/>
      <c r="UDD33" s="388"/>
      <c r="UDE33" s="388"/>
      <c r="UDF33" s="388"/>
      <c r="UDG33" s="388"/>
      <c r="UDH33" s="388"/>
      <c r="UDI33" s="388"/>
      <c r="UDJ33" s="388"/>
      <c r="UDK33" s="388"/>
      <c r="UDL33" s="388"/>
      <c r="UDM33" s="388"/>
      <c r="UDN33" s="388"/>
      <c r="UDO33" s="388"/>
      <c r="UDP33" s="388"/>
      <c r="UDQ33" s="388"/>
      <c r="UDR33" s="388"/>
      <c r="UDS33" s="388"/>
      <c r="UDT33" s="388"/>
      <c r="UDU33" s="388"/>
      <c r="UDV33" s="388"/>
      <c r="UDW33" s="388"/>
      <c r="UDX33" s="388"/>
      <c r="UDY33" s="388"/>
      <c r="UDZ33" s="388"/>
      <c r="UEA33" s="388"/>
      <c r="UEB33" s="388"/>
      <c r="UEC33" s="388"/>
      <c r="UED33" s="388"/>
      <c r="UEE33" s="388"/>
      <c r="UEF33" s="388"/>
      <c r="UEG33" s="388"/>
      <c r="UEH33" s="388"/>
      <c r="UEI33" s="388"/>
      <c r="UEJ33" s="388"/>
      <c r="UEK33" s="388"/>
      <c r="UEL33" s="388"/>
      <c r="UEM33" s="388"/>
      <c r="UEN33" s="388"/>
      <c r="UEO33" s="388"/>
      <c r="UEP33" s="388"/>
      <c r="UEQ33" s="388"/>
      <c r="UER33" s="388"/>
      <c r="UES33" s="388"/>
      <c r="UET33" s="388"/>
      <c r="UEU33" s="388"/>
      <c r="UEV33" s="388"/>
      <c r="UEW33" s="388"/>
      <c r="UEX33" s="388"/>
      <c r="UEY33" s="388"/>
      <c r="UEZ33" s="388"/>
      <c r="UFA33" s="388"/>
      <c r="UFB33" s="388"/>
      <c r="UFC33" s="388"/>
      <c r="UFD33" s="388"/>
      <c r="UFE33" s="388"/>
      <c r="UFF33" s="388"/>
      <c r="UFG33" s="388"/>
      <c r="UFH33" s="388"/>
      <c r="UFI33" s="388"/>
      <c r="UFJ33" s="388"/>
      <c r="UFK33" s="388"/>
      <c r="UFL33" s="388"/>
      <c r="UFM33" s="388"/>
      <c r="UFN33" s="388"/>
      <c r="UFO33" s="388"/>
      <c r="UFP33" s="388"/>
      <c r="UFQ33" s="388"/>
      <c r="UFR33" s="388"/>
      <c r="UFS33" s="388"/>
      <c r="UFT33" s="388"/>
      <c r="UFU33" s="388"/>
      <c r="UFV33" s="388"/>
      <c r="UFW33" s="388"/>
      <c r="UFX33" s="388"/>
      <c r="UFY33" s="388"/>
      <c r="UFZ33" s="388"/>
      <c r="UGA33" s="388"/>
      <c r="UGB33" s="388"/>
      <c r="UGC33" s="388"/>
      <c r="UGD33" s="388"/>
      <c r="UGE33" s="388"/>
      <c r="UGF33" s="388"/>
      <c r="UGG33" s="388"/>
      <c r="UGH33" s="388"/>
      <c r="UGI33" s="388"/>
      <c r="UGJ33" s="388"/>
      <c r="UGK33" s="388"/>
      <c r="UGL33" s="388"/>
      <c r="UGM33" s="388"/>
      <c r="UGN33" s="388"/>
      <c r="UGO33" s="388"/>
      <c r="UGP33" s="388"/>
      <c r="UGQ33" s="388"/>
      <c r="UGR33" s="388"/>
      <c r="UGS33" s="388"/>
      <c r="UGT33" s="388"/>
      <c r="UGU33" s="388"/>
      <c r="UGV33" s="388"/>
      <c r="UGW33" s="388"/>
      <c r="UGX33" s="388"/>
      <c r="UGY33" s="388"/>
      <c r="UGZ33" s="388"/>
      <c r="UHA33" s="388"/>
      <c r="UHB33" s="388"/>
      <c r="UHC33" s="388"/>
      <c r="UHD33" s="388"/>
      <c r="UHE33" s="388"/>
      <c r="UHF33" s="388"/>
      <c r="UHG33" s="388"/>
      <c r="UHH33" s="388"/>
      <c r="UHI33" s="388"/>
      <c r="UHJ33" s="388"/>
      <c r="UHK33" s="388"/>
      <c r="UHL33" s="388"/>
      <c r="UHM33" s="388"/>
      <c r="UHN33" s="388"/>
      <c r="UHO33" s="388"/>
      <c r="UHP33" s="388"/>
      <c r="UHQ33" s="388"/>
      <c r="UHR33" s="388"/>
      <c r="UHS33" s="388"/>
      <c r="UHT33" s="388"/>
      <c r="UHU33" s="388"/>
      <c r="UHV33" s="388"/>
      <c r="UHW33" s="388"/>
      <c r="UHX33" s="388"/>
      <c r="UHY33" s="388"/>
      <c r="UHZ33" s="388"/>
      <c r="UIA33" s="388"/>
      <c r="UIB33" s="388"/>
      <c r="UIC33" s="388"/>
      <c r="UID33" s="388"/>
      <c r="UIE33" s="388"/>
      <c r="UIF33" s="388"/>
      <c r="UIG33" s="388"/>
      <c r="UIH33" s="388"/>
      <c r="UII33" s="388"/>
      <c r="UIJ33" s="388"/>
      <c r="UIK33" s="388"/>
      <c r="UIL33" s="388"/>
      <c r="UIM33" s="388"/>
      <c r="UIN33" s="388"/>
      <c r="UIO33" s="388"/>
      <c r="UIP33" s="388"/>
      <c r="UIQ33" s="388"/>
      <c r="UIR33" s="388"/>
      <c r="UIS33" s="388"/>
      <c r="UIT33" s="388"/>
      <c r="UIU33" s="388"/>
      <c r="UIV33" s="388"/>
      <c r="UIW33" s="388"/>
      <c r="UIX33" s="388"/>
      <c r="UIY33" s="388"/>
      <c r="UIZ33" s="388"/>
      <c r="UJA33" s="388"/>
      <c r="UJB33" s="388"/>
      <c r="UJC33" s="388"/>
      <c r="UJD33" s="388"/>
      <c r="UJE33" s="388"/>
      <c r="UJF33" s="388"/>
      <c r="UJG33" s="388"/>
      <c r="UJH33" s="388"/>
      <c r="UJI33" s="388"/>
      <c r="UJJ33" s="388"/>
      <c r="UJK33" s="388"/>
      <c r="UJL33" s="388"/>
      <c r="UJM33" s="388"/>
      <c r="UJN33" s="388"/>
      <c r="UJO33" s="388"/>
      <c r="UJP33" s="388"/>
      <c r="UJQ33" s="388"/>
      <c r="UJR33" s="388"/>
      <c r="UJS33" s="388"/>
      <c r="UJT33" s="388"/>
      <c r="UJU33" s="388"/>
      <c r="UJV33" s="388"/>
      <c r="UJW33" s="388"/>
      <c r="UJX33" s="388"/>
      <c r="UJY33" s="388"/>
      <c r="UJZ33" s="388"/>
      <c r="UKA33" s="388"/>
      <c r="UKB33" s="388"/>
      <c r="UKC33" s="388"/>
      <c r="UKD33" s="388"/>
      <c r="UKE33" s="388"/>
      <c r="UKF33" s="388"/>
      <c r="UKG33" s="388"/>
      <c r="UKH33" s="388"/>
      <c r="UKI33" s="388"/>
      <c r="UKJ33" s="388"/>
      <c r="UKK33" s="388"/>
      <c r="UKL33" s="388"/>
      <c r="UKM33" s="388"/>
      <c r="UKN33" s="388"/>
      <c r="UKO33" s="388"/>
      <c r="UKP33" s="388"/>
      <c r="UKQ33" s="388"/>
      <c r="UKR33" s="388"/>
      <c r="UKS33" s="388"/>
      <c r="UKT33" s="388"/>
      <c r="UKU33" s="388"/>
      <c r="UKV33" s="388"/>
      <c r="UKW33" s="388"/>
      <c r="UKX33" s="388"/>
      <c r="UKY33" s="388"/>
      <c r="UKZ33" s="388"/>
      <c r="ULA33" s="388"/>
      <c r="ULB33" s="388"/>
      <c r="ULC33" s="388"/>
      <c r="ULD33" s="388"/>
      <c r="ULE33" s="388"/>
      <c r="ULF33" s="388"/>
      <c r="ULG33" s="388"/>
      <c r="ULH33" s="388"/>
      <c r="ULI33" s="388"/>
      <c r="ULJ33" s="388"/>
      <c r="ULK33" s="388"/>
      <c r="ULL33" s="388"/>
      <c r="ULM33" s="388"/>
      <c r="ULN33" s="388"/>
      <c r="ULO33" s="388"/>
      <c r="ULP33" s="388"/>
      <c r="ULQ33" s="388"/>
      <c r="ULR33" s="388"/>
      <c r="ULS33" s="388"/>
      <c r="ULT33" s="388"/>
      <c r="ULU33" s="388"/>
      <c r="ULV33" s="388"/>
      <c r="ULW33" s="388"/>
      <c r="ULX33" s="388"/>
      <c r="ULY33" s="388"/>
      <c r="ULZ33" s="388"/>
      <c r="UMA33" s="388"/>
      <c r="UMB33" s="388"/>
      <c r="UMC33" s="388"/>
      <c r="UMD33" s="388"/>
      <c r="UME33" s="388"/>
      <c r="UMF33" s="388"/>
      <c r="UMG33" s="388"/>
      <c r="UMH33" s="388"/>
      <c r="UMI33" s="388"/>
      <c r="UMJ33" s="388"/>
      <c r="UMK33" s="388"/>
      <c r="UML33" s="388"/>
      <c r="UMM33" s="388"/>
      <c r="UMN33" s="388"/>
      <c r="UMO33" s="388"/>
      <c r="UMP33" s="388"/>
      <c r="UMQ33" s="388"/>
      <c r="UMR33" s="388"/>
      <c r="UMS33" s="388"/>
      <c r="UMT33" s="388"/>
      <c r="UMU33" s="388"/>
      <c r="UMV33" s="388"/>
      <c r="UMW33" s="388"/>
      <c r="UMX33" s="388"/>
      <c r="UMY33" s="388"/>
      <c r="UMZ33" s="388"/>
      <c r="UNA33" s="388"/>
      <c r="UNB33" s="388"/>
      <c r="UNC33" s="388"/>
      <c r="UND33" s="388"/>
      <c r="UNE33" s="388"/>
      <c r="UNF33" s="388"/>
      <c r="UNG33" s="388"/>
      <c r="UNH33" s="388"/>
      <c r="UNI33" s="388"/>
      <c r="UNJ33" s="388"/>
      <c r="UNK33" s="388"/>
      <c r="UNL33" s="388"/>
      <c r="UNM33" s="388"/>
      <c r="UNN33" s="388"/>
      <c r="UNO33" s="388"/>
      <c r="UNP33" s="388"/>
      <c r="UNQ33" s="388"/>
      <c r="UNR33" s="388"/>
      <c r="UNS33" s="388"/>
      <c r="UNT33" s="388"/>
      <c r="UNU33" s="388"/>
      <c r="UNV33" s="388"/>
      <c r="UNW33" s="388"/>
      <c r="UNX33" s="388"/>
      <c r="UNY33" s="388"/>
      <c r="UNZ33" s="388"/>
      <c r="UOA33" s="388"/>
      <c r="UOB33" s="388"/>
      <c r="UOC33" s="388"/>
      <c r="UOD33" s="388"/>
      <c r="UOE33" s="388"/>
      <c r="UOF33" s="388"/>
      <c r="UOG33" s="388"/>
      <c r="UOH33" s="388"/>
      <c r="UOI33" s="388"/>
      <c r="UOJ33" s="388"/>
      <c r="UOK33" s="388"/>
      <c r="UOL33" s="388"/>
      <c r="UOM33" s="388"/>
      <c r="UON33" s="388"/>
      <c r="UOO33" s="388"/>
      <c r="UOP33" s="388"/>
      <c r="UOQ33" s="388"/>
      <c r="UOR33" s="388"/>
      <c r="UOS33" s="388"/>
      <c r="UOT33" s="388"/>
      <c r="UOU33" s="388"/>
      <c r="UOV33" s="388"/>
      <c r="UOW33" s="388"/>
      <c r="UOX33" s="388"/>
      <c r="UOY33" s="388"/>
      <c r="UOZ33" s="388"/>
      <c r="UPA33" s="388"/>
      <c r="UPB33" s="388"/>
      <c r="UPC33" s="388"/>
      <c r="UPD33" s="388"/>
      <c r="UPE33" s="388"/>
      <c r="UPF33" s="388"/>
      <c r="UPG33" s="388"/>
      <c r="UPH33" s="388"/>
      <c r="UPI33" s="388"/>
      <c r="UPJ33" s="388"/>
      <c r="UPK33" s="388"/>
      <c r="UPL33" s="388"/>
      <c r="UPM33" s="388"/>
      <c r="UPN33" s="388"/>
      <c r="UPO33" s="388"/>
      <c r="UPP33" s="388"/>
      <c r="UPQ33" s="388"/>
      <c r="UPR33" s="388"/>
      <c r="UPS33" s="388"/>
      <c r="UPT33" s="388"/>
      <c r="UPU33" s="388"/>
      <c r="UPV33" s="388"/>
      <c r="UPW33" s="388"/>
      <c r="UPX33" s="388"/>
      <c r="UPY33" s="388"/>
      <c r="UPZ33" s="388"/>
      <c r="UQA33" s="388"/>
      <c r="UQB33" s="388"/>
      <c r="UQC33" s="388"/>
      <c r="UQD33" s="388"/>
      <c r="UQE33" s="388"/>
      <c r="UQF33" s="388"/>
      <c r="UQG33" s="388"/>
      <c r="UQH33" s="388"/>
      <c r="UQI33" s="388"/>
      <c r="UQJ33" s="388"/>
      <c r="UQK33" s="388"/>
      <c r="UQL33" s="388"/>
      <c r="UQM33" s="388"/>
      <c r="UQN33" s="388"/>
      <c r="UQO33" s="388"/>
      <c r="UQP33" s="388"/>
      <c r="UQQ33" s="388"/>
      <c r="UQR33" s="388"/>
      <c r="UQS33" s="388"/>
      <c r="UQT33" s="388"/>
      <c r="UQU33" s="388"/>
      <c r="UQV33" s="388"/>
      <c r="UQW33" s="388"/>
      <c r="UQX33" s="388"/>
      <c r="UQY33" s="388"/>
      <c r="UQZ33" s="388"/>
      <c r="URA33" s="388"/>
      <c r="URB33" s="388"/>
      <c r="URC33" s="388"/>
      <c r="URD33" s="388"/>
      <c r="URE33" s="388"/>
      <c r="URF33" s="388"/>
      <c r="URG33" s="388"/>
      <c r="URH33" s="388"/>
      <c r="URI33" s="388"/>
      <c r="URJ33" s="388"/>
      <c r="URK33" s="388"/>
      <c r="URL33" s="388"/>
      <c r="URM33" s="388"/>
      <c r="URN33" s="388"/>
      <c r="URO33" s="388"/>
      <c r="URP33" s="388"/>
      <c r="URQ33" s="388"/>
      <c r="URR33" s="388"/>
      <c r="URS33" s="388"/>
      <c r="URT33" s="388"/>
      <c r="URU33" s="388"/>
      <c r="URV33" s="388"/>
      <c r="URW33" s="388"/>
      <c r="URX33" s="388"/>
      <c r="URY33" s="388"/>
      <c r="URZ33" s="388"/>
      <c r="USA33" s="388"/>
      <c r="USB33" s="388"/>
      <c r="USC33" s="388"/>
      <c r="USD33" s="388"/>
      <c r="USE33" s="388"/>
      <c r="USF33" s="388"/>
      <c r="USG33" s="388"/>
      <c r="USH33" s="388"/>
      <c r="USI33" s="388"/>
      <c r="USJ33" s="388"/>
      <c r="USK33" s="388"/>
      <c r="USL33" s="388"/>
      <c r="USM33" s="388"/>
      <c r="USN33" s="388"/>
      <c r="USO33" s="388"/>
      <c r="USP33" s="388"/>
      <c r="USQ33" s="388"/>
      <c r="USR33" s="388"/>
      <c r="USS33" s="388"/>
      <c r="UST33" s="388"/>
      <c r="USU33" s="388"/>
      <c r="USV33" s="388"/>
      <c r="USW33" s="388"/>
      <c r="USX33" s="388"/>
      <c r="USY33" s="388"/>
      <c r="USZ33" s="388"/>
      <c r="UTA33" s="388"/>
      <c r="UTB33" s="388"/>
      <c r="UTC33" s="388"/>
      <c r="UTD33" s="388"/>
      <c r="UTE33" s="388"/>
      <c r="UTF33" s="388"/>
      <c r="UTG33" s="388"/>
      <c r="UTH33" s="388"/>
      <c r="UTI33" s="388"/>
      <c r="UTJ33" s="388"/>
      <c r="UTK33" s="388"/>
      <c r="UTL33" s="388"/>
      <c r="UTM33" s="388"/>
      <c r="UTN33" s="388"/>
      <c r="UTO33" s="388"/>
      <c r="UTP33" s="388"/>
      <c r="UTQ33" s="388"/>
      <c r="UTR33" s="388"/>
      <c r="UTS33" s="388"/>
      <c r="UTT33" s="388"/>
      <c r="UTU33" s="388"/>
      <c r="UTV33" s="388"/>
      <c r="UTW33" s="388"/>
      <c r="UTX33" s="388"/>
      <c r="UTY33" s="388"/>
      <c r="UTZ33" s="388"/>
      <c r="UUA33" s="388"/>
      <c r="UUB33" s="388"/>
      <c r="UUC33" s="388"/>
      <c r="UUD33" s="388"/>
      <c r="UUE33" s="388"/>
      <c r="UUF33" s="388"/>
      <c r="UUG33" s="388"/>
      <c r="UUH33" s="388"/>
      <c r="UUI33" s="388"/>
      <c r="UUJ33" s="388"/>
      <c r="UUK33" s="388"/>
      <c r="UUL33" s="388"/>
      <c r="UUM33" s="388"/>
      <c r="UUN33" s="388"/>
      <c r="UUO33" s="388"/>
      <c r="UUP33" s="388"/>
      <c r="UUQ33" s="388"/>
      <c r="UUR33" s="388"/>
      <c r="UUS33" s="388"/>
      <c r="UUT33" s="388"/>
      <c r="UUU33" s="388"/>
      <c r="UUV33" s="388"/>
      <c r="UUW33" s="388"/>
      <c r="UUX33" s="388"/>
      <c r="UUY33" s="388"/>
      <c r="UUZ33" s="388"/>
      <c r="UVA33" s="388"/>
      <c r="UVB33" s="388"/>
      <c r="UVC33" s="388"/>
      <c r="UVD33" s="388"/>
      <c r="UVE33" s="388"/>
      <c r="UVF33" s="388"/>
      <c r="UVG33" s="388"/>
      <c r="UVH33" s="388"/>
      <c r="UVI33" s="388"/>
      <c r="UVJ33" s="388"/>
      <c r="UVK33" s="388"/>
      <c r="UVL33" s="388"/>
      <c r="UVM33" s="388"/>
      <c r="UVN33" s="388"/>
      <c r="UVO33" s="388"/>
      <c r="UVP33" s="388"/>
      <c r="UVQ33" s="388"/>
      <c r="UVR33" s="388"/>
      <c r="UVS33" s="388"/>
      <c r="UVT33" s="388"/>
      <c r="UVU33" s="388"/>
      <c r="UVV33" s="388"/>
      <c r="UVW33" s="388"/>
      <c r="UVX33" s="388"/>
      <c r="UVY33" s="388"/>
      <c r="UVZ33" s="388"/>
      <c r="UWA33" s="388"/>
      <c r="UWB33" s="388"/>
      <c r="UWC33" s="388"/>
      <c r="UWD33" s="388"/>
      <c r="UWE33" s="388"/>
      <c r="UWF33" s="388"/>
      <c r="UWG33" s="388"/>
      <c r="UWH33" s="388"/>
      <c r="UWI33" s="388"/>
      <c r="UWJ33" s="388"/>
      <c r="UWK33" s="388"/>
      <c r="UWL33" s="388"/>
      <c r="UWM33" s="388"/>
      <c r="UWN33" s="388"/>
      <c r="UWO33" s="388"/>
      <c r="UWP33" s="388"/>
      <c r="UWQ33" s="388"/>
      <c r="UWR33" s="388"/>
      <c r="UWS33" s="388"/>
      <c r="UWT33" s="388"/>
      <c r="UWU33" s="388"/>
      <c r="UWV33" s="388"/>
      <c r="UWW33" s="388"/>
      <c r="UWX33" s="388"/>
      <c r="UWY33" s="388"/>
      <c r="UWZ33" s="388"/>
      <c r="UXA33" s="388"/>
      <c r="UXB33" s="388"/>
      <c r="UXC33" s="388"/>
      <c r="UXD33" s="388"/>
      <c r="UXE33" s="388"/>
      <c r="UXF33" s="388"/>
      <c r="UXG33" s="388"/>
      <c r="UXH33" s="388"/>
      <c r="UXI33" s="388"/>
      <c r="UXJ33" s="388"/>
      <c r="UXK33" s="388"/>
      <c r="UXL33" s="388"/>
      <c r="UXM33" s="388"/>
      <c r="UXN33" s="388"/>
      <c r="UXO33" s="388"/>
      <c r="UXP33" s="388"/>
      <c r="UXQ33" s="388"/>
      <c r="UXR33" s="388"/>
      <c r="UXS33" s="388"/>
      <c r="UXT33" s="388"/>
      <c r="UXU33" s="388"/>
      <c r="UXV33" s="388"/>
      <c r="UXW33" s="388"/>
      <c r="UXX33" s="388"/>
      <c r="UXY33" s="388"/>
      <c r="UXZ33" s="388"/>
      <c r="UYA33" s="388"/>
      <c r="UYB33" s="388"/>
      <c r="UYC33" s="388"/>
      <c r="UYD33" s="388"/>
      <c r="UYE33" s="388"/>
      <c r="UYF33" s="388"/>
      <c r="UYG33" s="388"/>
      <c r="UYH33" s="388"/>
      <c r="UYI33" s="388"/>
      <c r="UYJ33" s="388"/>
      <c r="UYK33" s="388"/>
      <c r="UYL33" s="388"/>
      <c r="UYM33" s="388"/>
      <c r="UYN33" s="388"/>
      <c r="UYO33" s="388"/>
      <c r="UYP33" s="388"/>
      <c r="UYQ33" s="388"/>
      <c r="UYR33" s="388"/>
      <c r="UYS33" s="388"/>
      <c r="UYT33" s="388"/>
      <c r="UYU33" s="388"/>
      <c r="UYV33" s="388"/>
      <c r="UYW33" s="388"/>
      <c r="UYX33" s="388"/>
      <c r="UYY33" s="388"/>
      <c r="UYZ33" s="388"/>
      <c r="UZA33" s="388"/>
      <c r="UZB33" s="388"/>
      <c r="UZC33" s="388"/>
      <c r="UZD33" s="388"/>
      <c r="UZE33" s="388"/>
      <c r="UZF33" s="388"/>
      <c r="UZG33" s="388"/>
      <c r="UZH33" s="388"/>
      <c r="UZI33" s="388"/>
      <c r="UZJ33" s="388"/>
      <c r="UZK33" s="388"/>
      <c r="UZL33" s="388"/>
      <c r="UZM33" s="388"/>
      <c r="UZN33" s="388"/>
      <c r="UZO33" s="388"/>
      <c r="UZP33" s="388"/>
      <c r="UZQ33" s="388"/>
      <c r="UZR33" s="388"/>
      <c r="UZS33" s="388"/>
      <c r="UZT33" s="388"/>
      <c r="UZU33" s="388"/>
      <c r="UZV33" s="388"/>
      <c r="UZW33" s="388"/>
      <c r="UZX33" s="388"/>
      <c r="UZY33" s="388"/>
      <c r="UZZ33" s="388"/>
      <c r="VAA33" s="388"/>
      <c r="VAB33" s="388"/>
      <c r="VAC33" s="388"/>
      <c r="VAD33" s="388"/>
      <c r="VAE33" s="388"/>
      <c r="VAF33" s="388"/>
      <c r="VAG33" s="388"/>
      <c r="VAH33" s="388"/>
      <c r="VAI33" s="388"/>
      <c r="VAJ33" s="388"/>
      <c r="VAK33" s="388"/>
      <c r="VAL33" s="388"/>
      <c r="VAM33" s="388"/>
      <c r="VAN33" s="388"/>
      <c r="VAO33" s="388"/>
      <c r="VAP33" s="388"/>
      <c r="VAQ33" s="388"/>
      <c r="VAR33" s="388"/>
      <c r="VAS33" s="388"/>
      <c r="VAT33" s="388"/>
      <c r="VAU33" s="388"/>
      <c r="VAV33" s="388"/>
      <c r="VAW33" s="388"/>
      <c r="VAX33" s="388"/>
      <c r="VAY33" s="388"/>
      <c r="VAZ33" s="388"/>
      <c r="VBA33" s="388"/>
      <c r="VBB33" s="388"/>
      <c r="VBC33" s="388"/>
      <c r="VBD33" s="388"/>
      <c r="VBE33" s="388"/>
      <c r="VBF33" s="388"/>
      <c r="VBG33" s="388"/>
      <c r="VBH33" s="388"/>
      <c r="VBI33" s="388"/>
      <c r="VBJ33" s="388"/>
      <c r="VBK33" s="388"/>
      <c r="VBL33" s="388"/>
      <c r="VBM33" s="388"/>
      <c r="VBN33" s="388"/>
      <c r="VBO33" s="388"/>
      <c r="VBP33" s="388"/>
      <c r="VBQ33" s="388"/>
      <c r="VBR33" s="388"/>
      <c r="VBS33" s="388"/>
      <c r="VBT33" s="388"/>
      <c r="VBU33" s="388"/>
      <c r="VBV33" s="388"/>
      <c r="VBW33" s="388"/>
      <c r="VBX33" s="388"/>
      <c r="VBY33" s="388"/>
      <c r="VBZ33" s="388"/>
      <c r="VCA33" s="388"/>
      <c r="VCB33" s="388"/>
      <c r="VCC33" s="388"/>
      <c r="VCD33" s="388"/>
      <c r="VCE33" s="388"/>
      <c r="VCF33" s="388"/>
      <c r="VCG33" s="388"/>
      <c r="VCH33" s="388"/>
      <c r="VCI33" s="388"/>
      <c r="VCJ33" s="388"/>
      <c r="VCK33" s="388"/>
      <c r="VCL33" s="388"/>
      <c r="VCM33" s="388"/>
      <c r="VCN33" s="388"/>
      <c r="VCO33" s="388"/>
      <c r="VCP33" s="388"/>
      <c r="VCQ33" s="388"/>
      <c r="VCR33" s="388"/>
      <c r="VCS33" s="388"/>
      <c r="VCT33" s="388"/>
      <c r="VCU33" s="388"/>
      <c r="VCV33" s="388"/>
      <c r="VCW33" s="388"/>
      <c r="VCX33" s="388"/>
      <c r="VCY33" s="388"/>
      <c r="VCZ33" s="388"/>
      <c r="VDA33" s="388"/>
      <c r="VDB33" s="388"/>
      <c r="VDC33" s="388"/>
      <c r="VDD33" s="388"/>
      <c r="VDE33" s="388"/>
      <c r="VDF33" s="388"/>
      <c r="VDG33" s="388"/>
      <c r="VDH33" s="388"/>
      <c r="VDI33" s="388"/>
      <c r="VDJ33" s="388"/>
      <c r="VDK33" s="388"/>
      <c r="VDL33" s="388"/>
      <c r="VDM33" s="388"/>
      <c r="VDN33" s="388"/>
      <c r="VDO33" s="388"/>
      <c r="VDP33" s="388"/>
      <c r="VDQ33" s="388"/>
      <c r="VDR33" s="388"/>
      <c r="VDS33" s="388"/>
      <c r="VDT33" s="388"/>
      <c r="VDU33" s="388"/>
      <c r="VDV33" s="388"/>
      <c r="VDW33" s="388"/>
      <c r="VDX33" s="388"/>
      <c r="VDY33" s="388"/>
      <c r="VDZ33" s="388"/>
      <c r="VEA33" s="388"/>
      <c r="VEB33" s="388"/>
      <c r="VEC33" s="388"/>
      <c r="VED33" s="388"/>
      <c r="VEE33" s="388"/>
      <c r="VEF33" s="388"/>
      <c r="VEG33" s="388"/>
      <c r="VEH33" s="388"/>
      <c r="VEI33" s="388"/>
      <c r="VEJ33" s="388"/>
      <c r="VEK33" s="388"/>
      <c r="VEL33" s="388"/>
      <c r="VEM33" s="388"/>
      <c r="VEN33" s="388"/>
      <c r="VEO33" s="388"/>
      <c r="VEP33" s="388"/>
      <c r="VEQ33" s="388"/>
      <c r="VER33" s="388"/>
      <c r="VES33" s="388"/>
      <c r="VET33" s="388"/>
      <c r="VEU33" s="388"/>
      <c r="VEV33" s="388"/>
      <c r="VEW33" s="388"/>
      <c r="VEX33" s="388"/>
      <c r="VEY33" s="388"/>
      <c r="VEZ33" s="388"/>
      <c r="VFA33" s="388"/>
      <c r="VFB33" s="388"/>
      <c r="VFC33" s="388"/>
      <c r="VFD33" s="388"/>
      <c r="VFE33" s="388"/>
      <c r="VFF33" s="388"/>
      <c r="VFG33" s="388"/>
      <c r="VFH33" s="388"/>
      <c r="VFI33" s="388"/>
      <c r="VFJ33" s="388"/>
      <c r="VFK33" s="388"/>
      <c r="VFL33" s="388"/>
      <c r="VFM33" s="388"/>
      <c r="VFN33" s="388"/>
      <c r="VFO33" s="388"/>
      <c r="VFP33" s="388"/>
      <c r="VFQ33" s="388"/>
      <c r="VFR33" s="388"/>
      <c r="VFS33" s="388"/>
      <c r="VFT33" s="388"/>
      <c r="VFU33" s="388"/>
      <c r="VFV33" s="388"/>
      <c r="VFW33" s="388"/>
      <c r="VFX33" s="388"/>
      <c r="VFY33" s="388"/>
      <c r="VFZ33" s="388"/>
      <c r="VGA33" s="388"/>
      <c r="VGB33" s="388"/>
      <c r="VGC33" s="388"/>
      <c r="VGD33" s="388"/>
      <c r="VGE33" s="388"/>
      <c r="VGF33" s="388"/>
      <c r="VGG33" s="388"/>
      <c r="VGH33" s="388"/>
      <c r="VGI33" s="388"/>
      <c r="VGJ33" s="388"/>
      <c r="VGK33" s="388"/>
      <c r="VGL33" s="388"/>
      <c r="VGM33" s="388"/>
      <c r="VGN33" s="388"/>
      <c r="VGO33" s="388"/>
      <c r="VGP33" s="388"/>
      <c r="VGQ33" s="388"/>
      <c r="VGR33" s="388"/>
      <c r="VGS33" s="388"/>
      <c r="VGT33" s="388"/>
      <c r="VGU33" s="388"/>
      <c r="VGV33" s="388"/>
      <c r="VGW33" s="388"/>
      <c r="VGX33" s="388"/>
      <c r="VGY33" s="388"/>
      <c r="VGZ33" s="388"/>
      <c r="VHA33" s="388"/>
      <c r="VHB33" s="388"/>
      <c r="VHC33" s="388"/>
      <c r="VHD33" s="388"/>
      <c r="VHE33" s="388"/>
      <c r="VHF33" s="388"/>
      <c r="VHG33" s="388"/>
      <c r="VHH33" s="388"/>
      <c r="VHI33" s="388"/>
      <c r="VHJ33" s="388"/>
      <c r="VHK33" s="388"/>
      <c r="VHL33" s="388"/>
      <c r="VHM33" s="388"/>
      <c r="VHN33" s="388"/>
      <c r="VHO33" s="388"/>
      <c r="VHP33" s="388"/>
      <c r="VHQ33" s="388"/>
      <c r="VHR33" s="388"/>
      <c r="VHS33" s="388"/>
      <c r="VHT33" s="388"/>
      <c r="VHU33" s="388"/>
      <c r="VHV33" s="388"/>
      <c r="VHW33" s="388"/>
      <c r="VHX33" s="388"/>
      <c r="VHY33" s="388"/>
      <c r="VHZ33" s="388"/>
      <c r="VIA33" s="388"/>
      <c r="VIB33" s="388"/>
      <c r="VIC33" s="388"/>
      <c r="VID33" s="388"/>
      <c r="VIE33" s="388"/>
      <c r="VIF33" s="388"/>
      <c r="VIG33" s="388"/>
      <c r="VIH33" s="388"/>
      <c r="VII33" s="388"/>
      <c r="VIJ33" s="388"/>
      <c r="VIK33" s="388"/>
      <c r="VIL33" s="388"/>
      <c r="VIM33" s="388"/>
      <c r="VIN33" s="388"/>
      <c r="VIO33" s="388"/>
      <c r="VIP33" s="388"/>
      <c r="VIQ33" s="388"/>
      <c r="VIR33" s="388"/>
      <c r="VIS33" s="388"/>
      <c r="VIT33" s="388"/>
      <c r="VIU33" s="388"/>
      <c r="VIV33" s="388"/>
      <c r="VIW33" s="388"/>
      <c r="VIX33" s="388"/>
      <c r="VIY33" s="388"/>
      <c r="VIZ33" s="388"/>
      <c r="VJA33" s="388"/>
      <c r="VJB33" s="388"/>
      <c r="VJC33" s="388"/>
      <c r="VJD33" s="388"/>
      <c r="VJE33" s="388"/>
      <c r="VJF33" s="388"/>
      <c r="VJG33" s="388"/>
      <c r="VJH33" s="388"/>
      <c r="VJI33" s="388"/>
      <c r="VJJ33" s="388"/>
      <c r="VJK33" s="388"/>
      <c r="VJL33" s="388"/>
      <c r="VJM33" s="388"/>
      <c r="VJN33" s="388"/>
      <c r="VJO33" s="388"/>
      <c r="VJP33" s="388"/>
      <c r="VJQ33" s="388"/>
      <c r="VJR33" s="388"/>
      <c r="VJS33" s="388"/>
      <c r="VJT33" s="388"/>
      <c r="VJU33" s="388"/>
      <c r="VJV33" s="388"/>
      <c r="VJW33" s="388"/>
      <c r="VJX33" s="388"/>
      <c r="VJY33" s="388"/>
      <c r="VJZ33" s="388"/>
      <c r="VKA33" s="388"/>
      <c r="VKB33" s="388"/>
      <c r="VKC33" s="388"/>
      <c r="VKD33" s="388"/>
      <c r="VKE33" s="388"/>
      <c r="VKF33" s="388"/>
      <c r="VKG33" s="388"/>
      <c r="VKH33" s="388"/>
      <c r="VKI33" s="388"/>
      <c r="VKJ33" s="388"/>
      <c r="VKK33" s="388"/>
      <c r="VKL33" s="388"/>
      <c r="VKM33" s="388"/>
      <c r="VKN33" s="388"/>
      <c r="VKO33" s="388"/>
      <c r="VKP33" s="388"/>
      <c r="VKQ33" s="388"/>
      <c r="VKR33" s="388"/>
      <c r="VKS33" s="388"/>
      <c r="VKT33" s="388"/>
      <c r="VKU33" s="388"/>
      <c r="VKV33" s="388"/>
      <c r="VKW33" s="388"/>
      <c r="VKX33" s="388"/>
      <c r="VKY33" s="388"/>
      <c r="VKZ33" s="388"/>
      <c r="VLA33" s="388"/>
      <c r="VLB33" s="388"/>
      <c r="VLC33" s="388"/>
      <c r="VLD33" s="388"/>
      <c r="VLE33" s="388"/>
      <c r="VLF33" s="388"/>
      <c r="VLG33" s="388"/>
      <c r="VLH33" s="388"/>
      <c r="VLI33" s="388"/>
      <c r="VLJ33" s="388"/>
      <c r="VLK33" s="388"/>
      <c r="VLL33" s="388"/>
      <c r="VLM33" s="388"/>
      <c r="VLN33" s="388"/>
      <c r="VLO33" s="388"/>
      <c r="VLP33" s="388"/>
      <c r="VLQ33" s="388"/>
      <c r="VLR33" s="388"/>
      <c r="VLS33" s="388"/>
      <c r="VLT33" s="388"/>
      <c r="VLU33" s="388"/>
      <c r="VLV33" s="388"/>
      <c r="VLW33" s="388"/>
      <c r="VLX33" s="388"/>
      <c r="VLY33" s="388"/>
      <c r="VLZ33" s="388"/>
      <c r="VMA33" s="388"/>
      <c r="VMB33" s="388"/>
      <c r="VMC33" s="388"/>
      <c r="VMD33" s="388"/>
      <c r="VME33" s="388"/>
      <c r="VMF33" s="388"/>
      <c r="VMG33" s="388"/>
      <c r="VMH33" s="388"/>
      <c r="VMI33" s="388"/>
      <c r="VMJ33" s="388"/>
      <c r="VMK33" s="388"/>
      <c r="VML33" s="388"/>
      <c r="VMM33" s="388"/>
      <c r="VMN33" s="388"/>
      <c r="VMO33" s="388"/>
      <c r="VMP33" s="388"/>
      <c r="VMQ33" s="388"/>
      <c r="VMR33" s="388"/>
      <c r="VMS33" s="388"/>
      <c r="VMT33" s="388"/>
      <c r="VMU33" s="388"/>
      <c r="VMV33" s="388"/>
      <c r="VMW33" s="388"/>
      <c r="VMX33" s="388"/>
      <c r="VMY33" s="388"/>
      <c r="VMZ33" s="388"/>
      <c r="VNA33" s="388"/>
      <c r="VNB33" s="388"/>
      <c r="VNC33" s="388"/>
      <c r="VND33" s="388"/>
      <c r="VNE33" s="388"/>
      <c r="VNF33" s="388"/>
      <c r="VNG33" s="388"/>
      <c r="VNH33" s="388"/>
      <c r="VNI33" s="388"/>
      <c r="VNJ33" s="388"/>
      <c r="VNK33" s="388"/>
      <c r="VNL33" s="388"/>
      <c r="VNM33" s="388"/>
      <c r="VNN33" s="388"/>
      <c r="VNO33" s="388"/>
      <c r="VNP33" s="388"/>
      <c r="VNQ33" s="388"/>
      <c r="VNR33" s="388"/>
      <c r="VNS33" s="388"/>
      <c r="VNT33" s="388"/>
      <c r="VNU33" s="388"/>
      <c r="VNV33" s="388"/>
      <c r="VNW33" s="388"/>
      <c r="VNX33" s="388"/>
      <c r="VNY33" s="388"/>
      <c r="VNZ33" s="388"/>
      <c r="VOA33" s="388"/>
      <c r="VOB33" s="388"/>
      <c r="VOC33" s="388"/>
      <c r="VOD33" s="388"/>
      <c r="VOE33" s="388"/>
      <c r="VOF33" s="388"/>
      <c r="VOG33" s="388"/>
      <c r="VOH33" s="388"/>
      <c r="VOI33" s="388"/>
      <c r="VOJ33" s="388"/>
      <c r="VOK33" s="388"/>
      <c r="VOL33" s="388"/>
      <c r="VOM33" s="388"/>
      <c r="VON33" s="388"/>
      <c r="VOO33" s="388"/>
      <c r="VOP33" s="388"/>
      <c r="VOQ33" s="388"/>
      <c r="VOR33" s="388"/>
      <c r="VOS33" s="388"/>
      <c r="VOT33" s="388"/>
      <c r="VOU33" s="388"/>
      <c r="VOV33" s="388"/>
      <c r="VOW33" s="388"/>
      <c r="VOX33" s="388"/>
      <c r="VOY33" s="388"/>
      <c r="VOZ33" s="388"/>
      <c r="VPA33" s="388"/>
      <c r="VPB33" s="388"/>
      <c r="VPC33" s="388"/>
      <c r="VPD33" s="388"/>
      <c r="VPE33" s="388"/>
      <c r="VPF33" s="388"/>
      <c r="VPG33" s="388"/>
      <c r="VPH33" s="388"/>
      <c r="VPI33" s="388"/>
      <c r="VPJ33" s="388"/>
      <c r="VPK33" s="388"/>
      <c r="VPL33" s="388"/>
      <c r="VPM33" s="388"/>
      <c r="VPN33" s="388"/>
      <c r="VPO33" s="388"/>
      <c r="VPP33" s="388"/>
      <c r="VPQ33" s="388"/>
      <c r="VPR33" s="388"/>
      <c r="VPS33" s="388"/>
      <c r="VPT33" s="388"/>
      <c r="VPU33" s="388"/>
      <c r="VPV33" s="388"/>
      <c r="VPW33" s="388"/>
      <c r="VPX33" s="388"/>
      <c r="VPY33" s="388"/>
      <c r="VPZ33" s="388"/>
      <c r="VQA33" s="388"/>
      <c r="VQB33" s="388"/>
      <c r="VQC33" s="388"/>
      <c r="VQD33" s="388"/>
      <c r="VQE33" s="388"/>
      <c r="VQF33" s="388"/>
      <c r="VQG33" s="388"/>
      <c r="VQH33" s="388"/>
      <c r="VQI33" s="388"/>
      <c r="VQJ33" s="388"/>
      <c r="VQK33" s="388"/>
      <c r="VQL33" s="388"/>
      <c r="VQM33" s="388"/>
      <c r="VQN33" s="388"/>
      <c r="VQO33" s="388"/>
      <c r="VQP33" s="388"/>
      <c r="VQQ33" s="388"/>
      <c r="VQR33" s="388"/>
      <c r="VQS33" s="388"/>
      <c r="VQT33" s="388"/>
      <c r="VQU33" s="388"/>
      <c r="VQV33" s="388"/>
      <c r="VQW33" s="388"/>
      <c r="VQX33" s="388"/>
      <c r="VQY33" s="388"/>
      <c r="VQZ33" s="388"/>
      <c r="VRA33" s="388"/>
      <c r="VRB33" s="388"/>
      <c r="VRC33" s="388"/>
      <c r="VRD33" s="388"/>
      <c r="VRE33" s="388"/>
      <c r="VRF33" s="388"/>
      <c r="VRG33" s="388"/>
      <c r="VRH33" s="388"/>
      <c r="VRI33" s="388"/>
      <c r="VRJ33" s="388"/>
      <c r="VRK33" s="388"/>
      <c r="VRL33" s="388"/>
      <c r="VRM33" s="388"/>
      <c r="VRN33" s="388"/>
      <c r="VRO33" s="388"/>
      <c r="VRP33" s="388"/>
      <c r="VRQ33" s="388"/>
      <c r="VRR33" s="388"/>
      <c r="VRS33" s="388"/>
      <c r="VRT33" s="388"/>
      <c r="VRU33" s="388"/>
      <c r="VRV33" s="388"/>
      <c r="VRW33" s="388"/>
      <c r="VRX33" s="388"/>
      <c r="VRY33" s="388"/>
      <c r="VRZ33" s="388"/>
      <c r="VSA33" s="388"/>
      <c r="VSB33" s="388"/>
      <c r="VSC33" s="388"/>
      <c r="VSD33" s="388"/>
      <c r="VSE33" s="388"/>
      <c r="VSF33" s="388"/>
      <c r="VSG33" s="388"/>
      <c r="VSH33" s="388"/>
      <c r="VSI33" s="388"/>
      <c r="VSJ33" s="388"/>
      <c r="VSK33" s="388"/>
      <c r="VSL33" s="388"/>
      <c r="VSM33" s="388"/>
      <c r="VSN33" s="388"/>
      <c r="VSO33" s="388"/>
      <c r="VSP33" s="388"/>
      <c r="VSQ33" s="388"/>
      <c r="VSR33" s="388"/>
      <c r="VSS33" s="388"/>
      <c r="VST33" s="388"/>
      <c r="VSU33" s="388"/>
      <c r="VSV33" s="388"/>
      <c r="VSW33" s="388"/>
      <c r="VSX33" s="388"/>
      <c r="VSY33" s="388"/>
      <c r="VSZ33" s="388"/>
      <c r="VTA33" s="388"/>
      <c r="VTB33" s="388"/>
      <c r="VTC33" s="388"/>
      <c r="VTD33" s="388"/>
      <c r="VTE33" s="388"/>
      <c r="VTF33" s="388"/>
      <c r="VTG33" s="388"/>
      <c r="VTH33" s="388"/>
      <c r="VTI33" s="388"/>
      <c r="VTJ33" s="388"/>
      <c r="VTK33" s="388"/>
      <c r="VTL33" s="388"/>
      <c r="VTM33" s="388"/>
      <c r="VTN33" s="388"/>
      <c r="VTO33" s="388"/>
      <c r="VTP33" s="388"/>
      <c r="VTQ33" s="388"/>
      <c r="VTR33" s="388"/>
      <c r="VTS33" s="388"/>
      <c r="VTT33" s="388"/>
      <c r="VTU33" s="388"/>
      <c r="VTV33" s="388"/>
      <c r="VTW33" s="388"/>
      <c r="VTX33" s="388"/>
      <c r="VTY33" s="388"/>
      <c r="VTZ33" s="388"/>
      <c r="VUA33" s="388"/>
      <c r="VUB33" s="388"/>
      <c r="VUC33" s="388"/>
      <c r="VUD33" s="388"/>
      <c r="VUE33" s="388"/>
      <c r="VUF33" s="388"/>
      <c r="VUG33" s="388"/>
      <c r="VUH33" s="388"/>
      <c r="VUI33" s="388"/>
      <c r="VUJ33" s="388"/>
      <c r="VUK33" s="388"/>
      <c r="VUL33" s="388"/>
      <c r="VUM33" s="388"/>
      <c r="VUN33" s="388"/>
      <c r="VUO33" s="388"/>
      <c r="VUP33" s="388"/>
      <c r="VUQ33" s="388"/>
      <c r="VUR33" s="388"/>
      <c r="VUS33" s="388"/>
      <c r="VUT33" s="388"/>
      <c r="VUU33" s="388"/>
      <c r="VUV33" s="388"/>
      <c r="VUW33" s="388"/>
      <c r="VUX33" s="388"/>
      <c r="VUY33" s="388"/>
      <c r="VUZ33" s="388"/>
      <c r="VVA33" s="388"/>
      <c r="VVB33" s="388"/>
      <c r="VVC33" s="388"/>
      <c r="VVD33" s="388"/>
      <c r="VVE33" s="388"/>
      <c r="VVF33" s="388"/>
      <c r="VVG33" s="388"/>
      <c r="VVH33" s="388"/>
      <c r="VVI33" s="388"/>
      <c r="VVJ33" s="388"/>
      <c r="VVK33" s="388"/>
      <c r="VVL33" s="388"/>
      <c r="VVM33" s="388"/>
      <c r="VVN33" s="388"/>
      <c r="VVO33" s="388"/>
      <c r="VVP33" s="388"/>
      <c r="VVQ33" s="388"/>
      <c r="VVR33" s="388"/>
      <c r="VVS33" s="388"/>
      <c r="VVT33" s="388"/>
      <c r="VVU33" s="388"/>
      <c r="VVV33" s="388"/>
      <c r="VVW33" s="388"/>
      <c r="VVX33" s="388"/>
      <c r="VVY33" s="388"/>
      <c r="VVZ33" s="388"/>
      <c r="VWA33" s="388"/>
      <c r="VWB33" s="388"/>
      <c r="VWC33" s="388"/>
      <c r="VWD33" s="388"/>
      <c r="VWE33" s="388"/>
      <c r="VWF33" s="388"/>
      <c r="VWG33" s="388"/>
      <c r="VWH33" s="388"/>
      <c r="VWI33" s="388"/>
      <c r="VWJ33" s="388"/>
      <c r="VWK33" s="388"/>
      <c r="VWL33" s="388"/>
      <c r="VWM33" s="388"/>
      <c r="VWN33" s="388"/>
      <c r="VWO33" s="388"/>
      <c r="VWP33" s="388"/>
      <c r="VWQ33" s="388"/>
      <c r="VWR33" s="388"/>
      <c r="VWS33" s="388"/>
      <c r="VWT33" s="388"/>
      <c r="VWU33" s="388"/>
      <c r="VWV33" s="388"/>
      <c r="VWW33" s="388"/>
      <c r="VWX33" s="388"/>
      <c r="VWY33" s="388"/>
      <c r="VWZ33" s="388"/>
      <c r="VXA33" s="388"/>
      <c r="VXB33" s="388"/>
      <c r="VXC33" s="388"/>
      <c r="VXD33" s="388"/>
      <c r="VXE33" s="388"/>
      <c r="VXF33" s="388"/>
      <c r="VXG33" s="388"/>
      <c r="VXH33" s="388"/>
      <c r="VXI33" s="388"/>
      <c r="VXJ33" s="388"/>
      <c r="VXK33" s="388"/>
      <c r="VXL33" s="388"/>
      <c r="VXM33" s="388"/>
      <c r="VXN33" s="388"/>
      <c r="VXO33" s="388"/>
      <c r="VXP33" s="388"/>
      <c r="VXQ33" s="388"/>
      <c r="VXR33" s="388"/>
      <c r="VXS33" s="388"/>
      <c r="VXT33" s="388"/>
      <c r="VXU33" s="388"/>
      <c r="VXV33" s="388"/>
      <c r="VXW33" s="388"/>
      <c r="VXX33" s="388"/>
      <c r="VXY33" s="388"/>
      <c r="VXZ33" s="388"/>
      <c r="VYA33" s="388"/>
      <c r="VYB33" s="388"/>
      <c r="VYC33" s="388"/>
      <c r="VYD33" s="388"/>
      <c r="VYE33" s="388"/>
      <c r="VYF33" s="388"/>
      <c r="VYG33" s="388"/>
      <c r="VYH33" s="388"/>
      <c r="VYI33" s="388"/>
      <c r="VYJ33" s="388"/>
      <c r="VYK33" s="388"/>
      <c r="VYL33" s="388"/>
      <c r="VYM33" s="388"/>
      <c r="VYN33" s="388"/>
      <c r="VYO33" s="388"/>
      <c r="VYP33" s="388"/>
      <c r="VYQ33" s="388"/>
      <c r="VYR33" s="388"/>
      <c r="VYS33" s="388"/>
      <c r="VYT33" s="388"/>
      <c r="VYU33" s="388"/>
      <c r="VYV33" s="388"/>
      <c r="VYW33" s="388"/>
      <c r="VYX33" s="388"/>
      <c r="VYY33" s="388"/>
      <c r="VYZ33" s="388"/>
      <c r="VZA33" s="388"/>
      <c r="VZB33" s="388"/>
      <c r="VZC33" s="388"/>
      <c r="VZD33" s="388"/>
      <c r="VZE33" s="388"/>
      <c r="VZF33" s="388"/>
      <c r="VZG33" s="388"/>
      <c r="VZH33" s="388"/>
      <c r="VZI33" s="388"/>
      <c r="VZJ33" s="388"/>
      <c r="VZK33" s="388"/>
      <c r="VZL33" s="388"/>
      <c r="VZM33" s="388"/>
      <c r="VZN33" s="388"/>
      <c r="VZO33" s="388"/>
      <c r="VZP33" s="388"/>
      <c r="VZQ33" s="388"/>
      <c r="VZR33" s="388"/>
      <c r="VZS33" s="388"/>
      <c r="VZT33" s="388"/>
      <c r="VZU33" s="388"/>
      <c r="VZV33" s="388"/>
      <c r="VZW33" s="388"/>
      <c r="VZX33" s="388"/>
      <c r="VZY33" s="388"/>
      <c r="VZZ33" s="388"/>
      <c r="WAA33" s="388"/>
      <c r="WAB33" s="388"/>
      <c r="WAC33" s="388"/>
      <c r="WAD33" s="388"/>
      <c r="WAE33" s="388"/>
      <c r="WAF33" s="388"/>
      <c r="WAG33" s="388"/>
      <c r="WAH33" s="388"/>
      <c r="WAI33" s="388"/>
      <c r="WAJ33" s="388"/>
      <c r="WAK33" s="388"/>
      <c r="WAL33" s="388"/>
      <c r="WAM33" s="388"/>
      <c r="WAN33" s="388"/>
      <c r="WAO33" s="388"/>
      <c r="WAP33" s="388"/>
      <c r="WAQ33" s="388"/>
      <c r="WAR33" s="388"/>
      <c r="WAS33" s="388"/>
      <c r="WAT33" s="388"/>
      <c r="WAU33" s="388"/>
      <c r="WAV33" s="388"/>
      <c r="WAW33" s="388"/>
      <c r="WAX33" s="388"/>
      <c r="WAY33" s="388"/>
      <c r="WAZ33" s="388"/>
      <c r="WBA33" s="388"/>
      <c r="WBB33" s="388"/>
      <c r="WBC33" s="388"/>
      <c r="WBD33" s="388"/>
      <c r="WBE33" s="388"/>
      <c r="WBF33" s="388"/>
      <c r="WBG33" s="388"/>
      <c r="WBH33" s="388"/>
      <c r="WBI33" s="388"/>
      <c r="WBJ33" s="388"/>
      <c r="WBK33" s="388"/>
      <c r="WBL33" s="388"/>
      <c r="WBM33" s="388"/>
      <c r="WBN33" s="388"/>
      <c r="WBO33" s="388"/>
      <c r="WBP33" s="388"/>
      <c r="WBQ33" s="388"/>
      <c r="WBR33" s="388"/>
      <c r="WBS33" s="388"/>
      <c r="WBT33" s="388"/>
      <c r="WBU33" s="388"/>
      <c r="WBV33" s="388"/>
      <c r="WBW33" s="388"/>
      <c r="WBX33" s="388"/>
      <c r="WBY33" s="388"/>
      <c r="WBZ33" s="388"/>
      <c r="WCA33" s="388"/>
      <c r="WCB33" s="388"/>
      <c r="WCC33" s="388"/>
      <c r="WCD33" s="388"/>
      <c r="WCE33" s="388"/>
      <c r="WCF33" s="388"/>
      <c r="WCG33" s="388"/>
      <c r="WCH33" s="388"/>
      <c r="WCI33" s="388"/>
      <c r="WCJ33" s="388"/>
      <c r="WCK33" s="388"/>
      <c r="WCL33" s="388"/>
      <c r="WCM33" s="388"/>
      <c r="WCN33" s="388"/>
      <c r="WCO33" s="388"/>
      <c r="WCP33" s="388"/>
      <c r="WCQ33" s="388"/>
      <c r="WCR33" s="388"/>
      <c r="WCS33" s="388"/>
      <c r="WCT33" s="388"/>
      <c r="WCU33" s="388"/>
      <c r="WCV33" s="388"/>
      <c r="WCW33" s="388"/>
      <c r="WCX33" s="388"/>
      <c r="WCY33" s="388"/>
      <c r="WCZ33" s="388"/>
      <c r="WDA33" s="388"/>
      <c r="WDB33" s="388"/>
      <c r="WDC33" s="388"/>
      <c r="WDD33" s="388"/>
      <c r="WDE33" s="388"/>
      <c r="WDF33" s="388"/>
      <c r="WDG33" s="388"/>
      <c r="WDH33" s="388"/>
      <c r="WDI33" s="388"/>
      <c r="WDJ33" s="388"/>
      <c r="WDK33" s="388"/>
      <c r="WDL33" s="388"/>
      <c r="WDM33" s="388"/>
      <c r="WDN33" s="388"/>
      <c r="WDO33" s="388"/>
      <c r="WDP33" s="388"/>
      <c r="WDQ33" s="388"/>
      <c r="WDR33" s="388"/>
      <c r="WDS33" s="388"/>
      <c r="WDT33" s="388"/>
      <c r="WDU33" s="388"/>
      <c r="WDV33" s="388"/>
      <c r="WDW33" s="388"/>
      <c r="WDX33" s="388"/>
      <c r="WDY33" s="388"/>
      <c r="WDZ33" s="388"/>
      <c r="WEA33" s="388"/>
      <c r="WEB33" s="388"/>
      <c r="WEC33" s="388"/>
      <c r="WED33" s="388"/>
      <c r="WEE33" s="388"/>
      <c r="WEF33" s="388"/>
      <c r="WEG33" s="388"/>
      <c r="WEH33" s="388"/>
      <c r="WEI33" s="388"/>
      <c r="WEJ33" s="388"/>
      <c r="WEK33" s="388"/>
      <c r="WEL33" s="388"/>
      <c r="WEM33" s="388"/>
      <c r="WEN33" s="388"/>
      <c r="WEO33" s="388"/>
      <c r="WEP33" s="388"/>
      <c r="WEQ33" s="388"/>
      <c r="WER33" s="388"/>
      <c r="WES33" s="388"/>
      <c r="WET33" s="388"/>
      <c r="WEU33" s="388"/>
      <c r="WEV33" s="388"/>
      <c r="WEW33" s="388"/>
      <c r="WEX33" s="388"/>
      <c r="WEY33" s="388"/>
      <c r="WEZ33" s="388"/>
      <c r="WFA33" s="388"/>
      <c r="WFB33" s="388"/>
      <c r="WFC33" s="388"/>
      <c r="WFD33" s="388"/>
      <c r="WFE33" s="388"/>
      <c r="WFF33" s="388"/>
      <c r="WFG33" s="388"/>
      <c r="WFH33" s="388"/>
      <c r="WFI33" s="388"/>
      <c r="WFJ33" s="388"/>
      <c r="WFK33" s="388"/>
      <c r="WFL33" s="388"/>
      <c r="WFM33" s="388"/>
      <c r="WFN33" s="388"/>
      <c r="WFO33" s="388"/>
      <c r="WFP33" s="388"/>
      <c r="WFQ33" s="388"/>
      <c r="WFR33" s="388"/>
      <c r="WFS33" s="388"/>
      <c r="WFT33" s="388"/>
      <c r="WFU33" s="388"/>
      <c r="WFV33" s="388"/>
      <c r="WFW33" s="388"/>
      <c r="WFX33" s="388"/>
      <c r="WFY33" s="388"/>
      <c r="WFZ33" s="388"/>
      <c r="WGA33" s="388"/>
      <c r="WGB33" s="388"/>
      <c r="WGC33" s="388"/>
      <c r="WGD33" s="388"/>
      <c r="WGE33" s="388"/>
      <c r="WGF33" s="388"/>
      <c r="WGG33" s="388"/>
      <c r="WGH33" s="388"/>
      <c r="WGI33" s="388"/>
      <c r="WGJ33" s="388"/>
      <c r="WGK33" s="388"/>
      <c r="WGL33" s="388"/>
      <c r="WGM33" s="388"/>
      <c r="WGN33" s="388"/>
      <c r="WGO33" s="388"/>
      <c r="WGP33" s="388"/>
      <c r="WGQ33" s="388"/>
      <c r="WGR33" s="388"/>
      <c r="WGS33" s="388"/>
      <c r="WGT33" s="388"/>
      <c r="WGU33" s="388"/>
      <c r="WGV33" s="388"/>
      <c r="WGW33" s="388"/>
      <c r="WGX33" s="388"/>
      <c r="WGY33" s="388"/>
      <c r="WGZ33" s="388"/>
      <c r="WHA33" s="388"/>
      <c r="WHB33" s="388"/>
      <c r="WHC33" s="388"/>
      <c r="WHD33" s="388"/>
      <c r="WHE33" s="388"/>
      <c r="WHF33" s="388"/>
      <c r="WHG33" s="388"/>
      <c r="WHH33" s="388"/>
      <c r="WHI33" s="388"/>
      <c r="WHJ33" s="388"/>
      <c r="WHK33" s="388"/>
      <c r="WHL33" s="388"/>
      <c r="WHM33" s="388"/>
      <c r="WHN33" s="388"/>
      <c r="WHO33" s="388"/>
      <c r="WHP33" s="388"/>
      <c r="WHQ33" s="388"/>
      <c r="WHR33" s="388"/>
      <c r="WHS33" s="388"/>
      <c r="WHT33" s="388"/>
      <c r="WHU33" s="388"/>
      <c r="WHV33" s="388"/>
      <c r="WHW33" s="388"/>
      <c r="WHX33" s="388"/>
      <c r="WHY33" s="388"/>
      <c r="WHZ33" s="388"/>
      <c r="WIA33" s="388"/>
      <c r="WIB33" s="388"/>
      <c r="WIC33" s="388"/>
      <c r="WID33" s="388"/>
      <c r="WIE33" s="388"/>
      <c r="WIF33" s="388"/>
      <c r="WIG33" s="388"/>
      <c r="WIH33" s="388"/>
      <c r="WII33" s="388"/>
      <c r="WIJ33" s="388"/>
      <c r="WIK33" s="388"/>
      <c r="WIL33" s="388"/>
      <c r="WIM33" s="388"/>
      <c r="WIN33" s="388"/>
      <c r="WIO33" s="388"/>
      <c r="WIP33" s="388"/>
      <c r="WIQ33" s="388"/>
      <c r="WIR33" s="388"/>
      <c r="WIS33" s="388"/>
      <c r="WIT33" s="388"/>
      <c r="WIU33" s="388"/>
      <c r="WIV33" s="388"/>
      <c r="WIW33" s="388"/>
      <c r="WIX33" s="388"/>
      <c r="WIY33" s="388"/>
      <c r="WIZ33" s="388"/>
      <c r="WJA33" s="388"/>
      <c r="WJB33" s="388"/>
      <c r="WJC33" s="388"/>
      <c r="WJD33" s="388"/>
      <c r="WJE33" s="388"/>
      <c r="WJF33" s="388"/>
      <c r="WJG33" s="388"/>
      <c r="WJH33" s="388"/>
      <c r="WJI33" s="388"/>
      <c r="WJJ33" s="388"/>
      <c r="WJK33" s="388"/>
      <c r="WJL33" s="388"/>
      <c r="WJM33" s="388"/>
      <c r="WJN33" s="388"/>
      <c r="WJO33" s="388"/>
      <c r="WJP33" s="388"/>
      <c r="WJQ33" s="388"/>
      <c r="WJR33" s="388"/>
      <c r="WJS33" s="388"/>
      <c r="WJT33" s="388"/>
      <c r="WJU33" s="388"/>
      <c r="WJV33" s="388"/>
      <c r="WJW33" s="388"/>
      <c r="WJX33" s="388"/>
      <c r="WJY33" s="388"/>
      <c r="WJZ33" s="388"/>
      <c r="WKA33" s="388"/>
      <c r="WKB33" s="388"/>
      <c r="WKC33" s="388"/>
      <c r="WKD33" s="388"/>
      <c r="WKE33" s="388"/>
      <c r="WKF33" s="388"/>
      <c r="WKG33" s="388"/>
      <c r="WKH33" s="388"/>
      <c r="WKI33" s="388"/>
      <c r="WKJ33" s="388"/>
      <c r="WKK33" s="388"/>
      <c r="WKL33" s="388"/>
      <c r="WKM33" s="388"/>
      <c r="WKN33" s="388"/>
      <c r="WKO33" s="388"/>
      <c r="WKP33" s="388"/>
      <c r="WKQ33" s="388"/>
      <c r="WKR33" s="388"/>
      <c r="WKS33" s="388"/>
      <c r="WKT33" s="388"/>
      <c r="WKU33" s="388"/>
      <c r="WKV33" s="388"/>
      <c r="WKW33" s="388"/>
      <c r="WKX33" s="388"/>
      <c r="WKY33" s="388"/>
      <c r="WKZ33" s="388"/>
      <c r="WLA33" s="388"/>
      <c r="WLB33" s="388"/>
      <c r="WLC33" s="388"/>
      <c r="WLD33" s="388"/>
      <c r="WLE33" s="388"/>
      <c r="WLF33" s="388"/>
      <c r="WLG33" s="388"/>
      <c r="WLH33" s="388"/>
      <c r="WLI33" s="388"/>
      <c r="WLJ33" s="388"/>
      <c r="WLK33" s="388"/>
      <c r="WLL33" s="388"/>
      <c r="WLM33" s="388"/>
      <c r="WLN33" s="388"/>
      <c r="WLO33" s="388"/>
      <c r="WLP33" s="388"/>
      <c r="WLQ33" s="388"/>
      <c r="WLR33" s="388"/>
      <c r="WLS33" s="388"/>
      <c r="WLT33" s="388"/>
      <c r="WLU33" s="388"/>
      <c r="WLV33" s="388"/>
      <c r="WLW33" s="388"/>
      <c r="WLX33" s="388"/>
      <c r="WLY33" s="388"/>
      <c r="WLZ33" s="388"/>
      <c r="WMA33" s="388"/>
      <c r="WMB33" s="388"/>
      <c r="WMC33" s="388"/>
      <c r="WMD33" s="388"/>
      <c r="WME33" s="388"/>
      <c r="WMF33" s="388"/>
      <c r="WMG33" s="388"/>
      <c r="WMH33" s="388"/>
      <c r="WMI33" s="388"/>
      <c r="WMJ33" s="388"/>
      <c r="WMK33" s="388"/>
      <c r="WML33" s="388"/>
      <c r="WMM33" s="388"/>
      <c r="WMN33" s="388"/>
      <c r="WMO33" s="388"/>
      <c r="WMP33" s="388"/>
      <c r="WMQ33" s="388"/>
      <c r="WMR33" s="388"/>
      <c r="WMS33" s="388"/>
      <c r="WMT33" s="388"/>
      <c r="WMU33" s="388"/>
      <c r="WMV33" s="388"/>
      <c r="WMW33" s="388"/>
      <c r="WMX33" s="388"/>
      <c r="WMY33" s="388"/>
      <c r="WMZ33" s="388"/>
      <c r="WNA33" s="388"/>
      <c r="WNB33" s="388"/>
      <c r="WNC33" s="388"/>
      <c r="WND33" s="388"/>
      <c r="WNE33" s="388"/>
      <c r="WNF33" s="388"/>
      <c r="WNG33" s="388"/>
      <c r="WNH33" s="388"/>
      <c r="WNI33" s="388"/>
      <c r="WNJ33" s="388"/>
      <c r="WNK33" s="388"/>
      <c r="WNL33" s="388"/>
      <c r="WNM33" s="388"/>
      <c r="WNN33" s="388"/>
      <c r="WNO33" s="388"/>
      <c r="WNP33" s="388"/>
      <c r="WNQ33" s="388"/>
      <c r="WNR33" s="388"/>
      <c r="WNS33" s="388"/>
      <c r="WNT33" s="388"/>
      <c r="WNU33" s="388"/>
      <c r="WNV33" s="388"/>
      <c r="WNW33" s="388"/>
      <c r="WNX33" s="388"/>
      <c r="WNY33" s="388"/>
      <c r="WNZ33" s="388"/>
      <c r="WOA33" s="388"/>
      <c r="WOB33" s="388"/>
      <c r="WOC33" s="388"/>
      <c r="WOD33" s="388"/>
      <c r="WOE33" s="388"/>
      <c r="WOF33" s="388"/>
      <c r="WOG33" s="388"/>
      <c r="WOH33" s="388"/>
      <c r="WOI33" s="388"/>
      <c r="WOJ33" s="388"/>
      <c r="WOK33" s="388"/>
      <c r="WOL33" s="388"/>
      <c r="WOM33" s="388"/>
      <c r="WON33" s="388"/>
      <c r="WOO33" s="388"/>
      <c r="WOP33" s="388"/>
      <c r="WOQ33" s="388"/>
      <c r="WOR33" s="388"/>
      <c r="WOS33" s="388"/>
      <c r="WOT33" s="388"/>
      <c r="WOU33" s="388"/>
      <c r="WOV33" s="388"/>
      <c r="WOW33" s="388"/>
      <c r="WOX33" s="388"/>
      <c r="WOY33" s="388"/>
      <c r="WOZ33" s="388"/>
      <c r="WPA33" s="388"/>
      <c r="WPB33" s="388"/>
      <c r="WPC33" s="388"/>
      <c r="WPD33" s="388"/>
      <c r="WPE33" s="388"/>
      <c r="WPF33" s="388"/>
      <c r="WPG33" s="388"/>
      <c r="WPH33" s="388"/>
      <c r="WPI33" s="388"/>
      <c r="WPJ33" s="388"/>
      <c r="WPK33" s="388"/>
      <c r="WPL33" s="388"/>
      <c r="WPM33" s="388"/>
      <c r="WPN33" s="388"/>
      <c r="WPO33" s="388"/>
      <c r="WPP33" s="388"/>
      <c r="WPQ33" s="388"/>
      <c r="WPR33" s="388"/>
      <c r="WPS33" s="388"/>
      <c r="WPT33" s="388"/>
      <c r="WPU33" s="388"/>
      <c r="WPV33" s="388"/>
      <c r="WPW33" s="388"/>
      <c r="WPX33" s="388"/>
      <c r="WPY33" s="388"/>
      <c r="WPZ33" s="388"/>
      <c r="WQA33" s="388"/>
      <c r="WQB33" s="388"/>
      <c r="WQC33" s="388"/>
      <c r="WQD33" s="388"/>
      <c r="WQE33" s="388"/>
      <c r="WQF33" s="388"/>
      <c r="WQG33" s="388"/>
      <c r="WQH33" s="388"/>
      <c r="WQI33" s="388"/>
      <c r="WQJ33" s="388"/>
      <c r="WQK33" s="388"/>
      <c r="WQL33" s="388"/>
      <c r="WQM33" s="388"/>
      <c r="WQN33" s="388"/>
      <c r="WQO33" s="388"/>
      <c r="WQP33" s="388"/>
      <c r="WQQ33" s="388"/>
      <c r="WQR33" s="388"/>
      <c r="WQS33" s="388"/>
      <c r="WQT33" s="388"/>
      <c r="WQU33" s="388"/>
      <c r="WQV33" s="388"/>
      <c r="WQW33" s="388"/>
      <c r="WQX33" s="388"/>
      <c r="WQY33" s="388"/>
      <c r="WQZ33" s="388"/>
      <c r="WRA33" s="388"/>
      <c r="WRB33" s="388"/>
      <c r="WRC33" s="388"/>
      <c r="WRD33" s="388"/>
      <c r="WRE33" s="388"/>
      <c r="WRF33" s="388"/>
      <c r="WRG33" s="388"/>
      <c r="WRH33" s="388"/>
      <c r="WRI33" s="388"/>
      <c r="WRJ33" s="388"/>
      <c r="WRK33" s="388"/>
      <c r="WRL33" s="388"/>
      <c r="WRM33" s="388"/>
      <c r="WRN33" s="388"/>
      <c r="WRO33" s="388"/>
      <c r="WRP33" s="388"/>
      <c r="WRQ33" s="388"/>
      <c r="WRR33" s="388"/>
      <c r="WRS33" s="388"/>
      <c r="WRT33" s="388"/>
      <c r="WRU33" s="388"/>
      <c r="WRV33" s="388"/>
      <c r="WRW33" s="388"/>
      <c r="WRX33" s="388"/>
      <c r="WRY33" s="388"/>
      <c r="WRZ33" s="388"/>
      <c r="WSA33" s="388"/>
      <c r="WSB33" s="388"/>
      <c r="WSC33" s="388"/>
      <c r="WSD33" s="388"/>
      <c r="WSE33" s="388"/>
      <c r="WSF33" s="388"/>
      <c r="WSG33" s="388"/>
      <c r="WSH33" s="388"/>
      <c r="WSI33" s="388"/>
      <c r="WSJ33" s="388"/>
      <c r="WSK33" s="388"/>
      <c r="WSL33" s="388"/>
      <c r="WSM33" s="388"/>
      <c r="WSN33" s="388"/>
      <c r="WSO33" s="388"/>
      <c r="WSP33" s="388"/>
      <c r="WSQ33" s="388"/>
      <c r="WSR33" s="388"/>
      <c r="WSS33" s="388"/>
      <c r="WST33" s="388"/>
      <c r="WSU33" s="388"/>
      <c r="WSV33" s="388"/>
      <c r="WSW33" s="388"/>
      <c r="WSX33" s="388"/>
      <c r="WSY33" s="388"/>
      <c r="WSZ33" s="388"/>
      <c r="WTA33" s="388"/>
      <c r="WTB33" s="388"/>
      <c r="WTC33" s="388"/>
      <c r="WTD33" s="388"/>
      <c r="WTE33" s="388"/>
      <c r="WTF33" s="388"/>
      <c r="WTG33" s="388"/>
      <c r="WTH33" s="388"/>
      <c r="WTI33" s="388"/>
      <c r="WTJ33" s="388"/>
      <c r="WTK33" s="388"/>
      <c r="WTL33" s="388"/>
      <c r="WTM33" s="388"/>
      <c r="WTN33" s="388"/>
      <c r="WTO33" s="388"/>
      <c r="WTP33" s="388"/>
      <c r="WTQ33" s="388"/>
      <c r="WTR33" s="388"/>
      <c r="WTS33" s="388"/>
      <c r="WTT33" s="388"/>
      <c r="WTU33" s="388"/>
      <c r="WTV33" s="388"/>
      <c r="WTW33" s="388"/>
      <c r="WTX33" s="388"/>
      <c r="WTY33" s="388"/>
      <c r="WTZ33" s="388"/>
      <c r="WUA33" s="388"/>
      <c r="WUB33" s="388"/>
      <c r="WUC33" s="388"/>
      <c r="WUD33" s="388"/>
      <c r="WUE33" s="388"/>
      <c r="WUF33" s="388"/>
      <c r="WUG33" s="388"/>
      <c r="WUH33" s="388"/>
      <c r="WUI33" s="388"/>
      <c r="WUJ33" s="388"/>
      <c r="WUK33" s="388"/>
      <c r="WUL33" s="388"/>
      <c r="WUM33" s="388"/>
      <c r="WUN33" s="388"/>
      <c r="WUO33" s="388"/>
      <c r="WUP33" s="388"/>
      <c r="WUQ33" s="388"/>
      <c r="WUR33" s="388"/>
      <c r="WUS33" s="388"/>
      <c r="WUT33" s="388"/>
      <c r="WUU33" s="388"/>
      <c r="WUV33" s="388"/>
      <c r="WUW33" s="388"/>
      <c r="WUX33" s="388"/>
      <c r="WUY33" s="388"/>
      <c r="WUZ33" s="388"/>
      <c r="WVA33" s="388"/>
      <c r="WVB33" s="388"/>
      <c r="WVC33" s="388"/>
      <c r="WVD33" s="388"/>
      <c r="WVE33" s="388"/>
      <c r="WVF33" s="388"/>
      <c r="WVG33" s="388"/>
      <c r="WVH33" s="388"/>
      <c r="WVI33" s="388"/>
      <c r="WVJ33" s="388"/>
      <c r="WVK33" s="388"/>
      <c r="WVL33" s="388"/>
      <c r="WVM33" s="388"/>
      <c r="WVN33" s="388"/>
      <c r="WVO33" s="388"/>
      <c r="WVP33" s="388"/>
      <c r="WVQ33" s="388"/>
      <c r="WVR33" s="388"/>
      <c r="WVS33" s="388"/>
      <c r="WVT33" s="388"/>
      <c r="WVU33" s="388"/>
      <c r="WVV33" s="388"/>
      <c r="WVW33" s="388"/>
      <c r="WVX33" s="388"/>
      <c r="WVY33" s="388"/>
      <c r="WVZ33" s="388"/>
      <c r="WWA33" s="388"/>
      <c r="WWB33" s="388"/>
      <c r="WWC33" s="388"/>
      <c r="WWD33" s="388"/>
      <c r="WWE33" s="388"/>
      <c r="WWF33" s="388"/>
      <c r="WWG33" s="388"/>
      <c r="WWH33" s="388"/>
      <c r="WWI33" s="388"/>
      <c r="WWJ33" s="388"/>
      <c r="WWK33" s="388"/>
      <c r="WWL33" s="388"/>
      <c r="WWM33" s="388"/>
      <c r="WWN33" s="388"/>
      <c r="WWO33" s="388"/>
      <c r="WWP33" s="388"/>
      <c r="WWQ33" s="388"/>
      <c r="WWR33" s="388"/>
      <c r="WWS33" s="388"/>
      <c r="WWT33" s="388"/>
      <c r="WWU33" s="388"/>
      <c r="WWV33" s="388"/>
      <c r="WWW33" s="388"/>
      <c r="WWX33" s="388"/>
      <c r="WWY33" s="388"/>
      <c r="WWZ33" s="388"/>
      <c r="WXA33" s="388"/>
      <c r="WXB33" s="388"/>
      <c r="WXC33" s="388"/>
      <c r="WXD33" s="388"/>
      <c r="WXE33" s="388"/>
      <c r="WXF33" s="388"/>
      <c r="WXG33" s="388"/>
      <c r="WXH33" s="388"/>
      <c r="WXI33" s="388"/>
      <c r="WXJ33" s="388"/>
      <c r="WXK33" s="388"/>
      <c r="WXL33" s="388"/>
      <c r="WXM33" s="388"/>
      <c r="WXN33" s="388"/>
      <c r="WXO33" s="388"/>
      <c r="WXP33" s="388"/>
      <c r="WXQ33" s="388"/>
      <c r="WXR33" s="388"/>
      <c r="WXS33" s="388"/>
      <c r="WXT33" s="388"/>
      <c r="WXU33" s="388"/>
      <c r="WXV33" s="388"/>
      <c r="WXW33" s="388"/>
      <c r="WXX33" s="388"/>
      <c r="WXY33" s="388"/>
      <c r="WXZ33" s="388"/>
      <c r="WYA33" s="388"/>
      <c r="WYB33" s="388"/>
      <c r="WYC33" s="388"/>
      <c r="WYD33" s="388"/>
      <c r="WYE33" s="388"/>
      <c r="WYF33" s="388"/>
      <c r="WYG33" s="388"/>
      <c r="WYH33" s="388"/>
      <c r="WYI33" s="388"/>
      <c r="WYJ33" s="388"/>
      <c r="WYK33" s="388"/>
      <c r="WYL33" s="388"/>
      <c r="WYM33" s="388"/>
      <c r="WYN33" s="388"/>
      <c r="WYO33" s="388"/>
      <c r="WYP33" s="388"/>
      <c r="WYQ33" s="388"/>
      <c r="WYR33" s="388"/>
      <c r="WYS33" s="388"/>
      <c r="WYT33" s="388"/>
      <c r="WYU33" s="388"/>
      <c r="WYV33" s="388"/>
      <c r="WYW33" s="388"/>
      <c r="WYX33" s="388"/>
      <c r="WYY33" s="388"/>
      <c r="WYZ33" s="388"/>
      <c r="WZA33" s="388"/>
      <c r="WZB33" s="388"/>
      <c r="WZC33" s="388"/>
      <c r="WZD33" s="388"/>
      <c r="WZE33" s="388"/>
      <c r="WZF33" s="388"/>
      <c r="WZG33" s="388"/>
      <c r="WZH33" s="388"/>
      <c r="WZI33" s="388"/>
      <c r="WZJ33" s="388"/>
      <c r="WZK33" s="388"/>
      <c r="WZL33" s="388"/>
      <c r="WZM33" s="388"/>
      <c r="WZN33" s="388"/>
      <c r="WZO33" s="388"/>
      <c r="WZP33" s="388"/>
      <c r="WZQ33" s="388"/>
      <c r="WZR33" s="388"/>
      <c r="WZS33" s="388"/>
      <c r="WZT33" s="388"/>
      <c r="WZU33" s="388"/>
      <c r="WZV33" s="388"/>
      <c r="WZW33" s="388"/>
      <c r="WZX33" s="388"/>
      <c r="WZY33" s="388"/>
      <c r="WZZ33" s="388"/>
      <c r="XAA33" s="388"/>
      <c r="XAB33" s="388"/>
      <c r="XAC33" s="388"/>
      <c r="XAD33" s="388"/>
      <c r="XAE33" s="388"/>
      <c r="XAF33" s="388"/>
      <c r="XAG33" s="388"/>
      <c r="XAH33" s="388"/>
      <c r="XAI33" s="388"/>
      <c r="XAJ33" s="388"/>
      <c r="XAK33" s="388"/>
      <c r="XAL33" s="388"/>
      <c r="XAM33" s="388"/>
      <c r="XAN33" s="388"/>
      <c r="XAO33" s="388"/>
      <c r="XAP33" s="388"/>
      <c r="XAQ33" s="388"/>
      <c r="XAR33" s="388"/>
      <c r="XAS33" s="388"/>
      <c r="XAT33" s="388"/>
      <c r="XAU33" s="388"/>
      <c r="XAV33" s="388"/>
      <c r="XAW33" s="388"/>
      <c r="XAX33" s="388"/>
      <c r="XAY33" s="388"/>
      <c r="XAZ33" s="388"/>
      <c r="XBA33" s="388"/>
      <c r="XBB33" s="388"/>
      <c r="XBC33" s="388"/>
      <c r="XBD33" s="388"/>
      <c r="XBE33" s="388"/>
      <c r="XBF33" s="388"/>
      <c r="XBG33" s="388"/>
      <c r="XBH33" s="388"/>
      <c r="XBI33" s="388"/>
      <c r="XBJ33" s="388"/>
      <c r="XBK33" s="388"/>
      <c r="XBL33" s="388"/>
      <c r="XBM33" s="388"/>
      <c r="XBN33" s="388"/>
      <c r="XBO33" s="388"/>
      <c r="XBP33" s="388"/>
      <c r="XBQ33" s="388"/>
      <c r="XBR33" s="388"/>
      <c r="XBS33" s="388"/>
      <c r="XBT33" s="388"/>
      <c r="XBU33" s="388"/>
      <c r="XBV33" s="388"/>
      <c r="XBW33" s="388"/>
      <c r="XBX33" s="388"/>
      <c r="XBY33" s="388"/>
      <c r="XBZ33" s="388"/>
      <c r="XCA33" s="388"/>
      <c r="XCB33" s="388"/>
      <c r="XCC33" s="388"/>
      <c r="XCD33" s="388"/>
      <c r="XCE33" s="388"/>
      <c r="XCF33" s="388"/>
      <c r="XCG33" s="388"/>
      <c r="XCH33" s="388"/>
      <c r="XCI33" s="388"/>
      <c r="XCJ33" s="388"/>
      <c r="XCK33" s="388"/>
      <c r="XCL33" s="388"/>
      <c r="XCM33" s="388"/>
      <c r="XCN33" s="388"/>
      <c r="XCO33" s="388"/>
      <c r="XCP33" s="388"/>
      <c r="XCQ33" s="388"/>
      <c r="XCR33" s="388"/>
      <c r="XCS33" s="388"/>
      <c r="XCT33" s="388"/>
      <c r="XCU33" s="388"/>
      <c r="XCV33" s="388"/>
      <c r="XCW33" s="388"/>
      <c r="XCX33" s="388"/>
      <c r="XCY33" s="388"/>
      <c r="XCZ33" s="388"/>
      <c r="XDA33" s="388"/>
      <c r="XDB33" s="388"/>
      <c r="XDC33" s="388"/>
      <c r="XDD33" s="388"/>
      <c r="XDE33" s="388"/>
      <c r="XDF33" s="388"/>
      <c r="XDG33" s="388"/>
      <c r="XDH33" s="388"/>
      <c r="XDI33" s="388"/>
      <c r="XDJ33" s="388"/>
      <c r="XDK33" s="388"/>
      <c r="XDL33" s="388"/>
      <c r="XDM33" s="388"/>
      <c r="XDN33" s="388"/>
      <c r="XDO33" s="388"/>
      <c r="XDP33" s="388"/>
      <c r="XDQ33" s="388"/>
      <c r="XDR33" s="388"/>
      <c r="XDS33" s="388"/>
      <c r="XDT33" s="388"/>
      <c r="XDU33" s="388"/>
      <c r="XDV33" s="388"/>
      <c r="XDW33" s="388"/>
      <c r="XDX33" s="388"/>
      <c r="XDY33" s="388"/>
      <c r="XDZ33" s="388"/>
      <c r="XEA33" s="388"/>
      <c r="XEB33" s="388"/>
      <c r="XEC33" s="388"/>
      <c r="XED33" s="388"/>
      <c r="XEE33" s="388"/>
      <c r="XEF33" s="388"/>
      <c r="XEG33" s="388"/>
      <c r="XEH33" s="388"/>
      <c r="XEI33" s="388"/>
      <c r="XEJ33" s="388"/>
      <c r="XEK33" s="388"/>
      <c r="XEL33" s="388"/>
      <c r="XEM33" s="388"/>
      <c r="XEN33" s="388"/>
      <c r="XEO33" s="388"/>
      <c r="XEP33" s="388"/>
      <c r="XEQ33" s="388"/>
      <c r="XER33" s="388"/>
      <c r="XES33" s="388"/>
      <c r="XET33" s="388"/>
      <c r="XEU33" s="388"/>
      <c r="XEV33" s="388"/>
      <c r="XEW33" s="388"/>
      <c r="XEX33" s="388"/>
      <c r="XEY33" s="388"/>
      <c r="XEZ33" s="388"/>
      <c r="XFA33" s="388"/>
      <c r="XFB33" s="170"/>
    </row>
    <row r="34" spans="1:16382" x14ac:dyDescent="0.2">
      <c r="B34" s="170"/>
      <c r="C34" s="111"/>
    </row>
    <row r="35" spans="1:16382" ht="24" customHeight="1" thickBot="1" x14ac:dyDescent="0.25">
      <c r="F35" s="386" t="s">
        <v>665</v>
      </c>
      <c r="G35" s="386" t="s">
        <v>666</v>
      </c>
      <c r="H35" s="385" t="s">
        <v>667</v>
      </c>
      <c r="I35" s="385"/>
      <c r="J35" s="386" t="s">
        <v>169</v>
      </c>
      <c r="L35" s="385" t="s">
        <v>661</v>
      </c>
    </row>
    <row r="36" spans="1:16382" s="118" customFormat="1" ht="18.75" customHeight="1" thickTop="1" thickBot="1" x14ac:dyDescent="0.25">
      <c r="B36" s="119" t="s">
        <v>668</v>
      </c>
      <c r="C36" s="171"/>
      <c r="D36" s="171"/>
      <c r="E36" s="171"/>
      <c r="F36" s="386"/>
      <c r="G36" s="386"/>
      <c r="H36" s="152" t="s">
        <v>669</v>
      </c>
      <c r="I36" s="153" t="s">
        <v>352</v>
      </c>
      <c r="J36" s="386"/>
      <c r="K36" s="171" t="s">
        <v>670</v>
      </c>
      <c r="L36" s="386"/>
    </row>
    <row r="37" spans="1:16382" ht="13.5" thickTop="1" x14ac:dyDescent="0.2">
      <c r="A37" s="105"/>
      <c r="B37" s="180" t="s">
        <v>201</v>
      </c>
      <c r="C37" s="388" t="str">
        <f>IF(B37=0,"",VLOOKUP($B37,Table2[],2,FALSE))</f>
        <v>Fertilizer</v>
      </c>
      <c r="D37" s="388"/>
      <c r="E37" s="388"/>
      <c r="F37" s="174">
        <v>2</v>
      </c>
      <c r="G37" s="175">
        <v>1</v>
      </c>
      <c r="H37" s="176">
        <v>13.4</v>
      </c>
      <c r="I37" s="120" t="str">
        <f>IF($B37=0,"",VLOOKUP($B37,Table2[],5,FALSE))</f>
        <v>gallon</v>
      </c>
      <c r="J37" s="109">
        <f>IF($B37=0,"",VLOOKUP($B37,Table2[],7,FALSE))</f>
        <v>3.1</v>
      </c>
      <c r="K37" s="345">
        <f>IF(B37=0,0,ROUND(G37*H37*J37,2))</f>
        <v>41.54</v>
      </c>
      <c r="L37" s="110"/>
    </row>
    <row r="38" spans="1:16382" x14ac:dyDescent="0.2">
      <c r="A38" s="105"/>
      <c r="B38" s="180" t="s">
        <v>205</v>
      </c>
      <c r="C38" s="388" t="str">
        <f>IF(B38=0,"",VLOOKUP($B38,Table2[],2,FALSE))</f>
        <v>Fertilizer</v>
      </c>
      <c r="D38" s="388"/>
      <c r="E38" s="388"/>
      <c r="F38" s="174">
        <v>2</v>
      </c>
      <c r="G38" s="175">
        <v>1</v>
      </c>
      <c r="H38" s="176">
        <v>125</v>
      </c>
      <c r="I38" s="120" t="str">
        <f>IF($B38=0,"",VLOOKUP($B38,Table2[],5,FALSE))</f>
        <v>lbs N</v>
      </c>
      <c r="J38" s="109">
        <f>IF($B38=0,"",VLOOKUP($B38,Table2[],7,FALSE))</f>
        <v>0.5</v>
      </c>
      <c r="K38" s="345">
        <f t="shared" ref="K38:K55" si="3">IF(B38=0,0,ROUND(G38*H38*J38,2))</f>
        <v>62.5</v>
      </c>
      <c r="L38" s="110"/>
    </row>
    <row r="39" spans="1:16382" x14ac:dyDescent="0.2">
      <c r="A39" s="105"/>
      <c r="B39" s="180" t="s">
        <v>200</v>
      </c>
      <c r="C39" s="388" t="str">
        <f>IF(B39=0,"",VLOOKUP($B39,Table2[],2,FALSE))</f>
        <v>Custom</v>
      </c>
      <c r="D39" s="388"/>
      <c r="E39" s="388"/>
      <c r="F39" s="174" t="s">
        <v>780</v>
      </c>
      <c r="G39" s="175">
        <v>3</v>
      </c>
      <c r="H39" s="176">
        <v>1</v>
      </c>
      <c r="I39" s="120" t="str">
        <f>IF($B39=0,"",VLOOKUP($B39,Table2[],5,FALSE))</f>
        <v>acre</v>
      </c>
      <c r="J39" s="109">
        <f>IF($B39=0,"",VLOOKUP($B39,Table2[],7,FALSE))</f>
        <v>9</v>
      </c>
      <c r="K39" s="345">
        <f t="shared" si="3"/>
        <v>27</v>
      </c>
      <c r="L39" s="110"/>
    </row>
    <row r="40" spans="1:16382" x14ac:dyDescent="0.2">
      <c r="A40" s="105"/>
      <c r="B40" s="213" t="s">
        <v>896</v>
      </c>
      <c r="C40" s="387" t="s">
        <v>228</v>
      </c>
      <c r="D40" s="387"/>
      <c r="E40" s="387"/>
      <c r="F40" s="214">
        <v>3</v>
      </c>
      <c r="G40" s="221">
        <v>1</v>
      </c>
      <c r="H40" s="222">
        <v>48</v>
      </c>
      <c r="I40" s="223" t="s">
        <v>174</v>
      </c>
      <c r="J40" s="215">
        <f>IF($B40=0,"",VLOOKUP($B40,Table2[],7,FALSE))</f>
        <v>1.015625</v>
      </c>
      <c r="K40" s="347">
        <f t="shared" ref="K40:K41" si="4">IF(B40=0,0,ROUND(G40*H40*J40,2))</f>
        <v>48.75</v>
      </c>
      <c r="L40" s="216"/>
    </row>
    <row r="41" spans="1:16382" x14ac:dyDescent="0.2">
      <c r="A41" s="105"/>
      <c r="B41" s="180" t="s">
        <v>970</v>
      </c>
      <c r="C41" s="388" t="s">
        <v>228</v>
      </c>
      <c r="D41" s="388"/>
      <c r="E41" s="388"/>
      <c r="F41" s="174">
        <v>3</v>
      </c>
      <c r="G41" s="175">
        <v>1</v>
      </c>
      <c r="H41" s="176">
        <v>64</v>
      </c>
      <c r="I41" s="120" t="s">
        <v>174</v>
      </c>
      <c r="J41" s="109">
        <f>IF($B41=0,"",VLOOKUP($B41,Table2[],7,FALSE))</f>
        <v>0.859375</v>
      </c>
      <c r="K41" s="345">
        <f t="shared" si="4"/>
        <v>55</v>
      </c>
      <c r="L41" s="110"/>
    </row>
    <row r="42" spans="1:16382" x14ac:dyDescent="0.2">
      <c r="A42" s="105"/>
      <c r="B42" s="180" t="s">
        <v>259</v>
      </c>
      <c r="C42" s="388" t="str">
        <f>IF(B42=0,"",VLOOKUP($B42,Table2[],2,FALSE))</f>
        <v>Herbicide</v>
      </c>
      <c r="D42" s="388"/>
      <c r="E42" s="388"/>
      <c r="F42" s="174">
        <v>3</v>
      </c>
      <c r="G42" s="175">
        <v>1</v>
      </c>
      <c r="H42" s="176">
        <v>36</v>
      </c>
      <c r="I42" s="120" t="str">
        <f>IF($B42=0,"",VLOOKUP($B42,Table2[],5,FALSE))</f>
        <v>ounce</v>
      </c>
      <c r="J42" s="109">
        <f>IF($B42=0,"",VLOOKUP($B42,Table2[],7,FALSE))</f>
        <v>0.1328125</v>
      </c>
      <c r="K42" s="340">
        <f t="shared" si="3"/>
        <v>4.78</v>
      </c>
      <c r="L42" s="257"/>
    </row>
    <row r="43" spans="1:16382" x14ac:dyDescent="0.2">
      <c r="A43" s="105"/>
      <c r="B43" s="180" t="s">
        <v>170</v>
      </c>
      <c r="C43" s="388" t="str">
        <f>IF(B43=0,"",VLOOKUP($B43,Table2[],2,FALSE))</f>
        <v>Additive</v>
      </c>
      <c r="D43" s="388"/>
      <c r="E43" s="388"/>
      <c r="F43" s="174">
        <v>3</v>
      </c>
      <c r="G43" s="175">
        <v>1</v>
      </c>
      <c r="H43" s="176">
        <v>1.7</v>
      </c>
      <c r="I43" s="120" t="str">
        <f>IF($B43=0,"",VLOOKUP($B43,Table2[],5,FALSE))</f>
        <v>pound</v>
      </c>
      <c r="J43" s="109">
        <f>IF($B43=0,"",VLOOKUP($B43,Table2[],7,FALSE))</f>
        <v>0.4</v>
      </c>
      <c r="K43" s="340">
        <f t="shared" si="3"/>
        <v>0.68</v>
      </c>
      <c r="L43" s="110"/>
    </row>
    <row r="44" spans="1:16382" x14ac:dyDescent="0.2">
      <c r="A44" s="105"/>
      <c r="B44" s="180" t="s">
        <v>348</v>
      </c>
      <c r="C44" s="388" t="str">
        <f>IF(B44=0,"",VLOOKUP($B44,Table2[],2,FALSE))</f>
        <v>Seed</v>
      </c>
      <c r="D44" s="388"/>
      <c r="E44" s="388"/>
      <c r="F44" s="174">
        <v>4</v>
      </c>
      <c r="G44" s="175">
        <v>1</v>
      </c>
      <c r="H44" s="181">
        <v>1</v>
      </c>
      <c r="I44" s="120" t="str">
        <f>IF($B44=0,"",VLOOKUP($B44,Table2[],5,FALSE))</f>
        <v>acre</v>
      </c>
      <c r="J44" s="109">
        <f>IF($B44=0,"",VLOOKUP($B44,Table2[],7,FALSE))</f>
        <v>220</v>
      </c>
      <c r="K44" s="345">
        <f t="shared" si="3"/>
        <v>220</v>
      </c>
      <c r="L44" s="110"/>
    </row>
    <row r="45" spans="1:16382" x14ac:dyDescent="0.2">
      <c r="A45" s="143"/>
      <c r="B45" s="213" t="s">
        <v>259</v>
      </c>
      <c r="C45" s="387" t="str">
        <f>IF(B45=0,"",VLOOKUP($B45,Table2[],2,FALSE))</f>
        <v>Herbicide</v>
      </c>
      <c r="D45" s="387"/>
      <c r="E45" s="387"/>
      <c r="F45" s="214">
        <v>8</v>
      </c>
      <c r="G45" s="221">
        <v>1</v>
      </c>
      <c r="H45" s="222">
        <v>36</v>
      </c>
      <c r="I45" s="223" t="str">
        <f>IF($B45=0,"",VLOOKUP($B45,Table2[],5,FALSE))</f>
        <v>ounce</v>
      </c>
      <c r="J45" s="215">
        <f>IF($B45=0,"",VLOOKUP($B45,Table2[],7,FALSE))</f>
        <v>0.1328125</v>
      </c>
      <c r="K45" s="347">
        <f t="shared" si="3"/>
        <v>4.78</v>
      </c>
      <c r="L45" s="216"/>
    </row>
    <row r="46" spans="1:16382" x14ac:dyDescent="0.2">
      <c r="A46" s="143"/>
      <c r="B46" s="180" t="s">
        <v>264</v>
      </c>
      <c r="C46" s="388" t="s">
        <v>228</v>
      </c>
      <c r="D46" s="388" t="s">
        <v>228</v>
      </c>
      <c r="E46" s="388"/>
      <c r="F46" s="174">
        <v>8</v>
      </c>
      <c r="G46" s="175">
        <v>1</v>
      </c>
      <c r="H46" s="176">
        <v>13</v>
      </c>
      <c r="I46" s="120" t="s">
        <v>174</v>
      </c>
      <c r="J46" s="109">
        <f>IF($B46=0,"",VLOOKUP($B46,Table2[],7,FALSE))</f>
        <v>1.5234375</v>
      </c>
      <c r="K46" s="340">
        <f t="shared" ref="K46" si="5">IF(B46=0,0,ROUND(G46*H46*J46,2))</f>
        <v>19.8</v>
      </c>
      <c r="L46" s="170"/>
    </row>
    <row r="47" spans="1:16382" x14ac:dyDescent="0.2">
      <c r="A47" s="143"/>
      <c r="B47" s="180" t="s">
        <v>170</v>
      </c>
      <c r="C47" s="388" t="str">
        <f>IF(B47=0,"",VLOOKUP($B47,Table2[],2,FALSE))</f>
        <v>Additive</v>
      </c>
      <c r="D47" s="388"/>
      <c r="E47" s="388"/>
      <c r="F47" s="174">
        <v>8</v>
      </c>
      <c r="G47" s="175">
        <v>1</v>
      </c>
      <c r="H47" s="176">
        <v>1.7</v>
      </c>
      <c r="I47" s="120" t="str">
        <f>IF($B47=0,"",VLOOKUP($B47,Table2[],5,FALSE))</f>
        <v>pound</v>
      </c>
      <c r="J47" s="109">
        <f>IF($B47=0,"",VLOOKUP($B47,Table2[],7,FALSE))</f>
        <v>0.4</v>
      </c>
      <c r="K47" s="340">
        <f t="shared" si="3"/>
        <v>0.68</v>
      </c>
      <c r="L47" s="170"/>
    </row>
    <row r="48" spans="1:16382" x14ac:dyDescent="0.2">
      <c r="A48" s="143"/>
      <c r="B48" s="180" t="s">
        <v>297</v>
      </c>
      <c r="C48" s="388" t="str">
        <f>IF(B48=0,"",VLOOKUP($B48,Table2[],2,FALSE))</f>
        <v>Other</v>
      </c>
      <c r="D48" s="388"/>
      <c r="E48" s="388"/>
      <c r="F48" s="174">
        <v>9</v>
      </c>
      <c r="G48" s="175">
        <v>1</v>
      </c>
      <c r="H48" s="176">
        <v>1</v>
      </c>
      <c r="I48" s="120" t="str">
        <f>IF($B48=0,"",VLOOKUP($B48,Table2[],5,FALSE))</f>
        <v>acre</v>
      </c>
      <c r="J48" s="109">
        <f>IF($B48=0,"",VLOOKUP($B48,Table2[],7,FALSE))</f>
        <v>40</v>
      </c>
      <c r="K48" s="345">
        <f t="shared" si="3"/>
        <v>40</v>
      </c>
      <c r="L48" s="110"/>
    </row>
    <row r="49" spans="1:12" x14ac:dyDescent="0.2">
      <c r="A49" s="105"/>
      <c r="B49" s="213" t="s">
        <v>259</v>
      </c>
      <c r="C49" s="387" t="str">
        <f>IF(B49=0,"",VLOOKUP($B49,Table2[],2,FALSE))</f>
        <v>Herbicide</v>
      </c>
      <c r="D49" s="387"/>
      <c r="E49" s="387"/>
      <c r="F49" s="214">
        <v>10</v>
      </c>
      <c r="G49" s="221">
        <v>1</v>
      </c>
      <c r="H49" s="222">
        <v>36</v>
      </c>
      <c r="I49" s="223" t="str">
        <f>IF($B49=0,"",VLOOKUP($B49,Table2[],5,FALSE))</f>
        <v>ounce</v>
      </c>
      <c r="J49" s="215">
        <f>IF($B49=0,"",VLOOKUP($B49,Table2[],7,FALSE))</f>
        <v>0.1328125</v>
      </c>
      <c r="K49" s="347">
        <f t="shared" si="3"/>
        <v>4.78</v>
      </c>
      <c r="L49" s="216"/>
    </row>
    <row r="50" spans="1:12" x14ac:dyDescent="0.2">
      <c r="A50" s="105"/>
      <c r="B50" s="180" t="s">
        <v>887</v>
      </c>
      <c r="C50" s="388" t="s">
        <v>228</v>
      </c>
      <c r="D50" s="388" t="s">
        <v>228</v>
      </c>
      <c r="E50" s="388"/>
      <c r="F50" s="174">
        <v>10</v>
      </c>
      <c r="G50" s="175">
        <v>1</v>
      </c>
      <c r="H50" s="176">
        <v>1</v>
      </c>
      <c r="I50" s="120" t="s">
        <v>179</v>
      </c>
      <c r="J50" s="109">
        <f>IF($B50=0,"",VLOOKUP($B50,Table2[],7,FALSE))</f>
        <v>10</v>
      </c>
      <c r="K50" s="340">
        <f t="shared" ref="K50" si="6">IF(B50=0,0,ROUND(G50*H50*J50,2))</f>
        <v>10</v>
      </c>
      <c r="L50" s="257"/>
    </row>
    <row r="51" spans="1:12" x14ac:dyDescent="0.2">
      <c r="A51" s="105"/>
      <c r="B51" s="180" t="s">
        <v>170</v>
      </c>
      <c r="C51" s="388" t="str">
        <f>IF(B51=0,"",VLOOKUP($B51,Table2[],2,FALSE))</f>
        <v>Additive</v>
      </c>
      <c r="D51" s="388"/>
      <c r="E51" s="388"/>
      <c r="F51" s="174">
        <v>10</v>
      </c>
      <c r="G51" s="175">
        <v>1</v>
      </c>
      <c r="H51" s="176">
        <v>1.7</v>
      </c>
      <c r="I51" s="120" t="str">
        <f>IF($B51=0,"",VLOOKUP($B51,Table2[],5,FALSE))</f>
        <v>pound</v>
      </c>
      <c r="J51" s="109">
        <f>IF($B51=0,"",VLOOKUP($B51,Table2[],7,FALSE))</f>
        <v>0.4</v>
      </c>
      <c r="K51" s="340">
        <f t="shared" si="3"/>
        <v>0.68</v>
      </c>
      <c r="L51" s="110"/>
    </row>
    <row r="52" spans="1:12" x14ac:dyDescent="0.2">
      <c r="B52" s="180" t="s">
        <v>183</v>
      </c>
      <c r="C52" s="388" t="str">
        <f>IF(B52=0,"",VLOOKUP($B52,Table2[],2,FALSE))</f>
        <v>Custom</v>
      </c>
      <c r="D52" s="388"/>
      <c r="E52" s="388"/>
      <c r="F52" s="174">
        <v>11</v>
      </c>
      <c r="G52" s="175">
        <v>1</v>
      </c>
      <c r="H52" s="176">
        <v>1</v>
      </c>
      <c r="I52" s="120" t="str">
        <f>IF($B52=0,"",VLOOKUP($B52,Table2[],5,FALSE))</f>
        <v>acre</v>
      </c>
      <c r="J52" s="109">
        <f>IF($B52=0,"",VLOOKUP($B52,Table2[],7,FALSE))</f>
        <v>11</v>
      </c>
      <c r="K52" s="345">
        <f t="shared" si="3"/>
        <v>11</v>
      </c>
      <c r="L52" s="110"/>
    </row>
    <row r="53" spans="1:12" x14ac:dyDescent="0.2">
      <c r="B53" s="180" t="s">
        <v>222</v>
      </c>
      <c r="C53" s="388" t="str">
        <f>IF(B53=0,"",VLOOKUP($B53,Table2[],2,FALSE))</f>
        <v>Fungicide</v>
      </c>
      <c r="D53" s="388"/>
      <c r="E53" s="388"/>
      <c r="F53" s="174">
        <v>11</v>
      </c>
      <c r="G53" s="175">
        <v>1</v>
      </c>
      <c r="H53" s="176">
        <v>7</v>
      </c>
      <c r="I53" s="120" t="str">
        <f>IF($B53=0,"",VLOOKUP($B53,Table2[],5,FALSE))</f>
        <v>ounce</v>
      </c>
      <c r="J53" s="109">
        <f>IF($B53=0,"",VLOOKUP($B53,Table2[],7,FALSE))</f>
        <v>1.953125</v>
      </c>
      <c r="K53" s="345">
        <f t="shared" si="3"/>
        <v>13.67</v>
      </c>
      <c r="L53" s="110"/>
    </row>
    <row r="54" spans="1:12" x14ac:dyDescent="0.2">
      <c r="B54" s="213" t="s">
        <v>183</v>
      </c>
      <c r="C54" s="387" t="str">
        <f>IF(B54=0,"",VLOOKUP($B54,Table2[],2,FALSE))</f>
        <v>Custom</v>
      </c>
      <c r="D54" s="387"/>
      <c r="E54" s="387"/>
      <c r="F54" s="214">
        <v>12</v>
      </c>
      <c r="G54" s="221">
        <v>0.5</v>
      </c>
      <c r="H54" s="222">
        <v>1</v>
      </c>
      <c r="I54" s="223" t="str">
        <f>IF($B54=0,"",VLOOKUP($B54,Table2[],5,FALSE))</f>
        <v>acre</v>
      </c>
      <c r="J54" s="215">
        <f>IF($B54=0,"",VLOOKUP($B54,Table2[],7,FALSE))</f>
        <v>11</v>
      </c>
      <c r="K54" s="347">
        <f t="shared" si="3"/>
        <v>5.5</v>
      </c>
      <c r="L54" s="216"/>
    </row>
    <row r="55" spans="1:12" x14ac:dyDescent="0.2">
      <c r="B55" s="180" t="s">
        <v>220</v>
      </c>
      <c r="C55" s="388" t="s">
        <v>214</v>
      </c>
      <c r="D55" s="388"/>
      <c r="E55" s="388"/>
      <c r="F55" s="174">
        <v>12</v>
      </c>
      <c r="G55" s="175">
        <v>0.5</v>
      </c>
      <c r="H55" s="176">
        <v>5</v>
      </c>
      <c r="I55" s="120" t="s">
        <v>174</v>
      </c>
      <c r="J55" s="109">
        <f>IF($B55=0,"",VLOOKUP($B55,Table2[],7,FALSE))</f>
        <v>6.015625</v>
      </c>
      <c r="K55" s="345">
        <f t="shared" si="3"/>
        <v>15.04</v>
      </c>
      <c r="L55" s="110"/>
    </row>
    <row r="56" spans="1:12" ht="12.75" customHeight="1" x14ac:dyDescent="0.2">
      <c r="B56" s="180" t="s">
        <v>193</v>
      </c>
      <c r="C56" s="388" t="str">
        <f>IF(B56=0,"",VLOOKUP($B56,Table2[],2,FALSE))</f>
        <v>Custom</v>
      </c>
      <c r="D56" s="388"/>
      <c r="E56" s="388"/>
      <c r="F56" s="174">
        <v>15</v>
      </c>
      <c r="G56" s="175">
        <v>1</v>
      </c>
      <c r="H56" s="176">
        <f>$G$4</f>
        <v>30</v>
      </c>
      <c r="I56" s="120" t="str">
        <f>IF($B56=0,"",VLOOKUP($B56,Table2[],5,FALSE))</f>
        <v>ton</v>
      </c>
      <c r="J56" s="109">
        <f>IF($B56=0,"",VLOOKUP($B56,Table2[],7,FALSE))</f>
        <v>6</v>
      </c>
      <c r="K56" s="345">
        <f t="shared" ref="K56:K57" si="7">IF(B56=0,0,ROUND(G56*H56*J56,2))</f>
        <v>180</v>
      </c>
      <c r="L56" s="257"/>
    </row>
    <row r="57" spans="1:12" ht="12.75" customHeight="1" x14ac:dyDescent="0.2">
      <c r="B57" s="180" t="s">
        <v>316</v>
      </c>
      <c r="C57" s="388" t="str">
        <f>IF(B57=0,"",VLOOKUP($B57,Table2[],2,FALSE))</f>
        <v>Scouting</v>
      </c>
      <c r="D57" s="388"/>
      <c r="E57" s="388"/>
      <c r="F57" s="174"/>
      <c r="G57" s="175">
        <v>1</v>
      </c>
      <c r="H57" s="176">
        <v>1</v>
      </c>
      <c r="I57" s="120" t="str">
        <f>IF($B57=0,"",VLOOKUP($B57,Table2[],5,FALSE))</f>
        <v>acre</v>
      </c>
      <c r="J57" s="109">
        <f>IF($B57=0,"",VLOOKUP($B57,Table2[],7,FALSE))</f>
        <v>19</v>
      </c>
      <c r="K57" s="345">
        <f t="shared" si="7"/>
        <v>19</v>
      </c>
      <c r="L57" s="110"/>
    </row>
    <row r="58" spans="1:12" ht="12.75" hidden="1" customHeight="1" x14ac:dyDescent="0.2">
      <c r="B58" s="217"/>
      <c r="C58" s="387" t="str">
        <f>IF(B58=0,"",VLOOKUP($B58,Table2[],2,FALSE))</f>
        <v/>
      </c>
      <c r="D58" s="387"/>
      <c r="E58" s="387"/>
      <c r="F58" s="218"/>
      <c r="G58" s="224"/>
      <c r="H58" s="225"/>
      <c r="I58" s="223" t="str">
        <f>IF($B58=0,"",VLOOKUP($B58,Table2[],5,FALSE))</f>
        <v/>
      </c>
      <c r="J58" s="215" t="str">
        <f>IF($B58=0,"",VLOOKUP($B58,Table2[],7,FALSE))</f>
        <v/>
      </c>
      <c r="K58" s="347">
        <f>IF(B58=0,0,ROUND(G58*H58*J58,2))</f>
        <v>0</v>
      </c>
      <c r="L58" s="227"/>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345">
        <f>IF(B59=0,0,ROUND(G59*H59*J59,2))</f>
        <v>0</v>
      </c>
      <c r="L59" s="113"/>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345">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345">
        <f>IF(B61=0,0,ROUND(G61*H61*J61,2))</f>
        <v>0</v>
      </c>
      <c r="L61" s="113"/>
    </row>
    <row r="62" spans="1:12" ht="12.75" hidden="1" customHeight="1" x14ac:dyDescent="0.2">
      <c r="B62" s="217"/>
      <c r="C62" s="387" t="str">
        <f>IF(B62=0,"",VLOOKUP($B62,Table2[],2,FALSE))</f>
        <v/>
      </c>
      <c r="D62" s="387"/>
      <c r="E62" s="387"/>
      <c r="F62" s="218"/>
      <c r="G62" s="224"/>
      <c r="H62" s="225"/>
      <c r="I62" s="223" t="str">
        <f>IF($B62=0,"",VLOOKUP($B62,Table2[],5,FALSE))</f>
        <v/>
      </c>
      <c r="J62" s="215" t="str">
        <f>IF($B62=0,"",VLOOKUP($B62,Table2[],7,FALSE))</f>
        <v/>
      </c>
      <c r="K62" s="347">
        <f>IF(B62=0,0,ROUND(G62*H62*J62,2))</f>
        <v>0</v>
      </c>
      <c r="L62" s="227"/>
    </row>
    <row r="63" spans="1:12" x14ac:dyDescent="0.2">
      <c r="B63" s="260" t="s">
        <v>430</v>
      </c>
      <c r="C63" s="387" t="s">
        <v>655</v>
      </c>
      <c r="D63" s="387"/>
      <c r="E63" s="387"/>
      <c r="F63" s="218"/>
      <c r="G63" s="224"/>
      <c r="H63" s="225"/>
      <c r="I63" s="247"/>
      <c r="J63" s="215">
        <f ca="1">IF(F5=0,E5,F5)</f>
        <v>19</v>
      </c>
      <c r="K63" s="347">
        <f ca="1">IF(B63=0,0,J63)</f>
        <v>19</v>
      </c>
      <c r="L63" s="227"/>
    </row>
    <row r="64" spans="1:12" ht="3.75" customHeight="1" thickBot="1" x14ac:dyDescent="0.25">
      <c r="B64" s="114"/>
      <c r="C64" s="121"/>
      <c r="D64" s="121"/>
      <c r="E64" s="121"/>
      <c r="F64" s="115"/>
      <c r="G64" s="122"/>
      <c r="H64" s="114"/>
      <c r="I64" s="123"/>
      <c r="J64" s="124"/>
      <c r="K64" s="124"/>
      <c r="L64" s="117"/>
    </row>
    <row r="65" spans="2:12" ht="13.5" thickTop="1" x14ac:dyDescent="0.2">
      <c r="C65" s="108" t="s">
        <v>671</v>
      </c>
      <c r="D65" s="108"/>
      <c r="J65" s="126"/>
      <c r="K65" s="345">
        <f ca="1">SUM(K37:K63)</f>
        <v>804.17999999999984</v>
      </c>
      <c r="L65" s="110"/>
    </row>
    <row r="66" spans="2:12" x14ac:dyDescent="0.2">
      <c r="B66" s="144"/>
    </row>
    <row r="67" spans="2:12" x14ac:dyDescent="0.2">
      <c r="B67" s="107" t="s">
        <v>672</v>
      </c>
      <c r="K67" s="345">
        <f ca="1">K33+K65</f>
        <v>1083.0099999999998</v>
      </c>
      <c r="L67" s="110"/>
    </row>
    <row r="68" spans="2:12" ht="13.5" thickBot="1" x14ac:dyDescent="0.25">
      <c r="D68" s="128" t="s">
        <v>673</v>
      </c>
      <c r="E68" s="129">
        <f ca="1">ROUND(SUM($E$33:$H$33)+$K$65,2)</f>
        <v>951.92</v>
      </c>
      <c r="F68" s="388" t="s">
        <v>674</v>
      </c>
      <c r="G68" s="388"/>
      <c r="H68" s="130">
        <f>'General Variables'!$B$11</f>
        <v>7.4999999999999997E-2</v>
      </c>
      <c r="I68" s="131" t="str">
        <f>CONCATENATE("for ",TEXT('General Variables'!$B$12,"0.0")," mo.")</f>
        <v>for 6.0 mo.</v>
      </c>
      <c r="K68" s="124">
        <f ca="1">E68*H68*'General Variables'!$B$12/12</f>
        <v>35.696999999999996</v>
      </c>
      <c r="L68" s="133"/>
    </row>
    <row r="69" spans="2:12" ht="13.5" thickTop="1" x14ac:dyDescent="0.2">
      <c r="B69" s="107" t="s">
        <v>675</v>
      </c>
      <c r="K69" s="345">
        <f ca="1">SUM(K67:K68)</f>
        <v>1118.7069999999997</v>
      </c>
      <c r="L69" s="110"/>
    </row>
    <row r="71" spans="2:12" x14ac:dyDescent="0.2">
      <c r="B71" s="104" t="s">
        <v>676</v>
      </c>
      <c r="C71" s="134"/>
      <c r="D71" s="134"/>
      <c r="E71" s="134"/>
      <c r="F71" s="134"/>
      <c r="G71" s="134"/>
      <c r="H71" s="134"/>
      <c r="I71" s="134"/>
      <c r="J71" s="134"/>
      <c r="K71" s="349">
        <f>'General Variables'!B14</f>
        <v>35</v>
      </c>
      <c r="L71" s="110"/>
    </row>
    <row r="72" spans="2:12" x14ac:dyDescent="0.2">
      <c r="B72" s="103" t="s">
        <v>687</v>
      </c>
      <c r="C72" s="402" t="s">
        <v>37</v>
      </c>
      <c r="D72" s="403"/>
      <c r="E72" s="404"/>
      <c r="F72" s="136">
        <f>IF(C72=0,0,VLOOKUP(C72,RETable,2,FALSE))</f>
        <v>3565</v>
      </c>
      <c r="G72" s="388" t="s">
        <v>678</v>
      </c>
      <c r="H72" s="388"/>
      <c r="I72" s="130">
        <f>'General Variables'!$B$10</f>
        <v>0.03</v>
      </c>
      <c r="K72" s="350">
        <f>ROUND(F72*I72,2)</f>
        <v>106.95</v>
      </c>
      <c r="L72" s="110"/>
    </row>
    <row r="73" spans="2:12" ht="13.5" thickBot="1" x14ac:dyDescent="0.25">
      <c r="B73" s="103" t="s">
        <v>679</v>
      </c>
      <c r="F73" s="138">
        <f>IF(C72=0,0,VLOOKUP(C72,RETable,2,FALSE))</f>
        <v>3565</v>
      </c>
      <c r="G73" s="397" t="s">
        <v>678</v>
      </c>
      <c r="H73" s="397"/>
      <c r="I73" s="139">
        <f>'General Variables'!$B$13</f>
        <v>1.2999999999999999E-2</v>
      </c>
      <c r="J73" s="105"/>
      <c r="K73" s="351">
        <f>ROUND(F73*I73,2)</f>
        <v>46.35</v>
      </c>
      <c r="L73" s="133"/>
    </row>
    <row r="74" spans="2:12" ht="13.5" thickTop="1" x14ac:dyDescent="0.2">
      <c r="B74" s="107" t="s">
        <v>680</v>
      </c>
      <c r="K74" s="345">
        <f ca="1">SUM(K69:K73)</f>
        <v>1307.0069999999996</v>
      </c>
      <c r="L74" s="110"/>
    </row>
    <row r="76" spans="2:12" x14ac:dyDescent="0.2">
      <c r="B76" s="104" t="str">
        <f>IF(G4="","","Cash Cost per "&amp;H4)</f>
        <v>Cash Cost per ton</v>
      </c>
      <c r="C76" s="261" t="s">
        <v>688</v>
      </c>
      <c r="D76" s="105"/>
      <c r="E76" s="105"/>
      <c r="F76" s="105"/>
      <c r="G76" s="105"/>
      <c r="H76" s="105"/>
      <c r="I76" s="105"/>
      <c r="J76" s="105"/>
      <c r="K76" s="349">
        <f ca="1">IF(G4=0,0,(E68+K68+K71+K73)/G4)</f>
        <v>35.632233333333332</v>
      </c>
      <c r="L76" s="148"/>
    </row>
    <row r="77" spans="2:12" x14ac:dyDescent="0.2">
      <c r="B77" s="107" t="str">
        <f>IF(G4="","","Cost of production per "&amp;H4)</f>
        <v>Cost of production per ton</v>
      </c>
      <c r="K77" s="345">
        <f ca="1">IF(G4="","",K74/G4)</f>
        <v>43.56689999999999</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70" t="s">
        <v>681</v>
      </c>
    </row>
    <row r="115" spans="2:11" x14ac:dyDescent="0.2">
      <c r="B115" s="105"/>
      <c r="C115" s="105"/>
      <c r="D115" s="105"/>
      <c r="H115" s="103" t="e">
        <f>'General Variables'!#REF!</f>
        <v>#REF!</v>
      </c>
      <c r="K115" s="170"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21878">
    <mergeCell ref="F68:G68"/>
    <mergeCell ref="C72:E72"/>
    <mergeCell ref="G72:H72"/>
    <mergeCell ref="G73:H73"/>
    <mergeCell ref="C58:E58"/>
    <mergeCell ref="C59:E59"/>
    <mergeCell ref="C60:E60"/>
    <mergeCell ref="C61:E61"/>
    <mergeCell ref="C62:E62"/>
    <mergeCell ref="C63:E63"/>
    <mergeCell ref="N26:P26"/>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 ref="F35:F36"/>
    <mergeCell ref="G35:G36"/>
    <mergeCell ref="H35:I35"/>
    <mergeCell ref="J35:J36"/>
    <mergeCell ref="C38:E38"/>
    <mergeCell ref="C39:E39"/>
    <mergeCell ref="C42:E42"/>
    <mergeCell ref="C43:E43"/>
    <mergeCell ref="C44:E44"/>
    <mergeCell ref="C37:E37"/>
    <mergeCell ref="C57:E57"/>
    <mergeCell ref="C45:E45"/>
    <mergeCell ref="C47:E47"/>
    <mergeCell ref="C48:E48"/>
    <mergeCell ref="C49:E49"/>
    <mergeCell ref="C51:E51"/>
    <mergeCell ref="C52:E52"/>
    <mergeCell ref="C53:E53"/>
    <mergeCell ref="C54:E54"/>
    <mergeCell ref="C55:E55"/>
    <mergeCell ref="C56:E56"/>
    <mergeCell ref="C40:E40"/>
    <mergeCell ref="C46:E46"/>
    <mergeCell ref="C50:E50"/>
    <mergeCell ref="C41:E41"/>
    <mergeCell ref="DC26:DE26"/>
    <mergeCell ref="DF26:DH26"/>
    <mergeCell ref="DI26:DK26"/>
    <mergeCell ref="DL26:DN26"/>
    <mergeCell ref="DO26:DQ26"/>
    <mergeCell ref="CN26:CP26"/>
    <mergeCell ref="CQ26:CS26"/>
    <mergeCell ref="CT26:CV26"/>
    <mergeCell ref="CW26:CY26"/>
    <mergeCell ref="CZ26:DB26"/>
    <mergeCell ref="BY26:CA26"/>
    <mergeCell ref="CB26:CD26"/>
    <mergeCell ref="CE26:CG26"/>
    <mergeCell ref="CH26:CJ26"/>
    <mergeCell ref="CK26:CM26"/>
    <mergeCell ref="BJ26:BL26"/>
    <mergeCell ref="BM26:BO26"/>
    <mergeCell ref="BP26:BR26"/>
    <mergeCell ref="BS26:BU26"/>
    <mergeCell ref="BV26:BX26"/>
    <mergeCell ref="AU26:AW26"/>
    <mergeCell ref="AX26:AZ26"/>
    <mergeCell ref="BA26:BC26"/>
    <mergeCell ref="BD26:BF26"/>
    <mergeCell ref="BG26:BI26"/>
    <mergeCell ref="AF26:AH26"/>
    <mergeCell ref="AI26:AK26"/>
    <mergeCell ref="AL26:AN26"/>
    <mergeCell ref="AO26:AQ26"/>
    <mergeCell ref="AR26:AT26"/>
    <mergeCell ref="Q26:S26"/>
    <mergeCell ref="T26:V26"/>
    <mergeCell ref="W26:Y26"/>
    <mergeCell ref="Z26:AB26"/>
    <mergeCell ref="AC26:AE26"/>
    <mergeCell ref="HD26:HF26"/>
    <mergeCell ref="HG26:HI26"/>
    <mergeCell ref="HJ26:HL26"/>
    <mergeCell ref="HM26:HO26"/>
    <mergeCell ref="HP26:HR26"/>
    <mergeCell ref="GO26:GQ26"/>
    <mergeCell ref="GR26:GT26"/>
    <mergeCell ref="GU26:GW26"/>
    <mergeCell ref="GX26:GZ26"/>
    <mergeCell ref="HA26:HC26"/>
    <mergeCell ref="FZ26:GB26"/>
    <mergeCell ref="GC26:GE26"/>
    <mergeCell ref="GF26:GH26"/>
    <mergeCell ref="GI26:GK26"/>
    <mergeCell ref="GL26:GN26"/>
    <mergeCell ref="FK26:FM26"/>
    <mergeCell ref="FN26:FP26"/>
    <mergeCell ref="FQ26:FS26"/>
    <mergeCell ref="FT26:FV26"/>
    <mergeCell ref="FW26:FY26"/>
    <mergeCell ref="EV26:EX26"/>
    <mergeCell ref="EY26:FA26"/>
    <mergeCell ref="FB26:FD26"/>
    <mergeCell ref="FE26:FG26"/>
    <mergeCell ref="FH26:FJ26"/>
    <mergeCell ref="EG26:EI26"/>
    <mergeCell ref="EJ26:EL26"/>
    <mergeCell ref="EM26:EO26"/>
    <mergeCell ref="EP26:ER26"/>
    <mergeCell ref="ES26:EU26"/>
    <mergeCell ref="DR26:DT26"/>
    <mergeCell ref="DU26:DW26"/>
    <mergeCell ref="DX26:DZ26"/>
    <mergeCell ref="EA26:EC26"/>
    <mergeCell ref="ED26:EF26"/>
    <mergeCell ref="LE26:LG26"/>
    <mergeCell ref="LH26:LJ26"/>
    <mergeCell ref="LK26:LM26"/>
    <mergeCell ref="LN26:LP26"/>
    <mergeCell ref="LQ26:LS26"/>
    <mergeCell ref="KP26:KR26"/>
    <mergeCell ref="KS26:KU26"/>
    <mergeCell ref="KV26:KX26"/>
    <mergeCell ref="KY26:LA26"/>
    <mergeCell ref="LB26:LD26"/>
    <mergeCell ref="KA26:KC26"/>
    <mergeCell ref="KD26:KF26"/>
    <mergeCell ref="KG26:KI26"/>
    <mergeCell ref="KJ26:KL26"/>
    <mergeCell ref="KM26:KO26"/>
    <mergeCell ref="JL26:JN26"/>
    <mergeCell ref="JO26:JQ26"/>
    <mergeCell ref="JR26:JT26"/>
    <mergeCell ref="JU26:JW26"/>
    <mergeCell ref="JX26:JZ26"/>
    <mergeCell ref="IW26:IY26"/>
    <mergeCell ref="IZ26:JB26"/>
    <mergeCell ref="JC26:JE26"/>
    <mergeCell ref="JF26:JH26"/>
    <mergeCell ref="JI26:JK26"/>
    <mergeCell ref="IH26:IJ26"/>
    <mergeCell ref="IK26:IM26"/>
    <mergeCell ref="IN26:IP26"/>
    <mergeCell ref="IQ26:IS26"/>
    <mergeCell ref="IT26:IV26"/>
    <mergeCell ref="HS26:HU26"/>
    <mergeCell ref="HV26:HX26"/>
    <mergeCell ref="HY26:IA26"/>
    <mergeCell ref="IB26:ID26"/>
    <mergeCell ref="IE26:IG26"/>
    <mergeCell ref="PF26:PH26"/>
    <mergeCell ref="PI26:PK26"/>
    <mergeCell ref="PL26:PN26"/>
    <mergeCell ref="PO26:PQ26"/>
    <mergeCell ref="PR26:PT26"/>
    <mergeCell ref="OQ26:OS26"/>
    <mergeCell ref="OT26:OV26"/>
    <mergeCell ref="OW26:OY26"/>
    <mergeCell ref="OZ26:PB26"/>
    <mergeCell ref="PC26:PE26"/>
    <mergeCell ref="OB26:OD26"/>
    <mergeCell ref="OE26:OG26"/>
    <mergeCell ref="OH26:OJ26"/>
    <mergeCell ref="OK26:OM26"/>
    <mergeCell ref="ON26:OP26"/>
    <mergeCell ref="NM26:NO26"/>
    <mergeCell ref="NP26:NR26"/>
    <mergeCell ref="NS26:NU26"/>
    <mergeCell ref="NV26:NX26"/>
    <mergeCell ref="NY26:OA26"/>
    <mergeCell ref="MX26:MZ26"/>
    <mergeCell ref="NA26:NC26"/>
    <mergeCell ref="ND26:NF26"/>
    <mergeCell ref="NG26:NI26"/>
    <mergeCell ref="NJ26:NL26"/>
    <mergeCell ref="MI26:MK26"/>
    <mergeCell ref="ML26:MN26"/>
    <mergeCell ref="MO26:MQ26"/>
    <mergeCell ref="MR26:MT26"/>
    <mergeCell ref="MU26:MW26"/>
    <mergeCell ref="LT26:LV26"/>
    <mergeCell ref="LW26:LY26"/>
    <mergeCell ref="LZ26:MB26"/>
    <mergeCell ref="MC26:ME26"/>
    <mergeCell ref="MF26:MH26"/>
    <mergeCell ref="TG26:TI26"/>
    <mergeCell ref="TJ26:TL26"/>
    <mergeCell ref="TM26:TO26"/>
    <mergeCell ref="TP26:TR26"/>
    <mergeCell ref="TS26:TU26"/>
    <mergeCell ref="SR26:ST26"/>
    <mergeCell ref="SU26:SW26"/>
    <mergeCell ref="SX26:SZ26"/>
    <mergeCell ref="TA26:TC26"/>
    <mergeCell ref="TD26:TF26"/>
    <mergeCell ref="SC26:SE26"/>
    <mergeCell ref="SF26:SH26"/>
    <mergeCell ref="SI26:SK26"/>
    <mergeCell ref="SL26:SN26"/>
    <mergeCell ref="SO26:SQ26"/>
    <mergeCell ref="RN26:RP26"/>
    <mergeCell ref="RQ26:RS26"/>
    <mergeCell ref="RT26:RV26"/>
    <mergeCell ref="RW26:RY26"/>
    <mergeCell ref="RZ26:SB26"/>
    <mergeCell ref="QY26:RA26"/>
    <mergeCell ref="RB26:RD26"/>
    <mergeCell ref="RE26:RG26"/>
    <mergeCell ref="RH26:RJ26"/>
    <mergeCell ref="RK26:RM26"/>
    <mergeCell ref="QJ26:QL26"/>
    <mergeCell ref="QM26:QO26"/>
    <mergeCell ref="QP26:QR26"/>
    <mergeCell ref="QS26:QU26"/>
    <mergeCell ref="QV26:QX26"/>
    <mergeCell ref="PU26:PW26"/>
    <mergeCell ref="PX26:PZ26"/>
    <mergeCell ref="QA26:QC26"/>
    <mergeCell ref="QD26:QF26"/>
    <mergeCell ref="QG26:QI26"/>
    <mergeCell ref="XH26:XJ26"/>
    <mergeCell ref="XK26:XM26"/>
    <mergeCell ref="XN26:XP26"/>
    <mergeCell ref="XQ26:XS26"/>
    <mergeCell ref="XT26:XV26"/>
    <mergeCell ref="WS26:WU26"/>
    <mergeCell ref="WV26:WX26"/>
    <mergeCell ref="WY26:XA26"/>
    <mergeCell ref="XB26:XD26"/>
    <mergeCell ref="XE26:XG26"/>
    <mergeCell ref="WD26:WF26"/>
    <mergeCell ref="WG26:WI26"/>
    <mergeCell ref="WJ26:WL26"/>
    <mergeCell ref="WM26:WO26"/>
    <mergeCell ref="WP26:WR26"/>
    <mergeCell ref="VO26:VQ26"/>
    <mergeCell ref="VR26:VT26"/>
    <mergeCell ref="VU26:VW26"/>
    <mergeCell ref="VX26:VZ26"/>
    <mergeCell ref="WA26:WC26"/>
    <mergeCell ref="UZ26:VB26"/>
    <mergeCell ref="VC26:VE26"/>
    <mergeCell ref="VF26:VH26"/>
    <mergeCell ref="VI26:VK26"/>
    <mergeCell ref="VL26:VN26"/>
    <mergeCell ref="UK26:UM26"/>
    <mergeCell ref="UN26:UP26"/>
    <mergeCell ref="UQ26:US26"/>
    <mergeCell ref="UT26:UV26"/>
    <mergeCell ref="UW26:UY26"/>
    <mergeCell ref="TV26:TX26"/>
    <mergeCell ref="TY26:UA26"/>
    <mergeCell ref="UB26:UD26"/>
    <mergeCell ref="UE26:UG26"/>
    <mergeCell ref="UH26:UJ26"/>
    <mergeCell ref="ABI26:ABK26"/>
    <mergeCell ref="ABL26:ABN26"/>
    <mergeCell ref="ABO26:ABQ26"/>
    <mergeCell ref="ABR26:ABT26"/>
    <mergeCell ref="ABU26:ABW26"/>
    <mergeCell ref="AAT26:AAV26"/>
    <mergeCell ref="AAW26:AAY26"/>
    <mergeCell ref="AAZ26:ABB26"/>
    <mergeCell ref="ABC26:ABE26"/>
    <mergeCell ref="ABF26:ABH26"/>
    <mergeCell ref="AAE26:AAG26"/>
    <mergeCell ref="AAH26:AAJ26"/>
    <mergeCell ref="AAK26:AAM26"/>
    <mergeCell ref="AAN26:AAP26"/>
    <mergeCell ref="AAQ26:AAS26"/>
    <mergeCell ref="ZP26:ZR26"/>
    <mergeCell ref="ZS26:ZU26"/>
    <mergeCell ref="ZV26:ZX26"/>
    <mergeCell ref="ZY26:AAA26"/>
    <mergeCell ref="AAB26:AAD26"/>
    <mergeCell ref="ZA26:ZC26"/>
    <mergeCell ref="ZD26:ZF26"/>
    <mergeCell ref="ZG26:ZI26"/>
    <mergeCell ref="ZJ26:ZL26"/>
    <mergeCell ref="ZM26:ZO26"/>
    <mergeCell ref="YL26:YN26"/>
    <mergeCell ref="YO26:YQ26"/>
    <mergeCell ref="YR26:YT26"/>
    <mergeCell ref="YU26:YW26"/>
    <mergeCell ref="YX26:YZ26"/>
    <mergeCell ref="XW26:XY26"/>
    <mergeCell ref="XZ26:YB26"/>
    <mergeCell ref="YC26:YE26"/>
    <mergeCell ref="YF26:YH26"/>
    <mergeCell ref="YI26:YK26"/>
    <mergeCell ref="AFJ26:AFL26"/>
    <mergeCell ref="AFM26:AFO26"/>
    <mergeCell ref="AFP26:AFR26"/>
    <mergeCell ref="AFS26:AFU26"/>
    <mergeCell ref="AFV26:AFX26"/>
    <mergeCell ref="AEU26:AEW26"/>
    <mergeCell ref="AEX26:AEZ26"/>
    <mergeCell ref="AFA26:AFC26"/>
    <mergeCell ref="AFD26:AFF26"/>
    <mergeCell ref="AFG26:AFI26"/>
    <mergeCell ref="AEF26:AEH26"/>
    <mergeCell ref="AEI26:AEK26"/>
    <mergeCell ref="AEL26:AEN26"/>
    <mergeCell ref="AEO26:AEQ26"/>
    <mergeCell ref="AER26:AET26"/>
    <mergeCell ref="ADQ26:ADS26"/>
    <mergeCell ref="ADT26:ADV26"/>
    <mergeCell ref="ADW26:ADY26"/>
    <mergeCell ref="ADZ26:AEB26"/>
    <mergeCell ref="AEC26:AEE26"/>
    <mergeCell ref="ADB26:ADD26"/>
    <mergeCell ref="ADE26:ADG26"/>
    <mergeCell ref="ADH26:ADJ26"/>
    <mergeCell ref="ADK26:ADM26"/>
    <mergeCell ref="ADN26:ADP26"/>
    <mergeCell ref="ACM26:ACO26"/>
    <mergeCell ref="ACP26:ACR26"/>
    <mergeCell ref="ACS26:ACU26"/>
    <mergeCell ref="ACV26:ACX26"/>
    <mergeCell ref="ACY26:ADA26"/>
    <mergeCell ref="ABX26:ABZ26"/>
    <mergeCell ref="ACA26:ACC26"/>
    <mergeCell ref="ACD26:ACF26"/>
    <mergeCell ref="ACG26:ACI26"/>
    <mergeCell ref="ACJ26:ACL26"/>
    <mergeCell ref="AJK26:AJM26"/>
    <mergeCell ref="AJN26:AJP26"/>
    <mergeCell ref="AJQ26:AJS26"/>
    <mergeCell ref="AJT26:AJV26"/>
    <mergeCell ref="AJW26:AJY26"/>
    <mergeCell ref="AIV26:AIX26"/>
    <mergeCell ref="AIY26:AJA26"/>
    <mergeCell ref="AJB26:AJD26"/>
    <mergeCell ref="AJE26:AJG26"/>
    <mergeCell ref="AJH26:AJJ26"/>
    <mergeCell ref="AIG26:AII26"/>
    <mergeCell ref="AIJ26:AIL26"/>
    <mergeCell ref="AIM26:AIO26"/>
    <mergeCell ref="AIP26:AIR26"/>
    <mergeCell ref="AIS26:AIU26"/>
    <mergeCell ref="AHR26:AHT26"/>
    <mergeCell ref="AHU26:AHW26"/>
    <mergeCell ref="AHX26:AHZ26"/>
    <mergeCell ref="AIA26:AIC26"/>
    <mergeCell ref="AID26:AIF26"/>
    <mergeCell ref="AHC26:AHE26"/>
    <mergeCell ref="AHF26:AHH26"/>
    <mergeCell ref="AHI26:AHK26"/>
    <mergeCell ref="AHL26:AHN26"/>
    <mergeCell ref="AHO26:AHQ26"/>
    <mergeCell ref="AGN26:AGP26"/>
    <mergeCell ref="AGQ26:AGS26"/>
    <mergeCell ref="AGT26:AGV26"/>
    <mergeCell ref="AGW26:AGY26"/>
    <mergeCell ref="AGZ26:AHB26"/>
    <mergeCell ref="AFY26:AGA26"/>
    <mergeCell ref="AGB26:AGD26"/>
    <mergeCell ref="AGE26:AGG26"/>
    <mergeCell ref="AGH26:AGJ26"/>
    <mergeCell ref="AGK26:AGM26"/>
    <mergeCell ref="ANL26:ANN26"/>
    <mergeCell ref="ANO26:ANQ26"/>
    <mergeCell ref="ANR26:ANT26"/>
    <mergeCell ref="ANU26:ANW26"/>
    <mergeCell ref="ANX26:ANZ26"/>
    <mergeCell ref="AMW26:AMY26"/>
    <mergeCell ref="AMZ26:ANB26"/>
    <mergeCell ref="ANC26:ANE26"/>
    <mergeCell ref="ANF26:ANH26"/>
    <mergeCell ref="ANI26:ANK26"/>
    <mergeCell ref="AMH26:AMJ26"/>
    <mergeCell ref="AMK26:AMM26"/>
    <mergeCell ref="AMN26:AMP26"/>
    <mergeCell ref="AMQ26:AMS26"/>
    <mergeCell ref="AMT26:AMV26"/>
    <mergeCell ref="ALS26:ALU26"/>
    <mergeCell ref="ALV26:ALX26"/>
    <mergeCell ref="ALY26:AMA26"/>
    <mergeCell ref="AMB26:AMD26"/>
    <mergeCell ref="AME26:AMG26"/>
    <mergeCell ref="ALD26:ALF26"/>
    <mergeCell ref="ALG26:ALI26"/>
    <mergeCell ref="ALJ26:ALL26"/>
    <mergeCell ref="ALM26:ALO26"/>
    <mergeCell ref="ALP26:ALR26"/>
    <mergeCell ref="AKO26:AKQ26"/>
    <mergeCell ref="AKR26:AKT26"/>
    <mergeCell ref="AKU26:AKW26"/>
    <mergeCell ref="AKX26:AKZ26"/>
    <mergeCell ref="ALA26:ALC26"/>
    <mergeCell ref="AJZ26:AKB26"/>
    <mergeCell ref="AKC26:AKE26"/>
    <mergeCell ref="AKF26:AKH26"/>
    <mergeCell ref="AKI26:AKK26"/>
    <mergeCell ref="AKL26:AKN26"/>
    <mergeCell ref="ARM26:ARO26"/>
    <mergeCell ref="ARP26:ARR26"/>
    <mergeCell ref="ARS26:ARU26"/>
    <mergeCell ref="ARV26:ARX26"/>
    <mergeCell ref="ARY26:ASA26"/>
    <mergeCell ref="AQX26:AQZ26"/>
    <mergeCell ref="ARA26:ARC26"/>
    <mergeCell ref="ARD26:ARF26"/>
    <mergeCell ref="ARG26:ARI26"/>
    <mergeCell ref="ARJ26:ARL26"/>
    <mergeCell ref="AQI26:AQK26"/>
    <mergeCell ref="AQL26:AQN26"/>
    <mergeCell ref="AQO26:AQQ26"/>
    <mergeCell ref="AQR26:AQT26"/>
    <mergeCell ref="AQU26:AQW26"/>
    <mergeCell ref="APT26:APV26"/>
    <mergeCell ref="APW26:APY26"/>
    <mergeCell ref="APZ26:AQB26"/>
    <mergeCell ref="AQC26:AQE26"/>
    <mergeCell ref="AQF26:AQH26"/>
    <mergeCell ref="APE26:APG26"/>
    <mergeCell ref="APH26:APJ26"/>
    <mergeCell ref="APK26:APM26"/>
    <mergeCell ref="APN26:APP26"/>
    <mergeCell ref="APQ26:APS26"/>
    <mergeCell ref="AOP26:AOR26"/>
    <mergeCell ref="AOS26:AOU26"/>
    <mergeCell ref="AOV26:AOX26"/>
    <mergeCell ref="AOY26:APA26"/>
    <mergeCell ref="APB26:APD26"/>
    <mergeCell ref="AOA26:AOC26"/>
    <mergeCell ref="AOD26:AOF26"/>
    <mergeCell ref="AOG26:AOI26"/>
    <mergeCell ref="AOJ26:AOL26"/>
    <mergeCell ref="AOM26:AOO26"/>
    <mergeCell ref="AVN26:AVP26"/>
    <mergeCell ref="AVQ26:AVS26"/>
    <mergeCell ref="AVT26:AVV26"/>
    <mergeCell ref="AVW26:AVY26"/>
    <mergeCell ref="AVZ26:AWB26"/>
    <mergeCell ref="AUY26:AVA26"/>
    <mergeCell ref="AVB26:AVD26"/>
    <mergeCell ref="AVE26:AVG26"/>
    <mergeCell ref="AVH26:AVJ26"/>
    <mergeCell ref="AVK26:AVM26"/>
    <mergeCell ref="AUJ26:AUL26"/>
    <mergeCell ref="AUM26:AUO26"/>
    <mergeCell ref="AUP26:AUR26"/>
    <mergeCell ref="AUS26:AUU26"/>
    <mergeCell ref="AUV26:AUX26"/>
    <mergeCell ref="ATU26:ATW26"/>
    <mergeCell ref="ATX26:ATZ26"/>
    <mergeCell ref="AUA26:AUC26"/>
    <mergeCell ref="AUD26:AUF26"/>
    <mergeCell ref="AUG26:AUI26"/>
    <mergeCell ref="ATF26:ATH26"/>
    <mergeCell ref="ATI26:ATK26"/>
    <mergeCell ref="ATL26:ATN26"/>
    <mergeCell ref="ATO26:ATQ26"/>
    <mergeCell ref="ATR26:ATT26"/>
    <mergeCell ref="ASQ26:ASS26"/>
    <mergeCell ref="AST26:ASV26"/>
    <mergeCell ref="ASW26:ASY26"/>
    <mergeCell ref="ASZ26:ATB26"/>
    <mergeCell ref="ATC26:ATE26"/>
    <mergeCell ref="ASB26:ASD26"/>
    <mergeCell ref="ASE26:ASG26"/>
    <mergeCell ref="ASH26:ASJ26"/>
    <mergeCell ref="ASK26:ASM26"/>
    <mergeCell ref="ASN26:ASP26"/>
    <mergeCell ref="AZO26:AZQ26"/>
    <mergeCell ref="AZR26:AZT26"/>
    <mergeCell ref="AZU26:AZW26"/>
    <mergeCell ref="AZX26:AZZ26"/>
    <mergeCell ref="BAA26:BAC26"/>
    <mergeCell ref="AYZ26:AZB26"/>
    <mergeCell ref="AZC26:AZE26"/>
    <mergeCell ref="AZF26:AZH26"/>
    <mergeCell ref="AZI26:AZK26"/>
    <mergeCell ref="AZL26:AZN26"/>
    <mergeCell ref="AYK26:AYM26"/>
    <mergeCell ref="AYN26:AYP26"/>
    <mergeCell ref="AYQ26:AYS26"/>
    <mergeCell ref="AYT26:AYV26"/>
    <mergeCell ref="AYW26:AYY26"/>
    <mergeCell ref="AXV26:AXX26"/>
    <mergeCell ref="AXY26:AYA26"/>
    <mergeCell ref="AYB26:AYD26"/>
    <mergeCell ref="AYE26:AYG26"/>
    <mergeCell ref="AYH26:AYJ26"/>
    <mergeCell ref="AXG26:AXI26"/>
    <mergeCell ref="AXJ26:AXL26"/>
    <mergeCell ref="AXM26:AXO26"/>
    <mergeCell ref="AXP26:AXR26"/>
    <mergeCell ref="AXS26:AXU26"/>
    <mergeCell ref="AWR26:AWT26"/>
    <mergeCell ref="AWU26:AWW26"/>
    <mergeCell ref="AWX26:AWZ26"/>
    <mergeCell ref="AXA26:AXC26"/>
    <mergeCell ref="AXD26:AXF26"/>
    <mergeCell ref="AWC26:AWE26"/>
    <mergeCell ref="AWF26:AWH26"/>
    <mergeCell ref="AWI26:AWK26"/>
    <mergeCell ref="AWL26:AWN26"/>
    <mergeCell ref="AWO26:AWQ26"/>
    <mergeCell ref="BDP26:BDR26"/>
    <mergeCell ref="BDS26:BDU26"/>
    <mergeCell ref="BDV26:BDX26"/>
    <mergeCell ref="BDY26:BEA26"/>
    <mergeCell ref="BEB26:BED26"/>
    <mergeCell ref="BDA26:BDC26"/>
    <mergeCell ref="BDD26:BDF26"/>
    <mergeCell ref="BDG26:BDI26"/>
    <mergeCell ref="BDJ26:BDL26"/>
    <mergeCell ref="BDM26:BDO26"/>
    <mergeCell ref="BCL26:BCN26"/>
    <mergeCell ref="BCO26:BCQ26"/>
    <mergeCell ref="BCR26:BCT26"/>
    <mergeCell ref="BCU26:BCW26"/>
    <mergeCell ref="BCX26:BCZ26"/>
    <mergeCell ref="BBW26:BBY26"/>
    <mergeCell ref="BBZ26:BCB26"/>
    <mergeCell ref="BCC26:BCE26"/>
    <mergeCell ref="BCF26:BCH26"/>
    <mergeCell ref="BCI26:BCK26"/>
    <mergeCell ref="BBH26:BBJ26"/>
    <mergeCell ref="BBK26:BBM26"/>
    <mergeCell ref="BBN26:BBP26"/>
    <mergeCell ref="BBQ26:BBS26"/>
    <mergeCell ref="BBT26:BBV26"/>
    <mergeCell ref="BAS26:BAU26"/>
    <mergeCell ref="BAV26:BAX26"/>
    <mergeCell ref="BAY26:BBA26"/>
    <mergeCell ref="BBB26:BBD26"/>
    <mergeCell ref="BBE26:BBG26"/>
    <mergeCell ref="BAD26:BAF26"/>
    <mergeCell ref="BAG26:BAI26"/>
    <mergeCell ref="BAJ26:BAL26"/>
    <mergeCell ref="BAM26:BAO26"/>
    <mergeCell ref="BAP26:BAR26"/>
    <mergeCell ref="BHQ26:BHS26"/>
    <mergeCell ref="BHT26:BHV26"/>
    <mergeCell ref="BHW26:BHY26"/>
    <mergeCell ref="BHZ26:BIB26"/>
    <mergeCell ref="BIC26:BIE26"/>
    <mergeCell ref="BHB26:BHD26"/>
    <mergeCell ref="BHE26:BHG26"/>
    <mergeCell ref="BHH26:BHJ26"/>
    <mergeCell ref="BHK26:BHM26"/>
    <mergeCell ref="BHN26:BHP26"/>
    <mergeCell ref="BGM26:BGO26"/>
    <mergeCell ref="BGP26:BGR26"/>
    <mergeCell ref="BGS26:BGU26"/>
    <mergeCell ref="BGV26:BGX26"/>
    <mergeCell ref="BGY26:BHA26"/>
    <mergeCell ref="BFX26:BFZ26"/>
    <mergeCell ref="BGA26:BGC26"/>
    <mergeCell ref="BGD26:BGF26"/>
    <mergeCell ref="BGG26:BGI26"/>
    <mergeCell ref="BGJ26:BGL26"/>
    <mergeCell ref="BFI26:BFK26"/>
    <mergeCell ref="BFL26:BFN26"/>
    <mergeCell ref="BFO26:BFQ26"/>
    <mergeCell ref="BFR26:BFT26"/>
    <mergeCell ref="BFU26:BFW26"/>
    <mergeCell ref="BET26:BEV26"/>
    <mergeCell ref="BEW26:BEY26"/>
    <mergeCell ref="BEZ26:BFB26"/>
    <mergeCell ref="BFC26:BFE26"/>
    <mergeCell ref="BFF26:BFH26"/>
    <mergeCell ref="BEE26:BEG26"/>
    <mergeCell ref="BEH26:BEJ26"/>
    <mergeCell ref="BEK26:BEM26"/>
    <mergeCell ref="BEN26:BEP26"/>
    <mergeCell ref="BEQ26:BES26"/>
    <mergeCell ref="BLR26:BLT26"/>
    <mergeCell ref="BLU26:BLW26"/>
    <mergeCell ref="BLX26:BLZ26"/>
    <mergeCell ref="BMA26:BMC26"/>
    <mergeCell ref="BMD26:BMF26"/>
    <mergeCell ref="BLC26:BLE26"/>
    <mergeCell ref="BLF26:BLH26"/>
    <mergeCell ref="BLI26:BLK26"/>
    <mergeCell ref="BLL26:BLN26"/>
    <mergeCell ref="BLO26:BLQ26"/>
    <mergeCell ref="BKN26:BKP26"/>
    <mergeCell ref="BKQ26:BKS26"/>
    <mergeCell ref="BKT26:BKV26"/>
    <mergeCell ref="BKW26:BKY26"/>
    <mergeCell ref="BKZ26:BLB26"/>
    <mergeCell ref="BJY26:BKA26"/>
    <mergeCell ref="BKB26:BKD26"/>
    <mergeCell ref="BKE26:BKG26"/>
    <mergeCell ref="BKH26:BKJ26"/>
    <mergeCell ref="BKK26:BKM26"/>
    <mergeCell ref="BJJ26:BJL26"/>
    <mergeCell ref="BJM26:BJO26"/>
    <mergeCell ref="BJP26:BJR26"/>
    <mergeCell ref="BJS26:BJU26"/>
    <mergeCell ref="BJV26:BJX26"/>
    <mergeCell ref="BIU26:BIW26"/>
    <mergeCell ref="BIX26:BIZ26"/>
    <mergeCell ref="BJA26:BJC26"/>
    <mergeCell ref="BJD26:BJF26"/>
    <mergeCell ref="BJG26:BJI26"/>
    <mergeCell ref="BIF26:BIH26"/>
    <mergeCell ref="BII26:BIK26"/>
    <mergeCell ref="BIL26:BIN26"/>
    <mergeCell ref="BIO26:BIQ26"/>
    <mergeCell ref="BIR26:BIT26"/>
    <mergeCell ref="BPS26:BPU26"/>
    <mergeCell ref="BPV26:BPX26"/>
    <mergeCell ref="BPY26:BQA26"/>
    <mergeCell ref="BQB26:BQD26"/>
    <mergeCell ref="BQE26:BQG26"/>
    <mergeCell ref="BPD26:BPF26"/>
    <mergeCell ref="BPG26:BPI26"/>
    <mergeCell ref="BPJ26:BPL26"/>
    <mergeCell ref="BPM26:BPO26"/>
    <mergeCell ref="BPP26:BPR26"/>
    <mergeCell ref="BOO26:BOQ26"/>
    <mergeCell ref="BOR26:BOT26"/>
    <mergeCell ref="BOU26:BOW26"/>
    <mergeCell ref="BOX26:BOZ26"/>
    <mergeCell ref="BPA26:BPC26"/>
    <mergeCell ref="BNZ26:BOB26"/>
    <mergeCell ref="BOC26:BOE26"/>
    <mergeCell ref="BOF26:BOH26"/>
    <mergeCell ref="BOI26:BOK26"/>
    <mergeCell ref="BOL26:BON26"/>
    <mergeCell ref="BNK26:BNM26"/>
    <mergeCell ref="BNN26:BNP26"/>
    <mergeCell ref="BNQ26:BNS26"/>
    <mergeCell ref="BNT26:BNV26"/>
    <mergeCell ref="BNW26:BNY26"/>
    <mergeCell ref="BMV26:BMX26"/>
    <mergeCell ref="BMY26:BNA26"/>
    <mergeCell ref="BNB26:BND26"/>
    <mergeCell ref="BNE26:BNG26"/>
    <mergeCell ref="BNH26:BNJ26"/>
    <mergeCell ref="BMG26:BMI26"/>
    <mergeCell ref="BMJ26:BML26"/>
    <mergeCell ref="BMM26:BMO26"/>
    <mergeCell ref="BMP26:BMR26"/>
    <mergeCell ref="BMS26:BMU26"/>
    <mergeCell ref="BTT26:BTV26"/>
    <mergeCell ref="BTW26:BTY26"/>
    <mergeCell ref="BTZ26:BUB26"/>
    <mergeCell ref="BUC26:BUE26"/>
    <mergeCell ref="BUF26:BUH26"/>
    <mergeCell ref="BTE26:BTG26"/>
    <mergeCell ref="BTH26:BTJ26"/>
    <mergeCell ref="BTK26:BTM26"/>
    <mergeCell ref="BTN26:BTP26"/>
    <mergeCell ref="BTQ26:BTS26"/>
    <mergeCell ref="BSP26:BSR26"/>
    <mergeCell ref="BSS26:BSU26"/>
    <mergeCell ref="BSV26:BSX26"/>
    <mergeCell ref="BSY26:BTA26"/>
    <mergeCell ref="BTB26:BTD26"/>
    <mergeCell ref="BSA26:BSC26"/>
    <mergeCell ref="BSD26:BSF26"/>
    <mergeCell ref="BSG26:BSI26"/>
    <mergeCell ref="BSJ26:BSL26"/>
    <mergeCell ref="BSM26:BSO26"/>
    <mergeCell ref="BRL26:BRN26"/>
    <mergeCell ref="BRO26:BRQ26"/>
    <mergeCell ref="BRR26:BRT26"/>
    <mergeCell ref="BRU26:BRW26"/>
    <mergeCell ref="BRX26:BRZ26"/>
    <mergeCell ref="BQW26:BQY26"/>
    <mergeCell ref="BQZ26:BRB26"/>
    <mergeCell ref="BRC26:BRE26"/>
    <mergeCell ref="BRF26:BRH26"/>
    <mergeCell ref="BRI26:BRK26"/>
    <mergeCell ref="BQH26:BQJ26"/>
    <mergeCell ref="BQK26:BQM26"/>
    <mergeCell ref="BQN26:BQP26"/>
    <mergeCell ref="BQQ26:BQS26"/>
    <mergeCell ref="BQT26:BQV26"/>
    <mergeCell ref="BXU26:BXW26"/>
    <mergeCell ref="BXX26:BXZ26"/>
    <mergeCell ref="BYA26:BYC26"/>
    <mergeCell ref="BYD26:BYF26"/>
    <mergeCell ref="BYG26:BYI26"/>
    <mergeCell ref="BXF26:BXH26"/>
    <mergeCell ref="BXI26:BXK26"/>
    <mergeCell ref="BXL26:BXN26"/>
    <mergeCell ref="BXO26:BXQ26"/>
    <mergeCell ref="BXR26:BXT26"/>
    <mergeCell ref="BWQ26:BWS26"/>
    <mergeCell ref="BWT26:BWV26"/>
    <mergeCell ref="BWW26:BWY26"/>
    <mergeCell ref="BWZ26:BXB26"/>
    <mergeCell ref="BXC26:BXE26"/>
    <mergeCell ref="BWB26:BWD26"/>
    <mergeCell ref="BWE26:BWG26"/>
    <mergeCell ref="BWH26:BWJ26"/>
    <mergeCell ref="BWK26:BWM26"/>
    <mergeCell ref="BWN26:BWP26"/>
    <mergeCell ref="BVM26:BVO26"/>
    <mergeCell ref="BVP26:BVR26"/>
    <mergeCell ref="BVS26:BVU26"/>
    <mergeCell ref="BVV26:BVX26"/>
    <mergeCell ref="BVY26:BWA26"/>
    <mergeCell ref="BUX26:BUZ26"/>
    <mergeCell ref="BVA26:BVC26"/>
    <mergeCell ref="BVD26:BVF26"/>
    <mergeCell ref="BVG26:BVI26"/>
    <mergeCell ref="BVJ26:BVL26"/>
    <mergeCell ref="BUI26:BUK26"/>
    <mergeCell ref="BUL26:BUN26"/>
    <mergeCell ref="BUO26:BUQ26"/>
    <mergeCell ref="BUR26:BUT26"/>
    <mergeCell ref="BUU26:BUW26"/>
    <mergeCell ref="CBV26:CBX26"/>
    <mergeCell ref="CBY26:CCA26"/>
    <mergeCell ref="CCB26:CCD26"/>
    <mergeCell ref="CCE26:CCG26"/>
    <mergeCell ref="CCH26:CCJ26"/>
    <mergeCell ref="CBG26:CBI26"/>
    <mergeCell ref="CBJ26:CBL26"/>
    <mergeCell ref="CBM26:CBO26"/>
    <mergeCell ref="CBP26:CBR26"/>
    <mergeCell ref="CBS26:CBU26"/>
    <mergeCell ref="CAR26:CAT26"/>
    <mergeCell ref="CAU26:CAW26"/>
    <mergeCell ref="CAX26:CAZ26"/>
    <mergeCell ref="CBA26:CBC26"/>
    <mergeCell ref="CBD26:CBF26"/>
    <mergeCell ref="CAC26:CAE26"/>
    <mergeCell ref="CAF26:CAH26"/>
    <mergeCell ref="CAI26:CAK26"/>
    <mergeCell ref="CAL26:CAN26"/>
    <mergeCell ref="CAO26:CAQ26"/>
    <mergeCell ref="BZN26:BZP26"/>
    <mergeCell ref="BZQ26:BZS26"/>
    <mergeCell ref="BZT26:BZV26"/>
    <mergeCell ref="BZW26:BZY26"/>
    <mergeCell ref="BZZ26:CAB26"/>
    <mergeCell ref="BYY26:BZA26"/>
    <mergeCell ref="BZB26:BZD26"/>
    <mergeCell ref="BZE26:BZG26"/>
    <mergeCell ref="BZH26:BZJ26"/>
    <mergeCell ref="BZK26:BZM26"/>
    <mergeCell ref="BYJ26:BYL26"/>
    <mergeCell ref="BYM26:BYO26"/>
    <mergeCell ref="BYP26:BYR26"/>
    <mergeCell ref="BYS26:BYU26"/>
    <mergeCell ref="BYV26:BYX26"/>
    <mergeCell ref="CFW26:CFY26"/>
    <mergeCell ref="CFZ26:CGB26"/>
    <mergeCell ref="CGC26:CGE26"/>
    <mergeCell ref="CGF26:CGH26"/>
    <mergeCell ref="CGI26:CGK26"/>
    <mergeCell ref="CFH26:CFJ26"/>
    <mergeCell ref="CFK26:CFM26"/>
    <mergeCell ref="CFN26:CFP26"/>
    <mergeCell ref="CFQ26:CFS26"/>
    <mergeCell ref="CFT26:CFV26"/>
    <mergeCell ref="CES26:CEU26"/>
    <mergeCell ref="CEV26:CEX26"/>
    <mergeCell ref="CEY26:CFA26"/>
    <mergeCell ref="CFB26:CFD26"/>
    <mergeCell ref="CFE26:CFG26"/>
    <mergeCell ref="CED26:CEF26"/>
    <mergeCell ref="CEG26:CEI26"/>
    <mergeCell ref="CEJ26:CEL26"/>
    <mergeCell ref="CEM26:CEO26"/>
    <mergeCell ref="CEP26:CER26"/>
    <mergeCell ref="CDO26:CDQ26"/>
    <mergeCell ref="CDR26:CDT26"/>
    <mergeCell ref="CDU26:CDW26"/>
    <mergeCell ref="CDX26:CDZ26"/>
    <mergeCell ref="CEA26:CEC26"/>
    <mergeCell ref="CCZ26:CDB26"/>
    <mergeCell ref="CDC26:CDE26"/>
    <mergeCell ref="CDF26:CDH26"/>
    <mergeCell ref="CDI26:CDK26"/>
    <mergeCell ref="CDL26:CDN26"/>
    <mergeCell ref="CCK26:CCM26"/>
    <mergeCell ref="CCN26:CCP26"/>
    <mergeCell ref="CCQ26:CCS26"/>
    <mergeCell ref="CCT26:CCV26"/>
    <mergeCell ref="CCW26:CCY26"/>
    <mergeCell ref="CJX26:CJZ26"/>
    <mergeCell ref="CKA26:CKC26"/>
    <mergeCell ref="CKD26:CKF26"/>
    <mergeCell ref="CKG26:CKI26"/>
    <mergeCell ref="CKJ26:CKL26"/>
    <mergeCell ref="CJI26:CJK26"/>
    <mergeCell ref="CJL26:CJN26"/>
    <mergeCell ref="CJO26:CJQ26"/>
    <mergeCell ref="CJR26:CJT26"/>
    <mergeCell ref="CJU26:CJW26"/>
    <mergeCell ref="CIT26:CIV26"/>
    <mergeCell ref="CIW26:CIY26"/>
    <mergeCell ref="CIZ26:CJB26"/>
    <mergeCell ref="CJC26:CJE26"/>
    <mergeCell ref="CJF26:CJH26"/>
    <mergeCell ref="CIE26:CIG26"/>
    <mergeCell ref="CIH26:CIJ26"/>
    <mergeCell ref="CIK26:CIM26"/>
    <mergeCell ref="CIN26:CIP26"/>
    <mergeCell ref="CIQ26:CIS26"/>
    <mergeCell ref="CHP26:CHR26"/>
    <mergeCell ref="CHS26:CHU26"/>
    <mergeCell ref="CHV26:CHX26"/>
    <mergeCell ref="CHY26:CIA26"/>
    <mergeCell ref="CIB26:CID26"/>
    <mergeCell ref="CHA26:CHC26"/>
    <mergeCell ref="CHD26:CHF26"/>
    <mergeCell ref="CHG26:CHI26"/>
    <mergeCell ref="CHJ26:CHL26"/>
    <mergeCell ref="CHM26:CHO26"/>
    <mergeCell ref="CGL26:CGN26"/>
    <mergeCell ref="CGO26:CGQ26"/>
    <mergeCell ref="CGR26:CGT26"/>
    <mergeCell ref="CGU26:CGW26"/>
    <mergeCell ref="CGX26:CGZ26"/>
    <mergeCell ref="CNY26:COA26"/>
    <mergeCell ref="COB26:COD26"/>
    <mergeCell ref="COE26:COG26"/>
    <mergeCell ref="COH26:COJ26"/>
    <mergeCell ref="COK26:COM26"/>
    <mergeCell ref="CNJ26:CNL26"/>
    <mergeCell ref="CNM26:CNO26"/>
    <mergeCell ref="CNP26:CNR26"/>
    <mergeCell ref="CNS26:CNU26"/>
    <mergeCell ref="CNV26:CNX26"/>
    <mergeCell ref="CMU26:CMW26"/>
    <mergeCell ref="CMX26:CMZ26"/>
    <mergeCell ref="CNA26:CNC26"/>
    <mergeCell ref="CND26:CNF26"/>
    <mergeCell ref="CNG26:CNI26"/>
    <mergeCell ref="CMF26:CMH26"/>
    <mergeCell ref="CMI26:CMK26"/>
    <mergeCell ref="CML26:CMN26"/>
    <mergeCell ref="CMO26:CMQ26"/>
    <mergeCell ref="CMR26:CMT26"/>
    <mergeCell ref="CLQ26:CLS26"/>
    <mergeCell ref="CLT26:CLV26"/>
    <mergeCell ref="CLW26:CLY26"/>
    <mergeCell ref="CLZ26:CMB26"/>
    <mergeCell ref="CMC26:CME26"/>
    <mergeCell ref="CLB26:CLD26"/>
    <mergeCell ref="CLE26:CLG26"/>
    <mergeCell ref="CLH26:CLJ26"/>
    <mergeCell ref="CLK26:CLM26"/>
    <mergeCell ref="CLN26:CLP26"/>
    <mergeCell ref="CKM26:CKO26"/>
    <mergeCell ref="CKP26:CKR26"/>
    <mergeCell ref="CKS26:CKU26"/>
    <mergeCell ref="CKV26:CKX26"/>
    <mergeCell ref="CKY26:CLA26"/>
    <mergeCell ref="CRZ26:CSB26"/>
    <mergeCell ref="CSC26:CSE26"/>
    <mergeCell ref="CSF26:CSH26"/>
    <mergeCell ref="CSI26:CSK26"/>
    <mergeCell ref="CSL26:CSN26"/>
    <mergeCell ref="CRK26:CRM26"/>
    <mergeCell ref="CRN26:CRP26"/>
    <mergeCell ref="CRQ26:CRS26"/>
    <mergeCell ref="CRT26:CRV26"/>
    <mergeCell ref="CRW26:CRY26"/>
    <mergeCell ref="CQV26:CQX26"/>
    <mergeCell ref="CQY26:CRA26"/>
    <mergeCell ref="CRB26:CRD26"/>
    <mergeCell ref="CRE26:CRG26"/>
    <mergeCell ref="CRH26:CRJ26"/>
    <mergeCell ref="CQG26:CQI26"/>
    <mergeCell ref="CQJ26:CQL26"/>
    <mergeCell ref="CQM26:CQO26"/>
    <mergeCell ref="CQP26:CQR26"/>
    <mergeCell ref="CQS26:CQU26"/>
    <mergeCell ref="CPR26:CPT26"/>
    <mergeCell ref="CPU26:CPW26"/>
    <mergeCell ref="CPX26:CPZ26"/>
    <mergeCell ref="CQA26:CQC26"/>
    <mergeCell ref="CQD26:CQF26"/>
    <mergeCell ref="CPC26:CPE26"/>
    <mergeCell ref="CPF26:CPH26"/>
    <mergeCell ref="CPI26:CPK26"/>
    <mergeCell ref="CPL26:CPN26"/>
    <mergeCell ref="CPO26:CPQ26"/>
    <mergeCell ref="CON26:COP26"/>
    <mergeCell ref="COQ26:COS26"/>
    <mergeCell ref="COT26:COV26"/>
    <mergeCell ref="COW26:COY26"/>
    <mergeCell ref="COZ26:CPB26"/>
    <mergeCell ref="CWA26:CWC26"/>
    <mergeCell ref="CWD26:CWF26"/>
    <mergeCell ref="CWG26:CWI26"/>
    <mergeCell ref="CWJ26:CWL26"/>
    <mergeCell ref="CWM26:CWO26"/>
    <mergeCell ref="CVL26:CVN26"/>
    <mergeCell ref="CVO26:CVQ26"/>
    <mergeCell ref="CVR26:CVT26"/>
    <mergeCell ref="CVU26:CVW26"/>
    <mergeCell ref="CVX26:CVZ26"/>
    <mergeCell ref="CUW26:CUY26"/>
    <mergeCell ref="CUZ26:CVB26"/>
    <mergeCell ref="CVC26:CVE26"/>
    <mergeCell ref="CVF26:CVH26"/>
    <mergeCell ref="CVI26:CVK26"/>
    <mergeCell ref="CUH26:CUJ26"/>
    <mergeCell ref="CUK26:CUM26"/>
    <mergeCell ref="CUN26:CUP26"/>
    <mergeCell ref="CUQ26:CUS26"/>
    <mergeCell ref="CUT26:CUV26"/>
    <mergeCell ref="CTS26:CTU26"/>
    <mergeCell ref="CTV26:CTX26"/>
    <mergeCell ref="CTY26:CUA26"/>
    <mergeCell ref="CUB26:CUD26"/>
    <mergeCell ref="CUE26:CUG26"/>
    <mergeCell ref="CTD26:CTF26"/>
    <mergeCell ref="CTG26:CTI26"/>
    <mergeCell ref="CTJ26:CTL26"/>
    <mergeCell ref="CTM26:CTO26"/>
    <mergeCell ref="CTP26:CTR26"/>
    <mergeCell ref="CSO26:CSQ26"/>
    <mergeCell ref="CSR26:CST26"/>
    <mergeCell ref="CSU26:CSW26"/>
    <mergeCell ref="CSX26:CSZ26"/>
    <mergeCell ref="CTA26:CTC26"/>
    <mergeCell ref="DAB26:DAD26"/>
    <mergeCell ref="DAE26:DAG26"/>
    <mergeCell ref="DAH26:DAJ26"/>
    <mergeCell ref="DAK26:DAM26"/>
    <mergeCell ref="DAN26:DAP26"/>
    <mergeCell ref="CZM26:CZO26"/>
    <mergeCell ref="CZP26:CZR26"/>
    <mergeCell ref="CZS26:CZU26"/>
    <mergeCell ref="CZV26:CZX26"/>
    <mergeCell ref="CZY26:DAA26"/>
    <mergeCell ref="CYX26:CYZ26"/>
    <mergeCell ref="CZA26:CZC26"/>
    <mergeCell ref="CZD26:CZF26"/>
    <mergeCell ref="CZG26:CZI26"/>
    <mergeCell ref="CZJ26:CZL26"/>
    <mergeCell ref="CYI26:CYK26"/>
    <mergeCell ref="CYL26:CYN26"/>
    <mergeCell ref="CYO26:CYQ26"/>
    <mergeCell ref="CYR26:CYT26"/>
    <mergeCell ref="CYU26:CYW26"/>
    <mergeCell ref="CXT26:CXV26"/>
    <mergeCell ref="CXW26:CXY26"/>
    <mergeCell ref="CXZ26:CYB26"/>
    <mergeCell ref="CYC26:CYE26"/>
    <mergeCell ref="CYF26:CYH26"/>
    <mergeCell ref="CXE26:CXG26"/>
    <mergeCell ref="CXH26:CXJ26"/>
    <mergeCell ref="CXK26:CXM26"/>
    <mergeCell ref="CXN26:CXP26"/>
    <mergeCell ref="CXQ26:CXS26"/>
    <mergeCell ref="CWP26:CWR26"/>
    <mergeCell ref="CWS26:CWU26"/>
    <mergeCell ref="CWV26:CWX26"/>
    <mergeCell ref="CWY26:CXA26"/>
    <mergeCell ref="CXB26:CXD26"/>
    <mergeCell ref="DEC26:DEE26"/>
    <mergeCell ref="DEF26:DEH26"/>
    <mergeCell ref="DEI26:DEK26"/>
    <mergeCell ref="DEL26:DEN26"/>
    <mergeCell ref="DEO26:DEQ26"/>
    <mergeCell ref="DDN26:DDP26"/>
    <mergeCell ref="DDQ26:DDS26"/>
    <mergeCell ref="DDT26:DDV26"/>
    <mergeCell ref="DDW26:DDY26"/>
    <mergeCell ref="DDZ26:DEB26"/>
    <mergeCell ref="DCY26:DDA26"/>
    <mergeCell ref="DDB26:DDD26"/>
    <mergeCell ref="DDE26:DDG26"/>
    <mergeCell ref="DDH26:DDJ26"/>
    <mergeCell ref="DDK26:DDM26"/>
    <mergeCell ref="DCJ26:DCL26"/>
    <mergeCell ref="DCM26:DCO26"/>
    <mergeCell ref="DCP26:DCR26"/>
    <mergeCell ref="DCS26:DCU26"/>
    <mergeCell ref="DCV26:DCX26"/>
    <mergeCell ref="DBU26:DBW26"/>
    <mergeCell ref="DBX26:DBZ26"/>
    <mergeCell ref="DCA26:DCC26"/>
    <mergeCell ref="DCD26:DCF26"/>
    <mergeCell ref="DCG26:DCI26"/>
    <mergeCell ref="DBF26:DBH26"/>
    <mergeCell ref="DBI26:DBK26"/>
    <mergeCell ref="DBL26:DBN26"/>
    <mergeCell ref="DBO26:DBQ26"/>
    <mergeCell ref="DBR26:DBT26"/>
    <mergeCell ref="DAQ26:DAS26"/>
    <mergeCell ref="DAT26:DAV26"/>
    <mergeCell ref="DAW26:DAY26"/>
    <mergeCell ref="DAZ26:DBB26"/>
    <mergeCell ref="DBC26:DBE26"/>
    <mergeCell ref="DID26:DIF26"/>
    <mergeCell ref="DIG26:DII26"/>
    <mergeCell ref="DIJ26:DIL26"/>
    <mergeCell ref="DIM26:DIO26"/>
    <mergeCell ref="DIP26:DIR26"/>
    <mergeCell ref="DHO26:DHQ26"/>
    <mergeCell ref="DHR26:DHT26"/>
    <mergeCell ref="DHU26:DHW26"/>
    <mergeCell ref="DHX26:DHZ26"/>
    <mergeCell ref="DIA26:DIC26"/>
    <mergeCell ref="DGZ26:DHB26"/>
    <mergeCell ref="DHC26:DHE26"/>
    <mergeCell ref="DHF26:DHH26"/>
    <mergeCell ref="DHI26:DHK26"/>
    <mergeCell ref="DHL26:DHN26"/>
    <mergeCell ref="DGK26:DGM26"/>
    <mergeCell ref="DGN26:DGP26"/>
    <mergeCell ref="DGQ26:DGS26"/>
    <mergeCell ref="DGT26:DGV26"/>
    <mergeCell ref="DGW26:DGY26"/>
    <mergeCell ref="DFV26:DFX26"/>
    <mergeCell ref="DFY26:DGA26"/>
    <mergeCell ref="DGB26:DGD26"/>
    <mergeCell ref="DGE26:DGG26"/>
    <mergeCell ref="DGH26:DGJ26"/>
    <mergeCell ref="DFG26:DFI26"/>
    <mergeCell ref="DFJ26:DFL26"/>
    <mergeCell ref="DFM26:DFO26"/>
    <mergeCell ref="DFP26:DFR26"/>
    <mergeCell ref="DFS26:DFU26"/>
    <mergeCell ref="DER26:DET26"/>
    <mergeCell ref="DEU26:DEW26"/>
    <mergeCell ref="DEX26:DEZ26"/>
    <mergeCell ref="DFA26:DFC26"/>
    <mergeCell ref="DFD26:DFF26"/>
    <mergeCell ref="DME26:DMG26"/>
    <mergeCell ref="DMH26:DMJ26"/>
    <mergeCell ref="DMK26:DMM26"/>
    <mergeCell ref="DMN26:DMP26"/>
    <mergeCell ref="DMQ26:DMS26"/>
    <mergeCell ref="DLP26:DLR26"/>
    <mergeCell ref="DLS26:DLU26"/>
    <mergeCell ref="DLV26:DLX26"/>
    <mergeCell ref="DLY26:DMA26"/>
    <mergeCell ref="DMB26:DMD26"/>
    <mergeCell ref="DLA26:DLC26"/>
    <mergeCell ref="DLD26:DLF26"/>
    <mergeCell ref="DLG26:DLI26"/>
    <mergeCell ref="DLJ26:DLL26"/>
    <mergeCell ref="DLM26:DLO26"/>
    <mergeCell ref="DKL26:DKN26"/>
    <mergeCell ref="DKO26:DKQ26"/>
    <mergeCell ref="DKR26:DKT26"/>
    <mergeCell ref="DKU26:DKW26"/>
    <mergeCell ref="DKX26:DKZ26"/>
    <mergeCell ref="DJW26:DJY26"/>
    <mergeCell ref="DJZ26:DKB26"/>
    <mergeCell ref="DKC26:DKE26"/>
    <mergeCell ref="DKF26:DKH26"/>
    <mergeCell ref="DKI26:DKK26"/>
    <mergeCell ref="DJH26:DJJ26"/>
    <mergeCell ref="DJK26:DJM26"/>
    <mergeCell ref="DJN26:DJP26"/>
    <mergeCell ref="DJQ26:DJS26"/>
    <mergeCell ref="DJT26:DJV26"/>
    <mergeCell ref="DIS26:DIU26"/>
    <mergeCell ref="DIV26:DIX26"/>
    <mergeCell ref="DIY26:DJA26"/>
    <mergeCell ref="DJB26:DJD26"/>
    <mergeCell ref="DJE26:DJG26"/>
    <mergeCell ref="DQF26:DQH26"/>
    <mergeCell ref="DQI26:DQK26"/>
    <mergeCell ref="DQL26:DQN26"/>
    <mergeCell ref="DQO26:DQQ26"/>
    <mergeCell ref="DQR26:DQT26"/>
    <mergeCell ref="DPQ26:DPS26"/>
    <mergeCell ref="DPT26:DPV26"/>
    <mergeCell ref="DPW26:DPY26"/>
    <mergeCell ref="DPZ26:DQB26"/>
    <mergeCell ref="DQC26:DQE26"/>
    <mergeCell ref="DPB26:DPD26"/>
    <mergeCell ref="DPE26:DPG26"/>
    <mergeCell ref="DPH26:DPJ26"/>
    <mergeCell ref="DPK26:DPM26"/>
    <mergeCell ref="DPN26:DPP26"/>
    <mergeCell ref="DOM26:DOO26"/>
    <mergeCell ref="DOP26:DOR26"/>
    <mergeCell ref="DOS26:DOU26"/>
    <mergeCell ref="DOV26:DOX26"/>
    <mergeCell ref="DOY26:DPA26"/>
    <mergeCell ref="DNX26:DNZ26"/>
    <mergeCell ref="DOA26:DOC26"/>
    <mergeCell ref="DOD26:DOF26"/>
    <mergeCell ref="DOG26:DOI26"/>
    <mergeCell ref="DOJ26:DOL26"/>
    <mergeCell ref="DNI26:DNK26"/>
    <mergeCell ref="DNL26:DNN26"/>
    <mergeCell ref="DNO26:DNQ26"/>
    <mergeCell ref="DNR26:DNT26"/>
    <mergeCell ref="DNU26:DNW26"/>
    <mergeCell ref="DMT26:DMV26"/>
    <mergeCell ref="DMW26:DMY26"/>
    <mergeCell ref="DMZ26:DNB26"/>
    <mergeCell ref="DNC26:DNE26"/>
    <mergeCell ref="DNF26:DNH26"/>
    <mergeCell ref="DUG26:DUI26"/>
    <mergeCell ref="DUJ26:DUL26"/>
    <mergeCell ref="DUM26:DUO26"/>
    <mergeCell ref="DUP26:DUR26"/>
    <mergeCell ref="DUS26:DUU26"/>
    <mergeCell ref="DTR26:DTT26"/>
    <mergeCell ref="DTU26:DTW26"/>
    <mergeCell ref="DTX26:DTZ26"/>
    <mergeCell ref="DUA26:DUC26"/>
    <mergeCell ref="DUD26:DUF26"/>
    <mergeCell ref="DTC26:DTE26"/>
    <mergeCell ref="DTF26:DTH26"/>
    <mergeCell ref="DTI26:DTK26"/>
    <mergeCell ref="DTL26:DTN26"/>
    <mergeCell ref="DTO26:DTQ26"/>
    <mergeCell ref="DSN26:DSP26"/>
    <mergeCell ref="DSQ26:DSS26"/>
    <mergeCell ref="DST26:DSV26"/>
    <mergeCell ref="DSW26:DSY26"/>
    <mergeCell ref="DSZ26:DTB26"/>
    <mergeCell ref="DRY26:DSA26"/>
    <mergeCell ref="DSB26:DSD26"/>
    <mergeCell ref="DSE26:DSG26"/>
    <mergeCell ref="DSH26:DSJ26"/>
    <mergeCell ref="DSK26:DSM26"/>
    <mergeCell ref="DRJ26:DRL26"/>
    <mergeCell ref="DRM26:DRO26"/>
    <mergeCell ref="DRP26:DRR26"/>
    <mergeCell ref="DRS26:DRU26"/>
    <mergeCell ref="DRV26:DRX26"/>
    <mergeCell ref="DQU26:DQW26"/>
    <mergeCell ref="DQX26:DQZ26"/>
    <mergeCell ref="DRA26:DRC26"/>
    <mergeCell ref="DRD26:DRF26"/>
    <mergeCell ref="DRG26:DRI26"/>
    <mergeCell ref="DYH26:DYJ26"/>
    <mergeCell ref="DYK26:DYM26"/>
    <mergeCell ref="DYN26:DYP26"/>
    <mergeCell ref="DYQ26:DYS26"/>
    <mergeCell ref="DYT26:DYV26"/>
    <mergeCell ref="DXS26:DXU26"/>
    <mergeCell ref="DXV26:DXX26"/>
    <mergeCell ref="DXY26:DYA26"/>
    <mergeCell ref="DYB26:DYD26"/>
    <mergeCell ref="DYE26:DYG26"/>
    <mergeCell ref="DXD26:DXF26"/>
    <mergeCell ref="DXG26:DXI26"/>
    <mergeCell ref="DXJ26:DXL26"/>
    <mergeCell ref="DXM26:DXO26"/>
    <mergeCell ref="DXP26:DXR26"/>
    <mergeCell ref="DWO26:DWQ26"/>
    <mergeCell ref="DWR26:DWT26"/>
    <mergeCell ref="DWU26:DWW26"/>
    <mergeCell ref="DWX26:DWZ26"/>
    <mergeCell ref="DXA26:DXC26"/>
    <mergeCell ref="DVZ26:DWB26"/>
    <mergeCell ref="DWC26:DWE26"/>
    <mergeCell ref="DWF26:DWH26"/>
    <mergeCell ref="DWI26:DWK26"/>
    <mergeCell ref="DWL26:DWN26"/>
    <mergeCell ref="DVK26:DVM26"/>
    <mergeCell ref="DVN26:DVP26"/>
    <mergeCell ref="DVQ26:DVS26"/>
    <mergeCell ref="DVT26:DVV26"/>
    <mergeCell ref="DVW26:DVY26"/>
    <mergeCell ref="DUV26:DUX26"/>
    <mergeCell ref="DUY26:DVA26"/>
    <mergeCell ref="DVB26:DVD26"/>
    <mergeCell ref="DVE26:DVG26"/>
    <mergeCell ref="DVH26:DVJ26"/>
    <mergeCell ref="ECI26:ECK26"/>
    <mergeCell ref="ECL26:ECN26"/>
    <mergeCell ref="ECO26:ECQ26"/>
    <mergeCell ref="ECR26:ECT26"/>
    <mergeCell ref="ECU26:ECW26"/>
    <mergeCell ref="EBT26:EBV26"/>
    <mergeCell ref="EBW26:EBY26"/>
    <mergeCell ref="EBZ26:ECB26"/>
    <mergeCell ref="ECC26:ECE26"/>
    <mergeCell ref="ECF26:ECH26"/>
    <mergeCell ref="EBE26:EBG26"/>
    <mergeCell ref="EBH26:EBJ26"/>
    <mergeCell ref="EBK26:EBM26"/>
    <mergeCell ref="EBN26:EBP26"/>
    <mergeCell ref="EBQ26:EBS26"/>
    <mergeCell ref="EAP26:EAR26"/>
    <mergeCell ref="EAS26:EAU26"/>
    <mergeCell ref="EAV26:EAX26"/>
    <mergeCell ref="EAY26:EBA26"/>
    <mergeCell ref="EBB26:EBD26"/>
    <mergeCell ref="EAA26:EAC26"/>
    <mergeCell ref="EAD26:EAF26"/>
    <mergeCell ref="EAG26:EAI26"/>
    <mergeCell ref="EAJ26:EAL26"/>
    <mergeCell ref="EAM26:EAO26"/>
    <mergeCell ref="DZL26:DZN26"/>
    <mergeCell ref="DZO26:DZQ26"/>
    <mergeCell ref="DZR26:DZT26"/>
    <mergeCell ref="DZU26:DZW26"/>
    <mergeCell ref="DZX26:DZZ26"/>
    <mergeCell ref="DYW26:DYY26"/>
    <mergeCell ref="DYZ26:DZB26"/>
    <mergeCell ref="DZC26:DZE26"/>
    <mergeCell ref="DZF26:DZH26"/>
    <mergeCell ref="DZI26:DZK26"/>
    <mergeCell ref="EGJ26:EGL26"/>
    <mergeCell ref="EGM26:EGO26"/>
    <mergeCell ref="EGP26:EGR26"/>
    <mergeCell ref="EGS26:EGU26"/>
    <mergeCell ref="EGV26:EGX26"/>
    <mergeCell ref="EFU26:EFW26"/>
    <mergeCell ref="EFX26:EFZ26"/>
    <mergeCell ref="EGA26:EGC26"/>
    <mergeCell ref="EGD26:EGF26"/>
    <mergeCell ref="EGG26:EGI26"/>
    <mergeCell ref="EFF26:EFH26"/>
    <mergeCell ref="EFI26:EFK26"/>
    <mergeCell ref="EFL26:EFN26"/>
    <mergeCell ref="EFO26:EFQ26"/>
    <mergeCell ref="EFR26:EFT26"/>
    <mergeCell ref="EEQ26:EES26"/>
    <mergeCell ref="EET26:EEV26"/>
    <mergeCell ref="EEW26:EEY26"/>
    <mergeCell ref="EEZ26:EFB26"/>
    <mergeCell ref="EFC26:EFE26"/>
    <mergeCell ref="EEB26:EED26"/>
    <mergeCell ref="EEE26:EEG26"/>
    <mergeCell ref="EEH26:EEJ26"/>
    <mergeCell ref="EEK26:EEM26"/>
    <mergeCell ref="EEN26:EEP26"/>
    <mergeCell ref="EDM26:EDO26"/>
    <mergeCell ref="EDP26:EDR26"/>
    <mergeCell ref="EDS26:EDU26"/>
    <mergeCell ref="EDV26:EDX26"/>
    <mergeCell ref="EDY26:EEA26"/>
    <mergeCell ref="ECX26:ECZ26"/>
    <mergeCell ref="EDA26:EDC26"/>
    <mergeCell ref="EDD26:EDF26"/>
    <mergeCell ref="EDG26:EDI26"/>
    <mergeCell ref="EDJ26:EDL26"/>
    <mergeCell ref="EKK26:EKM26"/>
    <mergeCell ref="EKN26:EKP26"/>
    <mergeCell ref="EKQ26:EKS26"/>
    <mergeCell ref="EKT26:EKV26"/>
    <mergeCell ref="EKW26:EKY26"/>
    <mergeCell ref="EJV26:EJX26"/>
    <mergeCell ref="EJY26:EKA26"/>
    <mergeCell ref="EKB26:EKD26"/>
    <mergeCell ref="EKE26:EKG26"/>
    <mergeCell ref="EKH26:EKJ26"/>
    <mergeCell ref="EJG26:EJI26"/>
    <mergeCell ref="EJJ26:EJL26"/>
    <mergeCell ref="EJM26:EJO26"/>
    <mergeCell ref="EJP26:EJR26"/>
    <mergeCell ref="EJS26:EJU26"/>
    <mergeCell ref="EIR26:EIT26"/>
    <mergeCell ref="EIU26:EIW26"/>
    <mergeCell ref="EIX26:EIZ26"/>
    <mergeCell ref="EJA26:EJC26"/>
    <mergeCell ref="EJD26:EJF26"/>
    <mergeCell ref="EIC26:EIE26"/>
    <mergeCell ref="EIF26:EIH26"/>
    <mergeCell ref="EII26:EIK26"/>
    <mergeCell ref="EIL26:EIN26"/>
    <mergeCell ref="EIO26:EIQ26"/>
    <mergeCell ref="EHN26:EHP26"/>
    <mergeCell ref="EHQ26:EHS26"/>
    <mergeCell ref="EHT26:EHV26"/>
    <mergeCell ref="EHW26:EHY26"/>
    <mergeCell ref="EHZ26:EIB26"/>
    <mergeCell ref="EGY26:EHA26"/>
    <mergeCell ref="EHB26:EHD26"/>
    <mergeCell ref="EHE26:EHG26"/>
    <mergeCell ref="EHH26:EHJ26"/>
    <mergeCell ref="EHK26:EHM26"/>
    <mergeCell ref="EOL26:EON26"/>
    <mergeCell ref="EOO26:EOQ26"/>
    <mergeCell ref="EOR26:EOT26"/>
    <mergeCell ref="EOU26:EOW26"/>
    <mergeCell ref="EOX26:EOZ26"/>
    <mergeCell ref="ENW26:ENY26"/>
    <mergeCell ref="ENZ26:EOB26"/>
    <mergeCell ref="EOC26:EOE26"/>
    <mergeCell ref="EOF26:EOH26"/>
    <mergeCell ref="EOI26:EOK26"/>
    <mergeCell ref="ENH26:ENJ26"/>
    <mergeCell ref="ENK26:ENM26"/>
    <mergeCell ref="ENN26:ENP26"/>
    <mergeCell ref="ENQ26:ENS26"/>
    <mergeCell ref="ENT26:ENV26"/>
    <mergeCell ref="EMS26:EMU26"/>
    <mergeCell ref="EMV26:EMX26"/>
    <mergeCell ref="EMY26:ENA26"/>
    <mergeCell ref="ENB26:END26"/>
    <mergeCell ref="ENE26:ENG26"/>
    <mergeCell ref="EMD26:EMF26"/>
    <mergeCell ref="EMG26:EMI26"/>
    <mergeCell ref="EMJ26:EML26"/>
    <mergeCell ref="EMM26:EMO26"/>
    <mergeCell ref="EMP26:EMR26"/>
    <mergeCell ref="ELO26:ELQ26"/>
    <mergeCell ref="ELR26:ELT26"/>
    <mergeCell ref="ELU26:ELW26"/>
    <mergeCell ref="ELX26:ELZ26"/>
    <mergeCell ref="EMA26:EMC26"/>
    <mergeCell ref="EKZ26:ELB26"/>
    <mergeCell ref="ELC26:ELE26"/>
    <mergeCell ref="ELF26:ELH26"/>
    <mergeCell ref="ELI26:ELK26"/>
    <mergeCell ref="ELL26:ELN26"/>
    <mergeCell ref="ESM26:ESO26"/>
    <mergeCell ref="ESP26:ESR26"/>
    <mergeCell ref="ESS26:ESU26"/>
    <mergeCell ref="ESV26:ESX26"/>
    <mergeCell ref="ESY26:ETA26"/>
    <mergeCell ref="ERX26:ERZ26"/>
    <mergeCell ref="ESA26:ESC26"/>
    <mergeCell ref="ESD26:ESF26"/>
    <mergeCell ref="ESG26:ESI26"/>
    <mergeCell ref="ESJ26:ESL26"/>
    <mergeCell ref="ERI26:ERK26"/>
    <mergeCell ref="ERL26:ERN26"/>
    <mergeCell ref="ERO26:ERQ26"/>
    <mergeCell ref="ERR26:ERT26"/>
    <mergeCell ref="ERU26:ERW26"/>
    <mergeCell ref="EQT26:EQV26"/>
    <mergeCell ref="EQW26:EQY26"/>
    <mergeCell ref="EQZ26:ERB26"/>
    <mergeCell ref="ERC26:ERE26"/>
    <mergeCell ref="ERF26:ERH26"/>
    <mergeCell ref="EQE26:EQG26"/>
    <mergeCell ref="EQH26:EQJ26"/>
    <mergeCell ref="EQK26:EQM26"/>
    <mergeCell ref="EQN26:EQP26"/>
    <mergeCell ref="EQQ26:EQS26"/>
    <mergeCell ref="EPP26:EPR26"/>
    <mergeCell ref="EPS26:EPU26"/>
    <mergeCell ref="EPV26:EPX26"/>
    <mergeCell ref="EPY26:EQA26"/>
    <mergeCell ref="EQB26:EQD26"/>
    <mergeCell ref="EPA26:EPC26"/>
    <mergeCell ref="EPD26:EPF26"/>
    <mergeCell ref="EPG26:EPI26"/>
    <mergeCell ref="EPJ26:EPL26"/>
    <mergeCell ref="EPM26:EPO26"/>
    <mergeCell ref="EWN26:EWP26"/>
    <mergeCell ref="EWQ26:EWS26"/>
    <mergeCell ref="EWT26:EWV26"/>
    <mergeCell ref="EWW26:EWY26"/>
    <mergeCell ref="EWZ26:EXB26"/>
    <mergeCell ref="EVY26:EWA26"/>
    <mergeCell ref="EWB26:EWD26"/>
    <mergeCell ref="EWE26:EWG26"/>
    <mergeCell ref="EWH26:EWJ26"/>
    <mergeCell ref="EWK26:EWM26"/>
    <mergeCell ref="EVJ26:EVL26"/>
    <mergeCell ref="EVM26:EVO26"/>
    <mergeCell ref="EVP26:EVR26"/>
    <mergeCell ref="EVS26:EVU26"/>
    <mergeCell ref="EVV26:EVX26"/>
    <mergeCell ref="EUU26:EUW26"/>
    <mergeCell ref="EUX26:EUZ26"/>
    <mergeCell ref="EVA26:EVC26"/>
    <mergeCell ref="EVD26:EVF26"/>
    <mergeCell ref="EVG26:EVI26"/>
    <mergeCell ref="EUF26:EUH26"/>
    <mergeCell ref="EUI26:EUK26"/>
    <mergeCell ref="EUL26:EUN26"/>
    <mergeCell ref="EUO26:EUQ26"/>
    <mergeCell ref="EUR26:EUT26"/>
    <mergeCell ref="ETQ26:ETS26"/>
    <mergeCell ref="ETT26:ETV26"/>
    <mergeCell ref="ETW26:ETY26"/>
    <mergeCell ref="ETZ26:EUB26"/>
    <mergeCell ref="EUC26:EUE26"/>
    <mergeCell ref="ETB26:ETD26"/>
    <mergeCell ref="ETE26:ETG26"/>
    <mergeCell ref="ETH26:ETJ26"/>
    <mergeCell ref="ETK26:ETM26"/>
    <mergeCell ref="ETN26:ETP26"/>
    <mergeCell ref="FAO26:FAQ26"/>
    <mergeCell ref="FAR26:FAT26"/>
    <mergeCell ref="FAU26:FAW26"/>
    <mergeCell ref="FAX26:FAZ26"/>
    <mergeCell ref="FBA26:FBC26"/>
    <mergeCell ref="EZZ26:FAB26"/>
    <mergeCell ref="FAC26:FAE26"/>
    <mergeCell ref="FAF26:FAH26"/>
    <mergeCell ref="FAI26:FAK26"/>
    <mergeCell ref="FAL26:FAN26"/>
    <mergeCell ref="EZK26:EZM26"/>
    <mergeCell ref="EZN26:EZP26"/>
    <mergeCell ref="EZQ26:EZS26"/>
    <mergeCell ref="EZT26:EZV26"/>
    <mergeCell ref="EZW26:EZY26"/>
    <mergeCell ref="EYV26:EYX26"/>
    <mergeCell ref="EYY26:EZA26"/>
    <mergeCell ref="EZB26:EZD26"/>
    <mergeCell ref="EZE26:EZG26"/>
    <mergeCell ref="EZH26:EZJ26"/>
    <mergeCell ref="EYG26:EYI26"/>
    <mergeCell ref="EYJ26:EYL26"/>
    <mergeCell ref="EYM26:EYO26"/>
    <mergeCell ref="EYP26:EYR26"/>
    <mergeCell ref="EYS26:EYU26"/>
    <mergeCell ref="EXR26:EXT26"/>
    <mergeCell ref="EXU26:EXW26"/>
    <mergeCell ref="EXX26:EXZ26"/>
    <mergeCell ref="EYA26:EYC26"/>
    <mergeCell ref="EYD26:EYF26"/>
    <mergeCell ref="EXC26:EXE26"/>
    <mergeCell ref="EXF26:EXH26"/>
    <mergeCell ref="EXI26:EXK26"/>
    <mergeCell ref="EXL26:EXN26"/>
    <mergeCell ref="EXO26:EXQ26"/>
    <mergeCell ref="FEP26:FER26"/>
    <mergeCell ref="FES26:FEU26"/>
    <mergeCell ref="FEV26:FEX26"/>
    <mergeCell ref="FEY26:FFA26"/>
    <mergeCell ref="FFB26:FFD26"/>
    <mergeCell ref="FEA26:FEC26"/>
    <mergeCell ref="FED26:FEF26"/>
    <mergeCell ref="FEG26:FEI26"/>
    <mergeCell ref="FEJ26:FEL26"/>
    <mergeCell ref="FEM26:FEO26"/>
    <mergeCell ref="FDL26:FDN26"/>
    <mergeCell ref="FDO26:FDQ26"/>
    <mergeCell ref="FDR26:FDT26"/>
    <mergeCell ref="FDU26:FDW26"/>
    <mergeCell ref="FDX26:FDZ26"/>
    <mergeCell ref="FCW26:FCY26"/>
    <mergeCell ref="FCZ26:FDB26"/>
    <mergeCell ref="FDC26:FDE26"/>
    <mergeCell ref="FDF26:FDH26"/>
    <mergeCell ref="FDI26:FDK26"/>
    <mergeCell ref="FCH26:FCJ26"/>
    <mergeCell ref="FCK26:FCM26"/>
    <mergeCell ref="FCN26:FCP26"/>
    <mergeCell ref="FCQ26:FCS26"/>
    <mergeCell ref="FCT26:FCV26"/>
    <mergeCell ref="FBS26:FBU26"/>
    <mergeCell ref="FBV26:FBX26"/>
    <mergeCell ref="FBY26:FCA26"/>
    <mergeCell ref="FCB26:FCD26"/>
    <mergeCell ref="FCE26:FCG26"/>
    <mergeCell ref="FBD26:FBF26"/>
    <mergeCell ref="FBG26:FBI26"/>
    <mergeCell ref="FBJ26:FBL26"/>
    <mergeCell ref="FBM26:FBO26"/>
    <mergeCell ref="FBP26:FBR26"/>
    <mergeCell ref="FIQ26:FIS26"/>
    <mergeCell ref="FIT26:FIV26"/>
    <mergeCell ref="FIW26:FIY26"/>
    <mergeCell ref="FIZ26:FJB26"/>
    <mergeCell ref="FJC26:FJE26"/>
    <mergeCell ref="FIB26:FID26"/>
    <mergeCell ref="FIE26:FIG26"/>
    <mergeCell ref="FIH26:FIJ26"/>
    <mergeCell ref="FIK26:FIM26"/>
    <mergeCell ref="FIN26:FIP26"/>
    <mergeCell ref="FHM26:FHO26"/>
    <mergeCell ref="FHP26:FHR26"/>
    <mergeCell ref="FHS26:FHU26"/>
    <mergeCell ref="FHV26:FHX26"/>
    <mergeCell ref="FHY26:FIA26"/>
    <mergeCell ref="FGX26:FGZ26"/>
    <mergeCell ref="FHA26:FHC26"/>
    <mergeCell ref="FHD26:FHF26"/>
    <mergeCell ref="FHG26:FHI26"/>
    <mergeCell ref="FHJ26:FHL26"/>
    <mergeCell ref="FGI26:FGK26"/>
    <mergeCell ref="FGL26:FGN26"/>
    <mergeCell ref="FGO26:FGQ26"/>
    <mergeCell ref="FGR26:FGT26"/>
    <mergeCell ref="FGU26:FGW26"/>
    <mergeCell ref="FFT26:FFV26"/>
    <mergeCell ref="FFW26:FFY26"/>
    <mergeCell ref="FFZ26:FGB26"/>
    <mergeCell ref="FGC26:FGE26"/>
    <mergeCell ref="FGF26:FGH26"/>
    <mergeCell ref="FFE26:FFG26"/>
    <mergeCell ref="FFH26:FFJ26"/>
    <mergeCell ref="FFK26:FFM26"/>
    <mergeCell ref="FFN26:FFP26"/>
    <mergeCell ref="FFQ26:FFS26"/>
    <mergeCell ref="FMR26:FMT26"/>
    <mergeCell ref="FMU26:FMW26"/>
    <mergeCell ref="FMX26:FMZ26"/>
    <mergeCell ref="FNA26:FNC26"/>
    <mergeCell ref="FND26:FNF26"/>
    <mergeCell ref="FMC26:FME26"/>
    <mergeCell ref="FMF26:FMH26"/>
    <mergeCell ref="FMI26:FMK26"/>
    <mergeCell ref="FML26:FMN26"/>
    <mergeCell ref="FMO26:FMQ26"/>
    <mergeCell ref="FLN26:FLP26"/>
    <mergeCell ref="FLQ26:FLS26"/>
    <mergeCell ref="FLT26:FLV26"/>
    <mergeCell ref="FLW26:FLY26"/>
    <mergeCell ref="FLZ26:FMB26"/>
    <mergeCell ref="FKY26:FLA26"/>
    <mergeCell ref="FLB26:FLD26"/>
    <mergeCell ref="FLE26:FLG26"/>
    <mergeCell ref="FLH26:FLJ26"/>
    <mergeCell ref="FLK26:FLM26"/>
    <mergeCell ref="FKJ26:FKL26"/>
    <mergeCell ref="FKM26:FKO26"/>
    <mergeCell ref="FKP26:FKR26"/>
    <mergeCell ref="FKS26:FKU26"/>
    <mergeCell ref="FKV26:FKX26"/>
    <mergeCell ref="FJU26:FJW26"/>
    <mergeCell ref="FJX26:FJZ26"/>
    <mergeCell ref="FKA26:FKC26"/>
    <mergeCell ref="FKD26:FKF26"/>
    <mergeCell ref="FKG26:FKI26"/>
    <mergeCell ref="FJF26:FJH26"/>
    <mergeCell ref="FJI26:FJK26"/>
    <mergeCell ref="FJL26:FJN26"/>
    <mergeCell ref="FJO26:FJQ26"/>
    <mergeCell ref="FJR26:FJT26"/>
    <mergeCell ref="FQS26:FQU26"/>
    <mergeCell ref="FQV26:FQX26"/>
    <mergeCell ref="FQY26:FRA26"/>
    <mergeCell ref="FRB26:FRD26"/>
    <mergeCell ref="FRE26:FRG26"/>
    <mergeCell ref="FQD26:FQF26"/>
    <mergeCell ref="FQG26:FQI26"/>
    <mergeCell ref="FQJ26:FQL26"/>
    <mergeCell ref="FQM26:FQO26"/>
    <mergeCell ref="FQP26:FQR26"/>
    <mergeCell ref="FPO26:FPQ26"/>
    <mergeCell ref="FPR26:FPT26"/>
    <mergeCell ref="FPU26:FPW26"/>
    <mergeCell ref="FPX26:FPZ26"/>
    <mergeCell ref="FQA26:FQC26"/>
    <mergeCell ref="FOZ26:FPB26"/>
    <mergeCell ref="FPC26:FPE26"/>
    <mergeCell ref="FPF26:FPH26"/>
    <mergeCell ref="FPI26:FPK26"/>
    <mergeCell ref="FPL26:FPN26"/>
    <mergeCell ref="FOK26:FOM26"/>
    <mergeCell ref="FON26:FOP26"/>
    <mergeCell ref="FOQ26:FOS26"/>
    <mergeCell ref="FOT26:FOV26"/>
    <mergeCell ref="FOW26:FOY26"/>
    <mergeCell ref="FNV26:FNX26"/>
    <mergeCell ref="FNY26:FOA26"/>
    <mergeCell ref="FOB26:FOD26"/>
    <mergeCell ref="FOE26:FOG26"/>
    <mergeCell ref="FOH26:FOJ26"/>
    <mergeCell ref="FNG26:FNI26"/>
    <mergeCell ref="FNJ26:FNL26"/>
    <mergeCell ref="FNM26:FNO26"/>
    <mergeCell ref="FNP26:FNR26"/>
    <mergeCell ref="FNS26:FNU26"/>
    <mergeCell ref="FUT26:FUV26"/>
    <mergeCell ref="FUW26:FUY26"/>
    <mergeCell ref="FUZ26:FVB26"/>
    <mergeCell ref="FVC26:FVE26"/>
    <mergeCell ref="FVF26:FVH26"/>
    <mergeCell ref="FUE26:FUG26"/>
    <mergeCell ref="FUH26:FUJ26"/>
    <mergeCell ref="FUK26:FUM26"/>
    <mergeCell ref="FUN26:FUP26"/>
    <mergeCell ref="FUQ26:FUS26"/>
    <mergeCell ref="FTP26:FTR26"/>
    <mergeCell ref="FTS26:FTU26"/>
    <mergeCell ref="FTV26:FTX26"/>
    <mergeCell ref="FTY26:FUA26"/>
    <mergeCell ref="FUB26:FUD26"/>
    <mergeCell ref="FTA26:FTC26"/>
    <mergeCell ref="FTD26:FTF26"/>
    <mergeCell ref="FTG26:FTI26"/>
    <mergeCell ref="FTJ26:FTL26"/>
    <mergeCell ref="FTM26:FTO26"/>
    <mergeCell ref="FSL26:FSN26"/>
    <mergeCell ref="FSO26:FSQ26"/>
    <mergeCell ref="FSR26:FST26"/>
    <mergeCell ref="FSU26:FSW26"/>
    <mergeCell ref="FSX26:FSZ26"/>
    <mergeCell ref="FRW26:FRY26"/>
    <mergeCell ref="FRZ26:FSB26"/>
    <mergeCell ref="FSC26:FSE26"/>
    <mergeCell ref="FSF26:FSH26"/>
    <mergeCell ref="FSI26:FSK26"/>
    <mergeCell ref="FRH26:FRJ26"/>
    <mergeCell ref="FRK26:FRM26"/>
    <mergeCell ref="FRN26:FRP26"/>
    <mergeCell ref="FRQ26:FRS26"/>
    <mergeCell ref="FRT26:FRV26"/>
    <mergeCell ref="FYU26:FYW26"/>
    <mergeCell ref="FYX26:FYZ26"/>
    <mergeCell ref="FZA26:FZC26"/>
    <mergeCell ref="FZD26:FZF26"/>
    <mergeCell ref="FZG26:FZI26"/>
    <mergeCell ref="FYF26:FYH26"/>
    <mergeCell ref="FYI26:FYK26"/>
    <mergeCell ref="FYL26:FYN26"/>
    <mergeCell ref="FYO26:FYQ26"/>
    <mergeCell ref="FYR26:FYT26"/>
    <mergeCell ref="FXQ26:FXS26"/>
    <mergeCell ref="FXT26:FXV26"/>
    <mergeCell ref="FXW26:FXY26"/>
    <mergeCell ref="FXZ26:FYB26"/>
    <mergeCell ref="FYC26:FYE26"/>
    <mergeCell ref="FXB26:FXD26"/>
    <mergeCell ref="FXE26:FXG26"/>
    <mergeCell ref="FXH26:FXJ26"/>
    <mergeCell ref="FXK26:FXM26"/>
    <mergeCell ref="FXN26:FXP26"/>
    <mergeCell ref="FWM26:FWO26"/>
    <mergeCell ref="FWP26:FWR26"/>
    <mergeCell ref="FWS26:FWU26"/>
    <mergeCell ref="FWV26:FWX26"/>
    <mergeCell ref="FWY26:FXA26"/>
    <mergeCell ref="FVX26:FVZ26"/>
    <mergeCell ref="FWA26:FWC26"/>
    <mergeCell ref="FWD26:FWF26"/>
    <mergeCell ref="FWG26:FWI26"/>
    <mergeCell ref="FWJ26:FWL26"/>
    <mergeCell ref="FVI26:FVK26"/>
    <mergeCell ref="FVL26:FVN26"/>
    <mergeCell ref="FVO26:FVQ26"/>
    <mergeCell ref="FVR26:FVT26"/>
    <mergeCell ref="FVU26:FVW26"/>
    <mergeCell ref="GCV26:GCX26"/>
    <mergeCell ref="GCY26:GDA26"/>
    <mergeCell ref="GDB26:GDD26"/>
    <mergeCell ref="GDE26:GDG26"/>
    <mergeCell ref="GDH26:GDJ26"/>
    <mergeCell ref="GCG26:GCI26"/>
    <mergeCell ref="GCJ26:GCL26"/>
    <mergeCell ref="GCM26:GCO26"/>
    <mergeCell ref="GCP26:GCR26"/>
    <mergeCell ref="GCS26:GCU26"/>
    <mergeCell ref="GBR26:GBT26"/>
    <mergeCell ref="GBU26:GBW26"/>
    <mergeCell ref="GBX26:GBZ26"/>
    <mergeCell ref="GCA26:GCC26"/>
    <mergeCell ref="GCD26:GCF26"/>
    <mergeCell ref="GBC26:GBE26"/>
    <mergeCell ref="GBF26:GBH26"/>
    <mergeCell ref="GBI26:GBK26"/>
    <mergeCell ref="GBL26:GBN26"/>
    <mergeCell ref="GBO26:GBQ26"/>
    <mergeCell ref="GAN26:GAP26"/>
    <mergeCell ref="GAQ26:GAS26"/>
    <mergeCell ref="GAT26:GAV26"/>
    <mergeCell ref="GAW26:GAY26"/>
    <mergeCell ref="GAZ26:GBB26"/>
    <mergeCell ref="FZY26:GAA26"/>
    <mergeCell ref="GAB26:GAD26"/>
    <mergeCell ref="GAE26:GAG26"/>
    <mergeCell ref="GAH26:GAJ26"/>
    <mergeCell ref="GAK26:GAM26"/>
    <mergeCell ref="FZJ26:FZL26"/>
    <mergeCell ref="FZM26:FZO26"/>
    <mergeCell ref="FZP26:FZR26"/>
    <mergeCell ref="FZS26:FZU26"/>
    <mergeCell ref="FZV26:FZX26"/>
    <mergeCell ref="GGW26:GGY26"/>
    <mergeCell ref="GGZ26:GHB26"/>
    <mergeCell ref="GHC26:GHE26"/>
    <mergeCell ref="GHF26:GHH26"/>
    <mergeCell ref="GHI26:GHK26"/>
    <mergeCell ref="GGH26:GGJ26"/>
    <mergeCell ref="GGK26:GGM26"/>
    <mergeCell ref="GGN26:GGP26"/>
    <mergeCell ref="GGQ26:GGS26"/>
    <mergeCell ref="GGT26:GGV26"/>
    <mergeCell ref="GFS26:GFU26"/>
    <mergeCell ref="GFV26:GFX26"/>
    <mergeCell ref="GFY26:GGA26"/>
    <mergeCell ref="GGB26:GGD26"/>
    <mergeCell ref="GGE26:GGG26"/>
    <mergeCell ref="GFD26:GFF26"/>
    <mergeCell ref="GFG26:GFI26"/>
    <mergeCell ref="GFJ26:GFL26"/>
    <mergeCell ref="GFM26:GFO26"/>
    <mergeCell ref="GFP26:GFR26"/>
    <mergeCell ref="GEO26:GEQ26"/>
    <mergeCell ref="GER26:GET26"/>
    <mergeCell ref="GEU26:GEW26"/>
    <mergeCell ref="GEX26:GEZ26"/>
    <mergeCell ref="GFA26:GFC26"/>
    <mergeCell ref="GDZ26:GEB26"/>
    <mergeCell ref="GEC26:GEE26"/>
    <mergeCell ref="GEF26:GEH26"/>
    <mergeCell ref="GEI26:GEK26"/>
    <mergeCell ref="GEL26:GEN26"/>
    <mergeCell ref="GDK26:GDM26"/>
    <mergeCell ref="GDN26:GDP26"/>
    <mergeCell ref="GDQ26:GDS26"/>
    <mergeCell ref="GDT26:GDV26"/>
    <mergeCell ref="GDW26:GDY26"/>
    <mergeCell ref="GKX26:GKZ26"/>
    <mergeCell ref="GLA26:GLC26"/>
    <mergeCell ref="GLD26:GLF26"/>
    <mergeCell ref="GLG26:GLI26"/>
    <mergeCell ref="GLJ26:GLL26"/>
    <mergeCell ref="GKI26:GKK26"/>
    <mergeCell ref="GKL26:GKN26"/>
    <mergeCell ref="GKO26:GKQ26"/>
    <mergeCell ref="GKR26:GKT26"/>
    <mergeCell ref="GKU26:GKW26"/>
    <mergeCell ref="GJT26:GJV26"/>
    <mergeCell ref="GJW26:GJY26"/>
    <mergeCell ref="GJZ26:GKB26"/>
    <mergeCell ref="GKC26:GKE26"/>
    <mergeCell ref="GKF26:GKH26"/>
    <mergeCell ref="GJE26:GJG26"/>
    <mergeCell ref="GJH26:GJJ26"/>
    <mergeCell ref="GJK26:GJM26"/>
    <mergeCell ref="GJN26:GJP26"/>
    <mergeCell ref="GJQ26:GJS26"/>
    <mergeCell ref="GIP26:GIR26"/>
    <mergeCell ref="GIS26:GIU26"/>
    <mergeCell ref="GIV26:GIX26"/>
    <mergeCell ref="GIY26:GJA26"/>
    <mergeCell ref="GJB26:GJD26"/>
    <mergeCell ref="GIA26:GIC26"/>
    <mergeCell ref="GID26:GIF26"/>
    <mergeCell ref="GIG26:GII26"/>
    <mergeCell ref="GIJ26:GIL26"/>
    <mergeCell ref="GIM26:GIO26"/>
    <mergeCell ref="GHL26:GHN26"/>
    <mergeCell ref="GHO26:GHQ26"/>
    <mergeCell ref="GHR26:GHT26"/>
    <mergeCell ref="GHU26:GHW26"/>
    <mergeCell ref="GHX26:GHZ26"/>
    <mergeCell ref="GOY26:GPA26"/>
    <mergeCell ref="GPB26:GPD26"/>
    <mergeCell ref="GPE26:GPG26"/>
    <mergeCell ref="GPH26:GPJ26"/>
    <mergeCell ref="GPK26:GPM26"/>
    <mergeCell ref="GOJ26:GOL26"/>
    <mergeCell ref="GOM26:GOO26"/>
    <mergeCell ref="GOP26:GOR26"/>
    <mergeCell ref="GOS26:GOU26"/>
    <mergeCell ref="GOV26:GOX26"/>
    <mergeCell ref="GNU26:GNW26"/>
    <mergeCell ref="GNX26:GNZ26"/>
    <mergeCell ref="GOA26:GOC26"/>
    <mergeCell ref="GOD26:GOF26"/>
    <mergeCell ref="GOG26:GOI26"/>
    <mergeCell ref="GNF26:GNH26"/>
    <mergeCell ref="GNI26:GNK26"/>
    <mergeCell ref="GNL26:GNN26"/>
    <mergeCell ref="GNO26:GNQ26"/>
    <mergeCell ref="GNR26:GNT26"/>
    <mergeCell ref="GMQ26:GMS26"/>
    <mergeCell ref="GMT26:GMV26"/>
    <mergeCell ref="GMW26:GMY26"/>
    <mergeCell ref="GMZ26:GNB26"/>
    <mergeCell ref="GNC26:GNE26"/>
    <mergeCell ref="GMB26:GMD26"/>
    <mergeCell ref="GME26:GMG26"/>
    <mergeCell ref="GMH26:GMJ26"/>
    <mergeCell ref="GMK26:GMM26"/>
    <mergeCell ref="GMN26:GMP26"/>
    <mergeCell ref="GLM26:GLO26"/>
    <mergeCell ref="GLP26:GLR26"/>
    <mergeCell ref="GLS26:GLU26"/>
    <mergeCell ref="GLV26:GLX26"/>
    <mergeCell ref="GLY26:GMA26"/>
    <mergeCell ref="GSZ26:GTB26"/>
    <mergeCell ref="GTC26:GTE26"/>
    <mergeCell ref="GTF26:GTH26"/>
    <mergeCell ref="GTI26:GTK26"/>
    <mergeCell ref="GTL26:GTN26"/>
    <mergeCell ref="GSK26:GSM26"/>
    <mergeCell ref="GSN26:GSP26"/>
    <mergeCell ref="GSQ26:GSS26"/>
    <mergeCell ref="GST26:GSV26"/>
    <mergeCell ref="GSW26:GSY26"/>
    <mergeCell ref="GRV26:GRX26"/>
    <mergeCell ref="GRY26:GSA26"/>
    <mergeCell ref="GSB26:GSD26"/>
    <mergeCell ref="GSE26:GSG26"/>
    <mergeCell ref="GSH26:GSJ26"/>
    <mergeCell ref="GRG26:GRI26"/>
    <mergeCell ref="GRJ26:GRL26"/>
    <mergeCell ref="GRM26:GRO26"/>
    <mergeCell ref="GRP26:GRR26"/>
    <mergeCell ref="GRS26:GRU26"/>
    <mergeCell ref="GQR26:GQT26"/>
    <mergeCell ref="GQU26:GQW26"/>
    <mergeCell ref="GQX26:GQZ26"/>
    <mergeCell ref="GRA26:GRC26"/>
    <mergeCell ref="GRD26:GRF26"/>
    <mergeCell ref="GQC26:GQE26"/>
    <mergeCell ref="GQF26:GQH26"/>
    <mergeCell ref="GQI26:GQK26"/>
    <mergeCell ref="GQL26:GQN26"/>
    <mergeCell ref="GQO26:GQQ26"/>
    <mergeCell ref="GPN26:GPP26"/>
    <mergeCell ref="GPQ26:GPS26"/>
    <mergeCell ref="GPT26:GPV26"/>
    <mergeCell ref="GPW26:GPY26"/>
    <mergeCell ref="GPZ26:GQB26"/>
    <mergeCell ref="GXA26:GXC26"/>
    <mergeCell ref="GXD26:GXF26"/>
    <mergeCell ref="GXG26:GXI26"/>
    <mergeCell ref="GXJ26:GXL26"/>
    <mergeCell ref="GXM26:GXO26"/>
    <mergeCell ref="GWL26:GWN26"/>
    <mergeCell ref="GWO26:GWQ26"/>
    <mergeCell ref="GWR26:GWT26"/>
    <mergeCell ref="GWU26:GWW26"/>
    <mergeCell ref="GWX26:GWZ26"/>
    <mergeCell ref="GVW26:GVY26"/>
    <mergeCell ref="GVZ26:GWB26"/>
    <mergeCell ref="GWC26:GWE26"/>
    <mergeCell ref="GWF26:GWH26"/>
    <mergeCell ref="GWI26:GWK26"/>
    <mergeCell ref="GVH26:GVJ26"/>
    <mergeCell ref="GVK26:GVM26"/>
    <mergeCell ref="GVN26:GVP26"/>
    <mergeCell ref="GVQ26:GVS26"/>
    <mergeCell ref="GVT26:GVV26"/>
    <mergeCell ref="GUS26:GUU26"/>
    <mergeCell ref="GUV26:GUX26"/>
    <mergeCell ref="GUY26:GVA26"/>
    <mergeCell ref="GVB26:GVD26"/>
    <mergeCell ref="GVE26:GVG26"/>
    <mergeCell ref="GUD26:GUF26"/>
    <mergeCell ref="GUG26:GUI26"/>
    <mergeCell ref="GUJ26:GUL26"/>
    <mergeCell ref="GUM26:GUO26"/>
    <mergeCell ref="GUP26:GUR26"/>
    <mergeCell ref="GTO26:GTQ26"/>
    <mergeCell ref="GTR26:GTT26"/>
    <mergeCell ref="GTU26:GTW26"/>
    <mergeCell ref="GTX26:GTZ26"/>
    <mergeCell ref="GUA26:GUC26"/>
    <mergeCell ref="HBB26:HBD26"/>
    <mergeCell ref="HBE26:HBG26"/>
    <mergeCell ref="HBH26:HBJ26"/>
    <mergeCell ref="HBK26:HBM26"/>
    <mergeCell ref="HBN26:HBP26"/>
    <mergeCell ref="HAM26:HAO26"/>
    <mergeCell ref="HAP26:HAR26"/>
    <mergeCell ref="HAS26:HAU26"/>
    <mergeCell ref="HAV26:HAX26"/>
    <mergeCell ref="HAY26:HBA26"/>
    <mergeCell ref="GZX26:GZZ26"/>
    <mergeCell ref="HAA26:HAC26"/>
    <mergeCell ref="HAD26:HAF26"/>
    <mergeCell ref="HAG26:HAI26"/>
    <mergeCell ref="HAJ26:HAL26"/>
    <mergeCell ref="GZI26:GZK26"/>
    <mergeCell ref="GZL26:GZN26"/>
    <mergeCell ref="GZO26:GZQ26"/>
    <mergeCell ref="GZR26:GZT26"/>
    <mergeCell ref="GZU26:GZW26"/>
    <mergeCell ref="GYT26:GYV26"/>
    <mergeCell ref="GYW26:GYY26"/>
    <mergeCell ref="GYZ26:GZB26"/>
    <mergeCell ref="GZC26:GZE26"/>
    <mergeCell ref="GZF26:GZH26"/>
    <mergeCell ref="GYE26:GYG26"/>
    <mergeCell ref="GYH26:GYJ26"/>
    <mergeCell ref="GYK26:GYM26"/>
    <mergeCell ref="GYN26:GYP26"/>
    <mergeCell ref="GYQ26:GYS26"/>
    <mergeCell ref="GXP26:GXR26"/>
    <mergeCell ref="GXS26:GXU26"/>
    <mergeCell ref="GXV26:GXX26"/>
    <mergeCell ref="GXY26:GYA26"/>
    <mergeCell ref="GYB26:GYD26"/>
    <mergeCell ref="HFC26:HFE26"/>
    <mergeCell ref="HFF26:HFH26"/>
    <mergeCell ref="HFI26:HFK26"/>
    <mergeCell ref="HFL26:HFN26"/>
    <mergeCell ref="HFO26:HFQ26"/>
    <mergeCell ref="HEN26:HEP26"/>
    <mergeCell ref="HEQ26:HES26"/>
    <mergeCell ref="HET26:HEV26"/>
    <mergeCell ref="HEW26:HEY26"/>
    <mergeCell ref="HEZ26:HFB26"/>
    <mergeCell ref="HDY26:HEA26"/>
    <mergeCell ref="HEB26:HED26"/>
    <mergeCell ref="HEE26:HEG26"/>
    <mergeCell ref="HEH26:HEJ26"/>
    <mergeCell ref="HEK26:HEM26"/>
    <mergeCell ref="HDJ26:HDL26"/>
    <mergeCell ref="HDM26:HDO26"/>
    <mergeCell ref="HDP26:HDR26"/>
    <mergeCell ref="HDS26:HDU26"/>
    <mergeCell ref="HDV26:HDX26"/>
    <mergeCell ref="HCU26:HCW26"/>
    <mergeCell ref="HCX26:HCZ26"/>
    <mergeCell ref="HDA26:HDC26"/>
    <mergeCell ref="HDD26:HDF26"/>
    <mergeCell ref="HDG26:HDI26"/>
    <mergeCell ref="HCF26:HCH26"/>
    <mergeCell ref="HCI26:HCK26"/>
    <mergeCell ref="HCL26:HCN26"/>
    <mergeCell ref="HCO26:HCQ26"/>
    <mergeCell ref="HCR26:HCT26"/>
    <mergeCell ref="HBQ26:HBS26"/>
    <mergeCell ref="HBT26:HBV26"/>
    <mergeCell ref="HBW26:HBY26"/>
    <mergeCell ref="HBZ26:HCB26"/>
    <mergeCell ref="HCC26:HCE26"/>
    <mergeCell ref="HJD26:HJF26"/>
    <mergeCell ref="HJG26:HJI26"/>
    <mergeCell ref="HJJ26:HJL26"/>
    <mergeCell ref="HJM26:HJO26"/>
    <mergeCell ref="HJP26:HJR26"/>
    <mergeCell ref="HIO26:HIQ26"/>
    <mergeCell ref="HIR26:HIT26"/>
    <mergeCell ref="HIU26:HIW26"/>
    <mergeCell ref="HIX26:HIZ26"/>
    <mergeCell ref="HJA26:HJC26"/>
    <mergeCell ref="HHZ26:HIB26"/>
    <mergeCell ref="HIC26:HIE26"/>
    <mergeCell ref="HIF26:HIH26"/>
    <mergeCell ref="HII26:HIK26"/>
    <mergeCell ref="HIL26:HIN26"/>
    <mergeCell ref="HHK26:HHM26"/>
    <mergeCell ref="HHN26:HHP26"/>
    <mergeCell ref="HHQ26:HHS26"/>
    <mergeCell ref="HHT26:HHV26"/>
    <mergeCell ref="HHW26:HHY26"/>
    <mergeCell ref="HGV26:HGX26"/>
    <mergeCell ref="HGY26:HHA26"/>
    <mergeCell ref="HHB26:HHD26"/>
    <mergeCell ref="HHE26:HHG26"/>
    <mergeCell ref="HHH26:HHJ26"/>
    <mergeCell ref="HGG26:HGI26"/>
    <mergeCell ref="HGJ26:HGL26"/>
    <mergeCell ref="HGM26:HGO26"/>
    <mergeCell ref="HGP26:HGR26"/>
    <mergeCell ref="HGS26:HGU26"/>
    <mergeCell ref="HFR26:HFT26"/>
    <mergeCell ref="HFU26:HFW26"/>
    <mergeCell ref="HFX26:HFZ26"/>
    <mergeCell ref="HGA26:HGC26"/>
    <mergeCell ref="HGD26:HGF26"/>
    <mergeCell ref="HNE26:HNG26"/>
    <mergeCell ref="HNH26:HNJ26"/>
    <mergeCell ref="HNK26:HNM26"/>
    <mergeCell ref="HNN26:HNP26"/>
    <mergeCell ref="HNQ26:HNS26"/>
    <mergeCell ref="HMP26:HMR26"/>
    <mergeCell ref="HMS26:HMU26"/>
    <mergeCell ref="HMV26:HMX26"/>
    <mergeCell ref="HMY26:HNA26"/>
    <mergeCell ref="HNB26:HND26"/>
    <mergeCell ref="HMA26:HMC26"/>
    <mergeCell ref="HMD26:HMF26"/>
    <mergeCell ref="HMG26:HMI26"/>
    <mergeCell ref="HMJ26:HML26"/>
    <mergeCell ref="HMM26:HMO26"/>
    <mergeCell ref="HLL26:HLN26"/>
    <mergeCell ref="HLO26:HLQ26"/>
    <mergeCell ref="HLR26:HLT26"/>
    <mergeCell ref="HLU26:HLW26"/>
    <mergeCell ref="HLX26:HLZ26"/>
    <mergeCell ref="HKW26:HKY26"/>
    <mergeCell ref="HKZ26:HLB26"/>
    <mergeCell ref="HLC26:HLE26"/>
    <mergeCell ref="HLF26:HLH26"/>
    <mergeCell ref="HLI26:HLK26"/>
    <mergeCell ref="HKH26:HKJ26"/>
    <mergeCell ref="HKK26:HKM26"/>
    <mergeCell ref="HKN26:HKP26"/>
    <mergeCell ref="HKQ26:HKS26"/>
    <mergeCell ref="HKT26:HKV26"/>
    <mergeCell ref="HJS26:HJU26"/>
    <mergeCell ref="HJV26:HJX26"/>
    <mergeCell ref="HJY26:HKA26"/>
    <mergeCell ref="HKB26:HKD26"/>
    <mergeCell ref="HKE26:HKG26"/>
    <mergeCell ref="HRF26:HRH26"/>
    <mergeCell ref="HRI26:HRK26"/>
    <mergeCell ref="HRL26:HRN26"/>
    <mergeCell ref="HRO26:HRQ26"/>
    <mergeCell ref="HRR26:HRT26"/>
    <mergeCell ref="HQQ26:HQS26"/>
    <mergeCell ref="HQT26:HQV26"/>
    <mergeCell ref="HQW26:HQY26"/>
    <mergeCell ref="HQZ26:HRB26"/>
    <mergeCell ref="HRC26:HRE26"/>
    <mergeCell ref="HQB26:HQD26"/>
    <mergeCell ref="HQE26:HQG26"/>
    <mergeCell ref="HQH26:HQJ26"/>
    <mergeCell ref="HQK26:HQM26"/>
    <mergeCell ref="HQN26:HQP26"/>
    <mergeCell ref="HPM26:HPO26"/>
    <mergeCell ref="HPP26:HPR26"/>
    <mergeCell ref="HPS26:HPU26"/>
    <mergeCell ref="HPV26:HPX26"/>
    <mergeCell ref="HPY26:HQA26"/>
    <mergeCell ref="HOX26:HOZ26"/>
    <mergeCell ref="HPA26:HPC26"/>
    <mergeCell ref="HPD26:HPF26"/>
    <mergeCell ref="HPG26:HPI26"/>
    <mergeCell ref="HPJ26:HPL26"/>
    <mergeCell ref="HOI26:HOK26"/>
    <mergeCell ref="HOL26:HON26"/>
    <mergeCell ref="HOO26:HOQ26"/>
    <mergeCell ref="HOR26:HOT26"/>
    <mergeCell ref="HOU26:HOW26"/>
    <mergeCell ref="HNT26:HNV26"/>
    <mergeCell ref="HNW26:HNY26"/>
    <mergeCell ref="HNZ26:HOB26"/>
    <mergeCell ref="HOC26:HOE26"/>
    <mergeCell ref="HOF26:HOH26"/>
    <mergeCell ref="HVG26:HVI26"/>
    <mergeCell ref="HVJ26:HVL26"/>
    <mergeCell ref="HVM26:HVO26"/>
    <mergeCell ref="HVP26:HVR26"/>
    <mergeCell ref="HVS26:HVU26"/>
    <mergeCell ref="HUR26:HUT26"/>
    <mergeCell ref="HUU26:HUW26"/>
    <mergeCell ref="HUX26:HUZ26"/>
    <mergeCell ref="HVA26:HVC26"/>
    <mergeCell ref="HVD26:HVF26"/>
    <mergeCell ref="HUC26:HUE26"/>
    <mergeCell ref="HUF26:HUH26"/>
    <mergeCell ref="HUI26:HUK26"/>
    <mergeCell ref="HUL26:HUN26"/>
    <mergeCell ref="HUO26:HUQ26"/>
    <mergeCell ref="HTN26:HTP26"/>
    <mergeCell ref="HTQ26:HTS26"/>
    <mergeCell ref="HTT26:HTV26"/>
    <mergeCell ref="HTW26:HTY26"/>
    <mergeCell ref="HTZ26:HUB26"/>
    <mergeCell ref="HSY26:HTA26"/>
    <mergeCell ref="HTB26:HTD26"/>
    <mergeCell ref="HTE26:HTG26"/>
    <mergeCell ref="HTH26:HTJ26"/>
    <mergeCell ref="HTK26:HTM26"/>
    <mergeCell ref="HSJ26:HSL26"/>
    <mergeCell ref="HSM26:HSO26"/>
    <mergeCell ref="HSP26:HSR26"/>
    <mergeCell ref="HSS26:HSU26"/>
    <mergeCell ref="HSV26:HSX26"/>
    <mergeCell ref="HRU26:HRW26"/>
    <mergeCell ref="HRX26:HRZ26"/>
    <mergeCell ref="HSA26:HSC26"/>
    <mergeCell ref="HSD26:HSF26"/>
    <mergeCell ref="HSG26:HSI26"/>
    <mergeCell ref="HZH26:HZJ26"/>
    <mergeCell ref="HZK26:HZM26"/>
    <mergeCell ref="HZN26:HZP26"/>
    <mergeCell ref="HZQ26:HZS26"/>
    <mergeCell ref="HZT26:HZV26"/>
    <mergeCell ref="HYS26:HYU26"/>
    <mergeCell ref="HYV26:HYX26"/>
    <mergeCell ref="HYY26:HZA26"/>
    <mergeCell ref="HZB26:HZD26"/>
    <mergeCell ref="HZE26:HZG26"/>
    <mergeCell ref="HYD26:HYF26"/>
    <mergeCell ref="HYG26:HYI26"/>
    <mergeCell ref="HYJ26:HYL26"/>
    <mergeCell ref="HYM26:HYO26"/>
    <mergeCell ref="HYP26:HYR26"/>
    <mergeCell ref="HXO26:HXQ26"/>
    <mergeCell ref="HXR26:HXT26"/>
    <mergeCell ref="HXU26:HXW26"/>
    <mergeCell ref="HXX26:HXZ26"/>
    <mergeCell ref="HYA26:HYC26"/>
    <mergeCell ref="HWZ26:HXB26"/>
    <mergeCell ref="HXC26:HXE26"/>
    <mergeCell ref="HXF26:HXH26"/>
    <mergeCell ref="HXI26:HXK26"/>
    <mergeCell ref="HXL26:HXN26"/>
    <mergeCell ref="HWK26:HWM26"/>
    <mergeCell ref="HWN26:HWP26"/>
    <mergeCell ref="HWQ26:HWS26"/>
    <mergeCell ref="HWT26:HWV26"/>
    <mergeCell ref="HWW26:HWY26"/>
    <mergeCell ref="HVV26:HVX26"/>
    <mergeCell ref="HVY26:HWA26"/>
    <mergeCell ref="HWB26:HWD26"/>
    <mergeCell ref="HWE26:HWG26"/>
    <mergeCell ref="HWH26:HWJ26"/>
    <mergeCell ref="IDI26:IDK26"/>
    <mergeCell ref="IDL26:IDN26"/>
    <mergeCell ref="IDO26:IDQ26"/>
    <mergeCell ref="IDR26:IDT26"/>
    <mergeCell ref="IDU26:IDW26"/>
    <mergeCell ref="ICT26:ICV26"/>
    <mergeCell ref="ICW26:ICY26"/>
    <mergeCell ref="ICZ26:IDB26"/>
    <mergeCell ref="IDC26:IDE26"/>
    <mergeCell ref="IDF26:IDH26"/>
    <mergeCell ref="ICE26:ICG26"/>
    <mergeCell ref="ICH26:ICJ26"/>
    <mergeCell ref="ICK26:ICM26"/>
    <mergeCell ref="ICN26:ICP26"/>
    <mergeCell ref="ICQ26:ICS26"/>
    <mergeCell ref="IBP26:IBR26"/>
    <mergeCell ref="IBS26:IBU26"/>
    <mergeCell ref="IBV26:IBX26"/>
    <mergeCell ref="IBY26:ICA26"/>
    <mergeCell ref="ICB26:ICD26"/>
    <mergeCell ref="IBA26:IBC26"/>
    <mergeCell ref="IBD26:IBF26"/>
    <mergeCell ref="IBG26:IBI26"/>
    <mergeCell ref="IBJ26:IBL26"/>
    <mergeCell ref="IBM26:IBO26"/>
    <mergeCell ref="IAL26:IAN26"/>
    <mergeCell ref="IAO26:IAQ26"/>
    <mergeCell ref="IAR26:IAT26"/>
    <mergeCell ref="IAU26:IAW26"/>
    <mergeCell ref="IAX26:IAZ26"/>
    <mergeCell ref="HZW26:HZY26"/>
    <mergeCell ref="HZZ26:IAB26"/>
    <mergeCell ref="IAC26:IAE26"/>
    <mergeCell ref="IAF26:IAH26"/>
    <mergeCell ref="IAI26:IAK26"/>
    <mergeCell ref="IHJ26:IHL26"/>
    <mergeCell ref="IHM26:IHO26"/>
    <mergeCell ref="IHP26:IHR26"/>
    <mergeCell ref="IHS26:IHU26"/>
    <mergeCell ref="IHV26:IHX26"/>
    <mergeCell ref="IGU26:IGW26"/>
    <mergeCell ref="IGX26:IGZ26"/>
    <mergeCell ref="IHA26:IHC26"/>
    <mergeCell ref="IHD26:IHF26"/>
    <mergeCell ref="IHG26:IHI26"/>
    <mergeCell ref="IGF26:IGH26"/>
    <mergeCell ref="IGI26:IGK26"/>
    <mergeCell ref="IGL26:IGN26"/>
    <mergeCell ref="IGO26:IGQ26"/>
    <mergeCell ref="IGR26:IGT26"/>
    <mergeCell ref="IFQ26:IFS26"/>
    <mergeCell ref="IFT26:IFV26"/>
    <mergeCell ref="IFW26:IFY26"/>
    <mergeCell ref="IFZ26:IGB26"/>
    <mergeCell ref="IGC26:IGE26"/>
    <mergeCell ref="IFB26:IFD26"/>
    <mergeCell ref="IFE26:IFG26"/>
    <mergeCell ref="IFH26:IFJ26"/>
    <mergeCell ref="IFK26:IFM26"/>
    <mergeCell ref="IFN26:IFP26"/>
    <mergeCell ref="IEM26:IEO26"/>
    <mergeCell ref="IEP26:IER26"/>
    <mergeCell ref="IES26:IEU26"/>
    <mergeCell ref="IEV26:IEX26"/>
    <mergeCell ref="IEY26:IFA26"/>
    <mergeCell ref="IDX26:IDZ26"/>
    <mergeCell ref="IEA26:IEC26"/>
    <mergeCell ref="IED26:IEF26"/>
    <mergeCell ref="IEG26:IEI26"/>
    <mergeCell ref="IEJ26:IEL26"/>
    <mergeCell ref="ILK26:ILM26"/>
    <mergeCell ref="ILN26:ILP26"/>
    <mergeCell ref="ILQ26:ILS26"/>
    <mergeCell ref="ILT26:ILV26"/>
    <mergeCell ref="ILW26:ILY26"/>
    <mergeCell ref="IKV26:IKX26"/>
    <mergeCell ref="IKY26:ILA26"/>
    <mergeCell ref="ILB26:ILD26"/>
    <mergeCell ref="ILE26:ILG26"/>
    <mergeCell ref="ILH26:ILJ26"/>
    <mergeCell ref="IKG26:IKI26"/>
    <mergeCell ref="IKJ26:IKL26"/>
    <mergeCell ref="IKM26:IKO26"/>
    <mergeCell ref="IKP26:IKR26"/>
    <mergeCell ref="IKS26:IKU26"/>
    <mergeCell ref="IJR26:IJT26"/>
    <mergeCell ref="IJU26:IJW26"/>
    <mergeCell ref="IJX26:IJZ26"/>
    <mergeCell ref="IKA26:IKC26"/>
    <mergeCell ref="IKD26:IKF26"/>
    <mergeCell ref="IJC26:IJE26"/>
    <mergeCell ref="IJF26:IJH26"/>
    <mergeCell ref="IJI26:IJK26"/>
    <mergeCell ref="IJL26:IJN26"/>
    <mergeCell ref="IJO26:IJQ26"/>
    <mergeCell ref="IIN26:IIP26"/>
    <mergeCell ref="IIQ26:IIS26"/>
    <mergeCell ref="IIT26:IIV26"/>
    <mergeCell ref="IIW26:IIY26"/>
    <mergeCell ref="IIZ26:IJB26"/>
    <mergeCell ref="IHY26:IIA26"/>
    <mergeCell ref="IIB26:IID26"/>
    <mergeCell ref="IIE26:IIG26"/>
    <mergeCell ref="IIH26:IIJ26"/>
    <mergeCell ref="IIK26:IIM26"/>
    <mergeCell ref="IPL26:IPN26"/>
    <mergeCell ref="IPO26:IPQ26"/>
    <mergeCell ref="IPR26:IPT26"/>
    <mergeCell ref="IPU26:IPW26"/>
    <mergeCell ref="IPX26:IPZ26"/>
    <mergeCell ref="IOW26:IOY26"/>
    <mergeCell ref="IOZ26:IPB26"/>
    <mergeCell ref="IPC26:IPE26"/>
    <mergeCell ref="IPF26:IPH26"/>
    <mergeCell ref="IPI26:IPK26"/>
    <mergeCell ref="IOH26:IOJ26"/>
    <mergeCell ref="IOK26:IOM26"/>
    <mergeCell ref="ION26:IOP26"/>
    <mergeCell ref="IOQ26:IOS26"/>
    <mergeCell ref="IOT26:IOV26"/>
    <mergeCell ref="INS26:INU26"/>
    <mergeCell ref="INV26:INX26"/>
    <mergeCell ref="INY26:IOA26"/>
    <mergeCell ref="IOB26:IOD26"/>
    <mergeCell ref="IOE26:IOG26"/>
    <mergeCell ref="IND26:INF26"/>
    <mergeCell ref="ING26:INI26"/>
    <mergeCell ref="INJ26:INL26"/>
    <mergeCell ref="INM26:INO26"/>
    <mergeCell ref="INP26:INR26"/>
    <mergeCell ref="IMO26:IMQ26"/>
    <mergeCell ref="IMR26:IMT26"/>
    <mergeCell ref="IMU26:IMW26"/>
    <mergeCell ref="IMX26:IMZ26"/>
    <mergeCell ref="INA26:INC26"/>
    <mergeCell ref="ILZ26:IMB26"/>
    <mergeCell ref="IMC26:IME26"/>
    <mergeCell ref="IMF26:IMH26"/>
    <mergeCell ref="IMI26:IMK26"/>
    <mergeCell ref="IML26:IMN26"/>
    <mergeCell ref="ITM26:ITO26"/>
    <mergeCell ref="ITP26:ITR26"/>
    <mergeCell ref="ITS26:ITU26"/>
    <mergeCell ref="ITV26:ITX26"/>
    <mergeCell ref="ITY26:IUA26"/>
    <mergeCell ref="ISX26:ISZ26"/>
    <mergeCell ref="ITA26:ITC26"/>
    <mergeCell ref="ITD26:ITF26"/>
    <mergeCell ref="ITG26:ITI26"/>
    <mergeCell ref="ITJ26:ITL26"/>
    <mergeCell ref="ISI26:ISK26"/>
    <mergeCell ref="ISL26:ISN26"/>
    <mergeCell ref="ISO26:ISQ26"/>
    <mergeCell ref="ISR26:IST26"/>
    <mergeCell ref="ISU26:ISW26"/>
    <mergeCell ref="IRT26:IRV26"/>
    <mergeCell ref="IRW26:IRY26"/>
    <mergeCell ref="IRZ26:ISB26"/>
    <mergeCell ref="ISC26:ISE26"/>
    <mergeCell ref="ISF26:ISH26"/>
    <mergeCell ref="IRE26:IRG26"/>
    <mergeCell ref="IRH26:IRJ26"/>
    <mergeCell ref="IRK26:IRM26"/>
    <mergeCell ref="IRN26:IRP26"/>
    <mergeCell ref="IRQ26:IRS26"/>
    <mergeCell ref="IQP26:IQR26"/>
    <mergeCell ref="IQS26:IQU26"/>
    <mergeCell ref="IQV26:IQX26"/>
    <mergeCell ref="IQY26:IRA26"/>
    <mergeCell ref="IRB26:IRD26"/>
    <mergeCell ref="IQA26:IQC26"/>
    <mergeCell ref="IQD26:IQF26"/>
    <mergeCell ref="IQG26:IQI26"/>
    <mergeCell ref="IQJ26:IQL26"/>
    <mergeCell ref="IQM26:IQO26"/>
    <mergeCell ref="IXN26:IXP26"/>
    <mergeCell ref="IXQ26:IXS26"/>
    <mergeCell ref="IXT26:IXV26"/>
    <mergeCell ref="IXW26:IXY26"/>
    <mergeCell ref="IXZ26:IYB26"/>
    <mergeCell ref="IWY26:IXA26"/>
    <mergeCell ref="IXB26:IXD26"/>
    <mergeCell ref="IXE26:IXG26"/>
    <mergeCell ref="IXH26:IXJ26"/>
    <mergeCell ref="IXK26:IXM26"/>
    <mergeCell ref="IWJ26:IWL26"/>
    <mergeCell ref="IWM26:IWO26"/>
    <mergeCell ref="IWP26:IWR26"/>
    <mergeCell ref="IWS26:IWU26"/>
    <mergeCell ref="IWV26:IWX26"/>
    <mergeCell ref="IVU26:IVW26"/>
    <mergeCell ref="IVX26:IVZ26"/>
    <mergeCell ref="IWA26:IWC26"/>
    <mergeCell ref="IWD26:IWF26"/>
    <mergeCell ref="IWG26:IWI26"/>
    <mergeCell ref="IVF26:IVH26"/>
    <mergeCell ref="IVI26:IVK26"/>
    <mergeCell ref="IVL26:IVN26"/>
    <mergeCell ref="IVO26:IVQ26"/>
    <mergeCell ref="IVR26:IVT26"/>
    <mergeCell ref="IUQ26:IUS26"/>
    <mergeCell ref="IUT26:IUV26"/>
    <mergeCell ref="IUW26:IUY26"/>
    <mergeCell ref="IUZ26:IVB26"/>
    <mergeCell ref="IVC26:IVE26"/>
    <mergeCell ref="IUB26:IUD26"/>
    <mergeCell ref="IUE26:IUG26"/>
    <mergeCell ref="IUH26:IUJ26"/>
    <mergeCell ref="IUK26:IUM26"/>
    <mergeCell ref="IUN26:IUP26"/>
    <mergeCell ref="JBO26:JBQ26"/>
    <mergeCell ref="JBR26:JBT26"/>
    <mergeCell ref="JBU26:JBW26"/>
    <mergeCell ref="JBX26:JBZ26"/>
    <mergeCell ref="JCA26:JCC26"/>
    <mergeCell ref="JAZ26:JBB26"/>
    <mergeCell ref="JBC26:JBE26"/>
    <mergeCell ref="JBF26:JBH26"/>
    <mergeCell ref="JBI26:JBK26"/>
    <mergeCell ref="JBL26:JBN26"/>
    <mergeCell ref="JAK26:JAM26"/>
    <mergeCell ref="JAN26:JAP26"/>
    <mergeCell ref="JAQ26:JAS26"/>
    <mergeCell ref="JAT26:JAV26"/>
    <mergeCell ref="JAW26:JAY26"/>
    <mergeCell ref="IZV26:IZX26"/>
    <mergeCell ref="IZY26:JAA26"/>
    <mergeCell ref="JAB26:JAD26"/>
    <mergeCell ref="JAE26:JAG26"/>
    <mergeCell ref="JAH26:JAJ26"/>
    <mergeCell ref="IZG26:IZI26"/>
    <mergeCell ref="IZJ26:IZL26"/>
    <mergeCell ref="IZM26:IZO26"/>
    <mergeCell ref="IZP26:IZR26"/>
    <mergeCell ref="IZS26:IZU26"/>
    <mergeCell ref="IYR26:IYT26"/>
    <mergeCell ref="IYU26:IYW26"/>
    <mergeCell ref="IYX26:IYZ26"/>
    <mergeCell ref="IZA26:IZC26"/>
    <mergeCell ref="IZD26:IZF26"/>
    <mergeCell ref="IYC26:IYE26"/>
    <mergeCell ref="IYF26:IYH26"/>
    <mergeCell ref="IYI26:IYK26"/>
    <mergeCell ref="IYL26:IYN26"/>
    <mergeCell ref="IYO26:IYQ26"/>
    <mergeCell ref="JFP26:JFR26"/>
    <mergeCell ref="JFS26:JFU26"/>
    <mergeCell ref="JFV26:JFX26"/>
    <mergeCell ref="JFY26:JGA26"/>
    <mergeCell ref="JGB26:JGD26"/>
    <mergeCell ref="JFA26:JFC26"/>
    <mergeCell ref="JFD26:JFF26"/>
    <mergeCell ref="JFG26:JFI26"/>
    <mergeCell ref="JFJ26:JFL26"/>
    <mergeCell ref="JFM26:JFO26"/>
    <mergeCell ref="JEL26:JEN26"/>
    <mergeCell ref="JEO26:JEQ26"/>
    <mergeCell ref="JER26:JET26"/>
    <mergeCell ref="JEU26:JEW26"/>
    <mergeCell ref="JEX26:JEZ26"/>
    <mergeCell ref="JDW26:JDY26"/>
    <mergeCell ref="JDZ26:JEB26"/>
    <mergeCell ref="JEC26:JEE26"/>
    <mergeCell ref="JEF26:JEH26"/>
    <mergeCell ref="JEI26:JEK26"/>
    <mergeCell ref="JDH26:JDJ26"/>
    <mergeCell ref="JDK26:JDM26"/>
    <mergeCell ref="JDN26:JDP26"/>
    <mergeCell ref="JDQ26:JDS26"/>
    <mergeCell ref="JDT26:JDV26"/>
    <mergeCell ref="JCS26:JCU26"/>
    <mergeCell ref="JCV26:JCX26"/>
    <mergeCell ref="JCY26:JDA26"/>
    <mergeCell ref="JDB26:JDD26"/>
    <mergeCell ref="JDE26:JDG26"/>
    <mergeCell ref="JCD26:JCF26"/>
    <mergeCell ref="JCG26:JCI26"/>
    <mergeCell ref="JCJ26:JCL26"/>
    <mergeCell ref="JCM26:JCO26"/>
    <mergeCell ref="JCP26:JCR26"/>
    <mergeCell ref="JJQ26:JJS26"/>
    <mergeCell ref="JJT26:JJV26"/>
    <mergeCell ref="JJW26:JJY26"/>
    <mergeCell ref="JJZ26:JKB26"/>
    <mergeCell ref="JKC26:JKE26"/>
    <mergeCell ref="JJB26:JJD26"/>
    <mergeCell ref="JJE26:JJG26"/>
    <mergeCell ref="JJH26:JJJ26"/>
    <mergeCell ref="JJK26:JJM26"/>
    <mergeCell ref="JJN26:JJP26"/>
    <mergeCell ref="JIM26:JIO26"/>
    <mergeCell ref="JIP26:JIR26"/>
    <mergeCell ref="JIS26:JIU26"/>
    <mergeCell ref="JIV26:JIX26"/>
    <mergeCell ref="JIY26:JJA26"/>
    <mergeCell ref="JHX26:JHZ26"/>
    <mergeCell ref="JIA26:JIC26"/>
    <mergeCell ref="JID26:JIF26"/>
    <mergeCell ref="JIG26:JII26"/>
    <mergeCell ref="JIJ26:JIL26"/>
    <mergeCell ref="JHI26:JHK26"/>
    <mergeCell ref="JHL26:JHN26"/>
    <mergeCell ref="JHO26:JHQ26"/>
    <mergeCell ref="JHR26:JHT26"/>
    <mergeCell ref="JHU26:JHW26"/>
    <mergeCell ref="JGT26:JGV26"/>
    <mergeCell ref="JGW26:JGY26"/>
    <mergeCell ref="JGZ26:JHB26"/>
    <mergeCell ref="JHC26:JHE26"/>
    <mergeCell ref="JHF26:JHH26"/>
    <mergeCell ref="JGE26:JGG26"/>
    <mergeCell ref="JGH26:JGJ26"/>
    <mergeCell ref="JGK26:JGM26"/>
    <mergeCell ref="JGN26:JGP26"/>
    <mergeCell ref="JGQ26:JGS26"/>
    <mergeCell ref="JNR26:JNT26"/>
    <mergeCell ref="JNU26:JNW26"/>
    <mergeCell ref="JNX26:JNZ26"/>
    <mergeCell ref="JOA26:JOC26"/>
    <mergeCell ref="JOD26:JOF26"/>
    <mergeCell ref="JNC26:JNE26"/>
    <mergeCell ref="JNF26:JNH26"/>
    <mergeCell ref="JNI26:JNK26"/>
    <mergeCell ref="JNL26:JNN26"/>
    <mergeCell ref="JNO26:JNQ26"/>
    <mergeCell ref="JMN26:JMP26"/>
    <mergeCell ref="JMQ26:JMS26"/>
    <mergeCell ref="JMT26:JMV26"/>
    <mergeCell ref="JMW26:JMY26"/>
    <mergeCell ref="JMZ26:JNB26"/>
    <mergeCell ref="JLY26:JMA26"/>
    <mergeCell ref="JMB26:JMD26"/>
    <mergeCell ref="JME26:JMG26"/>
    <mergeCell ref="JMH26:JMJ26"/>
    <mergeCell ref="JMK26:JMM26"/>
    <mergeCell ref="JLJ26:JLL26"/>
    <mergeCell ref="JLM26:JLO26"/>
    <mergeCell ref="JLP26:JLR26"/>
    <mergeCell ref="JLS26:JLU26"/>
    <mergeCell ref="JLV26:JLX26"/>
    <mergeCell ref="JKU26:JKW26"/>
    <mergeCell ref="JKX26:JKZ26"/>
    <mergeCell ref="JLA26:JLC26"/>
    <mergeCell ref="JLD26:JLF26"/>
    <mergeCell ref="JLG26:JLI26"/>
    <mergeCell ref="JKF26:JKH26"/>
    <mergeCell ref="JKI26:JKK26"/>
    <mergeCell ref="JKL26:JKN26"/>
    <mergeCell ref="JKO26:JKQ26"/>
    <mergeCell ref="JKR26:JKT26"/>
    <mergeCell ref="JRS26:JRU26"/>
    <mergeCell ref="JRV26:JRX26"/>
    <mergeCell ref="JRY26:JSA26"/>
    <mergeCell ref="JSB26:JSD26"/>
    <mergeCell ref="JSE26:JSG26"/>
    <mergeCell ref="JRD26:JRF26"/>
    <mergeCell ref="JRG26:JRI26"/>
    <mergeCell ref="JRJ26:JRL26"/>
    <mergeCell ref="JRM26:JRO26"/>
    <mergeCell ref="JRP26:JRR26"/>
    <mergeCell ref="JQO26:JQQ26"/>
    <mergeCell ref="JQR26:JQT26"/>
    <mergeCell ref="JQU26:JQW26"/>
    <mergeCell ref="JQX26:JQZ26"/>
    <mergeCell ref="JRA26:JRC26"/>
    <mergeCell ref="JPZ26:JQB26"/>
    <mergeCell ref="JQC26:JQE26"/>
    <mergeCell ref="JQF26:JQH26"/>
    <mergeCell ref="JQI26:JQK26"/>
    <mergeCell ref="JQL26:JQN26"/>
    <mergeCell ref="JPK26:JPM26"/>
    <mergeCell ref="JPN26:JPP26"/>
    <mergeCell ref="JPQ26:JPS26"/>
    <mergeCell ref="JPT26:JPV26"/>
    <mergeCell ref="JPW26:JPY26"/>
    <mergeCell ref="JOV26:JOX26"/>
    <mergeCell ref="JOY26:JPA26"/>
    <mergeCell ref="JPB26:JPD26"/>
    <mergeCell ref="JPE26:JPG26"/>
    <mergeCell ref="JPH26:JPJ26"/>
    <mergeCell ref="JOG26:JOI26"/>
    <mergeCell ref="JOJ26:JOL26"/>
    <mergeCell ref="JOM26:JOO26"/>
    <mergeCell ref="JOP26:JOR26"/>
    <mergeCell ref="JOS26:JOU26"/>
    <mergeCell ref="JVT26:JVV26"/>
    <mergeCell ref="JVW26:JVY26"/>
    <mergeCell ref="JVZ26:JWB26"/>
    <mergeCell ref="JWC26:JWE26"/>
    <mergeCell ref="JWF26:JWH26"/>
    <mergeCell ref="JVE26:JVG26"/>
    <mergeCell ref="JVH26:JVJ26"/>
    <mergeCell ref="JVK26:JVM26"/>
    <mergeCell ref="JVN26:JVP26"/>
    <mergeCell ref="JVQ26:JVS26"/>
    <mergeCell ref="JUP26:JUR26"/>
    <mergeCell ref="JUS26:JUU26"/>
    <mergeCell ref="JUV26:JUX26"/>
    <mergeCell ref="JUY26:JVA26"/>
    <mergeCell ref="JVB26:JVD26"/>
    <mergeCell ref="JUA26:JUC26"/>
    <mergeCell ref="JUD26:JUF26"/>
    <mergeCell ref="JUG26:JUI26"/>
    <mergeCell ref="JUJ26:JUL26"/>
    <mergeCell ref="JUM26:JUO26"/>
    <mergeCell ref="JTL26:JTN26"/>
    <mergeCell ref="JTO26:JTQ26"/>
    <mergeCell ref="JTR26:JTT26"/>
    <mergeCell ref="JTU26:JTW26"/>
    <mergeCell ref="JTX26:JTZ26"/>
    <mergeCell ref="JSW26:JSY26"/>
    <mergeCell ref="JSZ26:JTB26"/>
    <mergeCell ref="JTC26:JTE26"/>
    <mergeCell ref="JTF26:JTH26"/>
    <mergeCell ref="JTI26:JTK26"/>
    <mergeCell ref="JSH26:JSJ26"/>
    <mergeCell ref="JSK26:JSM26"/>
    <mergeCell ref="JSN26:JSP26"/>
    <mergeCell ref="JSQ26:JSS26"/>
    <mergeCell ref="JST26:JSV26"/>
    <mergeCell ref="JZU26:JZW26"/>
    <mergeCell ref="JZX26:JZZ26"/>
    <mergeCell ref="KAA26:KAC26"/>
    <mergeCell ref="KAD26:KAF26"/>
    <mergeCell ref="KAG26:KAI26"/>
    <mergeCell ref="JZF26:JZH26"/>
    <mergeCell ref="JZI26:JZK26"/>
    <mergeCell ref="JZL26:JZN26"/>
    <mergeCell ref="JZO26:JZQ26"/>
    <mergeCell ref="JZR26:JZT26"/>
    <mergeCell ref="JYQ26:JYS26"/>
    <mergeCell ref="JYT26:JYV26"/>
    <mergeCell ref="JYW26:JYY26"/>
    <mergeCell ref="JYZ26:JZB26"/>
    <mergeCell ref="JZC26:JZE26"/>
    <mergeCell ref="JYB26:JYD26"/>
    <mergeCell ref="JYE26:JYG26"/>
    <mergeCell ref="JYH26:JYJ26"/>
    <mergeCell ref="JYK26:JYM26"/>
    <mergeCell ref="JYN26:JYP26"/>
    <mergeCell ref="JXM26:JXO26"/>
    <mergeCell ref="JXP26:JXR26"/>
    <mergeCell ref="JXS26:JXU26"/>
    <mergeCell ref="JXV26:JXX26"/>
    <mergeCell ref="JXY26:JYA26"/>
    <mergeCell ref="JWX26:JWZ26"/>
    <mergeCell ref="JXA26:JXC26"/>
    <mergeCell ref="JXD26:JXF26"/>
    <mergeCell ref="JXG26:JXI26"/>
    <mergeCell ref="JXJ26:JXL26"/>
    <mergeCell ref="JWI26:JWK26"/>
    <mergeCell ref="JWL26:JWN26"/>
    <mergeCell ref="JWO26:JWQ26"/>
    <mergeCell ref="JWR26:JWT26"/>
    <mergeCell ref="JWU26:JWW26"/>
    <mergeCell ref="KDV26:KDX26"/>
    <mergeCell ref="KDY26:KEA26"/>
    <mergeCell ref="KEB26:KED26"/>
    <mergeCell ref="KEE26:KEG26"/>
    <mergeCell ref="KEH26:KEJ26"/>
    <mergeCell ref="KDG26:KDI26"/>
    <mergeCell ref="KDJ26:KDL26"/>
    <mergeCell ref="KDM26:KDO26"/>
    <mergeCell ref="KDP26:KDR26"/>
    <mergeCell ref="KDS26:KDU26"/>
    <mergeCell ref="KCR26:KCT26"/>
    <mergeCell ref="KCU26:KCW26"/>
    <mergeCell ref="KCX26:KCZ26"/>
    <mergeCell ref="KDA26:KDC26"/>
    <mergeCell ref="KDD26:KDF26"/>
    <mergeCell ref="KCC26:KCE26"/>
    <mergeCell ref="KCF26:KCH26"/>
    <mergeCell ref="KCI26:KCK26"/>
    <mergeCell ref="KCL26:KCN26"/>
    <mergeCell ref="KCO26:KCQ26"/>
    <mergeCell ref="KBN26:KBP26"/>
    <mergeCell ref="KBQ26:KBS26"/>
    <mergeCell ref="KBT26:KBV26"/>
    <mergeCell ref="KBW26:KBY26"/>
    <mergeCell ref="KBZ26:KCB26"/>
    <mergeCell ref="KAY26:KBA26"/>
    <mergeCell ref="KBB26:KBD26"/>
    <mergeCell ref="KBE26:KBG26"/>
    <mergeCell ref="KBH26:KBJ26"/>
    <mergeCell ref="KBK26:KBM26"/>
    <mergeCell ref="KAJ26:KAL26"/>
    <mergeCell ref="KAM26:KAO26"/>
    <mergeCell ref="KAP26:KAR26"/>
    <mergeCell ref="KAS26:KAU26"/>
    <mergeCell ref="KAV26:KAX26"/>
    <mergeCell ref="KHW26:KHY26"/>
    <mergeCell ref="KHZ26:KIB26"/>
    <mergeCell ref="KIC26:KIE26"/>
    <mergeCell ref="KIF26:KIH26"/>
    <mergeCell ref="KII26:KIK26"/>
    <mergeCell ref="KHH26:KHJ26"/>
    <mergeCell ref="KHK26:KHM26"/>
    <mergeCell ref="KHN26:KHP26"/>
    <mergeCell ref="KHQ26:KHS26"/>
    <mergeCell ref="KHT26:KHV26"/>
    <mergeCell ref="KGS26:KGU26"/>
    <mergeCell ref="KGV26:KGX26"/>
    <mergeCell ref="KGY26:KHA26"/>
    <mergeCell ref="KHB26:KHD26"/>
    <mergeCell ref="KHE26:KHG26"/>
    <mergeCell ref="KGD26:KGF26"/>
    <mergeCell ref="KGG26:KGI26"/>
    <mergeCell ref="KGJ26:KGL26"/>
    <mergeCell ref="KGM26:KGO26"/>
    <mergeCell ref="KGP26:KGR26"/>
    <mergeCell ref="KFO26:KFQ26"/>
    <mergeCell ref="KFR26:KFT26"/>
    <mergeCell ref="KFU26:KFW26"/>
    <mergeCell ref="KFX26:KFZ26"/>
    <mergeCell ref="KGA26:KGC26"/>
    <mergeCell ref="KEZ26:KFB26"/>
    <mergeCell ref="KFC26:KFE26"/>
    <mergeCell ref="KFF26:KFH26"/>
    <mergeCell ref="KFI26:KFK26"/>
    <mergeCell ref="KFL26:KFN26"/>
    <mergeCell ref="KEK26:KEM26"/>
    <mergeCell ref="KEN26:KEP26"/>
    <mergeCell ref="KEQ26:KES26"/>
    <mergeCell ref="KET26:KEV26"/>
    <mergeCell ref="KEW26:KEY26"/>
    <mergeCell ref="KLX26:KLZ26"/>
    <mergeCell ref="KMA26:KMC26"/>
    <mergeCell ref="KMD26:KMF26"/>
    <mergeCell ref="KMG26:KMI26"/>
    <mergeCell ref="KMJ26:KML26"/>
    <mergeCell ref="KLI26:KLK26"/>
    <mergeCell ref="KLL26:KLN26"/>
    <mergeCell ref="KLO26:KLQ26"/>
    <mergeCell ref="KLR26:KLT26"/>
    <mergeCell ref="KLU26:KLW26"/>
    <mergeCell ref="KKT26:KKV26"/>
    <mergeCell ref="KKW26:KKY26"/>
    <mergeCell ref="KKZ26:KLB26"/>
    <mergeCell ref="KLC26:KLE26"/>
    <mergeCell ref="KLF26:KLH26"/>
    <mergeCell ref="KKE26:KKG26"/>
    <mergeCell ref="KKH26:KKJ26"/>
    <mergeCell ref="KKK26:KKM26"/>
    <mergeCell ref="KKN26:KKP26"/>
    <mergeCell ref="KKQ26:KKS26"/>
    <mergeCell ref="KJP26:KJR26"/>
    <mergeCell ref="KJS26:KJU26"/>
    <mergeCell ref="KJV26:KJX26"/>
    <mergeCell ref="KJY26:KKA26"/>
    <mergeCell ref="KKB26:KKD26"/>
    <mergeCell ref="KJA26:KJC26"/>
    <mergeCell ref="KJD26:KJF26"/>
    <mergeCell ref="KJG26:KJI26"/>
    <mergeCell ref="KJJ26:KJL26"/>
    <mergeCell ref="KJM26:KJO26"/>
    <mergeCell ref="KIL26:KIN26"/>
    <mergeCell ref="KIO26:KIQ26"/>
    <mergeCell ref="KIR26:KIT26"/>
    <mergeCell ref="KIU26:KIW26"/>
    <mergeCell ref="KIX26:KIZ26"/>
    <mergeCell ref="KPY26:KQA26"/>
    <mergeCell ref="KQB26:KQD26"/>
    <mergeCell ref="KQE26:KQG26"/>
    <mergeCell ref="KQH26:KQJ26"/>
    <mergeCell ref="KQK26:KQM26"/>
    <mergeCell ref="KPJ26:KPL26"/>
    <mergeCell ref="KPM26:KPO26"/>
    <mergeCell ref="KPP26:KPR26"/>
    <mergeCell ref="KPS26:KPU26"/>
    <mergeCell ref="KPV26:KPX26"/>
    <mergeCell ref="KOU26:KOW26"/>
    <mergeCell ref="KOX26:KOZ26"/>
    <mergeCell ref="KPA26:KPC26"/>
    <mergeCell ref="KPD26:KPF26"/>
    <mergeCell ref="KPG26:KPI26"/>
    <mergeCell ref="KOF26:KOH26"/>
    <mergeCell ref="KOI26:KOK26"/>
    <mergeCell ref="KOL26:KON26"/>
    <mergeCell ref="KOO26:KOQ26"/>
    <mergeCell ref="KOR26:KOT26"/>
    <mergeCell ref="KNQ26:KNS26"/>
    <mergeCell ref="KNT26:KNV26"/>
    <mergeCell ref="KNW26:KNY26"/>
    <mergeCell ref="KNZ26:KOB26"/>
    <mergeCell ref="KOC26:KOE26"/>
    <mergeCell ref="KNB26:KND26"/>
    <mergeCell ref="KNE26:KNG26"/>
    <mergeCell ref="KNH26:KNJ26"/>
    <mergeCell ref="KNK26:KNM26"/>
    <mergeCell ref="KNN26:KNP26"/>
    <mergeCell ref="KMM26:KMO26"/>
    <mergeCell ref="KMP26:KMR26"/>
    <mergeCell ref="KMS26:KMU26"/>
    <mergeCell ref="KMV26:KMX26"/>
    <mergeCell ref="KMY26:KNA26"/>
    <mergeCell ref="KTZ26:KUB26"/>
    <mergeCell ref="KUC26:KUE26"/>
    <mergeCell ref="KUF26:KUH26"/>
    <mergeCell ref="KUI26:KUK26"/>
    <mergeCell ref="KUL26:KUN26"/>
    <mergeCell ref="KTK26:KTM26"/>
    <mergeCell ref="KTN26:KTP26"/>
    <mergeCell ref="KTQ26:KTS26"/>
    <mergeCell ref="KTT26:KTV26"/>
    <mergeCell ref="KTW26:KTY26"/>
    <mergeCell ref="KSV26:KSX26"/>
    <mergeCell ref="KSY26:KTA26"/>
    <mergeCell ref="KTB26:KTD26"/>
    <mergeCell ref="KTE26:KTG26"/>
    <mergeCell ref="KTH26:KTJ26"/>
    <mergeCell ref="KSG26:KSI26"/>
    <mergeCell ref="KSJ26:KSL26"/>
    <mergeCell ref="KSM26:KSO26"/>
    <mergeCell ref="KSP26:KSR26"/>
    <mergeCell ref="KSS26:KSU26"/>
    <mergeCell ref="KRR26:KRT26"/>
    <mergeCell ref="KRU26:KRW26"/>
    <mergeCell ref="KRX26:KRZ26"/>
    <mergeCell ref="KSA26:KSC26"/>
    <mergeCell ref="KSD26:KSF26"/>
    <mergeCell ref="KRC26:KRE26"/>
    <mergeCell ref="KRF26:KRH26"/>
    <mergeCell ref="KRI26:KRK26"/>
    <mergeCell ref="KRL26:KRN26"/>
    <mergeCell ref="KRO26:KRQ26"/>
    <mergeCell ref="KQN26:KQP26"/>
    <mergeCell ref="KQQ26:KQS26"/>
    <mergeCell ref="KQT26:KQV26"/>
    <mergeCell ref="KQW26:KQY26"/>
    <mergeCell ref="KQZ26:KRB26"/>
    <mergeCell ref="KYA26:KYC26"/>
    <mergeCell ref="KYD26:KYF26"/>
    <mergeCell ref="KYG26:KYI26"/>
    <mergeCell ref="KYJ26:KYL26"/>
    <mergeCell ref="KYM26:KYO26"/>
    <mergeCell ref="KXL26:KXN26"/>
    <mergeCell ref="KXO26:KXQ26"/>
    <mergeCell ref="KXR26:KXT26"/>
    <mergeCell ref="KXU26:KXW26"/>
    <mergeCell ref="KXX26:KXZ26"/>
    <mergeCell ref="KWW26:KWY26"/>
    <mergeCell ref="KWZ26:KXB26"/>
    <mergeCell ref="KXC26:KXE26"/>
    <mergeCell ref="KXF26:KXH26"/>
    <mergeCell ref="KXI26:KXK26"/>
    <mergeCell ref="KWH26:KWJ26"/>
    <mergeCell ref="KWK26:KWM26"/>
    <mergeCell ref="KWN26:KWP26"/>
    <mergeCell ref="KWQ26:KWS26"/>
    <mergeCell ref="KWT26:KWV26"/>
    <mergeCell ref="KVS26:KVU26"/>
    <mergeCell ref="KVV26:KVX26"/>
    <mergeCell ref="KVY26:KWA26"/>
    <mergeCell ref="KWB26:KWD26"/>
    <mergeCell ref="KWE26:KWG26"/>
    <mergeCell ref="KVD26:KVF26"/>
    <mergeCell ref="KVG26:KVI26"/>
    <mergeCell ref="KVJ26:KVL26"/>
    <mergeCell ref="KVM26:KVO26"/>
    <mergeCell ref="KVP26:KVR26"/>
    <mergeCell ref="KUO26:KUQ26"/>
    <mergeCell ref="KUR26:KUT26"/>
    <mergeCell ref="KUU26:KUW26"/>
    <mergeCell ref="KUX26:KUZ26"/>
    <mergeCell ref="KVA26:KVC26"/>
    <mergeCell ref="LCB26:LCD26"/>
    <mergeCell ref="LCE26:LCG26"/>
    <mergeCell ref="LCH26:LCJ26"/>
    <mergeCell ref="LCK26:LCM26"/>
    <mergeCell ref="LCN26:LCP26"/>
    <mergeCell ref="LBM26:LBO26"/>
    <mergeCell ref="LBP26:LBR26"/>
    <mergeCell ref="LBS26:LBU26"/>
    <mergeCell ref="LBV26:LBX26"/>
    <mergeCell ref="LBY26:LCA26"/>
    <mergeCell ref="LAX26:LAZ26"/>
    <mergeCell ref="LBA26:LBC26"/>
    <mergeCell ref="LBD26:LBF26"/>
    <mergeCell ref="LBG26:LBI26"/>
    <mergeCell ref="LBJ26:LBL26"/>
    <mergeCell ref="LAI26:LAK26"/>
    <mergeCell ref="LAL26:LAN26"/>
    <mergeCell ref="LAO26:LAQ26"/>
    <mergeCell ref="LAR26:LAT26"/>
    <mergeCell ref="LAU26:LAW26"/>
    <mergeCell ref="KZT26:KZV26"/>
    <mergeCell ref="KZW26:KZY26"/>
    <mergeCell ref="KZZ26:LAB26"/>
    <mergeCell ref="LAC26:LAE26"/>
    <mergeCell ref="LAF26:LAH26"/>
    <mergeCell ref="KZE26:KZG26"/>
    <mergeCell ref="KZH26:KZJ26"/>
    <mergeCell ref="KZK26:KZM26"/>
    <mergeCell ref="KZN26:KZP26"/>
    <mergeCell ref="KZQ26:KZS26"/>
    <mergeCell ref="KYP26:KYR26"/>
    <mergeCell ref="KYS26:KYU26"/>
    <mergeCell ref="KYV26:KYX26"/>
    <mergeCell ref="KYY26:KZA26"/>
    <mergeCell ref="KZB26:KZD26"/>
    <mergeCell ref="LGC26:LGE26"/>
    <mergeCell ref="LGF26:LGH26"/>
    <mergeCell ref="LGI26:LGK26"/>
    <mergeCell ref="LGL26:LGN26"/>
    <mergeCell ref="LGO26:LGQ26"/>
    <mergeCell ref="LFN26:LFP26"/>
    <mergeCell ref="LFQ26:LFS26"/>
    <mergeCell ref="LFT26:LFV26"/>
    <mergeCell ref="LFW26:LFY26"/>
    <mergeCell ref="LFZ26:LGB26"/>
    <mergeCell ref="LEY26:LFA26"/>
    <mergeCell ref="LFB26:LFD26"/>
    <mergeCell ref="LFE26:LFG26"/>
    <mergeCell ref="LFH26:LFJ26"/>
    <mergeCell ref="LFK26:LFM26"/>
    <mergeCell ref="LEJ26:LEL26"/>
    <mergeCell ref="LEM26:LEO26"/>
    <mergeCell ref="LEP26:LER26"/>
    <mergeCell ref="LES26:LEU26"/>
    <mergeCell ref="LEV26:LEX26"/>
    <mergeCell ref="LDU26:LDW26"/>
    <mergeCell ref="LDX26:LDZ26"/>
    <mergeCell ref="LEA26:LEC26"/>
    <mergeCell ref="LED26:LEF26"/>
    <mergeCell ref="LEG26:LEI26"/>
    <mergeCell ref="LDF26:LDH26"/>
    <mergeCell ref="LDI26:LDK26"/>
    <mergeCell ref="LDL26:LDN26"/>
    <mergeCell ref="LDO26:LDQ26"/>
    <mergeCell ref="LDR26:LDT26"/>
    <mergeCell ref="LCQ26:LCS26"/>
    <mergeCell ref="LCT26:LCV26"/>
    <mergeCell ref="LCW26:LCY26"/>
    <mergeCell ref="LCZ26:LDB26"/>
    <mergeCell ref="LDC26:LDE26"/>
    <mergeCell ref="LKD26:LKF26"/>
    <mergeCell ref="LKG26:LKI26"/>
    <mergeCell ref="LKJ26:LKL26"/>
    <mergeCell ref="LKM26:LKO26"/>
    <mergeCell ref="LKP26:LKR26"/>
    <mergeCell ref="LJO26:LJQ26"/>
    <mergeCell ref="LJR26:LJT26"/>
    <mergeCell ref="LJU26:LJW26"/>
    <mergeCell ref="LJX26:LJZ26"/>
    <mergeCell ref="LKA26:LKC26"/>
    <mergeCell ref="LIZ26:LJB26"/>
    <mergeCell ref="LJC26:LJE26"/>
    <mergeCell ref="LJF26:LJH26"/>
    <mergeCell ref="LJI26:LJK26"/>
    <mergeCell ref="LJL26:LJN26"/>
    <mergeCell ref="LIK26:LIM26"/>
    <mergeCell ref="LIN26:LIP26"/>
    <mergeCell ref="LIQ26:LIS26"/>
    <mergeCell ref="LIT26:LIV26"/>
    <mergeCell ref="LIW26:LIY26"/>
    <mergeCell ref="LHV26:LHX26"/>
    <mergeCell ref="LHY26:LIA26"/>
    <mergeCell ref="LIB26:LID26"/>
    <mergeCell ref="LIE26:LIG26"/>
    <mergeCell ref="LIH26:LIJ26"/>
    <mergeCell ref="LHG26:LHI26"/>
    <mergeCell ref="LHJ26:LHL26"/>
    <mergeCell ref="LHM26:LHO26"/>
    <mergeCell ref="LHP26:LHR26"/>
    <mergeCell ref="LHS26:LHU26"/>
    <mergeCell ref="LGR26:LGT26"/>
    <mergeCell ref="LGU26:LGW26"/>
    <mergeCell ref="LGX26:LGZ26"/>
    <mergeCell ref="LHA26:LHC26"/>
    <mergeCell ref="LHD26:LHF26"/>
    <mergeCell ref="LOE26:LOG26"/>
    <mergeCell ref="LOH26:LOJ26"/>
    <mergeCell ref="LOK26:LOM26"/>
    <mergeCell ref="LON26:LOP26"/>
    <mergeCell ref="LOQ26:LOS26"/>
    <mergeCell ref="LNP26:LNR26"/>
    <mergeCell ref="LNS26:LNU26"/>
    <mergeCell ref="LNV26:LNX26"/>
    <mergeCell ref="LNY26:LOA26"/>
    <mergeCell ref="LOB26:LOD26"/>
    <mergeCell ref="LNA26:LNC26"/>
    <mergeCell ref="LND26:LNF26"/>
    <mergeCell ref="LNG26:LNI26"/>
    <mergeCell ref="LNJ26:LNL26"/>
    <mergeCell ref="LNM26:LNO26"/>
    <mergeCell ref="LML26:LMN26"/>
    <mergeCell ref="LMO26:LMQ26"/>
    <mergeCell ref="LMR26:LMT26"/>
    <mergeCell ref="LMU26:LMW26"/>
    <mergeCell ref="LMX26:LMZ26"/>
    <mergeCell ref="LLW26:LLY26"/>
    <mergeCell ref="LLZ26:LMB26"/>
    <mergeCell ref="LMC26:LME26"/>
    <mergeCell ref="LMF26:LMH26"/>
    <mergeCell ref="LMI26:LMK26"/>
    <mergeCell ref="LLH26:LLJ26"/>
    <mergeCell ref="LLK26:LLM26"/>
    <mergeCell ref="LLN26:LLP26"/>
    <mergeCell ref="LLQ26:LLS26"/>
    <mergeCell ref="LLT26:LLV26"/>
    <mergeCell ref="LKS26:LKU26"/>
    <mergeCell ref="LKV26:LKX26"/>
    <mergeCell ref="LKY26:LLA26"/>
    <mergeCell ref="LLB26:LLD26"/>
    <mergeCell ref="LLE26:LLG26"/>
    <mergeCell ref="LSF26:LSH26"/>
    <mergeCell ref="LSI26:LSK26"/>
    <mergeCell ref="LSL26:LSN26"/>
    <mergeCell ref="LSO26:LSQ26"/>
    <mergeCell ref="LSR26:LST26"/>
    <mergeCell ref="LRQ26:LRS26"/>
    <mergeCell ref="LRT26:LRV26"/>
    <mergeCell ref="LRW26:LRY26"/>
    <mergeCell ref="LRZ26:LSB26"/>
    <mergeCell ref="LSC26:LSE26"/>
    <mergeCell ref="LRB26:LRD26"/>
    <mergeCell ref="LRE26:LRG26"/>
    <mergeCell ref="LRH26:LRJ26"/>
    <mergeCell ref="LRK26:LRM26"/>
    <mergeCell ref="LRN26:LRP26"/>
    <mergeCell ref="LQM26:LQO26"/>
    <mergeCell ref="LQP26:LQR26"/>
    <mergeCell ref="LQS26:LQU26"/>
    <mergeCell ref="LQV26:LQX26"/>
    <mergeCell ref="LQY26:LRA26"/>
    <mergeCell ref="LPX26:LPZ26"/>
    <mergeCell ref="LQA26:LQC26"/>
    <mergeCell ref="LQD26:LQF26"/>
    <mergeCell ref="LQG26:LQI26"/>
    <mergeCell ref="LQJ26:LQL26"/>
    <mergeCell ref="LPI26:LPK26"/>
    <mergeCell ref="LPL26:LPN26"/>
    <mergeCell ref="LPO26:LPQ26"/>
    <mergeCell ref="LPR26:LPT26"/>
    <mergeCell ref="LPU26:LPW26"/>
    <mergeCell ref="LOT26:LOV26"/>
    <mergeCell ref="LOW26:LOY26"/>
    <mergeCell ref="LOZ26:LPB26"/>
    <mergeCell ref="LPC26:LPE26"/>
    <mergeCell ref="LPF26:LPH26"/>
    <mergeCell ref="LWG26:LWI26"/>
    <mergeCell ref="LWJ26:LWL26"/>
    <mergeCell ref="LWM26:LWO26"/>
    <mergeCell ref="LWP26:LWR26"/>
    <mergeCell ref="LWS26:LWU26"/>
    <mergeCell ref="LVR26:LVT26"/>
    <mergeCell ref="LVU26:LVW26"/>
    <mergeCell ref="LVX26:LVZ26"/>
    <mergeCell ref="LWA26:LWC26"/>
    <mergeCell ref="LWD26:LWF26"/>
    <mergeCell ref="LVC26:LVE26"/>
    <mergeCell ref="LVF26:LVH26"/>
    <mergeCell ref="LVI26:LVK26"/>
    <mergeCell ref="LVL26:LVN26"/>
    <mergeCell ref="LVO26:LVQ26"/>
    <mergeCell ref="LUN26:LUP26"/>
    <mergeCell ref="LUQ26:LUS26"/>
    <mergeCell ref="LUT26:LUV26"/>
    <mergeCell ref="LUW26:LUY26"/>
    <mergeCell ref="LUZ26:LVB26"/>
    <mergeCell ref="LTY26:LUA26"/>
    <mergeCell ref="LUB26:LUD26"/>
    <mergeCell ref="LUE26:LUG26"/>
    <mergeCell ref="LUH26:LUJ26"/>
    <mergeCell ref="LUK26:LUM26"/>
    <mergeCell ref="LTJ26:LTL26"/>
    <mergeCell ref="LTM26:LTO26"/>
    <mergeCell ref="LTP26:LTR26"/>
    <mergeCell ref="LTS26:LTU26"/>
    <mergeCell ref="LTV26:LTX26"/>
    <mergeCell ref="LSU26:LSW26"/>
    <mergeCell ref="LSX26:LSZ26"/>
    <mergeCell ref="LTA26:LTC26"/>
    <mergeCell ref="LTD26:LTF26"/>
    <mergeCell ref="LTG26:LTI26"/>
    <mergeCell ref="MAH26:MAJ26"/>
    <mergeCell ref="MAK26:MAM26"/>
    <mergeCell ref="MAN26:MAP26"/>
    <mergeCell ref="MAQ26:MAS26"/>
    <mergeCell ref="MAT26:MAV26"/>
    <mergeCell ref="LZS26:LZU26"/>
    <mergeCell ref="LZV26:LZX26"/>
    <mergeCell ref="LZY26:MAA26"/>
    <mergeCell ref="MAB26:MAD26"/>
    <mergeCell ref="MAE26:MAG26"/>
    <mergeCell ref="LZD26:LZF26"/>
    <mergeCell ref="LZG26:LZI26"/>
    <mergeCell ref="LZJ26:LZL26"/>
    <mergeCell ref="LZM26:LZO26"/>
    <mergeCell ref="LZP26:LZR26"/>
    <mergeCell ref="LYO26:LYQ26"/>
    <mergeCell ref="LYR26:LYT26"/>
    <mergeCell ref="LYU26:LYW26"/>
    <mergeCell ref="LYX26:LYZ26"/>
    <mergeCell ref="LZA26:LZC26"/>
    <mergeCell ref="LXZ26:LYB26"/>
    <mergeCell ref="LYC26:LYE26"/>
    <mergeCell ref="LYF26:LYH26"/>
    <mergeCell ref="LYI26:LYK26"/>
    <mergeCell ref="LYL26:LYN26"/>
    <mergeCell ref="LXK26:LXM26"/>
    <mergeCell ref="LXN26:LXP26"/>
    <mergeCell ref="LXQ26:LXS26"/>
    <mergeCell ref="LXT26:LXV26"/>
    <mergeCell ref="LXW26:LXY26"/>
    <mergeCell ref="LWV26:LWX26"/>
    <mergeCell ref="LWY26:LXA26"/>
    <mergeCell ref="LXB26:LXD26"/>
    <mergeCell ref="LXE26:LXG26"/>
    <mergeCell ref="LXH26:LXJ26"/>
    <mergeCell ref="MEI26:MEK26"/>
    <mergeCell ref="MEL26:MEN26"/>
    <mergeCell ref="MEO26:MEQ26"/>
    <mergeCell ref="MER26:MET26"/>
    <mergeCell ref="MEU26:MEW26"/>
    <mergeCell ref="MDT26:MDV26"/>
    <mergeCell ref="MDW26:MDY26"/>
    <mergeCell ref="MDZ26:MEB26"/>
    <mergeCell ref="MEC26:MEE26"/>
    <mergeCell ref="MEF26:MEH26"/>
    <mergeCell ref="MDE26:MDG26"/>
    <mergeCell ref="MDH26:MDJ26"/>
    <mergeCell ref="MDK26:MDM26"/>
    <mergeCell ref="MDN26:MDP26"/>
    <mergeCell ref="MDQ26:MDS26"/>
    <mergeCell ref="MCP26:MCR26"/>
    <mergeCell ref="MCS26:MCU26"/>
    <mergeCell ref="MCV26:MCX26"/>
    <mergeCell ref="MCY26:MDA26"/>
    <mergeCell ref="MDB26:MDD26"/>
    <mergeCell ref="MCA26:MCC26"/>
    <mergeCell ref="MCD26:MCF26"/>
    <mergeCell ref="MCG26:MCI26"/>
    <mergeCell ref="MCJ26:MCL26"/>
    <mergeCell ref="MCM26:MCO26"/>
    <mergeCell ref="MBL26:MBN26"/>
    <mergeCell ref="MBO26:MBQ26"/>
    <mergeCell ref="MBR26:MBT26"/>
    <mergeCell ref="MBU26:MBW26"/>
    <mergeCell ref="MBX26:MBZ26"/>
    <mergeCell ref="MAW26:MAY26"/>
    <mergeCell ref="MAZ26:MBB26"/>
    <mergeCell ref="MBC26:MBE26"/>
    <mergeCell ref="MBF26:MBH26"/>
    <mergeCell ref="MBI26:MBK26"/>
    <mergeCell ref="MIJ26:MIL26"/>
    <mergeCell ref="MIM26:MIO26"/>
    <mergeCell ref="MIP26:MIR26"/>
    <mergeCell ref="MIS26:MIU26"/>
    <mergeCell ref="MIV26:MIX26"/>
    <mergeCell ref="MHU26:MHW26"/>
    <mergeCell ref="MHX26:MHZ26"/>
    <mergeCell ref="MIA26:MIC26"/>
    <mergeCell ref="MID26:MIF26"/>
    <mergeCell ref="MIG26:MII26"/>
    <mergeCell ref="MHF26:MHH26"/>
    <mergeCell ref="MHI26:MHK26"/>
    <mergeCell ref="MHL26:MHN26"/>
    <mergeCell ref="MHO26:MHQ26"/>
    <mergeCell ref="MHR26:MHT26"/>
    <mergeCell ref="MGQ26:MGS26"/>
    <mergeCell ref="MGT26:MGV26"/>
    <mergeCell ref="MGW26:MGY26"/>
    <mergeCell ref="MGZ26:MHB26"/>
    <mergeCell ref="MHC26:MHE26"/>
    <mergeCell ref="MGB26:MGD26"/>
    <mergeCell ref="MGE26:MGG26"/>
    <mergeCell ref="MGH26:MGJ26"/>
    <mergeCell ref="MGK26:MGM26"/>
    <mergeCell ref="MGN26:MGP26"/>
    <mergeCell ref="MFM26:MFO26"/>
    <mergeCell ref="MFP26:MFR26"/>
    <mergeCell ref="MFS26:MFU26"/>
    <mergeCell ref="MFV26:MFX26"/>
    <mergeCell ref="MFY26:MGA26"/>
    <mergeCell ref="MEX26:MEZ26"/>
    <mergeCell ref="MFA26:MFC26"/>
    <mergeCell ref="MFD26:MFF26"/>
    <mergeCell ref="MFG26:MFI26"/>
    <mergeCell ref="MFJ26:MFL26"/>
    <mergeCell ref="MMK26:MMM26"/>
    <mergeCell ref="MMN26:MMP26"/>
    <mergeCell ref="MMQ26:MMS26"/>
    <mergeCell ref="MMT26:MMV26"/>
    <mergeCell ref="MMW26:MMY26"/>
    <mergeCell ref="MLV26:MLX26"/>
    <mergeCell ref="MLY26:MMA26"/>
    <mergeCell ref="MMB26:MMD26"/>
    <mergeCell ref="MME26:MMG26"/>
    <mergeCell ref="MMH26:MMJ26"/>
    <mergeCell ref="MLG26:MLI26"/>
    <mergeCell ref="MLJ26:MLL26"/>
    <mergeCell ref="MLM26:MLO26"/>
    <mergeCell ref="MLP26:MLR26"/>
    <mergeCell ref="MLS26:MLU26"/>
    <mergeCell ref="MKR26:MKT26"/>
    <mergeCell ref="MKU26:MKW26"/>
    <mergeCell ref="MKX26:MKZ26"/>
    <mergeCell ref="MLA26:MLC26"/>
    <mergeCell ref="MLD26:MLF26"/>
    <mergeCell ref="MKC26:MKE26"/>
    <mergeCell ref="MKF26:MKH26"/>
    <mergeCell ref="MKI26:MKK26"/>
    <mergeCell ref="MKL26:MKN26"/>
    <mergeCell ref="MKO26:MKQ26"/>
    <mergeCell ref="MJN26:MJP26"/>
    <mergeCell ref="MJQ26:MJS26"/>
    <mergeCell ref="MJT26:MJV26"/>
    <mergeCell ref="MJW26:MJY26"/>
    <mergeCell ref="MJZ26:MKB26"/>
    <mergeCell ref="MIY26:MJA26"/>
    <mergeCell ref="MJB26:MJD26"/>
    <mergeCell ref="MJE26:MJG26"/>
    <mergeCell ref="MJH26:MJJ26"/>
    <mergeCell ref="MJK26:MJM26"/>
    <mergeCell ref="MQL26:MQN26"/>
    <mergeCell ref="MQO26:MQQ26"/>
    <mergeCell ref="MQR26:MQT26"/>
    <mergeCell ref="MQU26:MQW26"/>
    <mergeCell ref="MQX26:MQZ26"/>
    <mergeCell ref="MPW26:MPY26"/>
    <mergeCell ref="MPZ26:MQB26"/>
    <mergeCell ref="MQC26:MQE26"/>
    <mergeCell ref="MQF26:MQH26"/>
    <mergeCell ref="MQI26:MQK26"/>
    <mergeCell ref="MPH26:MPJ26"/>
    <mergeCell ref="MPK26:MPM26"/>
    <mergeCell ref="MPN26:MPP26"/>
    <mergeCell ref="MPQ26:MPS26"/>
    <mergeCell ref="MPT26:MPV26"/>
    <mergeCell ref="MOS26:MOU26"/>
    <mergeCell ref="MOV26:MOX26"/>
    <mergeCell ref="MOY26:MPA26"/>
    <mergeCell ref="MPB26:MPD26"/>
    <mergeCell ref="MPE26:MPG26"/>
    <mergeCell ref="MOD26:MOF26"/>
    <mergeCell ref="MOG26:MOI26"/>
    <mergeCell ref="MOJ26:MOL26"/>
    <mergeCell ref="MOM26:MOO26"/>
    <mergeCell ref="MOP26:MOR26"/>
    <mergeCell ref="MNO26:MNQ26"/>
    <mergeCell ref="MNR26:MNT26"/>
    <mergeCell ref="MNU26:MNW26"/>
    <mergeCell ref="MNX26:MNZ26"/>
    <mergeCell ref="MOA26:MOC26"/>
    <mergeCell ref="MMZ26:MNB26"/>
    <mergeCell ref="MNC26:MNE26"/>
    <mergeCell ref="MNF26:MNH26"/>
    <mergeCell ref="MNI26:MNK26"/>
    <mergeCell ref="MNL26:MNN26"/>
    <mergeCell ref="MUM26:MUO26"/>
    <mergeCell ref="MUP26:MUR26"/>
    <mergeCell ref="MUS26:MUU26"/>
    <mergeCell ref="MUV26:MUX26"/>
    <mergeCell ref="MUY26:MVA26"/>
    <mergeCell ref="MTX26:MTZ26"/>
    <mergeCell ref="MUA26:MUC26"/>
    <mergeCell ref="MUD26:MUF26"/>
    <mergeCell ref="MUG26:MUI26"/>
    <mergeCell ref="MUJ26:MUL26"/>
    <mergeCell ref="MTI26:MTK26"/>
    <mergeCell ref="MTL26:MTN26"/>
    <mergeCell ref="MTO26:MTQ26"/>
    <mergeCell ref="MTR26:MTT26"/>
    <mergeCell ref="MTU26:MTW26"/>
    <mergeCell ref="MST26:MSV26"/>
    <mergeCell ref="MSW26:MSY26"/>
    <mergeCell ref="MSZ26:MTB26"/>
    <mergeCell ref="MTC26:MTE26"/>
    <mergeCell ref="MTF26:MTH26"/>
    <mergeCell ref="MSE26:MSG26"/>
    <mergeCell ref="MSH26:MSJ26"/>
    <mergeCell ref="MSK26:MSM26"/>
    <mergeCell ref="MSN26:MSP26"/>
    <mergeCell ref="MSQ26:MSS26"/>
    <mergeCell ref="MRP26:MRR26"/>
    <mergeCell ref="MRS26:MRU26"/>
    <mergeCell ref="MRV26:MRX26"/>
    <mergeCell ref="MRY26:MSA26"/>
    <mergeCell ref="MSB26:MSD26"/>
    <mergeCell ref="MRA26:MRC26"/>
    <mergeCell ref="MRD26:MRF26"/>
    <mergeCell ref="MRG26:MRI26"/>
    <mergeCell ref="MRJ26:MRL26"/>
    <mergeCell ref="MRM26:MRO26"/>
    <mergeCell ref="MYN26:MYP26"/>
    <mergeCell ref="MYQ26:MYS26"/>
    <mergeCell ref="MYT26:MYV26"/>
    <mergeCell ref="MYW26:MYY26"/>
    <mergeCell ref="MYZ26:MZB26"/>
    <mergeCell ref="MXY26:MYA26"/>
    <mergeCell ref="MYB26:MYD26"/>
    <mergeCell ref="MYE26:MYG26"/>
    <mergeCell ref="MYH26:MYJ26"/>
    <mergeCell ref="MYK26:MYM26"/>
    <mergeCell ref="MXJ26:MXL26"/>
    <mergeCell ref="MXM26:MXO26"/>
    <mergeCell ref="MXP26:MXR26"/>
    <mergeCell ref="MXS26:MXU26"/>
    <mergeCell ref="MXV26:MXX26"/>
    <mergeCell ref="MWU26:MWW26"/>
    <mergeCell ref="MWX26:MWZ26"/>
    <mergeCell ref="MXA26:MXC26"/>
    <mergeCell ref="MXD26:MXF26"/>
    <mergeCell ref="MXG26:MXI26"/>
    <mergeCell ref="MWF26:MWH26"/>
    <mergeCell ref="MWI26:MWK26"/>
    <mergeCell ref="MWL26:MWN26"/>
    <mergeCell ref="MWO26:MWQ26"/>
    <mergeCell ref="MWR26:MWT26"/>
    <mergeCell ref="MVQ26:MVS26"/>
    <mergeCell ref="MVT26:MVV26"/>
    <mergeCell ref="MVW26:MVY26"/>
    <mergeCell ref="MVZ26:MWB26"/>
    <mergeCell ref="MWC26:MWE26"/>
    <mergeCell ref="MVB26:MVD26"/>
    <mergeCell ref="MVE26:MVG26"/>
    <mergeCell ref="MVH26:MVJ26"/>
    <mergeCell ref="MVK26:MVM26"/>
    <mergeCell ref="MVN26:MVP26"/>
    <mergeCell ref="NCO26:NCQ26"/>
    <mergeCell ref="NCR26:NCT26"/>
    <mergeCell ref="NCU26:NCW26"/>
    <mergeCell ref="NCX26:NCZ26"/>
    <mergeCell ref="NDA26:NDC26"/>
    <mergeCell ref="NBZ26:NCB26"/>
    <mergeCell ref="NCC26:NCE26"/>
    <mergeCell ref="NCF26:NCH26"/>
    <mergeCell ref="NCI26:NCK26"/>
    <mergeCell ref="NCL26:NCN26"/>
    <mergeCell ref="NBK26:NBM26"/>
    <mergeCell ref="NBN26:NBP26"/>
    <mergeCell ref="NBQ26:NBS26"/>
    <mergeCell ref="NBT26:NBV26"/>
    <mergeCell ref="NBW26:NBY26"/>
    <mergeCell ref="NAV26:NAX26"/>
    <mergeCell ref="NAY26:NBA26"/>
    <mergeCell ref="NBB26:NBD26"/>
    <mergeCell ref="NBE26:NBG26"/>
    <mergeCell ref="NBH26:NBJ26"/>
    <mergeCell ref="NAG26:NAI26"/>
    <mergeCell ref="NAJ26:NAL26"/>
    <mergeCell ref="NAM26:NAO26"/>
    <mergeCell ref="NAP26:NAR26"/>
    <mergeCell ref="NAS26:NAU26"/>
    <mergeCell ref="MZR26:MZT26"/>
    <mergeCell ref="MZU26:MZW26"/>
    <mergeCell ref="MZX26:MZZ26"/>
    <mergeCell ref="NAA26:NAC26"/>
    <mergeCell ref="NAD26:NAF26"/>
    <mergeCell ref="MZC26:MZE26"/>
    <mergeCell ref="MZF26:MZH26"/>
    <mergeCell ref="MZI26:MZK26"/>
    <mergeCell ref="MZL26:MZN26"/>
    <mergeCell ref="MZO26:MZQ26"/>
    <mergeCell ref="NGP26:NGR26"/>
    <mergeCell ref="NGS26:NGU26"/>
    <mergeCell ref="NGV26:NGX26"/>
    <mergeCell ref="NGY26:NHA26"/>
    <mergeCell ref="NHB26:NHD26"/>
    <mergeCell ref="NGA26:NGC26"/>
    <mergeCell ref="NGD26:NGF26"/>
    <mergeCell ref="NGG26:NGI26"/>
    <mergeCell ref="NGJ26:NGL26"/>
    <mergeCell ref="NGM26:NGO26"/>
    <mergeCell ref="NFL26:NFN26"/>
    <mergeCell ref="NFO26:NFQ26"/>
    <mergeCell ref="NFR26:NFT26"/>
    <mergeCell ref="NFU26:NFW26"/>
    <mergeCell ref="NFX26:NFZ26"/>
    <mergeCell ref="NEW26:NEY26"/>
    <mergeCell ref="NEZ26:NFB26"/>
    <mergeCell ref="NFC26:NFE26"/>
    <mergeCell ref="NFF26:NFH26"/>
    <mergeCell ref="NFI26:NFK26"/>
    <mergeCell ref="NEH26:NEJ26"/>
    <mergeCell ref="NEK26:NEM26"/>
    <mergeCell ref="NEN26:NEP26"/>
    <mergeCell ref="NEQ26:NES26"/>
    <mergeCell ref="NET26:NEV26"/>
    <mergeCell ref="NDS26:NDU26"/>
    <mergeCell ref="NDV26:NDX26"/>
    <mergeCell ref="NDY26:NEA26"/>
    <mergeCell ref="NEB26:NED26"/>
    <mergeCell ref="NEE26:NEG26"/>
    <mergeCell ref="NDD26:NDF26"/>
    <mergeCell ref="NDG26:NDI26"/>
    <mergeCell ref="NDJ26:NDL26"/>
    <mergeCell ref="NDM26:NDO26"/>
    <mergeCell ref="NDP26:NDR26"/>
    <mergeCell ref="NKQ26:NKS26"/>
    <mergeCell ref="NKT26:NKV26"/>
    <mergeCell ref="NKW26:NKY26"/>
    <mergeCell ref="NKZ26:NLB26"/>
    <mergeCell ref="NLC26:NLE26"/>
    <mergeCell ref="NKB26:NKD26"/>
    <mergeCell ref="NKE26:NKG26"/>
    <mergeCell ref="NKH26:NKJ26"/>
    <mergeCell ref="NKK26:NKM26"/>
    <mergeCell ref="NKN26:NKP26"/>
    <mergeCell ref="NJM26:NJO26"/>
    <mergeCell ref="NJP26:NJR26"/>
    <mergeCell ref="NJS26:NJU26"/>
    <mergeCell ref="NJV26:NJX26"/>
    <mergeCell ref="NJY26:NKA26"/>
    <mergeCell ref="NIX26:NIZ26"/>
    <mergeCell ref="NJA26:NJC26"/>
    <mergeCell ref="NJD26:NJF26"/>
    <mergeCell ref="NJG26:NJI26"/>
    <mergeCell ref="NJJ26:NJL26"/>
    <mergeCell ref="NII26:NIK26"/>
    <mergeCell ref="NIL26:NIN26"/>
    <mergeCell ref="NIO26:NIQ26"/>
    <mergeCell ref="NIR26:NIT26"/>
    <mergeCell ref="NIU26:NIW26"/>
    <mergeCell ref="NHT26:NHV26"/>
    <mergeCell ref="NHW26:NHY26"/>
    <mergeCell ref="NHZ26:NIB26"/>
    <mergeCell ref="NIC26:NIE26"/>
    <mergeCell ref="NIF26:NIH26"/>
    <mergeCell ref="NHE26:NHG26"/>
    <mergeCell ref="NHH26:NHJ26"/>
    <mergeCell ref="NHK26:NHM26"/>
    <mergeCell ref="NHN26:NHP26"/>
    <mergeCell ref="NHQ26:NHS26"/>
    <mergeCell ref="NOR26:NOT26"/>
    <mergeCell ref="NOU26:NOW26"/>
    <mergeCell ref="NOX26:NOZ26"/>
    <mergeCell ref="NPA26:NPC26"/>
    <mergeCell ref="NPD26:NPF26"/>
    <mergeCell ref="NOC26:NOE26"/>
    <mergeCell ref="NOF26:NOH26"/>
    <mergeCell ref="NOI26:NOK26"/>
    <mergeCell ref="NOL26:NON26"/>
    <mergeCell ref="NOO26:NOQ26"/>
    <mergeCell ref="NNN26:NNP26"/>
    <mergeCell ref="NNQ26:NNS26"/>
    <mergeCell ref="NNT26:NNV26"/>
    <mergeCell ref="NNW26:NNY26"/>
    <mergeCell ref="NNZ26:NOB26"/>
    <mergeCell ref="NMY26:NNA26"/>
    <mergeCell ref="NNB26:NND26"/>
    <mergeCell ref="NNE26:NNG26"/>
    <mergeCell ref="NNH26:NNJ26"/>
    <mergeCell ref="NNK26:NNM26"/>
    <mergeCell ref="NMJ26:NML26"/>
    <mergeCell ref="NMM26:NMO26"/>
    <mergeCell ref="NMP26:NMR26"/>
    <mergeCell ref="NMS26:NMU26"/>
    <mergeCell ref="NMV26:NMX26"/>
    <mergeCell ref="NLU26:NLW26"/>
    <mergeCell ref="NLX26:NLZ26"/>
    <mergeCell ref="NMA26:NMC26"/>
    <mergeCell ref="NMD26:NMF26"/>
    <mergeCell ref="NMG26:NMI26"/>
    <mergeCell ref="NLF26:NLH26"/>
    <mergeCell ref="NLI26:NLK26"/>
    <mergeCell ref="NLL26:NLN26"/>
    <mergeCell ref="NLO26:NLQ26"/>
    <mergeCell ref="NLR26:NLT26"/>
    <mergeCell ref="NSS26:NSU26"/>
    <mergeCell ref="NSV26:NSX26"/>
    <mergeCell ref="NSY26:NTA26"/>
    <mergeCell ref="NTB26:NTD26"/>
    <mergeCell ref="NTE26:NTG26"/>
    <mergeCell ref="NSD26:NSF26"/>
    <mergeCell ref="NSG26:NSI26"/>
    <mergeCell ref="NSJ26:NSL26"/>
    <mergeCell ref="NSM26:NSO26"/>
    <mergeCell ref="NSP26:NSR26"/>
    <mergeCell ref="NRO26:NRQ26"/>
    <mergeCell ref="NRR26:NRT26"/>
    <mergeCell ref="NRU26:NRW26"/>
    <mergeCell ref="NRX26:NRZ26"/>
    <mergeCell ref="NSA26:NSC26"/>
    <mergeCell ref="NQZ26:NRB26"/>
    <mergeCell ref="NRC26:NRE26"/>
    <mergeCell ref="NRF26:NRH26"/>
    <mergeCell ref="NRI26:NRK26"/>
    <mergeCell ref="NRL26:NRN26"/>
    <mergeCell ref="NQK26:NQM26"/>
    <mergeCell ref="NQN26:NQP26"/>
    <mergeCell ref="NQQ26:NQS26"/>
    <mergeCell ref="NQT26:NQV26"/>
    <mergeCell ref="NQW26:NQY26"/>
    <mergeCell ref="NPV26:NPX26"/>
    <mergeCell ref="NPY26:NQA26"/>
    <mergeCell ref="NQB26:NQD26"/>
    <mergeCell ref="NQE26:NQG26"/>
    <mergeCell ref="NQH26:NQJ26"/>
    <mergeCell ref="NPG26:NPI26"/>
    <mergeCell ref="NPJ26:NPL26"/>
    <mergeCell ref="NPM26:NPO26"/>
    <mergeCell ref="NPP26:NPR26"/>
    <mergeCell ref="NPS26:NPU26"/>
    <mergeCell ref="NWT26:NWV26"/>
    <mergeCell ref="NWW26:NWY26"/>
    <mergeCell ref="NWZ26:NXB26"/>
    <mergeCell ref="NXC26:NXE26"/>
    <mergeCell ref="NXF26:NXH26"/>
    <mergeCell ref="NWE26:NWG26"/>
    <mergeCell ref="NWH26:NWJ26"/>
    <mergeCell ref="NWK26:NWM26"/>
    <mergeCell ref="NWN26:NWP26"/>
    <mergeCell ref="NWQ26:NWS26"/>
    <mergeCell ref="NVP26:NVR26"/>
    <mergeCell ref="NVS26:NVU26"/>
    <mergeCell ref="NVV26:NVX26"/>
    <mergeCell ref="NVY26:NWA26"/>
    <mergeCell ref="NWB26:NWD26"/>
    <mergeCell ref="NVA26:NVC26"/>
    <mergeCell ref="NVD26:NVF26"/>
    <mergeCell ref="NVG26:NVI26"/>
    <mergeCell ref="NVJ26:NVL26"/>
    <mergeCell ref="NVM26:NVO26"/>
    <mergeCell ref="NUL26:NUN26"/>
    <mergeCell ref="NUO26:NUQ26"/>
    <mergeCell ref="NUR26:NUT26"/>
    <mergeCell ref="NUU26:NUW26"/>
    <mergeCell ref="NUX26:NUZ26"/>
    <mergeCell ref="NTW26:NTY26"/>
    <mergeCell ref="NTZ26:NUB26"/>
    <mergeCell ref="NUC26:NUE26"/>
    <mergeCell ref="NUF26:NUH26"/>
    <mergeCell ref="NUI26:NUK26"/>
    <mergeCell ref="NTH26:NTJ26"/>
    <mergeCell ref="NTK26:NTM26"/>
    <mergeCell ref="NTN26:NTP26"/>
    <mergeCell ref="NTQ26:NTS26"/>
    <mergeCell ref="NTT26:NTV26"/>
    <mergeCell ref="OAU26:OAW26"/>
    <mergeCell ref="OAX26:OAZ26"/>
    <mergeCell ref="OBA26:OBC26"/>
    <mergeCell ref="OBD26:OBF26"/>
    <mergeCell ref="OBG26:OBI26"/>
    <mergeCell ref="OAF26:OAH26"/>
    <mergeCell ref="OAI26:OAK26"/>
    <mergeCell ref="OAL26:OAN26"/>
    <mergeCell ref="OAO26:OAQ26"/>
    <mergeCell ref="OAR26:OAT26"/>
    <mergeCell ref="NZQ26:NZS26"/>
    <mergeCell ref="NZT26:NZV26"/>
    <mergeCell ref="NZW26:NZY26"/>
    <mergeCell ref="NZZ26:OAB26"/>
    <mergeCell ref="OAC26:OAE26"/>
    <mergeCell ref="NZB26:NZD26"/>
    <mergeCell ref="NZE26:NZG26"/>
    <mergeCell ref="NZH26:NZJ26"/>
    <mergeCell ref="NZK26:NZM26"/>
    <mergeCell ref="NZN26:NZP26"/>
    <mergeCell ref="NYM26:NYO26"/>
    <mergeCell ref="NYP26:NYR26"/>
    <mergeCell ref="NYS26:NYU26"/>
    <mergeCell ref="NYV26:NYX26"/>
    <mergeCell ref="NYY26:NZA26"/>
    <mergeCell ref="NXX26:NXZ26"/>
    <mergeCell ref="NYA26:NYC26"/>
    <mergeCell ref="NYD26:NYF26"/>
    <mergeCell ref="NYG26:NYI26"/>
    <mergeCell ref="NYJ26:NYL26"/>
    <mergeCell ref="NXI26:NXK26"/>
    <mergeCell ref="NXL26:NXN26"/>
    <mergeCell ref="NXO26:NXQ26"/>
    <mergeCell ref="NXR26:NXT26"/>
    <mergeCell ref="NXU26:NXW26"/>
    <mergeCell ref="OEV26:OEX26"/>
    <mergeCell ref="OEY26:OFA26"/>
    <mergeCell ref="OFB26:OFD26"/>
    <mergeCell ref="OFE26:OFG26"/>
    <mergeCell ref="OFH26:OFJ26"/>
    <mergeCell ref="OEG26:OEI26"/>
    <mergeCell ref="OEJ26:OEL26"/>
    <mergeCell ref="OEM26:OEO26"/>
    <mergeCell ref="OEP26:OER26"/>
    <mergeCell ref="OES26:OEU26"/>
    <mergeCell ref="ODR26:ODT26"/>
    <mergeCell ref="ODU26:ODW26"/>
    <mergeCell ref="ODX26:ODZ26"/>
    <mergeCell ref="OEA26:OEC26"/>
    <mergeCell ref="OED26:OEF26"/>
    <mergeCell ref="ODC26:ODE26"/>
    <mergeCell ref="ODF26:ODH26"/>
    <mergeCell ref="ODI26:ODK26"/>
    <mergeCell ref="ODL26:ODN26"/>
    <mergeCell ref="ODO26:ODQ26"/>
    <mergeCell ref="OCN26:OCP26"/>
    <mergeCell ref="OCQ26:OCS26"/>
    <mergeCell ref="OCT26:OCV26"/>
    <mergeCell ref="OCW26:OCY26"/>
    <mergeCell ref="OCZ26:ODB26"/>
    <mergeCell ref="OBY26:OCA26"/>
    <mergeCell ref="OCB26:OCD26"/>
    <mergeCell ref="OCE26:OCG26"/>
    <mergeCell ref="OCH26:OCJ26"/>
    <mergeCell ref="OCK26:OCM26"/>
    <mergeCell ref="OBJ26:OBL26"/>
    <mergeCell ref="OBM26:OBO26"/>
    <mergeCell ref="OBP26:OBR26"/>
    <mergeCell ref="OBS26:OBU26"/>
    <mergeCell ref="OBV26:OBX26"/>
    <mergeCell ref="OIW26:OIY26"/>
    <mergeCell ref="OIZ26:OJB26"/>
    <mergeCell ref="OJC26:OJE26"/>
    <mergeCell ref="OJF26:OJH26"/>
    <mergeCell ref="OJI26:OJK26"/>
    <mergeCell ref="OIH26:OIJ26"/>
    <mergeCell ref="OIK26:OIM26"/>
    <mergeCell ref="OIN26:OIP26"/>
    <mergeCell ref="OIQ26:OIS26"/>
    <mergeCell ref="OIT26:OIV26"/>
    <mergeCell ref="OHS26:OHU26"/>
    <mergeCell ref="OHV26:OHX26"/>
    <mergeCell ref="OHY26:OIA26"/>
    <mergeCell ref="OIB26:OID26"/>
    <mergeCell ref="OIE26:OIG26"/>
    <mergeCell ref="OHD26:OHF26"/>
    <mergeCell ref="OHG26:OHI26"/>
    <mergeCell ref="OHJ26:OHL26"/>
    <mergeCell ref="OHM26:OHO26"/>
    <mergeCell ref="OHP26:OHR26"/>
    <mergeCell ref="OGO26:OGQ26"/>
    <mergeCell ref="OGR26:OGT26"/>
    <mergeCell ref="OGU26:OGW26"/>
    <mergeCell ref="OGX26:OGZ26"/>
    <mergeCell ref="OHA26:OHC26"/>
    <mergeCell ref="OFZ26:OGB26"/>
    <mergeCell ref="OGC26:OGE26"/>
    <mergeCell ref="OGF26:OGH26"/>
    <mergeCell ref="OGI26:OGK26"/>
    <mergeCell ref="OGL26:OGN26"/>
    <mergeCell ref="OFK26:OFM26"/>
    <mergeCell ref="OFN26:OFP26"/>
    <mergeCell ref="OFQ26:OFS26"/>
    <mergeCell ref="OFT26:OFV26"/>
    <mergeCell ref="OFW26:OFY26"/>
    <mergeCell ref="OMX26:OMZ26"/>
    <mergeCell ref="ONA26:ONC26"/>
    <mergeCell ref="OND26:ONF26"/>
    <mergeCell ref="ONG26:ONI26"/>
    <mergeCell ref="ONJ26:ONL26"/>
    <mergeCell ref="OMI26:OMK26"/>
    <mergeCell ref="OML26:OMN26"/>
    <mergeCell ref="OMO26:OMQ26"/>
    <mergeCell ref="OMR26:OMT26"/>
    <mergeCell ref="OMU26:OMW26"/>
    <mergeCell ref="OLT26:OLV26"/>
    <mergeCell ref="OLW26:OLY26"/>
    <mergeCell ref="OLZ26:OMB26"/>
    <mergeCell ref="OMC26:OME26"/>
    <mergeCell ref="OMF26:OMH26"/>
    <mergeCell ref="OLE26:OLG26"/>
    <mergeCell ref="OLH26:OLJ26"/>
    <mergeCell ref="OLK26:OLM26"/>
    <mergeCell ref="OLN26:OLP26"/>
    <mergeCell ref="OLQ26:OLS26"/>
    <mergeCell ref="OKP26:OKR26"/>
    <mergeCell ref="OKS26:OKU26"/>
    <mergeCell ref="OKV26:OKX26"/>
    <mergeCell ref="OKY26:OLA26"/>
    <mergeCell ref="OLB26:OLD26"/>
    <mergeCell ref="OKA26:OKC26"/>
    <mergeCell ref="OKD26:OKF26"/>
    <mergeCell ref="OKG26:OKI26"/>
    <mergeCell ref="OKJ26:OKL26"/>
    <mergeCell ref="OKM26:OKO26"/>
    <mergeCell ref="OJL26:OJN26"/>
    <mergeCell ref="OJO26:OJQ26"/>
    <mergeCell ref="OJR26:OJT26"/>
    <mergeCell ref="OJU26:OJW26"/>
    <mergeCell ref="OJX26:OJZ26"/>
    <mergeCell ref="OQY26:ORA26"/>
    <mergeCell ref="ORB26:ORD26"/>
    <mergeCell ref="ORE26:ORG26"/>
    <mergeCell ref="ORH26:ORJ26"/>
    <mergeCell ref="ORK26:ORM26"/>
    <mergeCell ref="OQJ26:OQL26"/>
    <mergeCell ref="OQM26:OQO26"/>
    <mergeCell ref="OQP26:OQR26"/>
    <mergeCell ref="OQS26:OQU26"/>
    <mergeCell ref="OQV26:OQX26"/>
    <mergeCell ref="OPU26:OPW26"/>
    <mergeCell ref="OPX26:OPZ26"/>
    <mergeCell ref="OQA26:OQC26"/>
    <mergeCell ref="OQD26:OQF26"/>
    <mergeCell ref="OQG26:OQI26"/>
    <mergeCell ref="OPF26:OPH26"/>
    <mergeCell ref="OPI26:OPK26"/>
    <mergeCell ref="OPL26:OPN26"/>
    <mergeCell ref="OPO26:OPQ26"/>
    <mergeCell ref="OPR26:OPT26"/>
    <mergeCell ref="OOQ26:OOS26"/>
    <mergeCell ref="OOT26:OOV26"/>
    <mergeCell ref="OOW26:OOY26"/>
    <mergeCell ref="OOZ26:OPB26"/>
    <mergeCell ref="OPC26:OPE26"/>
    <mergeCell ref="OOB26:OOD26"/>
    <mergeCell ref="OOE26:OOG26"/>
    <mergeCell ref="OOH26:OOJ26"/>
    <mergeCell ref="OOK26:OOM26"/>
    <mergeCell ref="OON26:OOP26"/>
    <mergeCell ref="ONM26:ONO26"/>
    <mergeCell ref="ONP26:ONR26"/>
    <mergeCell ref="ONS26:ONU26"/>
    <mergeCell ref="ONV26:ONX26"/>
    <mergeCell ref="ONY26:OOA26"/>
    <mergeCell ref="OUZ26:OVB26"/>
    <mergeCell ref="OVC26:OVE26"/>
    <mergeCell ref="OVF26:OVH26"/>
    <mergeCell ref="OVI26:OVK26"/>
    <mergeCell ref="OVL26:OVN26"/>
    <mergeCell ref="OUK26:OUM26"/>
    <mergeCell ref="OUN26:OUP26"/>
    <mergeCell ref="OUQ26:OUS26"/>
    <mergeCell ref="OUT26:OUV26"/>
    <mergeCell ref="OUW26:OUY26"/>
    <mergeCell ref="OTV26:OTX26"/>
    <mergeCell ref="OTY26:OUA26"/>
    <mergeCell ref="OUB26:OUD26"/>
    <mergeCell ref="OUE26:OUG26"/>
    <mergeCell ref="OUH26:OUJ26"/>
    <mergeCell ref="OTG26:OTI26"/>
    <mergeCell ref="OTJ26:OTL26"/>
    <mergeCell ref="OTM26:OTO26"/>
    <mergeCell ref="OTP26:OTR26"/>
    <mergeCell ref="OTS26:OTU26"/>
    <mergeCell ref="OSR26:OST26"/>
    <mergeCell ref="OSU26:OSW26"/>
    <mergeCell ref="OSX26:OSZ26"/>
    <mergeCell ref="OTA26:OTC26"/>
    <mergeCell ref="OTD26:OTF26"/>
    <mergeCell ref="OSC26:OSE26"/>
    <mergeCell ref="OSF26:OSH26"/>
    <mergeCell ref="OSI26:OSK26"/>
    <mergeCell ref="OSL26:OSN26"/>
    <mergeCell ref="OSO26:OSQ26"/>
    <mergeCell ref="ORN26:ORP26"/>
    <mergeCell ref="ORQ26:ORS26"/>
    <mergeCell ref="ORT26:ORV26"/>
    <mergeCell ref="ORW26:ORY26"/>
    <mergeCell ref="ORZ26:OSB26"/>
    <mergeCell ref="OZA26:OZC26"/>
    <mergeCell ref="OZD26:OZF26"/>
    <mergeCell ref="OZG26:OZI26"/>
    <mergeCell ref="OZJ26:OZL26"/>
    <mergeCell ref="OZM26:OZO26"/>
    <mergeCell ref="OYL26:OYN26"/>
    <mergeCell ref="OYO26:OYQ26"/>
    <mergeCell ref="OYR26:OYT26"/>
    <mergeCell ref="OYU26:OYW26"/>
    <mergeCell ref="OYX26:OYZ26"/>
    <mergeCell ref="OXW26:OXY26"/>
    <mergeCell ref="OXZ26:OYB26"/>
    <mergeCell ref="OYC26:OYE26"/>
    <mergeCell ref="OYF26:OYH26"/>
    <mergeCell ref="OYI26:OYK26"/>
    <mergeCell ref="OXH26:OXJ26"/>
    <mergeCell ref="OXK26:OXM26"/>
    <mergeCell ref="OXN26:OXP26"/>
    <mergeCell ref="OXQ26:OXS26"/>
    <mergeCell ref="OXT26:OXV26"/>
    <mergeCell ref="OWS26:OWU26"/>
    <mergeCell ref="OWV26:OWX26"/>
    <mergeCell ref="OWY26:OXA26"/>
    <mergeCell ref="OXB26:OXD26"/>
    <mergeCell ref="OXE26:OXG26"/>
    <mergeCell ref="OWD26:OWF26"/>
    <mergeCell ref="OWG26:OWI26"/>
    <mergeCell ref="OWJ26:OWL26"/>
    <mergeCell ref="OWM26:OWO26"/>
    <mergeCell ref="OWP26:OWR26"/>
    <mergeCell ref="OVO26:OVQ26"/>
    <mergeCell ref="OVR26:OVT26"/>
    <mergeCell ref="OVU26:OVW26"/>
    <mergeCell ref="OVX26:OVZ26"/>
    <mergeCell ref="OWA26:OWC26"/>
    <mergeCell ref="PDB26:PDD26"/>
    <mergeCell ref="PDE26:PDG26"/>
    <mergeCell ref="PDH26:PDJ26"/>
    <mergeCell ref="PDK26:PDM26"/>
    <mergeCell ref="PDN26:PDP26"/>
    <mergeCell ref="PCM26:PCO26"/>
    <mergeCell ref="PCP26:PCR26"/>
    <mergeCell ref="PCS26:PCU26"/>
    <mergeCell ref="PCV26:PCX26"/>
    <mergeCell ref="PCY26:PDA26"/>
    <mergeCell ref="PBX26:PBZ26"/>
    <mergeCell ref="PCA26:PCC26"/>
    <mergeCell ref="PCD26:PCF26"/>
    <mergeCell ref="PCG26:PCI26"/>
    <mergeCell ref="PCJ26:PCL26"/>
    <mergeCell ref="PBI26:PBK26"/>
    <mergeCell ref="PBL26:PBN26"/>
    <mergeCell ref="PBO26:PBQ26"/>
    <mergeCell ref="PBR26:PBT26"/>
    <mergeCell ref="PBU26:PBW26"/>
    <mergeCell ref="PAT26:PAV26"/>
    <mergeCell ref="PAW26:PAY26"/>
    <mergeCell ref="PAZ26:PBB26"/>
    <mergeCell ref="PBC26:PBE26"/>
    <mergeCell ref="PBF26:PBH26"/>
    <mergeCell ref="PAE26:PAG26"/>
    <mergeCell ref="PAH26:PAJ26"/>
    <mergeCell ref="PAK26:PAM26"/>
    <mergeCell ref="PAN26:PAP26"/>
    <mergeCell ref="PAQ26:PAS26"/>
    <mergeCell ref="OZP26:OZR26"/>
    <mergeCell ref="OZS26:OZU26"/>
    <mergeCell ref="OZV26:OZX26"/>
    <mergeCell ref="OZY26:PAA26"/>
    <mergeCell ref="PAB26:PAD26"/>
    <mergeCell ref="PHC26:PHE26"/>
    <mergeCell ref="PHF26:PHH26"/>
    <mergeCell ref="PHI26:PHK26"/>
    <mergeCell ref="PHL26:PHN26"/>
    <mergeCell ref="PHO26:PHQ26"/>
    <mergeCell ref="PGN26:PGP26"/>
    <mergeCell ref="PGQ26:PGS26"/>
    <mergeCell ref="PGT26:PGV26"/>
    <mergeCell ref="PGW26:PGY26"/>
    <mergeCell ref="PGZ26:PHB26"/>
    <mergeCell ref="PFY26:PGA26"/>
    <mergeCell ref="PGB26:PGD26"/>
    <mergeCell ref="PGE26:PGG26"/>
    <mergeCell ref="PGH26:PGJ26"/>
    <mergeCell ref="PGK26:PGM26"/>
    <mergeCell ref="PFJ26:PFL26"/>
    <mergeCell ref="PFM26:PFO26"/>
    <mergeCell ref="PFP26:PFR26"/>
    <mergeCell ref="PFS26:PFU26"/>
    <mergeCell ref="PFV26:PFX26"/>
    <mergeCell ref="PEU26:PEW26"/>
    <mergeCell ref="PEX26:PEZ26"/>
    <mergeCell ref="PFA26:PFC26"/>
    <mergeCell ref="PFD26:PFF26"/>
    <mergeCell ref="PFG26:PFI26"/>
    <mergeCell ref="PEF26:PEH26"/>
    <mergeCell ref="PEI26:PEK26"/>
    <mergeCell ref="PEL26:PEN26"/>
    <mergeCell ref="PEO26:PEQ26"/>
    <mergeCell ref="PER26:PET26"/>
    <mergeCell ref="PDQ26:PDS26"/>
    <mergeCell ref="PDT26:PDV26"/>
    <mergeCell ref="PDW26:PDY26"/>
    <mergeCell ref="PDZ26:PEB26"/>
    <mergeCell ref="PEC26:PEE26"/>
    <mergeCell ref="PLD26:PLF26"/>
    <mergeCell ref="PLG26:PLI26"/>
    <mergeCell ref="PLJ26:PLL26"/>
    <mergeCell ref="PLM26:PLO26"/>
    <mergeCell ref="PLP26:PLR26"/>
    <mergeCell ref="PKO26:PKQ26"/>
    <mergeCell ref="PKR26:PKT26"/>
    <mergeCell ref="PKU26:PKW26"/>
    <mergeCell ref="PKX26:PKZ26"/>
    <mergeCell ref="PLA26:PLC26"/>
    <mergeCell ref="PJZ26:PKB26"/>
    <mergeCell ref="PKC26:PKE26"/>
    <mergeCell ref="PKF26:PKH26"/>
    <mergeCell ref="PKI26:PKK26"/>
    <mergeCell ref="PKL26:PKN26"/>
    <mergeCell ref="PJK26:PJM26"/>
    <mergeCell ref="PJN26:PJP26"/>
    <mergeCell ref="PJQ26:PJS26"/>
    <mergeCell ref="PJT26:PJV26"/>
    <mergeCell ref="PJW26:PJY26"/>
    <mergeCell ref="PIV26:PIX26"/>
    <mergeCell ref="PIY26:PJA26"/>
    <mergeCell ref="PJB26:PJD26"/>
    <mergeCell ref="PJE26:PJG26"/>
    <mergeCell ref="PJH26:PJJ26"/>
    <mergeCell ref="PIG26:PII26"/>
    <mergeCell ref="PIJ26:PIL26"/>
    <mergeCell ref="PIM26:PIO26"/>
    <mergeCell ref="PIP26:PIR26"/>
    <mergeCell ref="PIS26:PIU26"/>
    <mergeCell ref="PHR26:PHT26"/>
    <mergeCell ref="PHU26:PHW26"/>
    <mergeCell ref="PHX26:PHZ26"/>
    <mergeCell ref="PIA26:PIC26"/>
    <mergeCell ref="PID26:PIF26"/>
    <mergeCell ref="PPE26:PPG26"/>
    <mergeCell ref="PPH26:PPJ26"/>
    <mergeCell ref="PPK26:PPM26"/>
    <mergeCell ref="PPN26:PPP26"/>
    <mergeCell ref="PPQ26:PPS26"/>
    <mergeCell ref="POP26:POR26"/>
    <mergeCell ref="POS26:POU26"/>
    <mergeCell ref="POV26:POX26"/>
    <mergeCell ref="POY26:PPA26"/>
    <mergeCell ref="PPB26:PPD26"/>
    <mergeCell ref="POA26:POC26"/>
    <mergeCell ref="POD26:POF26"/>
    <mergeCell ref="POG26:POI26"/>
    <mergeCell ref="POJ26:POL26"/>
    <mergeCell ref="POM26:POO26"/>
    <mergeCell ref="PNL26:PNN26"/>
    <mergeCell ref="PNO26:PNQ26"/>
    <mergeCell ref="PNR26:PNT26"/>
    <mergeCell ref="PNU26:PNW26"/>
    <mergeCell ref="PNX26:PNZ26"/>
    <mergeCell ref="PMW26:PMY26"/>
    <mergeCell ref="PMZ26:PNB26"/>
    <mergeCell ref="PNC26:PNE26"/>
    <mergeCell ref="PNF26:PNH26"/>
    <mergeCell ref="PNI26:PNK26"/>
    <mergeCell ref="PMH26:PMJ26"/>
    <mergeCell ref="PMK26:PMM26"/>
    <mergeCell ref="PMN26:PMP26"/>
    <mergeCell ref="PMQ26:PMS26"/>
    <mergeCell ref="PMT26:PMV26"/>
    <mergeCell ref="PLS26:PLU26"/>
    <mergeCell ref="PLV26:PLX26"/>
    <mergeCell ref="PLY26:PMA26"/>
    <mergeCell ref="PMB26:PMD26"/>
    <mergeCell ref="PME26:PMG26"/>
    <mergeCell ref="PTF26:PTH26"/>
    <mergeCell ref="PTI26:PTK26"/>
    <mergeCell ref="PTL26:PTN26"/>
    <mergeCell ref="PTO26:PTQ26"/>
    <mergeCell ref="PTR26:PTT26"/>
    <mergeCell ref="PSQ26:PSS26"/>
    <mergeCell ref="PST26:PSV26"/>
    <mergeCell ref="PSW26:PSY26"/>
    <mergeCell ref="PSZ26:PTB26"/>
    <mergeCell ref="PTC26:PTE26"/>
    <mergeCell ref="PSB26:PSD26"/>
    <mergeCell ref="PSE26:PSG26"/>
    <mergeCell ref="PSH26:PSJ26"/>
    <mergeCell ref="PSK26:PSM26"/>
    <mergeCell ref="PSN26:PSP26"/>
    <mergeCell ref="PRM26:PRO26"/>
    <mergeCell ref="PRP26:PRR26"/>
    <mergeCell ref="PRS26:PRU26"/>
    <mergeCell ref="PRV26:PRX26"/>
    <mergeCell ref="PRY26:PSA26"/>
    <mergeCell ref="PQX26:PQZ26"/>
    <mergeCell ref="PRA26:PRC26"/>
    <mergeCell ref="PRD26:PRF26"/>
    <mergeCell ref="PRG26:PRI26"/>
    <mergeCell ref="PRJ26:PRL26"/>
    <mergeCell ref="PQI26:PQK26"/>
    <mergeCell ref="PQL26:PQN26"/>
    <mergeCell ref="PQO26:PQQ26"/>
    <mergeCell ref="PQR26:PQT26"/>
    <mergeCell ref="PQU26:PQW26"/>
    <mergeCell ref="PPT26:PPV26"/>
    <mergeCell ref="PPW26:PPY26"/>
    <mergeCell ref="PPZ26:PQB26"/>
    <mergeCell ref="PQC26:PQE26"/>
    <mergeCell ref="PQF26:PQH26"/>
    <mergeCell ref="PXG26:PXI26"/>
    <mergeCell ref="PXJ26:PXL26"/>
    <mergeCell ref="PXM26:PXO26"/>
    <mergeCell ref="PXP26:PXR26"/>
    <mergeCell ref="PXS26:PXU26"/>
    <mergeCell ref="PWR26:PWT26"/>
    <mergeCell ref="PWU26:PWW26"/>
    <mergeCell ref="PWX26:PWZ26"/>
    <mergeCell ref="PXA26:PXC26"/>
    <mergeCell ref="PXD26:PXF26"/>
    <mergeCell ref="PWC26:PWE26"/>
    <mergeCell ref="PWF26:PWH26"/>
    <mergeCell ref="PWI26:PWK26"/>
    <mergeCell ref="PWL26:PWN26"/>
    <mergeCell ref="PWO26:PWQ26"/>
    <mergeCell ref="PVN26:PVP26"/>
    <mergeCell ref="PVQ26:PVS26"/>
    <mergeCell ref="PVT26:PVV26"/>
    <mergeCell ref="PVW26:PVY26"/>
    <mergeCell ref="PVZ26:PWB26"/>
    <mergeCell ref="PUY26:PVA26"/>
    <mergeCell ref="PVB26:PVD26"/>
    <mergeCell ref="PVE26:PVG26"/>
    <mergeCell ref="PVH26:PVJ26"/>
    <mergeCell ref="PVK26:PVM26"/>
    <mergeCell ref="PUJ26:PUL26"/>
    <mergeCell ref="PUM26:PUO26"/>
    <mergeCell ref="PUP26:PUR26"/>
    <mergeCell ref="PUS26:PUU26"/>
    <mergeCell ref="PUV26:PUX26"/>
    <mergeCell ref="PTU26:PTW26"/>
    <mergeCell ref="PTX26:PTZ26"/>
    <mergeCell ref="PUA26:PUC26"/>
    <mergeCell ref="PUD26:PUF26"/>
    <mergeCell ref="PUG26:PUI26"/>
    <mergeCell ref="QBH26:QBJ26"/>
    <mergeCell ref="QBK26:QBM26"/>
    <mergeCell ref="QBN26:QBP26"/>
    <mergeCell ref="QBQ26:QBS26"/>
    <mergeCell ref="QBT26:QBV26"/>
    <mergeCell ref="QAS26:QAU26"/>
    <mergeCell ref="QAV26:QAX26"/>
    <mergeCell ref="QAY26:QBA26"/>
    <mergeCell ref="QBB26:QBD26"/>
    <mergeCell ref="QBE26:QBG26"/>
    <mergeCell ref="QAD26:QAF26"/>
    <mergeCell ref="QAG26:QAI26"/>
    <mergeCell ref="QAJ26:QAL26"/>
    <mergeCell ref="QAM26:QAO26"/>
    <mergeCell ref="QAP26:QAR26"/>
    <mergeCell ref="PZO26:PZQ26"/>
    <mergeCell ref="PZR26:PZT26"/>
    <mergeCell ref="PZU26:PZW26"/>
    <mergeCell ref="PZX26:PZZ26"/>
    <mergeCell ref="QAA26:QAC26"/>
    <mergeCell ref="PYZ26:PZB26"/>
    <mergeCell ref="PZC26:PZE26"/>
    <mergeCell ref="PZF26:PZH26"/>
    <mergeCell ref="PZI26:PZK26"/>
    <mergeCell ref="PZL26:PZN26"/>
    <mergeCell ref="PYK26:PYM26"/>
    <mergeCell ref="PYN26:PYP26"/>
    <mergeCell ref="PYQ26:PYS26"/>
    <mergeCell ref="PYT26:PYV26"/>
    <mergeCell ref="PYW26:PYY26"/>
    <mergeCell ref="PXV26:PXX26"/>
    <mergeCell ref="PXY26:PYA26"/>
    <mergeCell ref="PYB26:PYD26"/>
    <mergeCell ref="PYE26:PYG26"/>
    <mergeCell ref="PYH26:PYJ26"/>
    <mergeCell ref="QFI26:QFK26"/>
    <mergeCell ref="QFL26:QFN26"/>
    <mergeCell ref="QFO26:QFQ26"/>
    <mergeCell ref="QFR26:QFT26"/>
    <mergeCell ref="QFU26:QFW26"/>
    <mergeCell ref="QET26:QEV26"/>
    <mergeCell ref="QEW26:QEY26"/>
    <mergeCell ref="QEZ26:QFB26"/>
    <mergeCell ref="QFC26:QFE26"/>
    <mergeCell ref="QFF26:QFH26"/>
    <mergeCell ref="QEE26:QEG26"/>
    <mergeCell ref="QEH26:QEJ26"/>
    <mergeCell ref="QEK26:QEM26"/>
    <mergeCell ref="QEN26:QEP26"/>
    <mergeCell ref="QEQ26:QES26"/>
    <mergeCell ref="QDP26:QDR26"/>
    <mergeCell ref="QDS26:QDU26"/>
    <mergeCell ref="QDV26:QDX26"/>
    <mergeCell ref="QDY26:QEA26"/>
    <mergeCell ref="QEB26:QED26"/>
    <mergeCell ref="QDA26:QDC26"/>
    <mergeCell ref="QDD26:QDF26"/>
    <mergeCell ref="QDG26:QDI26"/>
    <mergeCell ref="QDJ26:QDL26"/>
    <mergeCell ref="QDM26:QDO26"/>
    <mergeCell ref="QCL26:QCN26"/>
    <mergeCell ref="QCO26:QCQ26"/>
    <mergeCell ref="QCR26:QCT26"/>
    <mergeCell ref="QCU26:QCW26"/>
    <mergeCell ref="QCX26:QCZ26"/>
    <mergeCell ref="QBW26:QBY26"/>
    <mergeCell ref="QBZ26:QCB26"/>
    <mergeCell ref="QCC26:QCE26"/>
    <mergeCell ref="QCF26:QCH26"/>
    <mergeCell ref="QCI26:QCK26"/>
    <mergeCell ref="QJJ26:QJL26"/>
    <mergeCell ref="QJM26:QJO26"/>
    <mergeCell ref="QJP26:QJR26"/>
    <mergeCell ref="QJS26:QJU26"/>
    <mergeCell ref="QJV26:QJX26"/>
    <mergeCell ref="QIU26:QIW26"/>
    <mergeCell ref="QIX26:QIZ26"/>
    <mergeCell ref="QJA26:QJC26"/>
    <mergeCell ref="QJD26:QJF26"/>
    <mergeCell ref="QJG26:QJI26"/>
    <mergeCell ref="QIF26:QIH26"/>
    <mergeCell ref="QII26:QIK26"/>
    <mergeCell ref="QIL26:QIN26"/>
    <mergeCell ref="QIO26:QIQ26"/>
    <mergeCell ref="QIR26:QIT26"/>
    <mergeCell ref="QHQ26:QHS26"/>
    <mergeCell ref="QHT26:QHV26"/>
    <mergeCell ref="QHW26:QHY26"/>
    <mergeCell ref="QHZ26:QIB26"/>
    <mergeCell ref="QIC26:QIE26"/>
    <mergeCell ref="QHB26:QHD26"/>
    <mergeCell ref="QHE26:QHG26"/>
    <mergeCell ref="QHH26:QHJ26"/>
    <mergeCell ref="QHK26:QHM26"/>
    <mergeCell ref="QHN26:QHP26"/>
    <mergeCell ref="QGM26:QGO26"/>
    <mergeCell ref="QGP26:QGR26"/>
    <mergeCell ref="QGS26:QGU26"/>
    <mergeCell ref="QGV26:QGX26"/>
    <mergeCell ref="QGY26:QHA26"/>
    <mergeCell ref="QFX26:QFZ26"/>
    <mergeCell ref="QGA26:QGC26"/>
    <mergeCell ref="QGD26:QGF26"/>
    <mergeCell ref="QGG26:QGI26"/>
    <mergeCell ref="QGJ26:QGL26"/>
    <mergeCell ref="QNK26:QNM26"/>
    <mergeCell ref="QNN26:QNP26"/>
    <mergeCell ref="QNQ26:QNS26"/>
    <mergeCell ref="QNT26:QNV26"/>
    <mergeCell ref="QNW26:QNY26"/>
    <mergeCell ref="QMV26:QMX26"/>
    <mergeCell ref="QMY26:QNA26"/>
    <mergeCell ref="QNB26:QND26"/>
    <mergeCell ref="QNE26:QNG26"/>
    <mergeCell ref="QNH26:QNJ26"/>
    <mergeCell ref="QMG26:QMI26"/>
    <mergeCell ref="QMJ26:QML26"/>
    <mergeCell ref="QMM26:QMO26"/>
    <mergeCell ref="QMP26:QMR26"/>
    <mergeCell ref="QMS26:QMU26"/>
    <mergeCell ref="QLR26:QLT26"/>
    <mergeCell ref="QLU26:QLW26"/>
    <mergeCell ref="QLX26:QLZ26"/>
    <mergeCell ref="QMA26:QMC26"/>
    <mergeCell ref="QMD26:QMF26"/>
    <mergeCell ref="QLC26:QLE26"/>
    <mergeCell ref="QLF26:QLH26"/>
    <mergeCell ref="QLI26:QLK26"/>
    <mergeCell ref="QLL26:QLN26"/>
    <mergeCell ref="QLO26:QLQ26"/>
    <mergeCell ref="QKN26:QKP26"/>
    <mergeCell ref="QKQ26:QKS26"/>
    <mergeCell ref="QKT26:QKV26"/>
    <mergeCell ref="QKW26:QKY26"/>
    <mergeCell ref="QKZ26:QLB26"/>
    <mergeCell ref="QJY26:QKA26"/>
    <mergeCell ref="QKB26:QKD26"/>
    <mergeCell ref="QKE26:QKG26"/>
    <mergeCell ref="QKH26:QKJ26"/>
    <mergeCell ref="QKK26:QKM26"/>
    <mergeCell ref="QRL26:QRN26"/>
    <mergeCell ref="QRO26:QRQ26"/>
    <mergeCell ref="QRR26:QRT26"/>
    <mergeCell ref="QRU26:QRW26"/>
    <mergeCell ref="QRX26:QRZ26"/>
    <mergeCell ref="QQW26:QQY26"/>
    <mergeCell ref="QQZ26:QRB26"/>
    <mergeCell ref="QRC26:QRE26"/>
    <mergeCell ref="QRF26:QRH26"/>
    <mergeCell ref="QRI26:QRK26"/>
    <mergeCell ref="QQH26:QQJ26"/>
    <mergeCell ref="QQK26:QQM26"/>
    <mergeCell ref="QQN26:QQP26"/>
    <mergeCell ref="QQQ26:QQS26"/>
    <mergeCell ref="QQT26:QQV26"/>
    <mergeCell ref="QPS26:QPU26"/>
    <mergeCell ref="QPV26:QPX26"/>
    <mergeCell ref="QPY26:QQA26"/>
    <mergeCell ref="QQB26:QQD26"/>
    <mergeCell ref="QQE26:QQG26"/>
    <mergeCell ref="QPD26:QPF26"/>
    <mergeCell ref="QPG26:QPI26"/>
    <mergeCell ref="QPJ26:QPL26"/>
    <mergeCell ref="QPM26:QPO26"/>
    <mergeCell ref="QPP26:QPR26"/>
    <mergeCell ref="QOO26:QOQ26"/>
    <mergeCell ref="QOR26:QOT26"/>
    <mergeCell ref="QOU26:QOW26"/>
    <mergeCell ref="QOX26:QOZ26"/>
    <mergeCell ref="QPA26:QPC26"/>
    <mergeCell ref="QNZ26:QOB26"/>
    <mergeCell ref="QOC26:QOE26"/>
    <mergeCell ref="QOF26:QOH26"/>
    <mergeCell ref="QOI26:QOK26"/>
    <mergeCell ref="QOL26:QON26"/>
    <mergeCell ref="QVM26:QVO26"/>
    <mergeCell ref="QVP26:QVR26"/>
    <mergeCell ref="QVS26:QVU26"/>
    <mergeCell ref="QVV26:QVX26"/>
    <mergeCell ref="QVY26:QWA26"/>
    <mergeCell ref="QUX26:QUZ26"/>
    <mergeCell ref="QVA26:QVC26"/>
    <mergeCell ref="QVD26:QVF26"/>
    <mergeCell ref="QVG26:QVI26"/>
    <mergeCell ref="QVJ26:QVL26"/>
    <mergeCell ref="QUI26:QUK26"/>
    <mergeCell ref="QUL26:QUN26"/>
    <mergeCell ref="QUO26:QUQ26"/>
    <mergeCell ref="QUR26:QUT26"/>
    <mergeCell ref="QUU26:QUW26"/>
    <mergeCell ref="QTT26:QTV26"/>
    <mergeCell ref="QTW26:QTY26"/>
    <mergeCell ref="QTZ26:QUB26"/>
    <mergeCell ref="QUC26:QUE26"/>
    <mergeCell ref="QUF26:QUH26"/>
    <mergeCell ref="QTE26:QTG26"/>
    <mergeCell ref="QTH26:QTJ26"/>
    <mergeCell ref="QTK26:QTM26"/>
    <mergeCell ref="QTN26:QTP26"/>
    <mergeCell ref="QTQ26:QTS26"/>
    <mergeCell ref="QSP26:QSR26"/>
    <mergeCell ref="QSS26:QSU26"/>
    <mergeCell ref="QSV26:QSX26"/>
    <mergeCell ref="QSY26:QTA26"/>
    <mergeCell ref="QTB26:QTD26"/>
    <mergeCell ref="QSA26:QSC26"/>
    <mergeCell ref="QSD26:QSF26"/>
    <mergeCell ref="QSG26:QSI26"/>
    <mergeCell ref="QSJ26:QSL26"/>
    <mergeCell ref="QSM26:QSO26"/>
    <mergeCell ref="QZN26:QZP26"/>
    <mergeCell ref="QZQ26:QZS26"/>
    <mergeCell ref="QZT26:QZV26"/>
    <mergeCell ref="QZW26:QZY26"/>
    <mergeCell ref="QZZ26:RAB26"/>
    <mergeCell ref="QYY26:QZA26"/>
    <mergeCell ref="QZB26:QZD26"/>
    <mergeCell ref="QZE26:QZG26"/>
    <mergeCell ref="QZH26:QZJ26"/>
    <mergeCell ref="QZK26:QZM26"/>
    <mergeCell ref="QYJ26:QYL26"/>
    <mergeCell ref="QYM26:QYO26"/>
    <mergeCell ref="QYP26:QYR26"/>
    <mergeCell ref="QYS26:QYU26"/>
    <mergeCell ref="QYV26:QYX26"/>
    <mergeCell ref="QXU26:QXW26"/>
    <mergeCell ref="QXX26:QXZ26"/>
    <mergeCell ref="QYA26:QYC26"/>
    <mergeCell ref="QYD26:QYF26"/>
    <mergeCell ref="QYG26:QYI26"/>
    <mergeCell ref="QXF26:QXH26"/>
    <mergeCell ref="QXI26:QXK26"/>
    <mergeCell ref="QXL26:QXN26"/>
    <mergeCell ref="QXO26:QXQ26"/>
    <mergeCell ref="QXR26:QXT26"/>
    <mergeCell ref="QWQ26:QWS26"/>
    <mergeCell ref="QWT26:QWV26"/>
    <mergeCell ref="QWW26:QWY26"/>
    <mergeCell ref="QWZ26:QXB26"/>
    <mergeCell ref="QXC26:QXE26"/>
    <mergeCell ref="QWB26:QWD26"/>
    <mergeCell ref="QWE26:QWG26"/>
    <mergeCell ref="QWH26:QWJ26"/>
    <mergeCell ref="QWK26:QWM26"/>
    <mergeCell ref="QWN26:QWP26"/>
    <mergeCell ref="RDO26:RDQ26"/>
    <mergeCell ref="RDR26:RDT26"/>
    <mergeCell ref="RDU26:RDW26"/>
    <mergeCell ref="RDX26:RDZ26"/>
    <mergeCell ref="REA26:REC26"/>
    <mergeCell ref="RCZ26:RDB26"/>
    <mergeCell ref="RDC26:RDE26"/>
    <mergeCell ref="RDF26:RDH26"/>
    <mergeCell ref="RDI26:RDK26"/>
    <mergeCell ref="RDL26:RDN26"/>
    <mergeCell ref="RCK26:RCM26"/>
    <mergeCell ref="RCN26:RCP26"/>
    <mergeCell ref="RCQ26:RCS26"/>
    <mergeCell ref="RCT26:RCV26"/>
    <mergeCell ref="RCW26:RCY26"/>
    <mergeCell ref="RBV26:RBX26"/>
    <mergeCell ref="RBY26:RCA26"/>
    <mergeCell ref="RCB26:RCD26"/>
    <mergeCell ref="RCE26:RCG26"/>
    <mergeCell ref="RCH26:RCJ26"/>
    <mergeCell ref="RBG26:RBI26"/>
    <mergeCell ref="RBJ26:RBL26"/>
    <mergeCell ref="RBM26:RBO26"/>
    <mergeCell ref="RBP26:RBR26"/>
    <mergeCell ref="RBS26:RBU26"/>
    <mergeCell ref="RAR26:RAT26"/>
    <mergeCell ref="RAU26:RAW26"/>
    <mergeCell ref="RAX26:RAZ26"/>
    <mergeCell ref="RBA26:RBC26"/>
    <mergeCell ref="RBD26:RBF26"/>
    <mergeCell ref="RAC26:RAE26"/>
    <mergeCell ref="RAF26:RAH26"/>
    <mergeCell ref="RAI26:RAK26"/>
    <mergeCell ref="RAL26:RAN26"/>
    <mergeCell ref="RAO26:RAQ26"/>
    <mergeCell ref="RHP26:RHR26"/>
    <mergeCell ref="RHS26:RHU26"/>
    <mergeCell ref="RHV26:RHX26"/>
    <mergeCell ref="RHY26:RIA26"/>
    <mergeCell ref="RIB26:RID26"/>
    <mergeCell ref="RHA26:RHC26"/>
    <mergeCell ref="RHD26:RHF26"/>
    <mergeCell ref="RHG26:RHI26"/>
    <mergeCell ref="RHJ26:RHL26"/>
    <mergeCell ref="RHM26:RHO26"/>
    <mergeCell ref="RGL26:RGN26"/>
    <mergeCell ref="RGO26:RGQ26"/>
    <mergeCell ref="RGR26:RGT26"/>
    <mergeCell ref="RGU26:RGW26"/>
    <mergeCell ref="RGX26:RGZ26"/>
    <mergeCell ref="RFW26:RFY26"/>
    <mergeCell ref="RFZ26:RGB26"/>
    <mergeCell ref="RGC26:RGE26"/>
    <mergeCell ref="RGF26:RGH26"/>
    <mergeCell ref="RGI26:RGK26"/>
    <mergeCell ref="RFH26:RFJ26"/>
    <mergeCell ref="RFK26:RFM26"/>
    <mergeCell ref="RFN26:RFP26"/>
    <mergeCell ref="RFQ26:RFS26"/>
    <mergeCell ref="RFT26:RFV26"/>
    <mergeCell ref="RES26:REU26"/>
    <mergeCell ref="REV26:REX26"/>
    <mergeCell ref="REY26:RFA26"/>
    <mergeCell ref="RFB26:RFD26"/>
    <mergeCell ref="RFE26:RFG26"/>
    <mergeCell ref="RED26:REF26"/>
    <mergeCell ref="REG26:REI26"/>
    <mergeCell ref="REJ26:REL26"/>
    <mergeCell ref="REM26:REO26"/>
    <mergeCell ref="REP26:RER26"/>
    <mergeCell ref="RLQ26:RLS26"/>
    <mergeCell ref="RLT26:RLV26"/>
    <mergeCell ref="RLW26:RLY26"/>
    <mergeCell ref="RLZ26:RMB26"/>
    <mergeCell ref="RMC26:RME26"/>
    <mergeCell ref="RLB26:RLD26"/>
    <mergeCell ref="RLE26:RLG26"/>
    <mergeCell ref="RLH26:RLJ26"/>
    <mergeCell ref="RLK26:RLM26"/>
    <mergeCell ref="RLN26:RLP26"/>
    <mergeCell ref="RKM26:RKO26"/>
    <mergeCell ref="RKP26:RKR26"/>
    <mergeCell ref="RKS26:RKU26"/>
    <mergeCell ref="RKV26:RKX26"/>
    <mergeCell ref="RKY26:RLA26"/>
    <mergeCell ref="RJX26:RJZ26"/>
    <mergeCell ref="RKA26:RKC26"/>
    <mergeCell ref="RKD26:RKF26"/>
    <mergeCell ref="RKG26:RKI26"/>
    <mergeCell ref="RKJ26:RKL26"/>
    <mergeCell ref="RJI26:RJK26"/>
    <mergeCell ref="RJL26:RJN26"/>
    <mergeCell ref="RJO26:RJQ26"/>
    <mergeCell ref="RJR26:RJT26"/>
    <mergeCell ref="RJU26:RJW26"/>
    <mergeCell ref="RIT26:RIV26"/>
    <mergeCell ref="RIW26:RIY26"/>
    <mergeCell ref="RIZ26:RJB26"/>
    <mergeCell ref="RJC26:RJE26"/>
    <mergeCell ref="RJF26:RJH26"/>
    <mergeCell ref="RIE26:RIG26"/>
    <mergeCell ref="RIH26:RIJ26"/>
    <mergeCell ref="RIK26:RIM26"/>
    <mergeCell ref="RIN26:RIP26"/>
    <mergeCell ref="RIQ26:RIS26"/>
    <mergeCell ref="RPR26:RPT26"/>
    <mergeCell ref="RPU26:RPW26"/>
    <mergeCell ref="RPX26:RPZ26"/>
    <mergeCell ref="RQA26:RQC26"/>
    <mergeCell ref="RQD26:RQF26"/>
    <mergeCell ref="RPC26:RPE26"/>
    <mergeCell ref="RPF26:RPH26"/>
    <mergeCell ref="RPI26:RPK26"/>
    <mergeCell ref="RPL26:RPN26"/>
    <mergeCell ref="RPO26:RPQ26"/>
    <mergeCell ref="RON26:ROP26"/>
    <mergeCell ref="ROQ26:ROS26"/>
    <mergeCell ref="ROT26:ROV26"/>
    <mergeCell ref="ROW26:ROY26"/>
    <mergeCell ref="ROZ26:RPB26"/>
    <mergeCell ref="RNY26:ROA26"/>
    <mergeCell ref="ROB26:ROD26"/>
    <mergeCell ref="ROE26:ROG26"/>
    <mergeCell ref="ROH26:ROJ26"/>
    <mergeCell ref="ROK26:ROM26"/>
    <mergeCell ref="RNJ26:RNL26"/>
    <mergeCell ref="RNM26:RNO26"/>
    <mergeCell ref="RNP26:RNR26"/>
    <mergeCell ref="RNS26:RNU26"/>
    <mergeCell ref="RNV26:RNX26"/>
    <mergeCell ref="RMU26:RMW26"/>
    <mergeCell ref="RMX26:RMZ26"/>
    <mergeCell ref="RNA26:RNC26"/>
    <mergeCell ref="RND26:RNF26"/>
    <mergeCell ref="RNG26:RNI26"/>
    <mergeCell ref="RMF26:RMH26"/>
    <mergeCell ref="RMI26:RMK26"/>
    <mergeCell ref="RML26:RMN26"/>
    <mergeCell ref="RMO26:RMQ26"/>
    <mergeCell ref="RMR26:RMT26"/>
    <mergeCell ref="RTS26:RTU26"/>
    <mergeCell ref="RTV26:RTX26"/>
    <mergeCell ref="RTY26:RUA26"/>
    <mergeCell ref="RUB26:RUD26"/>
    <mergeCell ref="RUE26:RUG26"/>
    <mergeCell ref="RTD26:RTF26"/>
    <mergeCell ref="RTG26:RTI26"/>
    <mergeCell ref="RTJ26:RTL26"/>
    <mergeCell ref="RTM26:RTO26"/>
    <mergeCell ref="RTP26:RTR26"/>
    <mergeCell ref="RSO26:RSQ26"/>
    <mergeCell ref="RSR26:RST26"/>
    <mergeCell ref="RSU26:RSW26"/>
    <mergeCell ref="RSX26:RSZ26"/>
    <mergeCell ref="RTA26:RTC26"/>
    <mergeCell ref="RRZ26:RSB26"/>
    <mergeCell ref="RSC26:RSE26"/>
    <mergeCell ref="RSF26:RSH26"/>
    <mergeCell ref="RSI26:RSK26"/>
    <mergeCell ref="RSL26:RSN26"/>
    <mergeCell ref="RRK26:RRM26"/>
    <mergeCell ref="RRN26:RRP26"/>
    <mergeCell ref="RRQ26:RRS26"/>
    <mergeCell ref="RRT26:RRV26"/>
    <mergeCell ref="RRW26:RRY26"/>
    <mergeCell ref="RQV26:RQX26"/>
    <mergeCell ref="RQY26:RRA26"/>
    <mergeCell ref="RRB26:RRD26"/>
    <mergeCell ref="RRE26:RRG26"/>
    <mergeCell ref="RRH26:RRJ26"/>
    <mergeCell ref="RQG26:RQI26"/>
    <mergeCell ref="RQJ26:RQL26"/>
    <mergeCell ref="RQM26:RQO26"/>
    <mergeCell ref="RQP26:RQR26"/>
    <mergeCell ref="RQS26:RQU26"/>
    <mergeCell ref="RXT26:RXV26"/>
    <mergeCell ref="RXW26:RXY26"/>
    <mergeCell ref="RXZ26:RYB26"/>
    <mergeCell ref="RYC26:RYE26"/>
    <mergeCell ref="RYF26:RYH26"/>
    <mergeCell ref="RXE26:RXG26"/>
    <mergeCell ref="RXH26:RXJ26"/>
    <mergeCell ref="RXK26:RXM26"/>
    <mergeCell ref="RXN26:RXP26"/>
    <mergeCell ref="RXQ26:RXS26"/>
    <mergeCell ref="RWP26:RWR26"/>
    <mergeCell ref="RWS26:RWU26"/>
    <mergeCell ref="RWV26:RWX26"/>
    <mergeCell ref="RWY26:RXA26"/>
    <mergeCell ref="RXB26:RXD26"/>
    <mergeCell ref="RWA26:RWC26"/>
    <mergeCell ref="RWD26:RWF26"/>
    <mergeCell ref="RWG26:RWI26"/>
    <mergeCell ref="RWJ26:RWL26"/>
    <mergeCell ref="RWM26:RWO26"/>
    <mergeCell ref="RVL26:RVN26"/>
    <mergeCell ref="RVO26:RVQ26"/>
    <mergeCell ref="RVR26:RVT26"/>
    <mergeCell ref="RVU26:RVW26"/>
    <mergeCell ref="RVX26:RVZ26"/>
    <mergeCell ref="RUW26:RUY26"/>
    <mergeCell ref="RUZ26:RVB26"/>
    <mergeCell ref="RVC26:RVE26"/>
    <mergeCell ref="RVF26:RVH26"/>
    <mergeCell ref="RVI26:RVK26"/>
    <mergeCell ref="RUH26:RUJ26"/>
    <mergeCell ref="RUK26:RUM26"/>
    <mergeCell ref="RUN26:RUP26"/>
    <mergeCell ref="RUQ26:RUS26"/>
    <mergeCell ref="RUT26:RUV26"/>
    <mergeCell ref="SBU26:SBW26"/>
    <mergeCell ref="SBX26:SBZ26"/>
    <mergeCell ref="SCA26:SCC26"/>
    <mergeCell ref="SCD26:SCF26"/>
    <mergeCell ref="SCG26:SCI26"/>
    <mergeCell ref="SBF26:SBH26"/>
    <mergeCell ref="SBI26:SBK26"/>
    <mergeCell ref="SBL26:SBN26"/>
    <mergeCell ref="SBO26:SBQ26"/>
    <mergeCell ref="SBR26:SBT26"/>
    <mergeCell ref="SAQ26:SAS26"/>
    <mergeCell ref="SAT26:SAV26"/>
    <mergeCell ref="SAW26:SAY26"/>
    <mergeCell ref="SAZ26:SBB26"/>
    <mergeCell ref="SBC26:SBE26"/>
    <mergeCell ref="SAB26:SAD26"/>
    <mergeCell ref="SAE26:SAG26"/>
    <mergeCell ref="SAH26:SAJ26"/>
    <mergeCell ref="SAK26:SAM26"/>
    <mergeCell ref="SAN26:SAP26"/>
    <mergeCell ref="RZM26:RZO26"/>
    <mergeCell ref="RZP26:RZR26"/>
    <mergeCell ref="RZS26:RZU26"/>
    <mergeCell ref="RZV26:RZX26"/>
    <mergeCell ref="RZY26:SAA26"/>
    <mergeCell ref="RYX26:RYZ26"/>
    <mergeCell ref="RZA26:RZC26"/>
    <mergeCell ref="RZD26:RZF26"/>
    <mergeCell ref="RZG26:RZI26"/>
    <mergeCell ref="RZJ26:RZL26"/>
    <mergeCell ref="RYI26:RYK26"/>
    <mergeCell ref="RYL26:RYN26"/>
    <mergeCell ref="RYO26:RYQ26"/>
    <mergeCell ref="RYR26:RYT26"/>
    <mergeCell ref="RYU26:RYW26"/>
    <mergeCell ref="SFV26:SFX26"/>
    <mergeCell ref="SFY26:SGA26"/>
    <mergeCell ref="SGB26:SGD26"/>
    <mergeCell ref="SGE26:SGG26"/>
    <mergeCell ref="SGH26:SGJ26"/>
    <mergeCell ref="SFG26:SFI26"/>
    <mergeCell ref="SFJ26:SFL26"/>
    <mergeCell ref="SFM26:SFO26"/>
    <mergeCell ref="SFP26:SFR26"/>
    <mergeCell ref="SFS26:SFU26"/>
    <mergeCell ref="SER26:SET26"/>
    <mergeCell ref="SEU26:SEW26"/>
    <mergeCell ref="SEX26:SEZ26"/>
    <mergeCell ref="SFA26:SFC26"/>
    <mergeCell ref="SFD26:SFF26"/>
    <mergeCell ref="SEC26:SEE26"/>
    <mergeCell ref="SEF26:SEH26"/>
    <mergeCell ref="SEI26:SEK26"/>
    <mergeCell ref="SEL26:SEN26"/>
    <mergeCell ref="SEO26:SEQ26"/>
    <mergeCell ref="SDN26:SDP26"/>
    <mergeCell ref="SDQ26:SDS26"/>
    <mergeCell ref="SDT26:SDV26"/>
    <mergeCell ref="SDW26:SDY26"/>
    <mergeCell ref="SDZ26:SEB26"/>
    <mergeCell ref="SCY26:SDA26"/>
    <mergeCell ref="SDB26:SDD26"/>
    <mergeCell ref="SDE26:SDG26"/>
    <mergeCell ref="SDH26:SDJ26"/>
    <mergeCell ref="SDK26:SDM26"/>
    <mergeCell ref="SCJ26:SCL26"/>
    <mergeCell ref="SCM26:SCO26"/>
    <mergeCell ref="SCP26:SCR26"/>
    <mergeCell ref="SCS26:SCU26"/>
    <mergeCell ref="SCV26:SCX26"/>
    <mergeCell ref="SJW26:SJY26"/>
    <mergeCell ref="SJZ26:SKB26"/>
    <mergeCell ref="SKC26:SKE26"/>
    <mergeCell ref="SKF26:SKH26"/>
    <mergeCell ref="SKI26:SKK26"/>
    <mergeCell ref="SJH26:SJJ26"/>
    <mergeCell ref="SJK26:SJM26"/>
    <mergeCell ref="SJN26:SJP26"/>
    <mergeCell ref="SJQ26:SJS26"/>
    <mergeCell ref="SJT26:SJV26"/>
    <mergeCell ref="SIS26:SIU26"/>
    <mergeCell ref="SIV26:SIX26"/>
    <mergeCell ref="SIY26:SJA26"/>
    <mergeCell ref="SJB26:SJD26"/>
    <mergeCell ref="SJE26:SJG26"/>
    <mergeCell ref="SID26:SIF26"/>
    <mergeCell ref="SIG26:SII26"/>
    <mergeCell ref="SIJ26:SIL26"/>
    <mergeCell ref="SIM26:SIO26"/>
    <mergeCell ref="SIP26:SIR26"/>
    <mergeCell ref="SHO26:SHQ26"/>
    <mergeCell ref="SHR26:SHT26"/>
    <mergeCell ref="SHU26:SHW26"/>
    <mergeCell ref="SHX26:SHZ26"/>
    <mergeCell ref="SIA26:SIC26"/>
    <mergeCell ref="SGZ26:SHB26"/>
    <mergeCell ref="SHC26:SHE26"/>
    <mergeCell ref="SHF26:SHH26"/>
    <mergeCell ref="SHI26:SHK26"/>
    <mergeCell ref="SHL26:SHN26"/>
    <mergeCell ref="SGK26:SGM26"/>
    <mergeCell ref="SGN26:SGP26"/>
    <mergeCell ref="SGQ26:SGS26"/>
    <mergeCell ref="SGT26:SGV26"/>
    <mergeCell ref="SGW26:SGY26"/>
    <mergeCell ref="SNX26:SNZ26"/>
    <mergeCell ref="SOA26:SOC26"/>
    <mergeCell ref="SOD26:SOF26"/>
    <mergeCell ref="SOG26:SOI26"/>
    <mergeCell ref="SOJ26:SOL26"/>
    <mergeCell ref="SNI26:SNK26"/>
    <mergeCell ref="SNL26:SNN26"/>
    <mergeCell ref="SNO26:SNQ26"/>
    <mergeCell ref="SNR26:SNT26"/>
    <mergeCell ref="SNU26:SNW26"/>
    <mergeCell ref="SMT26:SMV26"/>
    <mergeCell ref="SMW26:SMY26"/>
    <mergeCell ref="SMZ26:SNB26"/>
    <mergeCell ref="SNC26:SNE26"/>
    <mergeCell ref="SNF26:SNH26"/>
    <mergeCell ref="SME26:SMG26"/>
    <mergeCell ref="SMH26:SMJ26"/>
    <mergeCell ref="SMK26:SMM26"/>
    <mergeCell ref="SMN26:SMP26"/>
    <mergeCell ref="SMQ26:SMS26"/>
    <mergeCell ref="SLP26:SLR26"/>
    <mergeCell ref="SLS26:SLU26"/>
    <mergeCell ref="SLV26:SLX26"/>
    <mergeCell ref="SLY26:SMA26"/>
    <mergeCell ref="SMB26:SMD26"/>
    <mergeCell ref="SLA26:SLC26"/>
    <mergeCell ref="SLD26:SLF26"/>
    <mergeCell ref="SLG26:SLI26"/>
    <mergeCell ref="SLJ26:SLL26"/>
    <mergeCell ref="SLM26:SLO26"/>
    <mergeCell ref="SKL26:SKN26"/>
    <mergeCell ref="SKO26:SKQ26"/>
    <mergeCell ref="SKR26:SKT26"/>
    <mergeCell ref="SKU26:SKW26"/>
    <mergeCell ref="SKX26:SKZ26"/>
    <mergeCell ref="SRY26:SSA26"/>
    <mergeCell ref="SSB26:SSD26"/>
    <mergeCell ref="SSE26:SSG26"/>
    <mergeCell ref="SSH26:SSJ26"/>
    <mergeCell ref="SSK26:SSM26"/>
    <mergeCell ref="SRJ26:SRL26"/>
    <mergeCell ref="SRM26:SRO26"/>
    <mergeCell ref="SRP26:SRR26"/>
    <mergeCell ref="SRS26:SRU26"/>
    <mergeCell ref="SRV26:SRX26"/>
    <mergeCell ref="SQU26:SQW26"/>
    <mergeCell ref="SQX26:SQZ26"/>
    <mergeCell ref="SRA26:SRC26"/>
    <mergeCell ref="SRD26:SRF26"/>
    <mergeCell ref="SRG26:SRI26"/>
    <mergeCell ref="SQF26:SQH26"/>
    <mergeCell ref="SQI26:SQK26"/>
    <mergeCell ref="SQL26:SQN26"/>
    <mergeCell ref="SQO26:SQQ26"/>
    <mergeCell ref="SQR26:SQT26"/>
    <mergeCell ref="SPQ26:SPS26"/>
    <mergeCell ref="SPT26:SPV26"/>
    <mergeCell ref="SPW26:SPY26"/>
    <mergeCell ref="SPZ26:SQB26"/>
    <mergeCell ref="SQC26:SQE26"/>
    <mergeCell ref="SPB26:SPD26"/>
    <mergeCell ref="SPE26:SPG26"/>
    <mergeCell ref="SPH26:SPJ26"/>
    <mergeCell ref="SPK26:SPM26"/>
    <mergeCell ref="SPN26:SPP26"/>
    <mergeCell ref="SOM26:SOO26"/>
    <mergeCell ref="SOP26:SOR26"/>
    <mergeCell ref="SOS26:SOU26"/>
    <mergeCell ref="SOV26:SOX26"/>
    <mergeCell ref="SOY26:SPA26"/>
    <mergeCell ref="SVZ26:SWB26"/>
    <mergeCell ref="SWC26:SWE26"/>
    <mergeCell ref="SWF26:SWH26"/>
    <mergeCell ref="SWI26:SWK26"/>
    <mergeCell ref="SWL26:SWN26"/>
    <mergeCell ref="SVK26:SVM26"/>
    <mergeCell ref="SVN26:SVP26"/>
    <mergeCell ref="SVQ26:SVS26"/>
    <mergeCell ref="SVT26:SVV26"/>
    <mergeCell ref="SVW26:SVY26"/>
    <mergeCell ref="SUV26:SUX26"/>
    <mergeCell ref="SUY26:SVA26"/>
    <mergeCell ref="SVB26:SVD26"/>
    <mergeCell ref="SVE26:SVG26"/>
    <mergeCell ref="SVH26:SVJ26"/>
    <mergeCell ref="SUG26:SUI26"/>
    <mergeCell ref="SUJ26:SUL26"/>
    <mergeCell ref="SUM26:SUO26"/>
    <mergeCell ref="SUP26:SUR26"/>
    <mergeCell ref="SUS26:SUU26"/>
    <mergeCell ref="STR26:STT26"/>
    <mergeCell ref="STU26:STW26"/>
    <mergeCell ref="STX26:STZ26"/>
    <mergeCell ref="SUA26:SUC26"/>
    <mergeCell ref="SUD26:SUF26"/>
    <mergeCell ref="STC26:STE26"/>
    <mergeCell ref="STF26:STH26"/>
    <mergeCell ref="STI26:STK26"/>
    <mergeCell ref="STL26:STN26"/>
    <mergeCell ref="STO26:STQ26"/>
    <mergeCell ref="SSN26:SSP26"/>
    <mergeCell ref="SSQ26:SSS26"/>
    <mergeCell ref="SST26:SSV26"/>
    <mergeCell ref="SSW26:SSY26"/>
    <mergeCell ref="SSZ26:STB26"/>
    <mergeCell ref="TAA26:TAC26"/>
    <mergeCell ref="TAD26:TAF26"/>
    <mergeCell ref="TAG26:TAI26"/>
    <mergeCell ref="TAJ26:TAL26"/>
    <mergeCell ref="TAM26:TAO26"/>
    <mergeCell ref="SZL26:SZN26"/>
    <mergeCell ref="SZO26:SZQ26"/>
    <mergeCell ref="SZR26:SZT26"/>
    <mergeCell ref="SZU26:SZW26"/>
    <mergeCell ref="SZX26:SZZ26"/>
    <mergeCell ref="SYW26:SYY26"/>
    <mergeCell ref="SYZ26:SZB26"/>
    <mergeCell ref="SZC26:SZE26"/>
    <mergeCell ref="SZF26:SZH26"/>
    <mergeCell ref="SZI26:SZK26"/>
    <mergeCell ref="SYH26:SYJ26"/>
    <mergeCell ref="SYK26:SYM26"/>
    <mergeCell ref="SYN26:SYP26"/>
    <mergeCell ref="SYQ26:SYS26"/>
    <mergeCell ref="SYT26:SYV26"/>
    <mergeCell ref="SXS26:SXU26"/>
    <mergeCell ref="SXV26:SXX26"/>
    <mergeCell ref="SXY26:SYA26"/>
    <mergeCell ref="SYB26:SYD26"/>
    <mergeCell ref="SYE26:SYG26"/>
    <mergeCell ref="SXD26:SXF26"/>
    <mergeCell ref="SXG26:SXI26"/>
    <mergeCell ref="SXJ26:SXL26"/>
    <mergeCell ref="SXM26:SXO26"/>
    <mergeCell ref="SXP26:SXR26"/>
    <mergeCell ref="SWO26:SWQ26"/>
    <mergeCell ref="SWR26:SWT26"/>
    <mergeCell ref="SWU26:SWW26"/>
    <mergeCell ref="SWX26:SWZ26"/>
    <mergeCell ref="SXA26:SXC26"/>
    <mergeCell ref="TEB26:TED26"/>
    <mergeCell ref="TEE26:TEG26"/>
    <mergeCell ref="TEH26:TEJ26"/>
    <mergeCell ref="TEK26:TEM26"/>
    <mergeCell ref="TEN26:TEP26"/>
    <mergeCell ref="TDM26:TDO26"/>
    <mergeCell ref="TDP26:TDR26"/>
    <mergeCell ref="TDS26:TDU26"/>
    <mergeCell ref="TDV26:TDX26"/>
    <mergeCell ref="TDY26:TEA26"/>
    <mergeCell ref="TCX26:TCZ26"/>
    <mergeCell ref="TDA26:TDC26"/>
    <mergeCell ref="TDD26:TDF26"/>
    <mergeCell ref="TDG26:TDI26"/>
    <mergeCell ref="TDJ26:TDL26"/>
    <mergeCell ref="TCI26:TCK26"/>
    <mergeCell ref="TCL26:TCN26"/>
    <mergeCell ref="TCO26:TCQ26"/>
    <mergeCell ref="TCR26:TCT26"/>
    <mergeCell ref="TCU26:TCW26"/>
    <mergeCell ref="TBT26:TBV26"/>
    <mergeCell ref="TBW26:TBY26"/>
    <mergeCell ref="TBZ26:TCB26"/>
    <mergeCell ref="TCC26:TCE26"/>
    <mergeCell ref="TCF26:TCH26"/>
    <mergeCell ref="TBE26:TBG26"/>
    <mergeCell ref="TBH26:TBJ26"/>
    <mergeCell ref="TBK26:TBM26"/>
    <mergeCell ref="TBN26:TBP26"/>
    <mergeCell ref="TBQ26:TBS26"/>
    <mergeCell ref="TAP26:TAR26"/>
    <mergeCell ref="TAS26:TAU26"/>
    <mergeCell ref="TAV26:TAX26"/>
    <mergeCell ref="TAY26:TBA26"/>
    <mergeCell ref="TBB26:TBD26"/>
    <mergeCell ref="TIC26:TIE26"/>
    <mergeCell ref="TIF26:TIH26"/>
    <mergeCell ref="TII26:TIK26"/>
    <mergeCell ref="TIL26:TIN26"/>
    <mergeCell ref="TIO26:TIQ26"/>
    <mergeCell ref="THN26:THP26"/>
    <mergeCell ref="THQ26:THS26"/>
    <mergeCell ref="THT26:THV26"/>
    <mergeCell ref="THW26:THY26"/>
    <mergeCell ref="THZ26:TIB26"/>
    <mergeCell ref="TGY26:THA26"/>
    <mergeCell ref="THB26:THD26"/>
    <mergeCell ref="THE26:THG26"/>
    <mergeCell ref="THH26:THJ26"/>
    <mergeCell ref="THK26:THM26"/>
    <mergeCell ref="TGJ26:TGL26"/>
    <mergeCell ref="TGM26:TGO26"/>
    <mergeCell ref="TGP26:TGR26"/>
    <mergeCell ref="TGS26:TGU26"/>
    <mergeCell ref="TGV26:TGX26"/>
    <mergeCell ref="TFU26:TFW26"/>
    <mergeCell ref="TFX26:TFZ26"/>
    <mergeCell ref="TGA26:TGC26"/>
    <mergeCell ref="TGD26:TGF26"/>
    <mergeCell ref="TGG26:TGI26"/>
    <mergeCell ref="TFF26:TFH26"/>
    <mergeCell ref="TFI26:TFK26"/>
    <mergeCell ref="TFL26:TFN26"/>
    <mergeCell ref="TFO26:TFQ26"/>
    <mergeCell ref="TFR26:TFT26"/>
    <mergeCell ref="TEQ26:TES26"/>
    <mergeCell ref="TET26:TEV26"/>
    <mergeCell ref="TEW26:TEY26"/>
    <mergeCell ref="TEZ26:TFB26"/>
    <mergeCell ref="TFC26:TFE26"/>
    <mergeCell ref="TMD26:TMF26"/>
    <mergeCell ref="TMG26:TMI26"/>
    <mergeCell ref="TMJ26:TML26"/>
    <mergeCell ref="TMM26:TMO26"/>
    <mergeCell ref="TMP26:TMR26"/>
    <mergeCell ref="TLO26:TLQ26"/>
    <mergeCell ref="TLR26:TLT26"/>
    <mergeCell ref="TLU26:TLW26"/>
    <mergeCell ref="TLX26:TLZ26"/>
    <mergeCell ref="TMA26:TMC26"/>
    <mergeCell ref="TKZ26:TLB26"/>
    <mergeCell ref="TLC26:TLE26"/>
    <mergeCell ref="TLF26:TLH26"/>
    <mergeCell ref="TLI26:TLK26"/>
    <mergeCell ref="TLL26:TLN26"/>
    <mergeCell ref="TKK26:TKM26"/>
    <mergeCell ref="TKN26:TKP26"/>
    <mergeCell ref="TKQ26:TKS26"/>
    <mergeCell ref="TKT26:TKV26"/>
    <mergeCell ref="TKW26:TKY26"/>
    <mergeCell ref="TJV26:TJX26"/>
    <mergeCell ref="TJY26:TKA26"/>
    <mergeCell ref="TKB26:TKD26"/>
    <mergeCell ref="TKE26:TKG26"/>
    <mergeCell ref="TKH26:TKJ26"/>
    <mergeCell ref="TJG26:TJI26"/>
    <mergeCell ref="TJJ26:TJL26"/>
    <mergeCell ref="TJM26:TJO26"/>
    <mergeCell ref="TJP26:TJR26"/>
    <mergeCell ref="TJS26:TJU26"/>
    <mergeCell ref="TIR26:TIT26"/>
    <mergeCell ref="TIU26:TIW26"/>
    <mergeCell ref="TIX26:TIZ26"/>
    <mergeCell ref="TJA26:TJC26"/>
    <mergeCell ref="TJD26:TJF26"/>
    <mergeCell ref="TQE26:TQG26"/>
    <mergeCell ref="TQH26:TQJ26"/>
    <mergeCell ref="TQK26:TQM26"/>
    <mergeCell ref="TQN26:TQP26"/>
    <mergeCell ref="TQQ26:TQS26"/>
    <mergeCell ref="TPP26:TPR26"/>
    <mergeCell ref="TPS26:TPU26"/>
    <mergeCell ref="TPV26:TPX26"/>
    <mergeCell ref="TPY26:TQA26"/>
    <mergeCell ref="TQB26:TQD26"/>
    <mergeCell ref="TPA26:TPC26"/>
    <mergeCell ref="TPD26:TPF26"/>
    <mergeCell ref="TPG26:TPI26"/>
    <mergeCell ref="TPJ26:TPL26"/>
    <mergeCell ref="TPM26:TPO26"/>
    <mergeCell ref="TOL26:TON26"/>
    <mergeCell ref="TOO26:TOQ26"/>
    <mergeCell ref="TOR26:TOT26"/>
    <mergeCell ref="TOU26:TOW26"/>
    <mergeCell ref="TOX26:TOZ26"/>
    <mergeCell ref="TNW26:TNY26"/>
    <mergeCell ref="TNZ26:TOB26"/>
    <mergeCell ref="TOC26:TOE26"/>
    <mergeCell ref="TOF26:TOH26"/>
    <mergeCell ref="TOI26:TOK26"/>
    <mergeCell ref="TNH26:TNJ26"/>
    <mergeCell ref="TNK26:TNM26"/>
    <mergeCell ref="TNN26:TNP26"/>
    <mergeCell ref="TNQ26:TNS26"/>
    <mergeCell ref="TNT26:TNV26"/>
    <mergeCell ref="TMS26:TMU26"/>
    <mergeCell ref="TMV26:TMX26"/>
    <mergeCell ref="TMY26:TNA26"/>
    <mergeCell ref="TNB26:TND26"/>
    <mergeCell ref="TNE26:TNG26"/>
    <mergeCell ref="TUF26:TUH26"/>
    <mergeCell ref="TUI26:TUK26"/>
    <mergeCell ref="TUL26:TUN26"/>
    <mergeCell ref="TUO26:TUQ26"/>
    <mergeCell ref="TUR26:TUT26"/>
    <mergeCell ref="TTQ26:TTS26"/>
    <mergeCell ref="TTT26:TTV26"/>
    <mergeCell ref="TTW26:TTY26"/>
    <mergeCell ref="TTZ26:TUB26"/>
    <mergeCell ref="TUC26:TUE26"/>
    <mergeCell ref="TTB26:TTD26"/>
    <mergeCell ref="TTE26:TTG26"/>
    <mergeCell ref="TTH26:TTJ26"/>
    <mergeCell ref="TTK26:TTM26"/>
    <mergeCell ref="TTN26:TTP26"/>
    <mergeCell ref="TSM26:TSO26"/>
    <mergeCell ref="TSP26:TSR26"/>
    <mergeCell ref="TSS26:TSU26"/>
    <mergeCell ref="TSV26:TSX26"/>
    <mergeCell ref="TSY26:TTA26"/>
    <mergeCell ref="TRX26:TRZ26"/>
    <mergeCell ref="TSA26:TSC26"/>
    <mergeCell ref="TSD26:TSF26"/>
    <mergeCell ref="TSG26:TSI26"/>
    <mergeCell ref="TSJ26:TSL26"/>
    <mergeCell ref="TRI26:TRK26"/>
    <mergeCell ref="TRL26:TRN26"/>
    <mergeCell ref="TRO26:TRQ26"/>
    <mergeCell ref="TRR26:TRT26"/>
    <mergeCell ref="TRU26:TRW26"/>
    <mergeCell ref="TQT26:TQV26"/>
    <mergeCell ref="TQW26:TQY26"/>
    <mergeCell ref="TQZ26:TRB26"/>
    <mergeCell ref="TRC26:TRE26"/>
    <mergeCell ref="TRF26:TRH26"/>
    <mergeCell ref="TYG26:TYI26"/>
    <mergeCell ref="TYJ26:TYL26"/>
    <mergeCell ref="TYM26:TYO26"/>
    <mergeCell ref="TYP26:TYR26"/>
    <mergeCell ref="TYS26:TYU26"/>
    <mergeCell ref="TXR26:TXT26"/>
    <mergeCell ref="TXU26:TXW26"/>
    <mergeCell ref="TXX26:TXZ26"/>
    <mergeCell ref="TYA26:TYC26"/>
    <mergeCell ref="TYD26:TYF26"/>
    <mergeCell ref="TXC26:TXE26"/>
    <mergeCell ref="TXF26:TXH26"/>
    <mergeCell ref="TXI26:TXK26"/>
    <mergeCell ref="TXL26:TXN26"/>
    <mergeCell ref="TXO26:TXQ26"/>
    <mergeCell ref="TWN26:TWP26"/>
    <mergeCell ref="TWQ26:TWS26"/>
    <mergeCell ref="TWT26:TWV26"/>
    <mergeCell ref="TWW26:TWY26"/>
    <mergeCell ref="TWZ26:TXB26"/>
    <mergeCell ref="TVY26:TWA26"/>
    <mergeCell ref="TWB26:TWD26"/>
    <mergeCell ref="TWE26:TWG26"/>
    <mergeCell ref="TWH26:TWJ26"/>
    <mergeCell ref="TWK26:TWM26"/>
    <mergeCell ref="TVJ26:TVL26"/>
    <mergeCell ref="TVM26:TVO26"/>
    <mergeCell ref="TVP26:TVR26"/>
    <mergeCell ref="TVS26:TVU26"/>
    <mergeCell ref="TVV26:TVX26"/>
    <mergeCell ref="TUU26:TUW26"/>
    <mergeCell ref="TUX26:TUZ26"/>
    <mergeCell ref="TVA26:TVC26"/>
    <mergeCell ref="TVD26:TVF26"/>
    <mergeCell ref="TVG26:TVI26"/>
    <mergeCell ref="UCH26:UCJ26"/>
    <mergeCell ref="UCK26:UCM26"/>
    <mergeCell ref="UCN26:UCP26"/>
    <mergeCell ref="UCQ26:UCS26"/>
    <mergeCell ref="UCT26:UCV26"/>
    <mergeCell ref="UBS26:UBU26"/>
    <mergeCell ref="UBV26:UBX26"/>
    <mergeCell ref="UBY26:UCA26"/>
    <mergeCell ref="UCB26:UCD26"/>
    <mergeCell ref="UCE26:UCG26"/>
    <mergeCell ref="UBD26:UBF26"/>
    <mergeCell ref="UBG26:UBI26"/>
    <mergeCell ref="UBJ26:UBL26"/>
    <mergeCell ref="UBM26:UBO26"/>
    <mergeCell ref="UBP26:UBR26"/>
    <mergeCell ref="UAO26:UAQ26"/>
    <mergeCell ref="UAR26:UAT26"/>
    <mergeCell ref="UAU26:UAW26"/>
    <mergeCell ref="UAX26:UAZ26"/>
    <mergeCell ref="UBA26:UBC26"/>
    <mergeCell ref="TZZ26:UAB26"/>
    <mergeCell ref="UAC26:UAE26"/>
    <mergeCell ref="UAF26:UAH26"/>
    <mergeCell ref="UAI26:UAK26"/>
    <mergeCell ref="UAL26:UAN26"/>
    <mergeCell ref="TZK26:TZM26"/>
    <mergeCell ref="TZN26:TZP26"/>
    <mergeCell ref="TZQ26:TZS26"/>
    <mergeCell ref="TZT26:TZV26"/>
    <mergeCell ref="TZW26:TZY26"/>
    <mergeCell ref="TYV26:TYX26"/>
    <mergeCell ref="TYY26:TZA26"/>
    <mergeCell ref="TZB26:TZD26"/>
    <mergeCell ref="TZE26:TZG26"/>
    <mergeCell ref="TZH26:TZJ26"/>
    <mergeCell ref="UGI26:UGK26"/>
    <mergeCell ref="UGL26:UGN26"/>
    <mergeCell ref="UGO26:UGQ26"/>
    <mergeCell ref="UGR26:UGT26"/>
    <mergeCell ref="UGU26:UGW26"/>
    <mergeCell ref="UFT26:UFV26"/>
    <mergeCell ref="UFW26:UFY26"/>
    <mergeCell ref="UFZ26:UGB26"/>
    <mergeCell ref="UGC26:UGE26"/>
    <mergeCell ref="UGF26:UGH26"/>
    <mergeCell ref="UFE26:UFG26"/>
    <mergeCell ref="UFH26:UFJ26"/>
    <mergeCell ref="UFK26:UFM26"/>
    <mergeCell ref="UFN26:UFP26"/>
    <mergeCell ref="UFQ26:UFS26"/>
    <mergeCell ref="UEP26:UER26"/>
    <mergeCell ref="UES26:UEU26"/>
    <mergeCell ref="UEV26:UEX26"/>
    <mergeCell ref="UEY26:UFA26"/>
    <mergeCell ref="UFB26:UFD26"/>
    <mergeCell ref="UEA26:UEC26"/>
    <mergeCell ref="UED26:UEF26"/>
    <mergeCell ref="UEG26:UEI26"/>
    <mergeCell ref="UEJ26:UEL26"/>
    <mergeCell ref="UEM26:UEO26"/>
    <mergeCell ref="UDL26:UDN26"/>
    <mergeCell ref="UDO26:UDQ26"/>
    <mergeCell ref="UDR26:UDT26"/>
    <mergeCell ref="UDU26:UDW26"/>
    <mergeCell ref="UDX26:UDZ26"/>
    <mergeCell ref="UCW26:UCY26"/>
    <mergeCell ref="UCZ26:UDB26"/>
    <mergeCell ref="UDC26:UDE26"/>
    <mergeCell ref="UDF26:UDH26"/>
    <mergeCell ref="UDI26:UDK26"/>
    <mergeCell ref="UKJ26:UKL26"/>
    <mergeCell ref="UKM26:UKO26"/>
    <mergeCell ref="UKP26:UKR26"/>
    <mergeCell ref="UKS26:UKU26"/>
    <mergeCell ref="UKV26:UKX26"/>
    <mergeCell ref="UJU26:UJW26"/>
    <mergeCell ref="UJX26:UJZ26"/>
    <mergeCell ref="UKA26:UKC26"/>
    <mergeCell ref="UKD26:UKF26"/>
    <mergeCell ref="UKG26:UKI26"/>
    <mergeCell ref="UJF26:UJH26"/>
    <mergeCell ref="UJI26:UJK26"/>
    <mergeCell ref="UJL26:UJN26"/>
    <mergeCell ref="UJO26:UJQ26"/>
    <mergeCell ref="UJR26:UJT26"/>
    <mergeCell ref="UIQ26:UIS26"/>
    <mergeCell ref="UIT26:UIV26"/>
    <mergeCell ref="UIW26:UIY26"/>
    <mergeCell ref="UIZ26:UJB26"/>
    <mergeCell ref="UJC26:UJE26"/>
    <mergeCell ref="UIB26:UID26"/>
    <mergeCell ref="UIE26:UIG26"/>
    <mergeCell ref="UIH26:UIJ26"/>
    <mergeCell ref="UIK26:UIM26"/>
    <mergeCell ref="UIN26:UIP26"/>
    <mergeCell ref="UHM26:UHO26"/>
    <mergeCell ref="UHP26:UHR26"/>
    <mergeCell ref="UHS26:UHU26"/>
    <mergeCell ref="UHV26:UHX26"/>
    <mergeCell ref="UHY26:UIA26"/>
    <mergeCell ref="UGX26:UGZ26"/>
    <mergeCell ref="UHA26:UHC26"/>
    <mergeCell ref="UHD26:UHF26"/>
    <mergeCell ref="UHG26:UHI26"/>
    <mergeCell ref="UHJ26:UHL26"/>
    <mergeCell ref="UOK26:UOM26"/>
    <mergeCell ref="UON26:UOP26"/>
    <mergeCell ref="UOQ26:UOS26"/>
    <mergeCell ref="UOT26:UOV26"/>
    <mergeCell ref="UOW26:UOY26"/>
    <mergeCell ref="UNV26:UNX26"/>
    <mergeCell ref="UNY26:UOA26"/>
    <mergeCell ref="UOB26:UOD26"/>
    <mergeCell ref="UOE26:UOG26"/>
    <mergeCell ref="UOH26:UOJ26"/>
    <mergeCell ref="UNG26:UNI26"/>
    <mergeCell ref="UNJ26:UNL26"/>
    <mergeCell ref="UNM26:UNO26"/>
    <mergeCell ref="UNP26:UNR26"/>
    <mergeCell ref="UNS26:UNU26"/>
    <mergeCell ref="UMR26:UMT26"/>
    <mergeCell ref="UMU26:UMW26"/>
    <mergeCell ref="UMX26:UMZ26"/>
    <mergeCell ref="UNA26:UNC26"/>
    <mergeCell ref="UND26:UNF26"/>
    <mergeCell ref="UMC26:UME26"/>
    <mergeCell ref="UMF26:UMH26"/>
    <mergeCell ref="UMI26:UMK26"/>
    <mergeCell ref="UML26:UMN26"/>
    <mergeCell ref="UMO26:UMQ26"/>
    <mergeCell ref="ULN26:ULP26"/>
    <mergeCell ref="ULQ26:ULS26"/>
    <mergeCell ref="ULT26:ULV26"/>
    <mergeCell ref="ULW26:ULY26"/>
    <mergeCell ref="ULZ26:UMB26"/>
    <mergeCell ref="UKY26:ULA26"/>
    <mergeCell ref="ULB26:ULD26"/>
    <mergeCell ref="ULE26:ULG26"/>
    <mergeCell ref="ULH26:ULJ26"/>
    <mergeCell ref="ULK26:ULM26"/>
    <mergeCell ref="USL26:USN26"/>
    <mergeCell ref="USO26:USQ26"/>
    <mergeCell ref="USR26:UST26"/>
    <mergeCell ref="USU26:USW26"/>
    <mergeCell ref="USX26:USZ26"/>
    <mergeCell ref="URW26:URY26"/>
    <mergeCell ref="URZ26:USB26"/>
    <mergeCell ref="USC26:USE26"/>
    <mergeCell ref="USF26:USH26"/>
    <mergeCell ref="USI26:USK26"/>
    <mergeCell ref="URH26:URJ26"/>
    <mergeCell ref="URK26:URM26"/>
    <mergeCell ref="URN26:URP26"/>
    <mergeCell ref="URQ26:URS26"/>
    <mergeCell ref="URT26:URV26"/>
    <mergeCell ref="UQS26:UQU26"/>
    <mergeCell ref="UQV26:UQX26"/>
    <mergeCell ref="UQY26:URA26"/>
    <mergeCell ref="URB26:URD26"/>
    <mergeCell ref="URE26:URG26"/>
    <mergeCell ref="UQD26:UQF26"/>
    <mergeCell ref="UQG26:UQI26"/>
    <mergeCell ref="UQJ26:UQL26"/>
    <mergeCell ref="UQM26:UQO26"/>
    <mergeCell ref="UQP26:UQR26"/>
    <mergeCell ref="UPO26:UPQ26"/>
    <mergeCell ref="UPR26:UPT26"/>
    <mergeCell ref="UPU26:UPW26"/>
    <mergeCell ref="UPX26:UPZ26"/>
    <mergeCell ref="UQA26:UQC26"/>
    <mergeCell ref="UOZ26:UPB26"/>
    <mergeCell ref="UPC26:UPE26"/>
    <mergeCell ref="UPF26:UPH26"/>
    <mergeCell ref="UPI26:UPK26"/>
    <mergeCell ref="UPL26:UPN26"/>
    <mergeCell ref="UWM26:UWO26"/>
    <mergeCell ref="UWP26:UWR26"/>
    <mergeCell ref="UWS26:UWU26"/>
    <mergeCell ref="UWV26:UWX26"/>
    <mergeCell ref="UWY26:UXA26"/>
    <mergeCell ref="UVX26:UVZ26"/>
    <mergeCell ref="UWA26:UWC26"/>
    <mergeCell ref="UWD26:UWF26"/>
    <mergeCell ref="UWG26:UWI26"/>
    <mergeCell ref="UWJ26:UWL26"/>
    <mergeCell ref="UVI26:UVK26"/>
    <mergeCell ref="UVL26:UVN26"/>
    <mergeCell ref="UVO26:UVQ26"/>
    <mergeCell ref="UVR26:UVT26"/>
    <mergeCell ref="UVU26:UVW26"/>
    <mergeCell ref="UUT26:UUV26"/>
    <mergeCell ref="UUW26:UUY26"/>
    <mergeCell ref="UUZ26:UVB26"/>
    <mergeCell ref="UVC26:UVE26"/>
    <mergeCell ref="UVF26:UVH26"/>
    <mergeCell ref="UUE26:UUG26"/>
    <mergeCell ref="UUH26:UUJ26"/>
    <mergeCell ref="UUK26:UUM26"/>
    <mergeCell ref="UUN26:UUP26"/>
    <mergeCell ref="UUQ26:UUS26"/>
    <mergeCell ref="UTP26:UTR26"/>
    <mergeCell ref="UTS26:UTU26"/>
    <mergeCell ref="UTV26:UTX26"/>
    <mergeCell ref="UTY26:UUA26"/>
    <mergeCell ref="UUB26:UUD26"/>
    <mergeCell ref="UTA26:UTC26"/>
    <mergeCell ref="UTD26:UTF26"/>
    <mergeCell ref="UTG26:UTI26"/>
    <mergeCell ref="UTJ26:UTL26"/>
    <mergeCell ref="UTM26:UTO26"/>
    <mergeCell ref="VAN26:VAP26"/>
    <mergeCell ref="VAQ26:VAS26"/>
    <mergeCell ref="VAT26:VAV26"/>
    <mergeCell ref="VAW26:VAY26"/>
    <mergeCell ref="VAZ26:VBB26"/>
    <mergeCell ref="UZY26:VAA26"/>
    <mergeCell ref="VAB26:VAD26"/>
    <mergeCell ref="VAE26:VAG26"/>
    <mergeCell ref="VAH26:VAJ26"/>
    <mergeCell ref="VAK26:VAM26"/>
    <mergeCell ref="UZJ26:UZL26"/>
    <mergeCell ref="UZM26:UZO26"/>
    <mergeCell ref="UZP26:UZR26"/>
    <mergeCell ref="UZS26:UZU26"/>
    <mergeCell ref="UZV26:UZX26"/>
    <mergeCell ref="UYU26:UYW26"/>
    <mergeCell ref="UYX26:UYZ26"/>
    <mergeCell ref="UZA26:UZC26"/>
    <mergeCell ref="UZD26:UZF26"/>
    <mergeCell ref="UZG26:UZI26"/>
    <mergeCell ref="UYF26:UYH26"/>
    <mergeCell ref="UYI26:UYK26"/>
    <mergeCell ref="UYL26:UYN26"/>
    <mergeCell ref="UYO26:UYQ26"/>
    <mergeCell ref="UYR26:UYT26"/>
    <mergeCell ref="UXQ26:UXS26"/>
    <mergeCell ref="UXT26:UXV26"/>
    <mergeCell ref="UXW26:UXY26"/>
    <mergeCell ref="UXZ26:UYB26"/>
    <mergeCell ref="UYC26:UYE26"/>
    <mergeCell ref="UXB26:UXD26"/>
    <mergeCell ref="UXE26:UXG26"/>
    <mergeCell ref="UXH26:UXJ26"/>
    <mergeCell ref="UXK26:UXM26"/>
    <mergeCell ref="UXN26:UXP26"/>
    <mergeCell ref="VEO26:VEQ26"/>
    <mergeCell ref="VER26:VET26"/>
    <mergeCell ref="VEU26:VEW26"/>
    <mergeCell ref="VEX26:VEZ26"/>
    <mergeCell ref="VFA26:VFC26"/>
    <mergeCell ref="VDZ26:VEB26"/>
    <mergeCell ref="VEC26:VEE26"/>
    <mergeCell ref="VEF26:VEH26"/>
    <mergeCell ref="VEI26:VEK26"/>
    <mergeCell ref="VEL26:VEN26"/>
    <mergeCell ref="VDK26:VDM26"/>
    <mergeCell ref="VDN26:VDP26"/>
    <mergeCell ref="VDQ26:VDS26"/>
    <mergeCell ref="VDT26:VDV26"/>
    <mergeCell ref="VDW26:VDY26"/>
    <mergeCell ref="VCV26:VCX26"/>
    <mergeCell ref="VCY26:VDA26"/>
    <mergeCell ref="VDB26:VDD26"/>
    <mergeCell ref="VDE26:VDG26"/>
    <mergeCell ref="VDH26:VDJ26"/>
    <mergeCell ref="VCG26:VCI26"/>
    <mergeCell ref="VCJ26:VCL26"/>
    <mergeCell ref="VCM26:VCO26"/>
    <mergeCell ref="VCP26:VCR26"/>
    <mergeCell ref="VCS26:VCU26"/>
    <mergeCell ref="VBR26:VBT26"/>
    <mergeCell ref="VBU26:VBW26"/>
    <mergeCell ref="VBX26:VBZ26"/>
    <mergeCell ref="VCA26:VCC26"/>
    <mergeCell ref="VCD26:VCF26"/>
    <mergeCell ref="VBC26:VBE26"/>
    <mergeCell ref="VBF26:VBH26"/>
    <mergeCell ref="VBI26:VBK26"/>
    <mergeCell ref="VBL26:VBN26"/>
    <mergeCell ref="VBO26:VBQ26"/>
    <mergeCell ref="VIP26:VIR26"/>
    <mergeCell ref="VIS26:VIU26"/>
    <mergeCell ref="VIV26:VIX26"/>
    <mergeCell ref="VIY26:VJA26"/>
    <mergeCell ref="VJB26:VJD26"/>
    <mergeCell ref="VIA26:VIC26"/>
    <mergeCell ref="VID26:VIF26"/>
    <mergeCell ref="VIG26:VII26"/>
    <mergeCell ref="VIJ26:VIL26"/>
    <mergeCell ref="VIM26:VIO26"/>
    <mergeCell ref="VHL26:VHN26"/>
    <mergeCell ref="VHO26:VHQ26"/>
    <mergeCell ref="VHR26:VHT26"/>
    <mergeCell ref="VHU26:VHW26"/>
    <mergeCell ref="VHX26:VHZ26"/>
    <mergeCell ref="VGW26:VGY26"/>
    <mergeCell ref="VGZ26:VHB26"/>
    <mergeCell ref="VHC26:VHE26"/>
    <mergeCell ref="VHF26:VHH26"/>
    <mergeCell ref="VHI26:VHK26"/>
    <mergeCell ref="VGH26:VGJ26"/>
    <mergeCell ref="VGK26:VGM26"/>
    <mergeCell ref="VGN26:VGP26"/>
    <mergeCell ref="VGQ26:VGS26"/>
    <mergeCell ref="VGT26:VGV26"/>
    <mergeCell ref="VFS26:VFU26"/>
    <mergeCell ref="VFV26:VFX26"/>
    <mergeCell ref="VFY26:VGA26"/>
    <mergeCell ref="VGB26:VGD26"/>
    <mergeCell ref="VGE26:VGG26"/>
    <mergeCell ref="VFD26:VFF26"/>
    <mergeCell ref="VFG26:VFI26"/>
    <mergeCell ref="VFJ26:VFL26"/>
    <mergeCell ref="VFM26:VFO26"/>
    <mergeCell ref="VFP26:VFR26"/>
    <mergeCell ref="VMQ26:VMS26"/>
    <mergeCell ref="VMT26:VMV26"/>
    <mergeCell ref="VMW26:VMY26"/>
    <mergeCell ref="VMZ26:VNB26"/>
    <mergeCell ref="VNC26:VNE26"/>
    <mergeCell ref="VMB26:VMD26"/>
    <mergeCell ref="VME26:VMG26"/>
    <mergeCell ref="VMH26:VMJ26"/>
    <mergeCell ref="VMK26:VMM26"/>
    <mergeCell ref="VMN26:VMP26"/>
    <mergeCell ref="VLM26:VLO26"/>
    <mergeCell ref="VLP26:VLR26"/>
    <mergeCell ref="VLS26:VLU26"/>
    <mergeCell ref="VLV26:VLX26"/>
    <mergeCell ref="VLY26:VMA26"/>
    <mergeCell ref="VKX26:VKZ26"/>
    <mergeCell ref="VLA26:VLC26"/>
    <mergeCell ref="VLD26:VLF26"/>
    <mergeCell ref="VLG26:VLI26"/>
    <mergeCell ref="VLJ26:VLL26"/>
    <mergeCell ref="VKI26:VKK26"/>
    <mergeCell ref="VKL26:VKN26"/>
    <mergeCell ref="VKO26:VKQ26"/>
    <mergeCell ref="VKR26:VKT26"/>
    <mergeCell ref="VKU26:VKW26"/>
    <mergeCell ref="VJT26:VJV26"/>
    <mergeCell ref="VJW26:VJY26"/>
    <mergeCell ref="VJZ26:VKB26"/>
    <mergeCell ref="VKC26:VKE26"/>
    <mergeCell ref="VKF26:VKH26"/>
    <mergeCell ref="VJE26:VJG26"/>
    <mergeCell ref="VJH26:VJJ26"/>
    <mergeCell ref="VJK26:VJM26"/>
    <mergeCell ref="VJN26:VJP26"/>
    <mergeCell ref="VJQ26:VJS26"/>
    <mergeCell ref="VQR26:VQT26"/>
    <mergeCell ref="VQU26:VQW26"/>
    <mergeCell ref="VQX26:VQZ26"/>
    <mergeCell ref="VRA26:VRC26"/>
    <mergeCell ref="VRD26:VRF26"/>
    <mergeCell ref="VQC26:VQE26"/>
    <mergeCell ref="VQF26:VQH26"/>
    <mergeCell ref="VQI26:VQK26"/>
    <mergeCell ref="VQL26:VQN26"/>
    <mergeCell ref="VQO26:VQQ26"/>
    <mergeCell ref="VPN26:VPP26"/>
    <mergeCell ref="VPQ26:VPS26"/>
    <mergeCell ref="VPT26:VPV26"/>
    <mergeCell ref="VPW26:VPY26"/>
    <mergeCell ref="VPZ26:VQB26"/>
    <mergeCell ref="VOY26:VPA26"/>
    <mergeCell ref="VPB26:VPD26"/>
    <mergeCell ref="VPE26:VPG26"/>
    <mergeCell ref="VPH26:VPJ26"/>
    <mergeCell ref="VPK26:VPM26"/>
    <mergeCell ref="VOJ26:VOL26"/>
    <mergeCell ref="VOM26:VOO26"/>
    <mergeCell ref="VOP26:VOR26"/>
    <mergeCell ref="VOS26:VOU26"/>
    <mergeCell ref="VOV26:VOX26"/>
    <mergeCell ref="VNU26:VNW26"/>
    <mergeCell ref="VNX26:VNZ26"/>
    <mergeCell ref="VOA26:VOC26"/>
    <mergeCell ref="VOD26:VOF26"/>
    <mergeCell ref="VOG26:VOI26"/>
    <mergeCell ref="VNF26:VNH26"/>
    <mergeCell ref="VNI26:VNK26"/>
    <mergeCell ref="VNL26:VNN26"/>
    <mergeCell ref="VNO26:VNQ26"/>
    <mergeCell ref="VNR26:VNT26"/>
    <mergeCell ref="VUS26:VUU26"/>
    <mergeCell ref="VUV26:VUX26"/>
    <mergeCell ref="VUY26:VVA26"/>
    <mergeCell ref="VVB26:VVD26"/>
    <mergeCell ref="VVE26:VVG26"/>
    <mergeCell ref="VUD26:VUF26"/>
    <mergeCell ref="VUG26:VUI26"/>
    <mergeCell ref="VUJ26:VUL26"/>
    <mergeCell ref="VUM26:VUO26"/>
    <mergeCell ref="VUP26:VUR26"/>
    <mergeCell ref="VTO26:VTQ26"/>
    <mergeCell ref="VTR26:VTT26"/>
    <mergeCell ref="VTU26:VTW26"/>
    <mergeCell ref="VTX26:VTZ26"/>
    <mergeCell ref="VUA26:VUC26"/>
    <mergeCell ref="VSZ26:VTB26"/>
    <mergeCell ref="VTC26:VTE26"/>
    <mergeCell ref="VTF26:VTH26"/>
    <mergeCell ref="VTI26:VTK26"/>
    <mergeCell ref="VTL26:VTN26"/>
    <mergeCell ref="VSK26:VSM26"/>
    <mergeCell ref="VSN26:VSP26"/>
    <mergeCell ref="VSQ26:VSS26"/>
    <mergeCell ref="VST26:VSV26"/>
    <mergeCell ref="VSW26:VSY26"/>
    <mergeCell ref="VRV26:VRX26"/>
    <mergeCell ref="VRY26:VSA26"/>
    <mergeCell ref="VSB26:VSD26"/>
    <mergeCell ref="VSE26:VSG26"/>
    <mergeCell ref="VSH26:VSJ26"/>
    <mergeCell ref="VRG26:VRI26"/>
    <mergeCell ref="VRJ26:VRL26"/>
    <mergeCell ref="VRM26:VRO26"/>
    <mergeCell ref="VRP26:VRR26"/>
    <mergeCell ref="VRS26:VRU26"/>
    <mergeCell ref="VYT26:VYV26"/>
    <mergeCell ref="VYW26:VYY26"/>
    <mergeCell ref="VYZ26:VZB26"/>
    <mergeCell ref="VZC26:VZE26"/>
    <mergeCell ref="VZF26:VZH26"/>
    <mergeCell ref="VYE26:VYG26"/>
    <mergeCell ref="VYH26:VYJ26"/>
    <mergeCell ref="VYK26:VYM26"/>
    <mergeCell ref="VYN26:VYP26"/>
    <mergeCell ref="VYQ26:VYS26"/>
    <mergeCell ref="VXP26:VXR26"/>
    <mergeCell ref="VXS26:VXU26"/>
    <mergeCell ref="VXV26:VXX26"/>
    <mergeCell ref="VXY26:VYA26"/>
    <mergeCell ref="VYB26:VYD26"/>
    <mergeCell ref="VXA26:VXC26"/>
    <mergeCell ref="VXD26:VXF26"/>
    <mergeCell ref="VXG26:VXI26"/>
    <mergeCell ref="VXJ26:VXL26"/>
    <mergeCell ref="VXM26:VXO26"/>
    <mergeCell ref="VWL26:VWN26"/>
    <mergeCell ref="VWO26:VWQ26"/>
    <mergeCell ref="VWR26:VWT26"/>
    <mergeCell ref="VWU26:VWW26"/>
    <mergeCell ref="VWX26:VWZ26"/>
    <mergeCell ref="VVW26:VVY26"/>
    <mergeCell ref="VVZ26:VWB26"/>
    <mergeCell ref="VWC26:VWE26"/>
    <mergeCell ref="VWF26:VWH26"/>
    <mergeCell ref="VWI26:VWK26"/>
    <mergeCell ref="VVH26:VVJ26"/>
    <mergeCell ref="VVK26:VVM26"/>
    <mergeCell ref="VVN26:VVP26"/>
    <mergeCell ref="VVQ26:VVS26"/>
    <mergeCell ref="VVT26:VVV26"/>
    <mergeCell ref="WCU26:WCW26"/>
    <mergeCell ref="WCX26:WCZ26"/>
    <mergeCell ref="WDA26:WDC26"/>
    <mergeCell ref="WDD26:WDF26"/>
    <mergeCell ref="WDG26:WDI26"/>
    <mergeCell ref="WCF26:WCH26"/>
    <mergeCell ref="WCI26:WCK26"/>
    <mergeCell ref="WCL26:WCN26"/>
    <mergeCell ref="WCO26:WCQ26"/>
    <mergeCell ref="WCR26:WCT26"/>
    <mergeCell ref="WBQ26:WBS26"/>
    <mergeCell ref="WBT26:WBV26"/>
    <mergeCell ref="WBW26:WBY26"/>
    <mergeCell ref="WBZ26:WCB26"/>
    <mergeCell ref="WCC26:WCE26"/>
    <mergeCell ref="WBB26:WBD26"/>
    <mergeCell ref="WBE26:WBG26"/>
    <mergeCell ref="WBH26:WBJ26"/>
    <mergeCell ref="WBK26:WBM26"/>
    <mergeCell ref="WBN26:WBP26"/>
    <mergeCell ref="WAM26:WAO26"/>
    <mergeCell ref="WAP26:WAR26"/>
    <mergeCell ref="WAS26:WAU26"/>
    <mergeCell ref="WAV26:WAX26"/>
    <mergeCell ref="WAY26:WBA26"/>
    <mergeCell ref="VZX26:VZZ26"/>
    <mergeCell ref="WAA26:WAC26"/>
    <mergeCell ref="WAD26:WAF26"/>
    <mergeCell ref="WAG26:WAI26"/>
    <mergeCell ref="WAJ26:WAL26"/>
    <mergeCell ref="VZI26:VZK26"/>
    <mergeCell ref="VZL26:VZN26"/>
    <mergeCell ref="VZO26:VZQ26"/>
    <mergeCell ref="VZR26:VZT26"/>
    <mergeCell ref="VZU26:VZW26"/>
    <mergeCell ref="WGV26:WGX26"/>
    <mergeCell ref="WGY26:WHA26"/>
    <mergeCell ref="WHB26:WHD26"/>
    <mergeCell ref="WHE26:WHG26"/>
    <mergeCell ref="WHH26:WHJ26"/>
    <mergeCell ref="WGG26:WGI26"/>
    <mergeCell ref="WGJ26:WGL26"/>
    <mergeCell ref="WGM26:WGO26"/>
    <mergeCell ref="WGP26:WGR26"/>
    <mergeCell ref="WGS26:WGU26"/>
    <mergeCell ref="WFR26:WFT26"/>
    <mergeCell ref="WFU26:WFW26"/>
    <mergeCell ref="WFX26:WFZ26"/>
    <mergeCell ref="WGA26:WGC26"/>
    <mergeCell ref="WGD26:WGF26"/>
    <mergeCell ref="WFC26:WFE26"/>
    <mergeCell ref="WFF26:WFH26"/>
    <mergeCell ref="WFI26:WFK26"/>
    <mergeCell ref="WFL26:WFN26"/>
    <mergeCell ref="WFO26:WFQ26"/>
    <mergeCell ref="WEN26:WEP26"/>
    <mergeCell ref="WEQ26:WES26"/>
    <mergeCell ref="WET26:WEV26"/>
    <mergeCell ref="WEW26:WEY26"/>
    <mergeCell ref="WEZ26:WFB26"/>
    <mergeCell ref="WDY26:WEA26"/>
    <mergeCell ref="WEB26:WED26"/>
    <mergeCell ref="WEE26:WEG26"/>
    <mergeCell ref="WEH26:WEJ26"/>
    <mergeCell ref="WEK26:WEM26"/>
    <mergeCell ref="WDJ26:WDL26"/>
    <mergeCell ref="WDM26:WDO26"/>
    <mergeCell ref="WDP26:WDR26"/>
    <mergeCell ref="WDS26:WDU26"/>
    <mergeCell ref="WDV26:WDX26"/>
    <mergeCell ref="WKW26:WKY26"/>
    <mergeCell ref="WKZ26:WLB26"/>
    <mergeCell ref="WLC26:WLE26"/>
    <mergeCell ref="WLF26:WLH26"/>
    <mergeCell ref="WLI26:WLK26"/>
    <mergeCell ref="WKH26:WKJ26"/>
    <mergeCell ref="WKK26:WKM26"/>
    <mergeCell ref="WKN26:WKP26"/>
    <mergeCell ref="WKQ26:WKS26"/>
    <mergeCell ref="WKT26:WKV26"/>
    <mergeCell ref="WJS26:WJU26"/>
    <mergeCell ref="WJV26:WJX26"/>
    <mergeCell ref="WJY26:WKA26"/>
    <mergeCell ref="WKB26:WKD26"/>
    <mergeCell ref="WKE26:WKG26"/>
    <mergeCell ref="WJD26:WJF26"/>
    <mergeCell ref="WJG26:WJI26"/>
    <mergeCell ref="WJJ26:WJL26"/>
    <mergeCell ref="WJM26:WJO26"/>
    <mergeCell ref="WJP26:WJR26"/>
    <mergeCell ref="WIO26:WIQ26"/>
    <mergeCell ref="WIR26:WIT26"/>
    <mergeCell ref="WIU26:WIW26"/>
    <mergeCell ref="WIX26:WIZ26"/>
    <mergeCell ref="WJA26:WJC26"/>
    <mergeCell ref="WHZ26:WIB26"/>
    <mergeCell ref="WIC26:WIE26"/>
    <mergeCell ref="WIF26:WIH26"/>
    <mergeCell ref="WII26:WIK26"/>
    <mergeCell ref="WIL26:WIN26"/>
    <mergeCell ref="WHK26:WHM26"/>
    <mergeCell ref="WHN26:WHP26"/>
    <mergeCell ref="WHQ26:WHS26"/>
    <mergeCell ref="WHT26:WHV26"/>
    <mergeCell ref="WHW26:WHY26"/>
    <mergeCell ref="WOX26:WOZ26"/>
    <mergeCell ref="WPA26:WPC26"/>
    <mergeCell ref="WPD26:WPF26"/>
    <mergeCell ref="WPG26:WPI26"/>
    <mergeCell ref="WPJ26:WPL26"/>
    <mergeCell ref="WOI26:WOK26"/>
    <mergeCell ref="WOL26:WON26"/>
    <mergeCell ref="WOO26:WOQ26"/>
    <mergeCell ref="WOR26:WOT26"/>
    <mergeCell ref="WOU26:WOW26"/>
    <mergeCell ref="WNT26:WNV26"/>
    <mergeCell ref="WNW26:WNY26"/>
    <mergeCell ref="WNZ26:WOB26"/>
    <mergeCell ref="WOC26:WOE26"/>
    <mergeCell ref="WOF26:WOH26"/>
    <mergeCell ref="WNE26:WNG26"/>
    <mergeCell ref="WNH26:WNJ26"/>
    <mergeCell ref="WNK26:WNM26"/>
    <mergeCell ref="WNN26:WNP26"/>
    <mergeCell ref="WNQ26:WNS26"/>
    <mergeCell ref="WMP26:WMR26"/>
    <mergeCell ref="WMS26:WMU26"/>
    <mergeCell ref="WMV26:WMX26"/>
    <mergeCell ref="WMY26:WNA26"/>
    <mergeCell ref="WNB26:WND26"/>
    <mergeCell ref="WMA26:WMC26"/>
    <mergeCell ref="WMD26:WMF26"/>
    <mergeCell ref="WMG26:WMI26"/>
    <mergeCell ref="WMJ26:WML26"/>
    <mergeCell ref="WMM26:WMO26"/>
    <mergeCell ref="WLL26:WLN26"/>
    <mergeCell ref="WLO26:WLQ26"/>
    <mergeCell ref="WLR26:WLT26"/>
    <mergeCell ref="WLU26:WLW26"/>
    <mergeCell ref="WLX26:WLZ26"/>
    <mergeCell ref="WSY26:WTA26"/>
    <mergeCell ref="WTB26:WTD26"/>
    <mergeCell ref="WTE26:WTG26"/>
    <mergeCell ref="WTH26:WTJ26"/>
    <mergeCell ref="WTK26:WTM26"/>
    <mergeCell ref="WSJ26:WSL26"/>
    <mergeCell ref="WSM26:WSO26"/>
    <mergeCell ref="WSP26:WSR26"/>
    <mergeCell ref="WSS26:WSU26"/>
    <mergeCell ref="WSV26:WSX26"/>
    <mergeCell ref="WRU26:WRW26"/>
    <mergeCell ref="WRX26:WRZ26"/>
    <mergeCell ref="WSA26:WSC26"/>
    <mergeCell ref="WSD26:WSF26"/>
    <mergeCell ref="WSG26:WSI26"/>
    <mergeCell ref="WRF26:WRH26"/>
    <mergeCell ref="WRI26:WRK26"/>
    <mergeCell ref="WRL26:WRN26"/>
    <mergeCell ref="WRO26:WRQ26"/>
    <mergeCell ref="WRR26:WRT26"/>
    <mergeCell ref="WQQ26:WQS26"/>
    <mergeCell ref="WQT26:WQV26"/>
    <mergeCell ref="WQW26:WQY26"/>
    <mergeCell ref="WQZ26:WRB26"/>
    <mergeCell ref="WRC26:WRE26"/>
    <mergeCell ref="WQB26:WQD26"/>
    <mergeCell ref="WQE26:WQG26"/>
    <mergeCell ref="WQH26:WQJ26"/>
    <mergeCell ref="WQK26:WQM26"/>
    <mergeCell ref="WQN26:WQP26"/>
    <mergeCell ref="WPM26:WPO26"/>
    <mergeCell ref="WPP26:WPR26"/>
    <mergeCell ref="WPS26:WPU26"/>
    <mergeCell ref="WPV26:WPX26"/>
    <mergeCell ref="WPY26:WQA26"/>
    <mergeCell ref="WXC26:WXE26"/>
    <mergeCell ref="WXF26:WXH26"/>
    <mergeCell ref="WXI26:WXK26"/>
    <mergeCell ref="WXL26:WXN26"/>
    <mergeCell ref="WWK26:WWM26"/>
    <mergeCell ref="WWN26:WWP26"/>
    <mergeCell ref="WWQ26:WWS26"/>
    <mergeCell ref="WWT26:WWV26"/>
    <mergeCell ref="WWW26:WWY26"/>
    <mergeCell ref="WVV26:WVX26"/>
    <mergeCell ref="WVY26:WWA26"/>
    <mergeCell ref="WWB26:WWD26"/>
    <mergeCell ref="WWE26:WWG26"/>
    <mergeCell ref="WWH26:WWJ26"/>
    <mergeCell ref="WVG26:WVI26"/>
    <mergeCell ref="WVJ26:WVL26"/>
    <mergeCell ref="WVM26:WVO26"/>
    <mergeCell ref="WVP26:WVR26"/>
    <mergeCell ref="WVS26:WVU26"/>
    <mergeCell ref="WUR26:WUT26"/>
    <mergeCell ref="WUU26:WUW26"/>
    <mergeCell ref="WUX26:WUZ26"/>
    <mergeCell ref="WVA26:WVC26"/>
    <mergeCell ref="WVD26:WVF26"/>
    <mergeCell ref="WUC26:WUE26"/>
    <mergeCell ref="WUF26:WUH26"/>
    <mergeCell ref="WUI26:WUK26"/>
    <mergeCell ref="WUL26:WUN26"/>
    <mergeCell ref="WUO26:WUQ26"/>
    <mergeCell ref="WTN26:WTP26"/>
    <mergeCell ref="WTQ26:WTS26"/>
    <mergeCell ref="WTT26:WTV26"/>
    <mergeCell ref="WTW26:WTY26"/>
    <mergeCell ref="WTZ26:WUB26"/>
    <mergeCell ref="XES26:XEU26"/>
    <mergeCell ref="XEV26:XEX26"/>
    <mergeCell ref="XEY26:XFA26"/>
    <mergeCell ref="XDX26:XDZ26"/>
    <mergeCell ref="XEA26:XEC26"/>
    <mergeCell ref="XED26:XEF26"/>
    <mergeCell ref="XEG26:XEI26"/>
    <mergeCell ref="XEJ26:XEL26"/>
    <mergeCell ref="XDI26:XDK26"/>
    <mergeCell ref="XDL26:XDN26"/>
    <mergeCell ref="XDO26:XDQ26"/>
    <mergeCell ref="XDR26:XDT26"/>
    <mergeCell ref="XDU26:XDW26"/>
    <mergeCell ref="XCT26:XCV26"/>
    <mergeCell ref="XCW26:XCY26"/>
    <mergeCell ref="XCZ26:XDB26"/>
    <mergeCell ref="XDC26:XDE26"/>
    <mergeCell ref="XDF26:XDH26"/>
    <mergeCell ref="XCE26:XCG26"/>
    <mergeCell ref="XCH26:XCJ26"/>
    <mergeCell ref="XCK26:XCM26"/>
    <mergeCell ref="XCN26:XCP26"/>
    <mergeCell ref="XCQ26:XCS26"/>
    <mergeCell ref="XBP26:XBR26"/>
    <mergeCell ref="XBS26:XBU26"/>
    <mergeCell ref="XBV26:XBX26"/>
    <mergeCell ref="XBY26:XCA26"/>
    <mergeCell ref="XCB26:XCD26"/>
    <mergeCell ref="XBA26:XBC26"/>
    <mergeCell ref="XBD26:XBF26"/>
    <mergeCell ref="XBG26:XBI26"/>
    <mergeCell ref="XBJ26:XBL26"/>
    <mergeCell ref="XBM26:XBO26"/>
    <mergeCell ref="CK27:CM27"/>
    <mergeCell ref="CN27:CP27"/>
    <mergeCell ref="CQ27:CS27"/>
    <mergeCell ref="CT27:CV27"/>
    <mergeCell ref="CW27:CY27"/>
    <mergeCell ref="BV27:BX27"/>
    <mergeCell ref="BY27:CA27"/>
    <mergeCell ref="CB27:CD27"/>
    <mergeCell ref="CE27:CG27"/>
    <mergeCell ref="CH27:CJ27"/>
    <mergeCell ref="BG27:BI27"/>
    <mergeCell ref="BJ27:BL27"/>
    <mergeCell ref="BM27:BO27"/>
    <mergeCell ref="BP27:BR27"/>
    <mergeCell ref="BS27:BU27"/>
    <mergeCell ref="AR27:AT27"/>
    <mergeCell ref="AU27:AW27"/>
    <mergeCell ref="AX27:AZ27"/>
    <mergeCell ref="BA27:BC27"/>
    <mergeCell ref="BD27:BF27"/>
    <mergeCell ref="AC27:AE27"/>
    <mergeCell ref="AF27:AH27"/>
    <mergeCell ref="AI27:AK27"/>
    <mergeCell ref="AL27:AN27"/>
    <mergeCell ref="AO27:AQ27"/>
    <mergeCell ref="N27:P27"/>
    <mergeCell ref="Q27:S27"/>
    <mergeCell ref="T27:V27"/>
    <mergeCell ref="W27:Y27"/>
    <mergeCell ref="Z27:AB27"/>
    <mergeCell ref="XEM26:XEO26"/>
    <mergeCell ref="XEP26:XER26"/>
    <mergeCell ref="XAL26:XAN26"/>
    <mergeCell ref="XAO26:XAQ26"/>
    <mergeCell ref="XAR26:XAT26"/>
    <mergeCell ref="XAU26:XAW26"/>
    <mergeCell ref="XAX26:XAZ26"/>
    <mergeCell ref="WZW26:WZY26"/>
    <mergeCell ref="WZZ26:XAB26"/>
    <mergeCell ref="XAC26:XAE26"/>
    <mergeCell ref="XAF26:XAH26"/>
    <mergeCell ref="XAI26:XAK26"/>
    <mergeCell ref="WZH26:WZJ26"/>
    <mergeCell ref="WZK26:WZM26"/>
    <mergeCell ref="WZN26:WZP26"/>
    <mergeCell ref="WZQ26:WZS26"/>
    <mergeCell ref="WZT26:WZV26"/>
    <mergeCell ref="WYS26:WYU26"/>
    <mergeCell ref="WYV26:WYX26"/>
    <mergeCell ref="WYY26:WZA26"/>
    <mergeCell ref="WZB26:WZD26"/>
    <mergeCell ref="WZE26:WZG26"/>
    <mergeCell ref="WYD26:WYF26"/>
    <mergeCell ref="WYG26:WYI26"/>
    <mergeCell ref="WYJ26:WYL26"/>
    <mergeCell ref="WYM26:WYO26"/>
    <mergeCell ref="WYP26:WYR26"/>
    <mergeCell ref="WXO26:WXQ26"/>
    <mergeCell ref="WXR26:WXT26"/>
    <mergeCell ref="WXU26:WXW26"/>
    <mergeCell ref="WXX26:WXZ26"/>
    <mergeCell ref="WYA26:WYC26"/>
    <mergeCell ref="WWZ26:WXB26"/>
    <mergeCell ref="GL27:GN27"/>
    <mergeCell ref="GO27:GQ27"/>
    <mergeCell ref="GR27:GT27"/>
    <mergeCell ref="GU27:GW27"/>
    <mergeCell ref="GX27:GZ27"/>
    <mergeCell ref="FW27:FY27"/>
    <mergeCell ref="FZ27:GB27"/>
    <mergeCell ref="GC27:GE27"/>
    <mergeCell ref="GF27:GH27"/>
    <mergeCell ref="GI27:GK27"/>
    <mergeCell ref="FH27:FJ27"/>
    <mergeCell ref="FK27:FM27"/>
    <mergeCell ref="FN27:FP27"/>
    <mergeCell ref="FQ27:FS27"/>
    <mergeCell ref="FT27:FV27"/>
    <mergeCell ref="ES27:EU27"/>
    <mergeCell ref="EV27:EX27"/>
    <mergeCell ref="EY27:FA27"/>
    <mergeCell ref="FB27:FD27"/>
    <mergeCell ref="FE27:FG27"/>
    <mergeCell ref="ED27:EF27"/>
    <mergeCell ref="EG27:EI27"/>
    <mergeCell ref="EJ27:EL27"/>
    <mergeCell ref="EM27:EO27"/>
    <mergeCell ref="EP27:ER27"/>
    <mergeCell ref="DO27:DQ27"/>
    <mergeCell ref="DR27:DT27"/>
    <mergeCell ref="DU27:DW27"/>
    <mergeCell ref="DX27:DZ27"/>
    <mergeCell ref="EA27:EC27"/>
    <mergeCell ref="CZ27:DB27"/>
    <mergeCell ref="DC27:DE27"/>
    <mergeCell ref="DF27:DH27"/>
    <mergeCell ref="DI27:DK27"/>
    <mergeCell ref="DL27:DN27"/>
    <mergeCell ref="KM27:KO27"/>
    <mergeCell ref="KP27:KR27"/>
    <mergeCell ref="KS27:KU27"/>
    <mergeCell ref="KV27:KX27"/>
    <mergeCell ref="KY27:LA27"/>
    <mergeCell ref="JX27:JZ27"/>
    <mergeCell ref="KA27:KC27"/>
    <mergeCell ref="KD27:KF27"/>
    <mergeCell ref="KG27:KI27"/>
    <mergeCell ref="KJ27:KL27"/>
    <mergeCell ref="JI27:JK27"/>
    <mergeCell ref="JL27:JN27"/>
    <mergeCell ref="JO27:JQ27"/>
    <mergeCell ref="JR27:JT27"/>
    <mergeCell ref="JU27:JW27"/>
    <mergeCell ref="IT27:IV27"/>
    <mergeCell ref="IW27:IY27"/>
    <mergeCell ref="IZ27:JB27"/>
    <mergeCell ref="JC27:JE27"/>
    <mergeCell ref="JF27:JH27"/>
    <mergeCell ref="IE27:IG27"/>
    <mergeCell ref="IH27:IJ27"/>
    <mergeCell ref="IK27:IM27"/>
    <mergeCell ref="IN27:IP27"/>
    <mergeCell ref="IQ27:IS27"/>
    <mergeCell ref="HP27:HR27"/>
    <mergeCell ref="HS27:HU27"/>
    <mergeCell ref="HV27:HX27"/>
    <mergeCell ref="HY27:IA27"/>
    <mergeCell ref="IB27:ID27"/>
    <mergeCell ref="HA27:HC27"/>
    <mergeCell ref="HD27:HF27"/>
    <mergeCell ref="HG27:HI27"/>
    <mergeCell ref="HJ27:HL27"/>
    <mergeCell ref="HM27:HO27"/>
    <mergeCell ref="ON27:OP27"/>
    <mergeCell ref="OQ27:OS27"/>
    <mergeCell ref="OT27:OV27"/>
    <mergeCell ref="OW27:OY27"/>
    <mergeCell ref="OZ27:PB27"/>
    <mergeCell ref="NY27:OA27"/>
    <mergeCell ref="OB27:OD27"/>
    <mergeCell ref="OE27:OG27"/>
    <mergeCell ref="OH27:OJ27"/>
    <mergeCell ref="OK27:OM27"/>
    <mergeCell ref="NJ27:NL27"/>
    <mergeCell ref="NM27:NO27"/>
    <mergeCell ref="NP27:NR27"/>
    <mergeCell ref="NS27:NU27"/>
    <mergeCell ref="NV27:NX27"/>
    <mergeCell ref="MU27:MW27"/>
    <mergeCell ref="MX27:MZ27"/>
    <mergeCell ref="NA27:NC27"/>
    <mergeCell ref="ND27:NF27"/>
    <mergeCell ref="NG27:NI27"/>
    <mergeCell ref="MF27:MH27"/>
    <mergeCell ref="MI27:MK27"/>
    <mergeCell ref="ML27:MN27"/>
    <mergeCell ref="MO27:MQ27"/>
    <mergeCell ref="MR27:MT27"/>
    <mergeCell ref="LQ27:LS27"/>
    <mergeCell ref="LT27:LV27"/>
    <mergeCell ref="LW27:LY27"/>
    <mergeCell ref="LZ27:MB27"/>
    <mergeCell ref="MC27:ME27"/>
    <mergeCell ref="LB27:LD27"/>
    <mergeCell ref="LE27:LG27"/>
    <mergeCell ref="LH27:LJ27"/>
    <mergeCell ref="LK27:LM27"/>
    <mergeCell ref="LN27:LP27"/>
    <mergeCell ref="SO27:SQ27"/>
    <mergeCell ref="SR27:ST27"/>
    <mergeCell ref="SU27:SW27"/>
    <mergeCell ref="SX27:SZ27"/>
    <mergeCell ref="TA27:TC27"/>
    <mergeCell ref="RZ27:SB27"/>
    <mergeCell ref="SC27:SE27"/>
    <mergeCell ref="SF27:SH27"/>
    <mergeCell ref="SI27:SK27"/>
    <mergeCell ref="SL27:SN27"/>
    <mergeCell ref="RK27:RM27"/>
    <mergeCell ref="RN27:RP27"/>
    <mergeCell ref="RQ27:RS27"/>
    <mergeCell ref="RT27:RV27"/>
    <mergeCell ref="RW27:RY27"/>
    <mergeCell ref="QV27:QX27"/>
    <mergeCell ref="QY27:RA27"/>
    <mergeCell ref="RB27:RD27"/>
    <mergeCell ref="RE27:RG27"/>
    <mergeCell ref="RH27:RJ27"/>
    <mergeCell ref="QG27:QI27"/>
    <mergeCell ref="QJ27:QL27"/>
    <mergeCell ref="QM27:QO27"/>
    <mergeCell ref="QP27:QR27"/>
    <mergeCell ref="QS27:QU27"/>
    <mergeCell ref="PR27:PT27"/>
    <mergeCell ref="PU27:PW27"/>
    <mergeCell ref="PX27:PZ27"/>
    <mergeCell ref="QA27:QC27"/>
    <mergeCell ref="QD27:QF27"/>
    <mergeCell ref="PC27:PE27"/>
    <mergeCell ref="PF27:PH27"/>
    <mergeCell ref="PI27:PK27"/>
    <mergeCell ref="PL27:PN27"/>
    <mergeCell ref="PO27:PQ27"/>
    <mergeCell ref="WP27:WR27"/>
    <mergeCell ref="WS27:WU27"/>
    <mergeCell ref="WV27:WX27"/>
    <mergeCell ref="WY27:XA27"/>
    <mergeCell ref="XB27:XD27"/>
    <mergeCell ref="WA27:WC27"/>
    <mergeCell ref="WD27:WF27"/>
    <mergeCell ref="WG27:WI27"/>
    <mergeCell ref="WJ27:WL27"/>
    <mergeCell ref="WM27:WO27"/>
    <mergeCell ref="VL27:VN27"/>
    <mergeCell ref="VO27:VQ27"/>
    <mergeCell ref="VR27:VT27"/>
    <mergeCell ref="VU27:VW27"/>
    <mergeCell ref="VX27:VZ27"/>
    <mergeCell ref="UW27:UY27"/>
    <mergeCell ref="UZ27:VB27"/>
    <mergeCell ref="VC27:VE27"/>
    <mergeCell ref="VF27:VH27"/>
    <mergeCell ref="VI27:VK27"/>
    <mergeCell ref="UH27:UJ27"/>
    <mergeCell ref="UK27:UM27"/>
    <mergeCell ref="UN27:UP27"/>
    <mergeCell ref="UQ27:US27"/>
    <mergeCell ref="UT27:UV27"/>
    <mergeCell ref="TS27:TU27"/>
    <mergeCell ref="TV27:TX27"/>
    <mergeCell ref="TY27:UA27"/>
    <mergeCell ref="UB27:UD27"/>
    <mergeCell ref="UE27:UG27"/>
    <mergeCell ref="TD27:TF27"/>
    <mergeCell ref="TG27:TI27"/>
    <mergeCell ref="TJ27:TL27"/>
    <mergeCell ref="TM27:TO27"/>
    <mergeCell ref="TP27:TR27"/>
    <mergeCell ref="AAQ27:AAS27"/>
    <mergeCell ref="AAT27:AAV27"/>
    <mergeCell ref="AAW27:AAY27"/>
    <mergeCell ref="AAZ27:ABB27"/>
    <mergeCell ref="ABC27:ABE27"/>
    <mergeCell ref="AAB27:AAD27"/>
    <mergeCell ref="AAE27:AAG27"/>
    <mergeCell ref="AAH27:AAJ27"/>
    <mergeCell ref="AAK27:AAM27"/>
    <mergeCell ref="AAN27:AAP27"/>
    <mergeCell ref="ZM27:ZO27"/>
    <mergeCell ref="ZP27:ZR27"/>
    <mergeCell ref="ZS27:ZU27"/>
    <mergeCell ref="ZV27:ZX27"/>
    <mergeCell ref="ZY27:AAA27"/>
    <mergeCell ref="YX27:YZ27"/>
    <mergeCell ref="ZA27:ZC27"/>
    <mergeCell ref="ZD27:ZF27"/>
    <mergeCell ref="ZG27:ZI27"/>
    <mergeCell ref="ZJ27:ZL27"/>
    <mergeCell ref="YI27:YK27"/>
    <mergeCell ref="YL27:YN27"/>
    <mergeCell ref="YO27:YQ27"/>
    <mergeCell ref="YR27:YT27"/>
    <mergeCell ref="YU27:YW27"/>
    <mergeCell ref="XT27:XV27"/>
    <mergeCell ref="XW27:XY27"/>
    <mergeCell ref="XZ27:YB27"/>
    <mergeCell ref="YC27:YE27"/>
    <mergeCell ref="YF27:YH27"/>
    <mergeCell ref="XE27:XG27"/>
    <mergeCell ref="XH27:XJ27"/>
    <mergeCell ref="XK27:XM27"/>
    <mergeCell ref="XN27:XP27"/>
    <mergeCell ref="XQ27:XS27"/>
    <mergeCell ref="AER27:AET27"/>
    <mergeCell ref="AEU27:AEW27"/>
    <mergeCell ref="AEX27:AEZ27"/>
    <mergeCell ref="AFA27:AFC27"/>
    <mergeCell ref="AFD27:AFF27"/>
    <mergeCell ref="AEC27:AEE27"/>
    <mergeCell ref="AEF27:AEH27"/>
    <mergeCell ref="AEI27:AEK27"/>
    <mergeCell ref="AEL27:AEN27"/>
    <mergeCell ref="AEO27:AEQ27"/>
    <mergeCell ref="ADN27:ADP27"/>
    <mergeCell ref="ADQ27:ADS27"/>
    <mergeCell ref="ADT27:ADV27"/>
    <mergeCell ref="ADW27:ADY27"/>
    <mergeCell ref="ADZ27:AEB27"/>
    <mergeCell ref="ACY27:ADA27"/>
    <mergeCell ref="ADB27:ADD27"/>
    <mergeCell ref="ADE27:ADG27"/>
    <mergeCell ref="ADH27:ADJ27"/>
    <mergeCell ref="ADK27:ADM27"/>
    <mergeCell ref="ACJ27:ACL27"/>
    <mergeCell ref="ACM27:ACO27"/>
    <mergeCell ref="ACP27:ACR27"/>
    <mergeCell ref="ACS27:ACU27"/>
    <mergeCell ref="ACV27:ACX27"/>
    <mergeCell ref="ABU27:ABW27"/>
    <mergeCell ref="ABX27:ABZ27"/>
    <mergeCell ref="ACA27:ACC27"/>
    <mergeCell ref="ACD27:ACF27"/>
    <mergeCell ref="ACG27:ACI27"/>
    <mergeCell ref="ABF27:ABH27"/>
    <mergeCell ref="ABI27:ABK27"/>
    <mergeCell ref="ABL27:ABN27"/>
    <mergeCell ref="ABO27:ABQ27"/>
    <mergeCell ref="ABR27:ABT27"/>
    <mergeCell ref="AIS27:AIU27"/>
    <mergeCell ref="AIV27:AIX27"/>
    <mergeCell ref="AIY27:AJA27"/>
    <mergeCell ref="AJB27:AJD27"/>
    <mergeCell ref="AJE27:AJG27"/>
    <mergeCell ref="AID27:AIF27"/>
    <mergeCell ref="AIG27:AII27"/>
    <mergeCell ref="AIJ27:AIL27"/>
    <mergeCell ref="AIM27:AIO27"/>
    <mergeCell ref="AIP27:AIR27"/>
    <mergeCell ref="AHO27:AHQ27"/>
    <mergeCell ref="AHR27:AHT27"/>
    <mergeCell ref="AHU27:AHW27"/>
    <mergeCell ref="AHX27:AHZ27"/>
    <mergeCell ref="AIA27:AIC27"/>
    <mergeCell ref="AGZ27:AHB27"/>
    <mergeCell ref="AHC27:AHE27"/>
    <mergeCell ref="AHF27:AHH27"/>
    <mergeCell ref="AHI27:AHK27"/>
    <mergeCell ref="AHL27:AHN27"/>
    <mergeCell ref="AGK27:AGM27"/>
    <mergeCell ref="AGN27:AGP27"/>
    <mergeCell ref="AGQ27:AGS27"/>
    <mergeCell ref="AGT27:AGV27"/>
    <mergeCell ref="AGW27:AGY27"/>
    <mergeCell ref="AFV27:AFX27"/>
    <mergeCell ref="AFY27:AGA27"/>
    <mergeCell ref="AGB27:AGD27"/>
    <mergeCell ref="AGE27:AGG27"/>
    <mergeCell ref="AGH27:AGJ27"/>
    <mergeCell ref="AFG27:AFI27"/>
    <mergeCell ref="AFJ27:AFL27"/>
    <mergeCell ref="AFM27:AFO27"/>
    <mergeCell ref="AFP27:AFR27"/>
    <mergeCell ref="AFS27:AFU27"/>
    <mergeCell ref="AMT27:AMV27"/>
    <mergeCell ref="AMW27:AMY27"/>
    <mergeCell ref="AMZ27:ANB27"/>
    <mergeCell ref="ANC27:ANE27"/>
    <mergeCell ref="ANF27:ANH27"/>
    <mergeCell ref="AME27:AMG27"/>
    <mergeCell ref="AMH27:AMJ27"/>
    <mergeCell ref="AMK27:AMM27"/>
    <mergeCell ref="AMN27:AMP27"/>
    <mergeCell ref="AMQ27:AMS27"/>
    <mergeCell ref="ALP27:ALR27"/>
    <mergeCell ref="ALS27:ALU27"/>
    <mergeCell ref="ALV27:ALX27"/>
    <mergeCell ref="ALY27:AMA27"/>
    <mergeCell ref="AMB27:AMD27"/>
    <mergeCell ref="ALA27:ALC27"/>
    <mergeCell ref="ALD27:ALF27"/>
    <mergeCell ref="ALG27:ALI27"/>
    <mergeCell ref="ALJ27:ALL27"/>
    <mergeCell ref="ALM27:ALO27"/>
    <mergeCell ref="AKL27:AKN27"/>
    <mergeCell ref="AKO27:AKQ27"/>
    <mergeCell ref="AKR27:AKT27"/>
    <mergeCell ref="AKU27:AKW27"/>
    <mergeCell ref="AKX27:AKZ27"/>
    <mergeCell ref="AJW27:AJY27"/>
    <mergeCell ref="AJZ27:AKB27"/>
    <mergeCell ref="AKC27:AKE27"/>
    <mergeCell ref="AKF27:AKH27"/>
    <mergeCell ref="AKI27:AKK27"/>
    <mergeCell ref="AJH27:AJJ27"/>
    <mergeCell ref="AJK27:AJM27"/>
    <mergeCell ref="AJN27:AJP27"/>
    <mergeCell ref="AJQ27:AJS27"/>
    <mergeCell ref="AJT27:AJV27"/>
    <mergeCell ref="AQU27:AQW27"/>
    <mergeCell ref="AQX27:AQZ27"/>
    <mergeCell ref="ARA27:ARC27"/>
    <mergeCell ref="ARD27:ARF27"/>
    <mergeCell ref="ARG27:ARI27"/>
    <mergeCell ref="AQF27:AQH27"/>
    <mergeCell ref="AQI27:AQK27"/>
    <mergeCell ref="AQL27:AQN27"/>
    <mergeCell ref="AQO27:AQQ27"/>
    <mergeCell ref="AQR27:AQT27"/>
    <mergeCell ref="APQ27:APS27"/>
    <mergeCell ref="APT27:APV27"/>
    <mergeCell ref="APW27:APY27"/>
    <mergeCell ref="APZ27:AQB27"/>
    <mergeCell ref="AQC27:AQE27"/>
    <mergeCell ref="APB27:APD27"/>
    <mergeCell ref="APE27:APG27"/>
    <mergeCell ref="APH27:APJ27"/>
    <mergeCell ref="APK27:APM27"/>
    <mergeCell ref="APN27:APP27"/>
    <mergeCell ref="AOM27:AOO27"/>
    <mergeCell ref="AOP27:AOR27"/>
    <mergeCell ref="AOS27:AOU27"/>
    <mergeCell ref="AOV27:AOX27"/>
    <mergeCell ref="AOY27:APA27"/>
    <mergeCell ref="ANX27:ANZ27"/>
    <mergeCell ref="AOA27:AOC27"/>
    <mergeCell ref="AOD27:AOF27"/>
    <mergeCell ref="AOG27:AOI27"/>
    <mergeCell ref="AOJ27:AOL27"/>
    <mergeCell ref="ANI27:ANK27"/>
    <mergeCell ref="ANL27:ANN27"/>
    <mergeCell ref="ANO27:ANQ27"/>
    <mergeCell ref="ANR27:ANT27"/>
    <mergeCell ref="ANU27:ANW27"/>
    <mergeCell ref="AUV27:AUX27"/>
    <mergeCell ref="AUY27:AVA27"/>
    <mergeCell ref="AVB27:AVD27"/>
    <mergeCell ref="AVE27:AVG27"/>
    <mergeCell ref="AVH27:AVJ27"/>
    <mergeCell ref="AUG27:AUI27"/>
    <mergeCell ref="AUJ27:AUL27"/>
    <mergeCell ref="AUM27:AUO27"/>
    <mergeCell ref="AUP27:AUR27"/>
    <mergeCell ref="AUS27:AUU27"/>
    <mergeCell ref="ATR27:ATT27"/>
    <mergeCell ref="ATU27:ATW27"/>
    <mergeCell ref="ATX27:ATZ27"/>
    <mergeCell ref="AUA27:AUC27"/>
    <mergeCell ref="AUD27:AUF27"/>
    <mergeCell ref="ATC27:ATE27"/>
    <mergeCell ref="ATF27:ATH27"/>
    <mergeCell ref="ATI27:ATK27"/>
    <mergeCell ref="ATL27:ATN27"/>
    <mergeCell ref="ATO27:ATQ27"/>
    <mergeCell ref="ASN27:ASP27"/>
    <mergeCell ref="ASQ27:ASS27"/>
    <mergeCell ref="AST27:ASV27"/>
    <mergeCell ref="ASW27:ASY27"/>
    <mergeCell ref="ASZ27:ATB27"/>
    <mergeCell ref="ARY27:ASA27"/>
    <mergeCell ref="ASB27:ASD27"/>
    <mergeCell ref="ASE27:ASG27"/>
    <mergeCell ref="ASH27:ASJ27"/>
    <mergeCell ref="ASK27:ASM27"/>
    <mergeCell ref="ARJ27:ARL27"/>
    <mergeCell ref="ARM27:ARO27"/>
    <mergeCell ref="ARP27:ARR27"/>
    <mergeCell ref="ARS27:ARU27"/>
    <mergeCell ref="ARV27:ARX27"/>
    <mergeCell ref="AYW27:AYY27"/>
    <mergeCell ref="AYZ27:AZB27"/>
    <mergeCell ref="AZC27:AZE27"/>
    <mergeCell ref="AZF27:AZH27"/>
    <mergeCell ref="AZI27:AZK27"/>
    <mergeCell ref="AYH27:AYJ27"/>
    <mergeCell ref="AYK27:AYM27"/>
    <mergeCell ref="AYN27:AYP27"/>
    <mergeCell ref="AYQ27:AYS27"/>
    <mergeCell ref="AYT27:AYV27"/>
    <mergeCell ref="AXS27:AXU27"/>
    <mergeCell ref="AXV27:AXX27"/>
    <mergeCell ref="AXY27:AYA27"/>
    <mergeCell ref="AYB27:AYD27"/>
    <mergeCell ref="AYE27:AYG27"/>
    <mergeCell ref="AXD27:AXF27"/>
    <mergeCell ref="AXG27:AXI27"/>
    <mergeCell ref="AXJ27:AXL27"/>
    <mergeCell ref="AXM27:AXO27"/>
    <mergeCell ref="AXP27:AXR27"/>
    <mergeCell ref="AWO27:AWQ27"/>
    <mergeCell ref="AWR27:AWT27"/>
    <mergeCell ref="AWU27:AWW27"/>
    <mergeCell ref="AWX27:AWZ27"/>
    <mergeCell ref="AXA27:AXC27"/>
    <mergeCell ref="AVZ27:AWB27"/>
    <mergeCell ref="AWC27:AWE27"/>
    <mergeCell ref="AWF27:AWH27"/>
    <mergeCell ref="AWI27:AWK27"/>
    <mergeCell ref="AWL27:AWN27"/>
    <mergeCell ref="AVK27:AVM27"/>
    <mergeCell ref="AVN27:AVP27"/>
    <mergeCell ref="AVQ27:AVS27"/>
    <mergeCell ref="AVT27:AVV27"/>
    <mergeCell ref="AVW27:AVY27"/>
    <mergeCell ref="BCX27:BCZ27"/>
    <mergeCell ref="BDA27:BDC27"/>
    <mergeCell ref="BDD27:BDF27"/>
    <mergeCell ref="BDG27:BDI27"/>
    <mergeCell ref="BDJ27:BDL27"/>
    <mergeCell ref="BCI27:BCK27"/>
    <mergeCell ref="BCL27:BCN27"/>
    <mergeCell ref="BCO27:BCQ27"/>
    <mergeCell ref="BCR27:BCT27"/>
    <mergeCell ref="BCU27:BCW27"/>
    <mergeCell ref="BBT27:BBV27"/>
    <mergeCell ref="BBW27:BBY27"/>
    <mergeCell ref="BBZ27:BCB27"/>
    <mergeCell ref="BCC27:BCE27"/>
    <mergeCell ref="BCF27:BCH27"/>
    <mergeCell ref="BBE27:BBG27"/>
    <mergeCell ref="BBH27:BBJ27"/>
    <mergeCell ref="BBK27:BBM27"/>
    <mergeCell ref="BBN27:BBP27"/>
    <mergeCell ref="BBQ27:BBS27"/>
    <mergeCell ref="BAP27:BAR27"/>
    <mergeCell ref="BAS27:BAU27"/>
    <mergeCell ref="BAV27:BAX27"/>
    <mergeCell ref="BAY27:BBA27"/>
    <mergeCell ref="BBB27:BBD27"/>
    <mergeCell ref="BAA27:BAC27"/>
    <mergeCell ref="BAD27:BAF27"/>
    <mergeCell ref="BAG27:BAI27"/>
    <mergeCell ref="BAJ27:BAL27"/>
    <mergeCell ref="BAM27:BAO27"/>
    <mergeCell ref="AZL27:AZN27"/>
    <mergeCell ref="AZO27:AZQ27"/>
    <mergeCell ref="AZR27:AZT27"/>
    <mergeCell ref="AZU27:AZW27"/>
    <mergeCell ref="AZX27:AZZ27"/>
    <mergeCell ref="BGY27:BHA27"/>
    <mergeCell ref="BHB27:BHD27"/>
    <mergeCell ref="BHE27:BHG27"/>
    <mergeCell ref="BHH27:BHJ27"/>
    <mergeCell ref="BHK27:BHM27"/>
    <mergeCell ref="BGJ27:BGL27"/>
    <mergeCell ref="BGM27:BGO27"/>
    <mergeCell ref="BGP27:BGR27"/>
    <mergeCell ref="BGS27:BGU27"/>
    <mergeCell ref="BGV27:BGX27"/>
    <mergeCell ref="BFU27:BFW27"/>
    <mergeCell ref="BFX27:BFZ27"/>
    <mergeCell ref="BGA27:BGC27"/>
    <mergeCell ref="BGD27:BGF27"/>
    <mergeCell ref="BGG27:BGI27"/>
    <mergeCell ref="BFF27:BFH27"/>
    <mergeCell ref="BFI27:BFK27"/>
    <mergeCell ref="BFL27:BFN27"/>
    <mergeCell ref="BFO27:BFQ27"/>
    <mergeCell ref="BFR27:BFT27"/>
    <mergeCell ref="BEQ27:BES27"/>
    <mergeCell ref="BET27:BEV27"/>
    <mergeCell ref="BEW27:BEY27"/>
    <mergeCell ref="BEZ27:BFB27"/>
    <mergeCell ref="BFC27:BFE27"/>
    <mergeCell ref="BEB27:BED27"/>
    <mergeCell ref="BEE27:BEG27"/>
    <mergeCell ref="BEH27:BEJ27"/>
    <mergeCell ref="BEK27:BEM27"/>
    <mergeCell ref="BEN27:BEP27"/>
    <mergeCell ref="BDM27:BDO27"/>
    <mergeCell ref="BDP27:BDR27"/>
    <mergeCell ref="BDS27:BDU27"/>
    <mergeCell ref="BDV27:BDX27"/>
    <mergeCell ref="BDY27:BEA27"/>
    <mergeCell ref="BKZ27:BLB27"/>
    <mergeCell ref="BLC27:BLE27"/>
    <mergeCell ref="BLF27:BLH27"/>
    <mergeCell ref="BLI27:BLK27"/>
    <mergeCell ref="BLL27:BLN27"/>
    <mergeCell ref="BKK27:BKM27"/>
    <mergeCell ref="BKN27:BKP27"/>
    <mergeCell ref="BKQ27:BKS27"/>
    <mergeCell ref="BKT27:BKV27"/>
    <mergeCell ref="BKW27:BKY27"/>
    <mergeCell ref="BJV27:BJX27"/>
    <mergeCell ref="BJY27:BKA27"/>
    <mergeCell ref="BKB27:BKD27"/>
    <mergeCell ref="BKE27:BKG27"/>
    <mergeCell ref="BKH27:BKJ27"/>
    <mergeCell ref="BJG27:BJI27"/>
    <mergeCell ref="BJJ27:BJL27"/>
    <mergeCell ref="BJM27:BJO27"/>
    <mergeCell ref="BJP27:BJR27"/>
    <mergeCell ref="BJS27:BJU27"/>
    <mergeCell ref="BIR27:BIT27"/>
    <mergeCell ref="BIU27:BIW27"/>
    <mergeCell ref="BIX27:BIZ27"/>
    <mergeCell ref="BJA27:BJC27"/>
    <mergeCell ref="BJD27:BJF27"/>
    <mergeCell ref="BIC27:BIE27"/>
    <mergeCell ref="BIF27:BIH27"/>
    <mergeCell ref="BII27:BIK27"/>
    <mergeCell ref="BIL27:BIN27"/>
    <mergeCell ref="BIO27:BIQ27"/>
    <mergeCell ref="BHN27:BHP27"/>
    <mergeCell ref="BHQ27:BHS27"/>
    <mergeCell ref="BHT27:BHV27"/>
    <mergeCell ref="BHW27:BHY27"/>
    <mergeCell ref="BHZ27:BIB27"/>
    <mergeCell ref="BPA27:BPC27"/>
    <mergeCell ref="BPD27:BPF27"/>
    <mergeCell ref="BPG27:BPI27"/>
    <mergeCell ref="BPJ27:BPL27"/>
    <mergeCell ref="BPM27:BPO27"/>
    <mergeCell ref="BOL27:BON27"/>
    <mergeCell ref="BOO27:BOQ27"/>
    <mergeCell ref="BOR27:BOT27"/>
    <mergeCell ref="BOU27:BOW27"/>
    <mergeCell ref="BOX27:BOZ27"/>
    <mergeCell ref="BNW27:BNY27"/>
    <mergeCell ref="BNZ27:BOB27"/>
    <mergeCell ref="BOC27:BOE27"/>
    <mergeCell ref="BOF27:BOH27"/>
    <mergeCell ref="BOI27:BOK27"/>
    <mergeCell ref="BNH27:BNJ27"/>
    <mergeCell ref="BNK27:BNM27"/>
    <mergeCell ref="BNN27:BNP27"/>
    <mergeCell ref="BNQ27:BNS27"/>
    <mergeCell ref="BNT27:BNV27"/>
    <mergeCell ref="BMS27:BMU27"/>
    <mergeCell ref="BMV27:BMX27"/>
    <mergeCell ref="BMY27:BNA27"/>
    <mergeCell ref="BNB27:BND27"/>
    <mergeCell ref="BNE27:BNG27"/>
    <mergeCell ref="BMD27:BMF27"/>
    <mergeCell ref="BMG27:BMI27"/>
    <mergeCell ref="BMJ27:BML27"/>
    <mergeCell ref="BMM27:BMO27"/>
    <mergeCell ref="BMP27:BMR27"/>
    <mergeCell ref="BLO27:BLQ27"/>
    <mergeCell ref="BLR27:BLT27"/>
    <mergeCell ref="BLU27:BLW27"/>
    <mergeCell ref="BLX27:BLZ27"/>
    <mergeCell ref="BMA27:BMC27"/>
    <mergeCell ref="BTB27:BTD27"/>
    <mergeCell ref="BTE27:BTG27"/>
    <mergeCell ref="BTH27:BTJ27"/>
    <mergeCell ref="BTK27:BTM27"/>
    <mergeCell ref="BTN27:BTP27"/>
    <mergeCell ref="BSM27:BSO27"/>
    <mergeCell ref="BSP27:BSR27"/>
    <mergeCell ref="BSS27:BSU27"/>
    <mergeCell ref="BSV27:BSX27"/>
    <mergeCell ref="BSY27:BTA27"/>
    <mergeCell ref="BRX27:BRZ27"/>
    <mergeCell ref="BSA27:BSC27"/>
    <mergeCell ref="BSD27:BSF27"/>
    <mergeCell ref="BSG27:BSI27"/>
    <mergeCell ref="BSJ27:BSL27"/>
    <mergeCell ref="BRI27:BRK27"/>
    <mergeCell ref="BRL27:BRN27"/>
    <mergeCell ref="BRO27:BRQ27"/>
    <mergeCell ref="BRR27:BRT27"/>
    <mergeCell ref="BRU27:BRW27"/>
    <mergeCell ref="BQT27:BQV27"/>
    <mergeCell ref="BQW27:BQY27"/>
    <mergeCell ref="BQZ27:BRB27"/>
    <mergeCell ref="BRC27:BRE27"/>
    <mergeCell ref="BRF27:BRH27"/>
    <mergeCell ref="BQE27:BQG27"/>
    <mergeCell ref="BQH27:BQJ27"/>
    <mergeCell ref="BQK27:BQM27"/>
    <mergeCell ref="BQN27:BQP27"/>
    <mergeCell ref="BQQ27:BQS27"/>
    <mergeCell ref="BPP27:BPR27"/>
    <mergeCell ref="BPS27:BPU27"/>
    <mergeCell ref="BPV27:BPX27"/>
    <mergeCell ref="BPY27:BQA27"/>
    <mergeCell ref="BQB27:BQD27"/>
    <mergeCell ref="BXC27:BXE27"/>
    <mergeCell ref="BXF27:BXH27"/>
    <mergeCell ref="BXI27:BXK27"/>
    <mergeCell ref="BXL27:BXN27"/>
    <mergeCell ref="BXO27:BXQ27"/>
    <mergeCell ref="BWN27:BWP27"/>
    <mergeCell ref="BWQ27:BWS27"/>
    <mergeCell ref="BWT27:BWV27"/>
    <mergeCell ref="BWW27:BWY27"/>
    <mergeCell ref="BWZ27:BXB27"/>
    <mergeCell ref="BVY27:BWA27"/>
    <mergeCell ref="BWB27:BWD27"/>
    <mergeCell ref="BWE27:BWG27"/>
    <mergeCell ref="BWH27:BWJ27"/>
    <mergeCell ref="BWK27:BWM27"/>
    <mergeCell ref="BVJ27:BVL27"/>
    <mergeCell ref="BVM27:BVO27"/>
    <mergeCell ref="BVP27:BVR27"/>
    <mergeCell ref="BVS27:BVU27"/>
    <mergeCell ref="BVV27:BVX27"/>
    <mergeCell ref="BUU27:BUW27"/>
    <mergeCell ref="BUX27:BUZ27"/>
    <mergeCell ref="BVA27:BVC27"/>
    <mergeCell ref="BVD27:BVF27"/>
    <mergeCell ref="BVG27:BVI27"/>
    <mergeCell ref="BUF27:BUH27"/>
    <mergeCell ref="BUI27:BUK27"/>
    <mergeCell ref="BUL27:BUN27"/>
    <mergeCell ref="BUO27:BUQ27"/>
    <mergeCell ref="BUR27:BUT27"/>
    <mergeCell ref="BTQ27:BTS27"/>
    <mergeCell ref="BTT27:BTV27"/>
    <mergeCell ref="BTW27:BTY27"/>
    <mergeCell ref="BTZ27:BUB27"/>
    <mergeCell ref="BUC27:BUE27"/>
    <mergeCell ref="CBD27:CBF27"/>
    <mergeCell ref="CBG27:CBI27"/>
    <mergeCell ref="CBJ27:CBL27"/>
    <mergeCell ref="CBM27:CBO27"/>
    <mergeCell ref="CBP27:CBR27"/>
    <mergeCell ref="CAO27:CAQ27"/>
    <mergeCell ref="CAR27:CAT27"/>
    <mergeCell ref="CAU27:CAW27"/>
    <mergeCell ref="CAX27:CAZ27"/>
    <mergeCell ref="CBA27:CBC27"/>
    <mergeCell ref="BZZ27:CAB27"/>
    <mergeCell ref="CAC27:CAE27"/>
    <mergeCell ref="CAF27:CAH27"/>
    <mergeCell ref="CAI27:CAK27"/>
    <mergeCell ref="CAL27:CAN27"/>
    <mergeCell ref="BZK27:BZM27"/>
    <mergeCell ref="BZN27:BZP27"/>
    <mergeCell ref="BZQ27:BZS27"/>
    <mergeCell ref="BZT27:BZV27"/>
    <mergeCell ref="BZW27:BZY27"/>
    <mergeCell ref="BYV27:BYX27"/>
    <mergeCell ref="BYY27:BZA27"/>
    <mergeCell ref="BZB27:BZD27"/>
    <mergeCell ref="BZE27:BZG27"/>
    <mergeCell ref="BZH27:BZJ27"/>
    <mergeCell ref="BYG27:BYI27"/>
    <mergeCell ref="BYJ27:BYL27"/>
    <mergeCell ref="BYM27:BYO27"/>
    <mergeCell ref="BYP27:BYR27"/>
    <mergeCell ref="BYS27:BYU27"/>
    <mergeCell ref="BXR27:BXT27"/>
    <mergeCell ref="BXU27:BXW27"/>
    <mergeCell ref="BXX27:BXZ27"/>
    <mergeCell ref="BYA27:BYC27"/>
    <mergeCell ref="BYD27:BYF27"/>
    <mergeCell ref="CFE27:CFG27"/>
    <mergeCell ref="CFH27:CFJ27"/>
    <mergeCell ref="CFK27:CFM27"/>
    <mergeCell ref="CFN27:CFP27"/>
    <mergeCell ref="CFQ27:CFS27"/>
    <mergeCell ref="CEP27:CER27"/>
    <mergeCell ref="CES27:CEU27"/>
    <mergeCell ref="CEV27:CEX27"/>
    <mergeCell ref="CEY27:CFA27"/>
    <mergeCell ref="CFB27:CFD27"/>
    <mergeCell ref="CEA27:CEC27"/>
    <mergeCell ref="CED27:CEF27"/>
    <mergeCell ref="CEG27:CEI27"/>
    <mergeCell ref="CEJ27:CEL27"/>
    <mergeCell ref="CEM27:CEO27"/>
    <mergeCell ref="CDL27:CDN27"/>
    <mergeCell ref="CDO27:CDQ27"/>
    <mergeCell ref="CDR27:CDT27"/>
    <mergeCell ref="CDU27:CDW27"/>
    <mergeCell ref="CDX27:CDZ27"/>
    <mergeCell ref="CCW27:CCY27"/>
    <mergeCell ref="CCZ27:CDB27"/>
    <mergeCell ref="CDC27:CDE27"/>
    <mergeCell ref="CDF27:CDH27"/>
    <mergeCell ref="CDI27:CDK27"/>
    <mergeCell ref="CCH27:CCJ27"/>
    <mergeCell ref="CCK27:CCM27"/>
    <mergeCell ref="CCN27:CCP27"/>
    <mergeCell ref="CCQ27:CCS27"/>
    <mergeCell ref="CCT27:CCV27"/>
    <mergeCell ref="CBS27:CBU27"/>
    <mergeCell ref="CBV27:CBX27"/>
    <mergeCell ref="CBY27:CCA27"/>
    <mergeCell ref="CCB27:CCD27"/>
    <mergeCell ref="CCE27:CCG27"/>
    <mergeCell ref="CJF27:CJH27"/>
    <mergeCell ref="CJI27:CJK27"/>
    <mergeCell ref="CJL27:CJN27"/>
    <mergeCell ref="CJO27:CJQ27"/>
    <mergeCell ref="CJR27:CJT27"/>
    <mergeCell ref="CIQ27:CIS27"/>
    <mergeCell ref="CIT27:CIV27"/>
    <mergeCell ref="CIW27:CIY27"/>
    <mergeCell ref="CIZ27:CJB27"/>
    <mergeCell ref="CJC27:CJE27"/>
    <mergeCell ref="CIB27:CID27"/>
    <mergeCell ref="CIE27:CIG27"/>
    <mergeCell ref="CIH27:CIJ27"/>
    <mergeCell ref="CIK27:CIM27"/>
    <mergeCell ref="CIN27:CIP27"/>
    <mergeCell ref="CHM27:CHO27"/>
    <mergeCell ref="CHP27:CHR27"/>
    <mergeCell ref="CHS27:CHU27"/>
    <mergeCell ref="CHV27:CHX27"/>
    <mergeCell ref="CHY27:CIA27"/>
    <mergeCell ref="CGX27:CGZ27"/>
    <mergeCell ref="CHA27:CHC27"/>
    <mergeCell ref="CHD27:CHF27"/>
    <mergeCell ref="CHG27:CHI27"/>
    <mergeCell ref="CHJ27:CHL27"/>
    <mergeCell ref="CGI27:CGK27"/>
    <mergeCell ref="CGL27:CGN27"/>
    <mergeCell ref="CGO27:CGQ27"/>
    <mergeCell ref="CGR27:CGT27"/>
    <mergeCell ref="CGU27:CGW27"/>
    <mergeCell ref="CFT27:CFV27"/>
    <mergeCell ref="CFW27:CFY27"/>
    <mergeCell ref="CFZ27:CGB27"/>
    <mergeCell ref="CGC27:CGE27"/>
    <mergeCell ref="CGF27:CGH27"/>
    <mergeCell ref="CNG27:CNI27"/>
    <mergeCell ref="CNJ27:CNL27"/>
    <mergeCell ref="CNM27:CNO27"/>
    <mergeCell ref="CNP27:CNR27"/>
    <mergeCell ref="CNS27:CNU27"/>
    <mergeCell ref="CMR27:CMT27"/>
    <mergeCell ref="CMU27:CMW27"/>
    <mergeCell ref="CMX27:CMZ27"/>
    <mergeCell ref="CNA27:CNC27"/>
    <mergeCell ref="CND27:CNF27"/>
    <mergeCell ref="CMC27:CME27"/>
    <mergeCell ref="CMF27:CMH27"/>
    <mergeCell ref="CMI27:CMK27"/>
    <mergeCell ref="CML27:CMN27"/>
    <mergeCell ref="CMO27:CMQ27"/>
    <mergeCell ref="CLN27:CLP27"/>
    <mergeCell ref="CLQ27:CLS27"/>
    <mergeCell ref="CLT27:CLV27"/>
    <mergeCell ref="CLW27:CLY27"/>
    <mergeCell ref="CLZ27:CMB27"/>
    <mergeCell ref="CKY27:CLA27"/>
    <mergeCell ref="CLB27:CLD27"/>
    <mergeCell ref="CLE27:CLG27"/>
    <mergeCell ref="CLH27:CLJ27"/>
    <mergeCell ref="CLK27:CLM27"/>
    <mergeCell ref="CKJ27:CKL27"/>
    <mergeCell ref="CKM27:CKO27"/>
    <mergeCell ref="CKP27:CKR27"/>
    <mergeCell ref="CKS27:CKU27"/>
    <mergeCell ref="CKV27:CKX27"/>
    <mergeCell ref="CJU27:CJW27"/>
    <mergeCell ref="CJX27:CJZ27"/>
    <mergeCell ref="CKA27:CKC27"/>
    <mergeCell ref="CKD27:CKF27"/>
    <mergeCell ref="CKG27:CKI27"/>
    <mergeCell ref="CRH27:CRJ27"/>
    <mergeCell ref="CRK27:CRM27"/>
    <mergeCell ref="CRN27:CRP27"/>
    <mergeCell ref="CRQ27:CRS27"/>
    <mergeCell ref="CRT27:CRV27"/>
    <mergeCell ref="CQS27:CQU27"/>
    <mergeCell ref="CQV27:CQX27"/>
    <mergeCell ref="CQY27:CRA27"/>
    <mergeCell ref="CRB27:CRD27"/>
    <mergeCell ref="CRE27:CRG27"/>
    <mergeCell ref="CQD27:CQF27"/>
    <mergeCell ref="CQG27:CQI27"/>
    <mergeCell ref="CQJ27:CQL27"/>
    <mergeCell ref="CQM27:CQO27"/>
    <mergeCell ref="CQP27:CQR27"/>
    <mergeCell ref="CPO27:CPQ27"/>
    <mergeCell ref="CPR27:CPT27"/>
    <mergeCell ref="CPU27:CPW27"/>
    <mergeCell ref="CPX27:CPZ27"/>
    <mergeCell ref="CQA27:CQC27"/>
    <mergeCell ref="COZ27:CPB27"/>
    <mergeCell ref="CPC27:CPE27"/>
    <mergeCell ref="CPF27:CPH27"/>
    <mergeCell ref="CPI27:CPK27"/>
    <mergeCell ref="CPL27:CPN27"/>
    <mergeCell ref="COK27:COM27"/>
    <mergeCell ref="CON27:COP27"/>
    <mergeCell ref="COQ27:COS27"/>
    <mergeCell ref="COT27:COV27"/>
    <mergeCell ref="COW27:COY27"/>
    <mergeCell ref="CNV27:CNX27"/>
    <mergeCell ref="CNY27:COA27"/>
    <mergeCell ref="COB27:COD27"/>
    <mergeCell ref="COE27:COG27"/>
    <mergeCell ref="COH27:COJ27"/>
    <mergeCell ref="CVI27:CVK27"/>
    <mergeCell ref="CVL27:CVN27"/>
    <mergeCell ref="CVO27:CVQ27"/>
    <mergeCell ref="CVR27:CVT27"/>
    <mergeCell ref="CVU27:CVW27"/>
    <mergeCell ref="CUT27:CUV27"/>
    <mergeCell ref="CUW27:CUY27"/>
    <mergeCell ref="CUZ27:CVB27"/>
    <mergeCell ref="CVC27:CVE27"/>
    <mergeCell ref="CVF27:CVH27"/>
    <mergeCell ref="CUE27:CUG27"/>
    <mergeCell ref="CUH27:CUJ27"/>
    <mergeCell ref="CUK27:CUM27"/>
    <mergeCell ref="CUN27:CUP27"/>
    <mergeCell ref="CUQ27:CUS27"/>
    <mergeCell ref="CTP27:CTR27"/>
    <mergeCell ref="CTS27:CTU27"/>
    <mergeCell ref="CTV27:CTX27"/>
    <mergeCell ref="CTY27:CUA27"/>
    <mergeCell ref="CUB27:CUD27"/>
    <mergeCell ref="CTA27:CTC27"/>
    <mergeCell ref="CTD27:CTF27"/>
    <mergeCell ref="CTG27:CTI27"/>
    <mergeCell ref="CTJ27:CTL27"/>
    <mergeCell ref="CTM27:CTO27"/>
    <mergeCell ref="CSL27:CSN27"/>
    <mergeCell ref="CSO27:CSQ27"/>
    <mergeCell ref="CSR27:CST27"/>
    <mergeCell ref="CSU27:CSW27"/>
    <mergeCell ref="CSX27:CSZ27"/>
    <mergeCell ref="CRW27:CRY27"/>
    <mergeCell ref="CRZ27:CSB27"/>
    <mergeCell ref="CSC27:CSE27"/>
    <mergeCell ref="CSF27:CSH27"/>
    <mergeCell ref="CSI27:CSK27"/>
    <mergeCell ref="CZJ27:CZL27"/>
    <mergeCell ref="CZM27:CZO27"/>
    <mergeCell ref="CZP27:CZR27"/>
    <mergeCell ref="CZS27:CZU27"/>
    <mergeCell ref="CZV27:CZX27"/>
    <mergeCell ref="CYU27:CYW27"/>
    <mergeCell ref="CYX27:CYZ27"/>
    <mergeCell ref="CZA27:CZC27"/>
    <mergeCell ref="CZD27:CZF27"/>
    <mergeCell ref="CZG27:CZI27"/>
    <mergeCell ref="CYF27:CYH27"/>
    <mergeCell ref="CYI27:CYK27"/>
    <mergeCell ref="CYL27:CYN27"/>
    <mergeCell ref="CYO27:CYQ27"/>
    <mergeCell ref="CYR27:CYT27"/>
    <mergeCell ref="CXQ27:CXS27"/>
    <mergeCell ref="CXT27:CXV27"/>
    <mergeCell ref="CXW27:CXY27"/>
    <mergeCell ref="CXZ27:CYB27"/>
    <mergeCell ref="CYC27:CYE27"/>
    <mergeCell ref="CXB27:CXD27"/>
    <mergeCell ref="CXE27:CXG27"/>
    <mergeCell ref="CXH27:CXJ27"/>
    <mergeCell ref="CXK27:CXM27"/>
    <mergeCell ref="CXN27:CXP27"/>
    <mergeCell ref="CWM27:CWO27"/>
    <mergeCell ref="CWP27:CWR27"/>
    <mergeCell ref="CWS27:CWU27"/>
    <mergeCell ref="CWV27:CWX27"/>
    <mergeCell ref="CWY27:CXA27"/>
    <mergeCell ref="CVX27:CVZ27"/>
    <mergeCell ref="CWA27:CWC27"/>
    <mergeCell ref="CWD27:CWF27"/>
    <mergeCell ref="CWG27:CWI27"/>
    <mergeCell ref="CWJ27:CWL27"/>
    <mergeCell ref="DDK27:DDM27"/>
    <mergeCell ref="DDN27:DDP27"/>
    <mergeCell ref="DDQ27:DDS27"/>
    <mergeCell ref="DDT27:DDV27"/>
    <mergeCell ref="DDW27:DDY27"/>
    <mergeCell ref="DCV27:DCX27"/>
    <mergeCell ref="DCY27:DDA27"/>
    <mergeCell ref="DDB27:DDD27"/>
    <mergeCell ref="DDE27:DDG27"/>
    <mergeCell ref="DDH27:DDJ27"/>
    <mergeCell ref="DCG27:DCI27"/>
    <mergeCell ref="DCJ27:DCL27"/>
    <mergeCell ref="DCM27:DCO27"/>
    <mergeCell ref="DCP27:DCR27"/>
    <mergeCell ref="DCS27:DCU27"/>
    <mergeCell ref="DBR27:DBT27"/>
    <mergeCell ref="DBU27:DBW27"/>
    <mergeCell ref="DBX27:DBZ27"/>
    <mergeCell ref="DCA27:DCC27"/>
    <mergeCell ref="DCD27:DCF27"/>
    <mergeCell ref="DBC27:DBE27"/>
    <mergeCell ref="DBF27:DBH27"/>
    <mergeCell ref="DBI27:DBK27"/>
    <mergeCell ref="DBL27:DBN27"/>
    <mergeCell ref="DBO27:DBQ27"/>
    <mergeCell ref="DAN27:DAP27"/>
    <mergeCell ref="DAQ27:DAS27"/>
    <mergeCell ref="DAT27:DAV27"/>
    <mergeCell ref="DAW27:DAY27"/>
    <mergeCell ref="DAZ27:DBB27"/>
    <mergeCell ref="CZY27:DAA27"/>
    <mergeCell ref="DAB27:DAD27"/>
    <mergeCell ref="DAE27:DAG27"/>
    <mergeCell ref="DAH27:DAJ27"/>
    <mergeCell ref="DAK27:DAM27"/>
    <mergeCell ref="DHL27:DHN27"/>
    <mergeCell ref="DHO27:DHQ27"/>
    <mergeCell ref="DHR27:DHT27"/>
    <mergeCell ref="DHU27:DHW27"/>
    <mergeCell ref="DHX27:DHZ27"/>
    <mergeCell ref="DGW27:DGY27"/>
    <mergeCell ref="DGZ27:DHB27"/>
    <mergeCell ref="DHC27:DHE27"/>
    <mergeCell ref="DHF27:DHH27"/>
    <mergeCell ref="DHI27:DHK27"/>
    <mergeCell ref="DGH27:DGJ27"/>
    <mergeCell ref="DGK27:DGM27"/>
    <mergeCell ref="DGN27:DGP27"/>
    <mergeCell ref="DGQ27:DGS27"/>
    <mergeCell ref="DGT27:DGV27"/>
    <mergeCell ref="DFS27:DFU27"/>
    <mergeCell ref="DFV27:DFX27"/>
    <mergeCell ref="DFY27:DGA27"/>
    <mergeCell ref="DGB27:DGD27"/>
    <mergeCell ref="DGE27:DGG27"/>
    <mergeCell ref="DFD27:DFF27"/>
    <mergeCell ref="DFG27:DFI27"/>
    <mergeCell ref="DFJ27:DFL27"/>
    <mergeCell ref="DFM27:DFO27"/>
    <mergeCell ref="DFP27:DFR27"/>
    <mergeCell ref="DEO27:DEQ27"/>
    <mergeCell ref="DER27:DET27"/>
    <mergeCell ref="DEU27:DEW27"/>
    <mergeCell ref="DEX27:DEZ27"/>
    <mergeCell ref="DFA27:DFC27"/>
    <mergeCell ref="DDZ27:DEB27"/>
    <mergeCell ref="DEC27:DEE27"/>
    <mergeCell ref="DEF27:DEH27"/>
    <mergeCell ref="DEI27:DEK27"/>
    <mergeCell ref="DEL27:DEN27"/>
    <mergeCell ref="DLM27:DLO27"/>
    <mergeCell ref="DLP27:DLR27"/>
    <mergeCell ref="DLS27:DLU27"/>
    <mergeCell ref="DLV27:DLX27"/>
    <mergeCell ref="DLY27:DMA27"/>
    <mergeCell ref="DKX27:DKZ27"/>
    <mergeCell ref="DLA27:DLC27"/>
    <mergeCell ref="DLD27:DLF27"/>
    <mergeCell ref="DLG27:DLI27"/>
    <mergeCell ref="DLJ27:DLL27"/>
    <mergeCell ref="DKI27:DKK27"/>
    <mergeCell ref="DKL27:DKN27"/>
    <mergeCell ref="DKO27:DKQ27"/>
    <mergeCell ref="DKR27:DKT27"/>
    <mergeCell ref="DKU27:DKW27"/>
    <mergeCell ref="DJT27:DJV27"/>
    <mergeCell ref="DJW27:DJY27"/>
    <mergeCell ref="DJZ27:DKB27"/>
    <mergeCell ref="DKC27:DKE27"/>
    <mergeCell ref="DKF27:DKH27"/>
    <mergeCell ref="DJE27:DJG27"/>
    <mergeCell ref="DJH27:DJJ27"/>
    <mergeCell ref="DJK27:DJM27"/>
    <mergeCell ref="DJN27:DJP27"/>
    <mergeCell ref="DJQ27:DJS27"/>
    <mergeCell ref="DIP27:DIR27"/>
    <mergeCell ref="DIS27:DIU27"/>
    <mergeCell ref="DIV27:DIX27"/>
    <mergeCell ref="DIY27:DJA27"/>
    <mergeCell ref="DJB27:DJD27"/>
    <mergeCell ref="DIA27:DIC27"/>
    <mergeCell ref="DID27:DIF27"/>
    <mergeCell ref="DIG27:DII27"/>
    <mergeCell ref="DIJ27:DIL27"/>
    <mergeCell ref="DIM27:DIO27"/>
    <mergeCell ref="DPN27:DPP27"/>
    <mergeCell ref="DPQ27:DPS27"/>
    <mergeCell ref="DPT27:DPV27"/>
    <mergeCell ref="DPW27:DPY27"/>
    <mergeCell ref="DPZ27:DQB27"/>
    <mergeCell ref="DOY27:DPA27"/>
    <mergeCell ref="DPB27:DPD27"/>
    <mergeCell ref="DPE27:DPG27"/>
    <mergeCell ref="DPH27:DPJ27"/>
    <mergeCell ref="DPK27:DPM27"/>
    <mergeCell ref="DOJ27:DOL27"/>
    <mergeCell ref="DOM27:DOO27"/>
    <mergeCell ref="DOP27:DOR27"/>
    <mergeCell ref="DOS27:DOU27"/>
    <mergeCell ref="DOV27:DOX27"/>
    <mergeCell ref="DNU27:DNW27"/>
    <mergeCell ref="DNX27:DNZ27"/>
    <mergeCell ref="DOA27:DOC27"/>
    <mergeCell ref="DOD27:DOF27"/>
    <mergeCell ref="DOG27:DOI27"/>
    <mergeCell ref="DNF27:DNH27"/>
    <mergeCell ref="DNI27:DNK27"/>
    <mergeCell ref="DNL27:DNN27"/>
    <mergeCell ref="DNO27:DNQ27"/>
    <mergeCell ref="DNR27:DNT27"/>
    <mergeCell ref="DMQ27:DMS27"/>
    <mergeCell ref="DMT27:DMV27"/>
    <mergeCell ref="DMW27:DMY27"/>
    <mergeCell ref="DMZ27:DNB27"/>
    <mergeCell ref="DNC27:DNE27"/>
    <mergeCell ref="DMB27:DMD27"/>
    <mergeCell ref="DME27:DMG27"/>
    <mergeCell ref="DMH27:DMJ27"/>
    <mergeCell ref="DMK27:DMM27"/>
    <mergeCell ref="DMN27:DMP27"/>
    <mergeCell ref="DTO27:DTQ27"/>
    <mergeCell ref="DTR27:DTT27"/>
    <mergeCell ref="DTU27:DTW27"/>
    <mergeCell ref="DTX27:DTZ27"/>
    <mergeCell ref="DUA27:DUC27"/>
    <mergeCell ref="DSZ27:DTB27"/>
    <mergeCell ref="DTC27:DTE27"/>
    <mergeCell ref="DTF27:DTH27"/>
    <mergeCell ref="DTI27:DTK27"/>
    <mergeCell ref="DTL27:DTN27"/>
    <mergeCell ref="DSK27:DSM27"/>
    <mergeCell ref="DSN27:DSP27"/>
    <mergeCell ref="DSQ27:DSS27"/>
    <mergeCell ref="DST27:DSV27"/>
    <mergeCell ref="DSW27:DSY27"/>
    <mergeCell ref="DRV27:DRX27"/>
    <mergeCell ref="DRY27:DSA27"/>
    <mergeCell ref="DSB27:DSD27"/>
    <mergeCell ref="DSE27:DSG27"/>
    <mergeCell ref="DSH27:DSJ27"/>
    <mergeCell ref="DRG27:DRI27"/>
    <mergeCell ref="DRJ27:DRL27"/>
    <mergeCell ref="DRM27:DRO27"/>
    <mergeCell ref="DRP27:DRR27"/>
    <mergeCell ref="DRS27:DRU27"/>
    <mergeCell ref="DQR27:DQT27"/>
    <mergeCell ref="DQU27:DQW27"/>
    <mergeCell ref="DQX27:DQZ27"/>
    <mergeCell ref="DRA27:DRC27"/>
    <mergeCell ref="DRD27:DRF27"/>
    <mergeCell ref="DQC27:DQE27"/>
    <mergeCell ref="DQF27:DQH27"/>
    <mergeCell ref="DQI27:DQK27"/>
    <mergeCell ref="DQL27:DQN27"/>
    <mergeCell ref="DQO27:DQQ27"/>
    <mergeCell ref="DXP27:DXR27"/>
    <mergeCell ref="DXS27:DXU27"/>
    <mergeCell ref="DXV27:DXX27"/>
    <mergeCell ref="DXY27:DYA27"/>
    <mergeCell ref="DYB27:DYD27"/>
    <mergeCell ref="DXA27:DXC27"/>
    <mergeCell ref="DXD27:DXF27"/>
    <mergeCell ref="DXG27:DXI27"/>
    <mergeCell ref="DXJ27:DXL27"/>
    <mergeCell ref="DXM27:DXO27"/>
    <mergeCell ref="DWL27:DWN27"/>
    <mergeCell ref="DWO27:DWQ27"/>
    <mergeCell ref="DWR27:DWT27"/>
    <mergeCell ref="DWU27:DWW27"/>
    <mergeCell ref="DWX27:DWZ27"/>
    <mergeCell ref="DVW27:DVY27"/>
    <mergeCell ref="DVZ27:DWB27"/>
    <mergeCell ref="DWC27:DWE27"/>
    <mergeCell ref="DWF27:DWH27"/>
    <mergeCell ref="DWI27:DWK27"/>
    <mergeCell ref="DVH27:DVJ27"/>
    <mergeCell ref="DVK27:DVM27"/>
    <mergeCell ref="DVN27:DVP27"/>
    <mergeCell ref="DVQ27:DVS27"/>
    <mergeCell ref="DVT27:DVV27"/>
    <mergeCell ref="DUS27:DUU27"/>
    <mergeCell ref="DUV27:DUX27"/>
    <mergeCell ref="DUY27:DVA27"/>
    <mergeCell ref="DVB27:DVD27"/>
    <mergeCell ref="DVE27:DVG27"/>
    <mergeCell ref="DUD27:DUF27"/>
    <mergeCell ref="DUG27:DUI27"/>
    <mergeCell ref="DUJ27:DUL27"/>
    <mergeCell ref="DUM27:DUO27"/>
    <mergeCell ref="DUP27:DUR27"/>
    <mergeCell ref="EBQ27:EBS27"/>
    <mergeCell ref="EBT27:EBV27"/>
    <mergeCell ref="EBW27:EBY27"/>
    <mergeCell ref="EBZ27:ECB27"/>
    <mergeCell ref="ECC27:ECE27"/>
    <mergeCell ref="EBB27:EBD27"/>
    <mergeCell ref="EBE27:EBG27"/>
    <mergeCell ref="EBH27:EBJ27"/>
    <mergeCell ref="EBK27:EBM27"/>
    <mergeCell ref="EBN27:EBP27"/>
    <mergeCell ref="EAM27:EAO27"/>
    <mergeCell ref="EAP27:EAR27"/>
    <mergeCell ref="EAS27:EAU27"/>
    <mergeCell ref="EAV27:EAX27"/>
    <mergeCell ref="EAY27:EBA27"/>
    <mergeCell ref="DZX27:DZZ27"/>
    <mergeCell ref="EAA27:EAC27"/>
    <mergeCell ref="EAD27:EAF27"/>
    <mergeCell ref="EAG27:EAI27"/>
    <mergeCell ref="EAJ27:EAL27"/>
    <mergeCell ref="DZI27:DZK27"/>
    <mergeCell ref="DZL27:DZN27"/>
    <mergeCell ref="DZO27:DZQ27"/>
    <mergeCell ref="DZR27:DZT27"/>
    <mergeCell ref="DZU27:DZW27"/>
    <mergeCell ref="DYT27:DYV27"/>
    <mergeCell ref="DYW27:DYY27"/>
    <mergeCell ref="DYZ27:DZB27"/>
    <mergeCell ref="DZC27:DZE27"/>
    <mergeCell ref="DZF27:DZH27"/>
    <mergeCell ref="DYE27:DYG27"/>
    <mergeCell ref="DYH27:DYJ27"/>
    <mergeCell ref="DYK27:DYM27"/>
    <mergeCell ref="DYN27:DYP27"/>
    <mergeCell ref="DYQ27:DYS27"/>
    <mergeCell ref="EFR27:EFT27"/>
    <mergeCell ref="EFU27:EFW27"/>
    <mergeCell ref="EFX27:EFZ27"/>
    <mergeCell ref="EGA27:EGC27"/>
    <mergeCell ref="EGD27:EGF27"/>
    <mergeCell ref="EFC27:EFE27"/>
    <mergeCell ref="EFF27:EFH27"/>
    <mergeCell ref="EFI27:EFK27"/>
    <mergeCell ref="EFL27:EFN27"/>
    <mergeCell ref="EFO27:EFQ27"/>
    <mergeCell ref="EEN27:EEP27"/>
    <mergeCell ref="EEQ27:EES27"/>
    <mergeCell ref="EET27:EEV27"/>
    <mergeCell ref="EEW27:EEY27"/>
    <mergeCell ref="EEZ27:EFB27"/>
    <mergeCell ref="EDY27:EEA27"/>
    <mergeCell ref="EEB27:EED27"/>
    <mergeCell ref="EEE27:EEG27"/>
    <mergeCell ref="EEH27:EEJ27"/>
    <mergeCell ref="EEK27:EEM27"/>
    <mergeCell ref="EDJ27:EDL27"/>
    <mergeCell ref="EDM27:EDO27"/>
    <mergeCell ref="EDP27:EDR27"/>
    <mergeCell ref="EDS27:EDU27"/>
    <mergeCell ref="EDV27:EDX27"/>
    <mergeCell ref="ECU27:ECW27"/>
    <mergeCell ref="ECX27:ECZ27"/>
    <mergeCell ref="EDA27:EDC27"/>
    <mergeCell ref="EDD27:EDF27"/>
    <mergeCell ref="EDG27:EDI27"/>
    <mergeCell ref="ECF27:ECH27"/>
    <mergeCell ref="ECI27:ECK27"/>
    <mergeCell ref="ECL27:ECN27"/>
    <mergeCell ref="ECO27:ECQ27"/>
    <mergeCell ref="ECR27:ECT27"/>
    <mergeCell ref="EJS27:EJU27"/>
    <mergeCell ref="EJV27:EJX27"/>
    <mergeCell ref="EJY27:EKA27"/>
    <mergeCell ref="EKB27:EKD27"/>
    <mergeCell ref="EKE27:EKG27"/>
    <mergeCell ref="EJD27:EJF27"/>
    <mergeCell ref="EJG27:EJI27"/>
    <mergeCell ref="EJJ27:EJL27"/>
    <mergeCell ref="EJM27:EJO27"/>
    <mergeCell ref="EJP27:EJR27"/>
    <mergeCell ref="EIO27:EIQ27"/>
    <mergeCell ref="EIR27:EIT27"/>
    <mergeCell ref="EIU27:EIW27"/>
    <mergeCell ref="EIX27:EIZ27"/>
    <mergeCell ref="EJA27:EJC27"/>
    <mergeCell ref="EHZ27:EIB27"/>
    <mergeCell ref="EIC27:EIE27"/>
    <mergeCell ref="EIF27:EIH27"/>
    <mergeCell ref="EII27:EIK27"/>
    <mergeCell ref="EIL27:EIN27"/>
    <mergeCell ref="EHK27:EHM27"/>
    <mergeCell ref="EHN27:EHP27"/>
    <mergeCell ref="EHQ27:EHS27"/>
    <mergeCell ref="EHT27:EHV27"/>
    <mergeCell ref="EHW27:EHY27"/>
    <mergeCell ref="EGV27:EGX27"/>
    <mergeCell ref="EGY27:EHA27"/>
    <mergeCell ref="EHB27:EHD27"/>
    <mergeCell ref="EHE27:EHG27"/>
    <mergeCell ref="EHH27:EHJ27"/>
    <mergeCell ref="EGG27:EGI27"/>
    <mergeCell ref="EGJ27:EGL27"/>
    <mergeCell ref="EGM27:EGO27"/>
    <mergeCell ref="EGP27:EGR27"/>
    <mergeCell ref="EGS27:EGU27"/>
    <mergeCell ref="ENT27:ENV27"/>
    <mergeCell ref="ENW27:ENY27"/>
    <mergeCell ref="ENZ27:EOB27"/>
    <mergeCell ref="EOC27:EOE27"/>
    <mergeCell ref="EOF27:EOH27"/>
    <mergeCell ref="ENE27:ENG27"/>
    <mergeCell ref="ENH27:ENJ27"/>
    <mergeCell ref="ENK27:ENM27"/>
    <mergeCell ref="ENN27:ENP27"/>
    <mergeCell ref="ENQ27:ENS27"/>
    <mergeCell ref="EMP27:EMR27"/>
    <mergeCell ref="EMS27:EMU27"/>
    <mergeCell ref="EMV27:EMX27"/>
    <mergeCell ref="EMY27:ENA27"/>
    <mergeCell ref="ENB27:END27"/>
    <mergeCell ref="EMA27:EMC27"/>
    <mergeCell ref="EMD27:EMF27"/>
    <mergeCell ref="EMG27:EMI27"/>
    <mergeCell ref="EMJ27:EML27"/>
    <mergeCell ref="EMM27:EMO27"/>
    <mergeCell ref="ELL27:ELN27"/>
    <mergeCell ref="ELO27:ELQ27"/>
    <mergeCell ref="ELR27:ELT27"/>
    <mergeCell ref="ELU27:ELW27"/>
    <mergeCell ref="ELX27:ELZ27"/>
    <mergeCell ref="EKW27:EKY27"/>
    <mergeCell ref="EKZ27:ELB27"/>
    <mergeCell ref="ELC27:ELE27"/>
    <mergeCell ref="ELF27:ELH27"/>
    <mergeCell ref="ELI27:ELK27"/>
    <mergeCell ref="EKH27:EKJ27"/>
    <mergeCell ref="EKK27:EKM27"/>
    <mergeCell ref="EKN27:EKP27"/>
    <mergeCell ref="EKQ27:EKS27"/>
    <mergeCell ref="EKT27:EKV27"/>
    <mergeCell ref="ERU27:ERW27"/>
    <mergeCell ref="ERX27:ERZ27"/>
    <mergeCell ref="ESA27:ESC27"/>
    <mergeCell ref="ESD27:ESF27"/>
    <mergeCell ref="ESG27:ESI27"/>
    <mergeCell ref="ERF27:ERH27"/>
    <mergeCell ref="ERI27:ERK27"/>
    <mergeCell ref="ERL27:ERN27"/>
    <mergeCell ref="ERO27:ERQ27"/>
    <mergeCell ref="ERR27:ERT27"/>
    <mergeCell ref="EQQ27:EQS27"/>
    <mergeCell ref="EQT27:EQV27"/>
    <mergeCell ref="EQW27:EQY27"/>
    <mergeCell ref="EQZ27:ERB27"/>
    <mergeCell ref="ERC27:ERE27"/>
    <mergeCell ref="EQB27:EQD27"/>
    <mergeCell ref="EQE27:EQG27"/>
    <mergeCell ref="EQH27:EQJ27"/>
    <mergeCell ref="EQK27:EQM27"/>
    <mergeCell ref="EQN27:EQP27"/>
    <mergeCell ref="EPM27:EPO27"/>
    <mergeCell ref="EPP27:EPR27"/>
    <mergeCell ref="EPS27:EPU27"/>
    <mergeCell ref="EPV27:EPX27"/>
    <mergeCell ref="EPY27:EQA27"/>
    <mergeCell ref="EOX27:EOZ27"/>
    <mergeCell ref="EPA27:EPC27"/>
    <mergeCell ref="EPD27:EPF27"/>
    <mergeCell ref="EPG27:EPI27"/>
    <mergeCell ref="EPJ27:EPL27"/>
    <mergeCell ref="EOI27:EOK27"/>
    <mergeCell ref="EOL27:EON27"/>
    <mergeCell ref="EOO27:EOQ27"/>
    <mergeCell ref="EOR27:EOT27"/>
    <mergeCell ref="EOU27:EOW27"/>
    <mergeCell ref="EVV27:EVX27"/>
    <mergeCell ref="EVY27:EWA27"/>
    <mergeCell ref="EWB27:EWD27"/>
    <mergeCell ref="EWE27:EWG27"/>
    <mergeCell ref="EWH27:EWJ27"/>
    <mergeCell ref="EVG27:EVI27"/>
    <mergeCell ref="EVJ27:EVL27"/>
    <mergeCell ref="EVM27:EVO27"/>
    <mergeCell ref="EVP27:EVR27"/>
    <mergeCell ref="EVS27:EVU27"/>
    <mergeCell ref="EUR27:EUT27"/>
    <mergeCell ref="EUU27:EUW27"/>
    <mergeCell ref="EUX27:EUZ27"/>
    <mergeCell ref="EVA27:EVC27"/>
    <mergeCell ref="EVD27:EVF27"/>
    <mergeCell ref="EUC27:EUE27"/>
    <mergeCell ref="EUF27:EUH27"/>
    <mergeCell ref="EUI27:EUK27"/>
    <mergeCell ref="EUL27:EUN27"/>
    <mergeCell ref="EUO27:EUQ27"/>
    <mergeCell ref="ETN27:ETP27"/>
    <mergeCell ref="ETQ27:ETS27"/>
    <mergeCell ref="ETT27:ETV27"/>
    <mergeCell ref="ETW27:ETY27"/>
    <mergeCell ref="ETZ27:EUB27"/>
    <mergeCell ref="ESY27:ETA27"/>
    <mergeCell ref="ETB27:ETD27"/>
    <mergeCell ref="ETE27:ETG27"/>
    <mergeCell ref="ETH27:ETJ27"/>
    <mergeCell ref="ETK27:ETM27"/>
    <mergeCell ref="ESJ27:ESL27"/>
    <mergeCell ref="ESM27:ESO27"/>
    <mergeCell ref="ESP27:ESR27"/>
    <mergeCell ref="ESS27:ESU27"/>
    <mergeCell ref="ESV27:ESX27"/>
    <mergeCell ref="EZW27:EZY27"/>
    <mergeCell ref="EZZ27:FAB27"/>
    <mergeCell ref="FAC27:FAE27"/>
    <mergeCell ref="FAF27:FAH27"/>
    <mergeCell ref="FAI27:FAK27"/>
    <mergeCell ref="EZH27:EZJ27"/>
    <mergeCell ref="EZK27:EZM27"/>
    <mergeCell ref="EZN27:EZP27"/>
    <mergeCell ref="EZQ27:EZS27"/>
    <mergeCell ref="EZT27:EZV27"/>
    <mergeCell ref="EYS27:EYU27"/>
    <mergeCell ref="EYV27:EYX27"/>
    <mergeCell ref="EYY27:EZA27"/>
    <mergeCell ref="EZB27:EZD27"/>
    <mergeCell ref="EZE27:EZG27"/>
    <mergeCell ref="EYD27:EYF27"/>
    <mergeCell ref="EYG27:EYI27"/>
    <mergeCell ref="EYJ27:EYL27"/>
    <mergeCell ref="EYM27:EYO27"/>
    <mergeCell ref="EYP27:EYR27"/>
    <mergeCell ref="EXO27:EXQ27"/>
    <mergeCell ref="EXR27:EXT27"/>
    <mergeCell ref="EXU27:EXW27"/>
    <mergeCell ref="EXX27:EXZ27"/>
    <mergeCell ref="EYA27:EYC27"/>
    <mergeCell ref="EWZ27:EXB27"/>
    <mergeCell ref="EXC27:EXE27"/>
    <mergeCell ref="EXF27:EXH27"/>
    <mergeCell ref="EXI27:EXK27"/>
    <mergeCell ref="EXL27:EXN27"/>
    <mergeCell ref="EWK27:EWM27"/>
    <mergeCell ref="EWN27:EWP27"/>
    <mergeCell ref="EWQ27:EWS27"/>
    <mergeCell ref="EWT27:EWV27"/>
    <mergeCell ref="EWW27:EWY27"/>
    <mergeCell ref="FDX27:FDZ27"/>
    <mergeCell ref="FEA27:FEC27"/>
    <mergeCell ref="FED27:FEF27"/>
    <mergeCell ref="FEG27:FEI27"/>
    <mergeCell ref="FEJ27:FEL27"/>
    <mergeCell ref="FDI27:FDK27"/>
    <mergeCell ref="FDL27:FDN27"/>
    <mergeCell ref="FDO27:FDQ27"/>
    <mergeCell ref="FDR27:FDT27"/>
    <mergeCell ref="FDU27:FDW27"/>
    <mergeCell ref="FCT27:FCV27"/>
    <mergeCell ref="FCW27:FCY27"/>
    <mergeCell ref="FCZ27:FDB27"/>
    <mergeCell ref="FDC27:FDE27"/>
    <mergeCell ref="FDF27:FDH27"/>
    <mergeCell ref="FCE27:FCG27"/>
    <mergeCell ref="FCH27:FCJ27"/>
    <mergeCell ref="FCK27:FCM27"/>
    <mergeCell ref="FCN27:FCP27"/>
    <mergeCell ref="FCQ27:FCS27"/>
    <mergeCell ref="FBP27:FBR27"/>
    <mergeCell ref="FBS27:FBU27"/>
    <mergeCell ref="FBV27:FBX27"/>
    <mergeCell ref="FBY27:FCA27"/>
    <mergeCell ref="FCB27:FCD27"/>
    <mergeCell ref="FBA27:FBC27"/>
    <mergeCell ref="FBD27:FBF27"/>
    <mergeCell ref="FBG27:FBI27"/>
    <mergeCell ref="FBJ27:FBL27"/>
    <mergeCell ref="FBM27:FBO27"/>
    <mergeCell ref="FAL27:FAN27"/>
    <mergeCell ref="FAO27:FAQ27"/>
    <mergeCell ref="FAR27:FAT27"/>
    <mergeCell ref="FAU27:FAW27"/>
    <mergeCell ref="FAX27:FAZ27"/>
    <mergeCell ref="FHY27:FIA27"/>
    <mergeCell ref="FIB27:FID27"/>
    <mergeCell ref="FIE27:FIG27"/>
    <mergeCell ref="FIH27:FIJ27"/>
    <mergeCell ref="FIK27:FIM27"/>
    <mergeCell ref="FHJ27:FHL27"/>
    <mergeCell ref="FHM27:FHO27"/>
    <mergeCell ref="FHP27:FHR27"/>
    <mergeCell ref="FHS27:FHU27"/>
    <mergeCell ref="FHV27:FHX27"/>
    <mergeCell ref="FGU27:FGW27"/>
    <mergeCell ref="FGX27:FGZ27"/>
    <mergeCell ref="FHA27:FHC27"/>
    <mergeCell ref="FHD27:FHF27"/>
    <mergeCell ref="FHG27:FHI27"/>
    <mergeCell ref="FGF27:FGH27"/>
    <mergeCell ref="FGI27:FGK27"/>
    <mergeCell ref="FGL27:FGN27"/>
    <mergeCell ref="FGO27:FGQ27"/>
    <mergeCell ref="FGR27:FGT27"/>
    <mergeCell ref="FFQ27:FFS27"/>
    <mergeCell ref="FFT27:FFV27"/>
    <mergeCell ref="FFW27:FFY27"/>
    <mergeCell ref="FFZ27:FGB27"/>
    <mergeCell ref="FGC27:FGE27"/>
    <mergeCell ref="FFB27:FFD27"/>
    <mergeCell ref="FFE27:FFG27"/>
    <mergeCell ref="FFH27:FFJ27"/>
    <mergeCell ref="FFK27:FFM27"/>
    <mergeCell ref="FFN27:FFP27"/>
    <mergeCell ref="FEM27:FEO27"/>
    <mergeCell ref="FEP27:FER27"/>
    <mergeCell ref="FES27:FEU27"/>
    <mergeCell ref="FEV27:FEX27"/>
    <mergeCell ref="FEY27:FFA27"/>
    <mergeCell ref="FLZ27:FMB27"/>
    <mergeCell ref="FMC27:FME27"/>
    <mergeCell ref="FMF27:FMH27"/>
    <mergeCell ref="FMI27:FMK27"/>
    <mergeCell ref="FML27:FMN27"/>
    <mergeCell ref="FLK27:FLM27"/>
    <mergeCell ref="FLN27:FLP27"/>
    <mergeCell ref="FLQ27:FLS27"/>
    <mergeCell ref="FLT27:FLV27"/>
    <mergeCell ref="FLW27:FLY27"/>
    <mergeCell ref="FKV27:FKX27"/>
    <mergeCell ref="FKY27:FLA27"/>
    <mergeCell ref="FLB27:FLD27"/>
    <mergeCell ref="FLE27:FLG27"/>
    <mergeCell ref="FLH27:FLJ27"/>
    <mergeCell ref="FKG27:FKI27"/>
    <mergeCell ref="FKJ27:FKL27"/>
    <mergeCell ref="FKM27:FKO27"/>
    <mergeCell ref="FKP27:FKR27"/>
    <mergeCell ref="FKS27:FKU27"/>
    <mergeCell ref="FJR27:FJT27"/>
    <mergeCell ref="FJU27:FJW27"/>
    <mergeCell ref="FJX27:FJZ27"/>
    <mergeCell ref="FKA27:FKC27"/>
    <mergeCell ref="FKD27:FKF27"/>
    <mergeCell ref="FJC27:FJE27"/>
    <mergeCell ref="FJF27:FJH27"/>
    <mergeCell ref="FJI27:FJK27"/>
    <mergeCell ref="FJL27:FJN27"/>
    <mergeCell ref="FJO27:FJQ27"/>
    <mergeCell ref="FIN27:FIP27"/>
    <mergeCell ref="FIQ27:FIS27"/>
    <mergeCell ref="FIT27:FIV27"/>
    <mergeCell ref="FIW27:FIY27"/>
    <mergeCell ref="FIZ27:FJB27"/>
    <mergeCell ref="FQA27:FQC27"/>
    <mergeCell ref="FQD27:FQF27"/>
    <mergeCell ref="FQG27:FQI27"/>
    <mergeCell ref="FQJ27:FQL27"/>
    <mergeCell ref="FQM27:FQO27"/>
    <mergeCell ref="FPL27:FPN27"/>
    <mergeCell ref="FPO27:FPQ27"/>
    <mergeCell ref="FPR27:FPT27"/>
    <mergeCell ref="FPU27:FPW27"/>
    <mergeCell ref="FPX27:FPZ27"/>
    <mergeCell ref="FOW27:FOY27"/>
    <mergeCell ref="FOZ27:FPB27"/>
    <mergeCell ref="FPC27:FPE27"/>
    <mergeCell ref="FPF27:FPH27"/>
    <mergeCell ref="FPI27:FPK27"/>
    <mergeCell ref="FOH27:FOJ27"/>
    <mergeCell ref="FOK27:FOM27"/>
    <mergeCell ref="FON27:FOP27"/>
    <mergeCell ref="FOQ27:FOS27"/>
    <mergeCell ref="FOT27:FOV27"/>
    <mergeCell ref="FNS27:FNU27"/>
    <mergeCell ref="FNV27:FNX27"/>
    <mergeCell ref="FNY27:FOA27"/>
    <mergeCell ref="FOB27:FOD27"/>
    <mergeCell ref="FOE27:FOG27"/>
    <mergeCell ref="FND27:FNF27"/>
    <mergeCell ref="FNG27:FNI27"/>
    <mergeCell ref="FNJ27:FNL27"/>
    <mergeCell ref="FNM27:FNO27"/>
    <mergeCell ref="FNP27:FNR27"/>
    <mergeCell ref="FMO27:FMQ27"/>
    <mergeCell ref="FMR27:FMT27"/>
    <mergeCell ref="FMU27:FMW27"/>
    <mergeCell ref="FMX27:FMZ27"/>
    <mergeCell ref="FNA27:FNC27"/>
    <mergeCell ref="FUB27:FUD27"/>
    <mergeCell ref="FUE27:FUG27"/>
    <mergeCell ref="FUH27:FUJ27"/>
    <mergeCell ref="FUK27:FUM27"/>
    <mergeCell ref="FUN27:FUP27"/>
    <mergeCell ref="FTM27:FTO27"/>
    <mergeCell ref="FTP27:FTR27"/>
    <mergeCell ref="FTS27:FTU27"/>
    <mergeCell ref="FTV27:FTX27"/>
    <mergeCell ref="FTY27:FUA27"/>
    <mergeCell ref="FSX27:FSZ27"/>
    <mergeCell ref="FTA27:FTC27"/>
    <mergeCell ref="FTD27:FTF27"/>
    <mergeCell ref="FTG27:FTI27"/>
    <mergeCell ref="FTJ27:FTL27"/>
    <mergeCell ref="FSI27:FSK27"/>
    <mergeCell ref="FSL27:FSN27"/>
    <mergeCell ref="FSO27:FSQ27"/>
    <mergeCell ref="FSR27:FST27"/>
    <mergeCell ref="FSU27:FSW27"/>
    <mergeCell ref="FRT27:FRV27"/>
    <mergeCell ref="FRW27:FRY27"/>
    <mergeCell ref="FRZ27:FSB27"/>
    <mergeCell ref="FSC27:FSE27"/>
    <mergeCell ref="FSF27:FSH27"/>
    <mergeCell ref="FRE27:FRG27"/>
    <mergeCell ref="FRH27:FRJ27"/>
    <mergeCell ref="FRK27:FRM27"/>
    <mergeCell ref="FRN27:FRP27"/>
    <mergeCell ref="FRQ27:FRS27"/>
    <mergeCell ref="FQP27:FQR27"/>
    <mergeCell ref="FQS27:FQU27"/>
    <mergeCell ref="FQV27:FQX27"/>
    <mergeCell ref="FQY27:FRA27"/>
    <mergeCell ref="FRB27:FRD27"/>
    <mergeCell ref="FYC27:FYE27"/>
    <mergeCell ref="FYF27:FYH27"/>
    <mergeCell ref="FYI27:FYK27"/>
    <mergeCell ref="FYL27:FYN27"/>
    <mergeCell ref="FYO27:FYQ27"/>
    <mergeCell ref="FXN27:FXP27"/>
    <mergeCell ref="FXQ27:FXS27"/>
    <mergeCell ref="FXT27:FXV27"/>
    <mergeCell ref="FXW27:FXY27"/>
    <mergeCell ref="FXZ27:FYB27"/>
    <mergeCell ref="FWY27:FXA27"/>
    <mergeCell ref="FXB27:FXD27"/>
    <mergeCell ref="FXE27:FXG27"/>
    <mergeCell ref="FXH27:FXJ27"/>
    <mergeCell ref="FXK27:FXM27"/>
    <mergeCell ref="FWJ27:FWL27"/>
    <mergeCell ref="FWM27:FWO27"/>
    <mergeCell ref="FWP27:FWR27"/>
    <mergeCell ref="FWS27:FWU27"/>
    <mergeCell ref="FWV27:FWX27"/>
    <mergeCell ref="FVU27:FVW27"/>
    <mergeCell ref="FVX27:FVZ27"/>
    <mergeCell ref="FWA27:FWC27"/>
    <mergeCell ref="FWD27:FWF27"/>
    <mergeCell ref="FWG27:FWI27"/>
    <mergeCell ref="FVF27:FVH27"/>
    <mergeCell ref="FVI27:FVK27"/>
    <mergeCell ref="FVL27:FVN27"/>
    <mergeCell ref="FVO27:FVQ27"/>
    <mergeCell ref="FVR27:FVT27"/>
    <mergeCell ref="FUQ27:FUS27"/>
    <mergeCell ref="FUT27:FUV27"/>
    <mergeCell ref="FUW27:FUY27"/>
    <mergeCell ref="FUZ27:FVB27"/>
    <mergeCell ref="FVC27:FVE27"/>
    <mergeCell ref="GCD27:GCF27"/>
    <mergeCell ref="GCG27:GCI27"/>
    <mergeCell ref="GCJ27:GCL27"/>
    <mergeCell ref="GCM27:GCO27"/>
    <mergeCell ref="GCP27:GCR27"/>
    <mergeCell ref="GBO27:GBQ27"/>
    <mergeCell ref="GBR27:GBT27"/>
    <mergeCell ref="GBU27:GBW27"/>
    <mergeCell ref="GBX27:GBZ27"/>
    <mergeCell ref="GCA27:GCC27"/>
    <mergeCell ref="GAZ27:GBB27"/>
    <mergeCell ref="GBC27:GBE27"/>
    <mergeCell ref="GBF27:GBH27"/>
    <mergeCell ref="GBI27:GBK27"/>
    <mergeCell ref="GBL27:GBN27"/>
    <mergeCell ref="GAK27:GAM27"/>
    <mergeCell ref="GAN27:GAP27"/>
    <mergeCell ref="GAQ27:GAS27"/>
    <mergeCell ref="GAT27:GAV27"/>
    <mergeCell ref="GAW27:GAY27"/>
    <mergeCell ref="FZV27:FZX27"/>
    <mergeCell ref="FZY27:GAA27"/>
    <mergeCell ref="GAB27:GAD27"/>
    <mergeCell ref="GAE27:GAG27"/>
    <mergeCell ref="GAH27:GAJ27"/>
    <mergeCell ref="FZG27:FZI27"/>
    <mergeCell ref="FZJ27:FZL27"/>
    <mergeCell ref="FZM27:FZO27"/>
    <mergeCell ref="FZP27:FZR27"/>
    <mergeCell ref="FZS27:FZU27"/>
    <mergeCell ref="FYR27:FYT27"/>
    <mergeCell ref="FYU27:FYW27"/>
    <mergeCell ref="FYX27:FYZ27"/>
    <mergeCell ref="FZA27:FZC27"/>
    <mergeCell ref="FZD27:FZF27"/>
    <mergeCell ref="GGE27:GGG27"/>
    <mergeCell ref="GGH27:GGJ27"/>
    <mergeCell ref="GGK27:GGM27"/>
    <mergeCell ref="GGN27:GGP27"/>
    <mergeCell ref="GGQ27:GGS27"/>
    <mergeCell ref="GFP27:GFR27"/>
    <mergeCell ref="GFS27:GFU27"/>
    <mergeCell ref="GFV27:GFX27"/>
    <mergeCell ref="GFY27:GGA27"/>
    <mergeCell ref="GGB27:GGD27"/>
    <mergeCell ref="GFA27:GFC27"/>
    <mergeCell ref="GFD27:GFF27"/>
    <mergeCell ref="GFG27:GFI27"/>
    <mergeCell ref="GFJ27:GFL27"/>
    <mergeCell ref="GFM27:GFO27"/>
    <mergeCell ref="GEL27:GEN27"/>
    <mergeCell ref="GEO27:GEQ27"/>
    <mergeCell ref="GER27:GET27"/>
    <mergeCell ref="GEU27:GEW27"/>
    <mergeCell ref="GEX27:GEZ27"/>
    <mergeCell ref="GDW27:GDY27"/>
    <mergeCell ref="GDZ27:GEB27"/>
    <mergeCell ref="GEC27:GEE27"/>
    <mergeCell ref="GEF27:GEH27"/>
    <mergeCell ref="GEI27:GEK27"/>
    <mergeCell ref="GDH27:GDJ27"/>
    <mergeCell ref="GDK27:GDM27"/>
    <mergeCell ref="GDN27:GDP27"/>
    <mergeCell ref="GDQ27:GDS27"/>
    <mergeCell ref="GDT27:GDV27"/>
    <mergeCell ref="GCS27:GCU27"/>
    <mergeCell ref="GCV27:GCX27"/>
    <mergeCell ref="GCY27:GDA27"/>
    <mergeCell ref="GDB27:GDD27"/>
    <mergeCell ref="GDE27:GDG27"/>
    <mergeCell ref="GKF27:GKH27"/>
    <mergeCell ref="GKI27:GKK27"/>
    <mergeCell ref="GKL27:GKN27"/>
    <mergeCell ref="GKO27:GKQ27"/>
    <mergeCell ref="GKR27:GKT27"/>
    <mergeCell ref="GJQ27:GJS27"/>
    <mergeCell ref="GJT27:GJV27"/>
    <mergeCell ref="GJW27:GJY27"/>
    <mergeCell ref="GJZ27:GKB27"/>
    <mergeCell ref="GKC27:GKE27"/>
    <mergeCell ref="GJB27:GJD27"/>
    <mergeCell ref="GJE27:GJG27"/>
    <mergeCell ref="GJH27:GJJ27"/>
    <mergeCell ref="GJK27:GJM27"/>
    <mergeCell ref="GJN27:GJP27"/>
    <mergeCell ref="GIM27:GIO27"/>
    <mergeCell ref="GIP27:GIR27"/>
    <mergeCell ref="GIS27:GIU27"/>
    <mergeCell ref="GIV27:GIX27"/>
    <mergeCell ref="GIY27:GJA27"/>
    <mergeCell ref="GHX27:GHZ27"/>
    <mergeCell ref="GIA27:GIC27"/>
    <mergeCell ref="GID27:GIF27"/>
    <mergeCell ref="GIG27:GII27"/>
    <mergeCell ref="GIJ27:GIL27"/>
    <mergeCell ref="GHI27:GHK27"/>
    <mergeCell ref="GHL27:GHN27"/>
    <mergeCell ref="GHO27:GHQ27"/>
    <mergeCell ref="GHR27:GHT27"/>
    <mergeCell ref="GHU27:GHW27"/>
    <mergeCell ref="GGT27:GGV27"/>
    <mergeCell ref="GGW27:GGY27"/>
    <mergeCell ref="GGZ27:GHB27"/>
    <mergeCell ref="GHC27:GHE27"/>
    <mergeCell ref="GHF27:GHH27"/>
    <mergeCell ref="GOG27:GOI27"/>
    <mergeCell ref="GOJ27:GOL27"/>
    <mergeCell ref="GOM27:GOO27"/>
    <mergeCell ref="GOP27:GOR27"/>
    <mergeCell ref="GOS27:GOU27"/>
    <mergeCell ref="GNR27:GNT27"/>
    <mergeCell ref="GNU27:GNW27"/>
    <mergeCell ref="GNX27:GNZ27"/>
    <mergeCell ref="GOA27:GOC27"/>
    <mergeCell ref="GOD27:GOF27"/>
    <mergeCell ref="GNC27:GNE27"/>
    <mergeCell ref="GNF27:GNH27"/>
    <mergeCell ref="GNI27:GNK27"/>
    <mergeCell ref="GNL27:GNN27"/>
    <mergeCell ref="GNO27:GNQ27"/>
    <mergeCell ref="GMN27:GMP27"/>
    <mergeCell ref="GMQ27:GMS27"/>
    <mergeCell ref="GMT27:GMV27"/>
    <mergeCell ref="GMW27:GMY27"/>
    <mergeCell ref="GMZ27:GNB27"/>
    <mergeCell ref="GLY27:GMA27"/>
    <mergeCell ref="GMB27:GMD27"/>
    <mergeCell ref="GME27:GMG27"/>
    <mergeCell ref="GMH27:GMJ27"/>
    <mergeCell ref="GMK27:GMM27"/>
    <mergeCell ref="GLJ27:GLL27"/>
    <mergeCell ref="GLM27:GLO27"/>
    <mergeCell ref="GLP27:GLR27"/>
    <mergeCell ref="GLS27:GLU27"/>
    <mergeCell ref="GLV27:GLX27"/>
    <mergeCell ref="GKU27:GKW27"/>
    <mergeCell ref="GKX27:GKZ27"/>
    <mergeCell ref="GLA27:GLC27"/>
    <mergeCell ref="GLD27:GLF27"/>
    <mergeCell ref="GLG27:GLI27"/>
    <mergeCell ref="GSH27:GSJ27"/>
    <mergeCell ref="GSK27:GSM27"/>
    <mergeCell ref="GSN27:GSP27"/>
    <mergeCell ref="GSQ27:GSS27"/>
    <mergeCell ref="GST27:GSV27"/>
    <mergeCell ref="GRS27:GRU27"/>
    <mergeCell ref="GRV27:GRX27"/>
    <mergeCell ref="GRY27:GSA27"/>
    <mergeCell ref="GSB27:GSD27"/>
    <mergeCell ref="GSE27:GSG27"/>
    <mergeCell ref="GRD27:GRF27"/>
    <mergeCell ref="GRG27:GRI27"/>
    <mergeCell ref="GRJ27:GRL27"/>
    <mergeCell ref="GRM27:GRO27"/>
    <mergeCell ref="GRP27:GRR27"/>
    <mergeCell ref="GQO27:GQQ27"/>
    <mergeCell ref="GQR27:GQT27"/>
    <mergeCell ref="GQU27:GQW27"/>
    <mergeCell ref="GQX27:GQZ27"/>
    <mergeCell ref="GRA27:GRC27"/>
    <mergeCell ref="GPZ27:GQB27"/>
    <mergeCell ref="GQC27:GQE27"/>
    <mergeCell ref="GQF27:GQH27"/>
    <mergeCell ref="GQI27:GQK27"/>
    <mergeCell ref="GQL27:GQN27"/>
    <mergeCell ref="GPK27:GPM27"/>
    <mergeCell ref="GPN27:GPP27"/>
    <mergeCell ref="GPQ27:GPS27"/>
    <mergeCell ref="GPT27:GPV27"/>
    <mergeCell ref="GPW27:GPY27"/>
    <mergeCell ref="GOV27:GOX27"/>
    <mergeCell ref="GOY27:GPA27"/>
    <mergeCell ref="GPB27:GPD27"/>
    <mergeCell ref="GPE27:GPG27"/>
    <mergeCell ref="GPH27:GPJ27"/>
    <mergeCell ref="GWI27:GWK27"/>
    <mergeCell ref="GWL27:GWN27"/>
    <mergeCell ref="GWO27:GWQ27"/>
    <mergeCell ref="GWR27:GWT27"/>
    <mergeCell ref="GWU27:GWW27"/>
    <mergeCell ref="GVT27:GVV27"/>
    <mergeCell ref="GVW27:GVY27"/>
    <mergeCell ref="GVZ27:GWB27"/>
    <mergeCell ref="GWC27:GWE27"/>
    <mergeCell ref="GWF27:GWH27"/>
    <mergeCell ref="GVE27:GVG27"/>
    <mergeCell ref="GVH27:GVJ27"/>
    <mergeCell ref="GVK27:GVM27"/>
    <mergeCell ref="GVN27:GVP27"/>
    <mergeCell ref="GVQ27:GVS27"/>
    <mergeCell ref="GUP27:GUR27"/>
    <mergeCell ref="GUS27:GUU27"/>
    <mergeCell ref="GUV27:GUX27"/>
    <mergeCell ref="GUY27:GVA27"/>
    <mergeCell ref="GVB27:GVD27"/>
    <mergeCell ref="GUA27:GUC27"/>
    <mergeCell ref="GUD27:GUF27"/>
    <mergeCell ref="GUG27:GUI27"/>
    <mergeCell ref="GUJ27:GUL27"/>
    <mergeCell ref="GUM27:GUO27"/>
    <mergeCell ref="GTL27:GTN27"/>
    <mergeCell ref="GTO27:GTQ27"/>
    <mergeCell ref="GTR27:GTT27"/>
    <mergeCell ref="GTU27:GTW27"/>
    <mergeCell ref="GTX27:GTZ27"/>
    <mergeCell ref="GSW27:GSY27"/>
    <mergeCell ref="GSZ27:GTB27"/>
    <mergeCell ref="GTC27:GTE27"/>
    <mergeCell ref="GTF27:GTH27"/>
    <mergeCell ref="GTI27:GTK27"/>
    <mergeCell ref="HAJ27:HAL27"/>
    <mergeCell ref="HAM27:HAO27"/>
    <mergeCell ref="HAP27:HAR27"/>
    <mergeCell ref="HAS27:HAU27"/>
    <mergeCell ref="HAV27:HAX27"/>
    <mergeCell ref="GZU27:GZW27"/>
    <mergeCell ref="GZX27:GZZ27"/>
    <mergeCell ref="HAA27:HAC27"/>
    <mergeCell ref="HAD27:HAF27"/>
    <mergeCell ref="HAG27:HAI27"/>
    <mergeCell ref="GZF27:GZH27"/>
    <mergeCell ref="GZI27:GZK27"/>
    <mergeCell ref="GZL27:GZN27"/>
    <mergeCell ref="GZO27:GZQ27"/>
    <mergeCell ref="GZR27:GZT27"/>
    <mergeCell ref="GYQ27:GYS27"/>
    <mergeCell ref="GYT27:GYV27"/>
    <mergeCell ref="GYW27:GYY27"/>
    <mergeCell ref="GYZ27:GZB27"/>
    <mergeCell ref="GZC27:GZE27"/>
    <mergeCell ref="GYB27:GYD27"/>
    <mergeCell ref="GYE27:GYG27"/>
    <mergeCell ref="GYH27:GYJ27"/>
    <mergeCell ref="GYK27:GYM27"/>
    <mergeCell ref="GYN27:GYP27"/>
    <mergeCell ref="GXM27:GXO27"/>
    <mergeCell ref="GXP27:GXR27"/>
    <mergeCell ref="GXS27:GXU27"/>
    <mergeCell ref="GXV27:GXX27"/>
    <mergeCell ref="GXY27:GYA27"/>
    <mergeCell ref="GWX27:GWZ27"/>
    <mergeCell ref="GXA27:GXC27"/>
    <mergeCell ref="GXD27:GXF27"/>
    <mergeCell ref="GXG27:GXI27"/>
    <mergeCell ref="GXJ27:GXL27"/>
    <mergeCell ref="HEK27:HEM27"/>
    <mergeCell ref="HEN27:HEP27"/>
    <mergeCell ref="HEQ27:HES27"/>
    <mergeCell ref="HET27:HEV27"/>
    <mergeCell ref="HEW27:HEY27"/>
    <mergeCell ref="HDV27:HDX27"/>
    <mergeCell ref="HDY27:HEA27"/>
    <mergeCell ref="HEB27:HED27"/>
    <mergeCell ref="HEE27:HEG27"/>
    <mergeCell ref="HEH27:HEJ27"/>
    <mergeCell ref="HDG27:HDI27"/>
    <mergeCell ref="HDJ27:HDL27"/>
    <mergeCell ref="HDM27:HDO27"/>
    <mergeCell ref="HDP27:HDR27"/>
    <mergeCell ref="HDS27:HDU27"/>
    <mergeCell ref="HCR27:HCT27"/>
    <mergeCell ref="HCU27:HCW27"/>
    <mergeCell ref="HCX27:HCZ27"/>
    <mergeCell ref="HDA27:HDC27"/>
    <mergeCell ref="HDD27:HDF27"/>
    <mergeCell ref="HCC27:HCE27"/>
    <mergeCell ref="HCF27:HCH27"/>
    <mergeCell ref="HCI27:HCK27"/>
    <mergeCell ref="HCL27:HCN27"/>
    <mergeCell ref="HCO27:HCQ27"/>
    <mergeCell ref="HBN27:HBP27"/>
    <mergeCell ref="HBQ27:HBS27"/>
    <mergeCell ref="HBT27:HBV27"/>
    <mergeCell ref="HBW27:HBY27"/>
    <mergeCell ref="HBZ27:HCB27"/>
    <mergeCell ref="HAY27:HBA27"/>
    <mergeCell ref="HBB27:HBD27"/>
    <mergeCell ref="HBE27:HBG27"/>
    <mergeCell ref="HBH27:HBJ27"/>
    <mergeCell ref="HBK27:HBM27"/>
    <mergeCell ref="HIL27:HIN27"/>
    <mergeCell ref="HIO27:HIQ27"/>
    <mergeCell ref="HIR27:HIT27"/>
    <mergeCell ref="HIU27:HIW27"/>
    <mergeCell ref="HIX27:HIZ27"/>
    <mergeCell ref="HHW27:HHY27"/>
    <mergeCell ref="HHZ27:HIB27"/>
    <mergeCell ref="HIC27:HIE27"/>
    <mergeCell ref="HIF27:HIH27"/>
    <mergeCell ref="HII27:HIK27"/>
    <mergeCell ref="HHH27:HHJ27"/>
    <mergeCell ref="HHK27:HHM27"/>
    <mergeCell ref="HHN27:HHP27"/>
    <mergeCell ref="HHQ27:HHS27"/>
    <mergeCell ref="HHT27:HHV27"/>
    <mergeCell ref="HGS27:HGU27"/>
    <mergeCell ref="HGV27:HGX27"/>
    <mergeCell ref="HGY27:HHA27"/>
    <mergeCell ref="HHB27:HHD27"/>
    <mergeCell ref="HHE27:HHG27"/>
    <mergeCell ref="HGD27:HGF27"/>
    <mergeCell ref="HGG27:HGI27"/>
    <mergeCell ref="HGJ27:HGL27"/>
    <mergeCell ref="HGM27:HGO27"/>
    <mergeCell ref="HGP27:HGR27"/>
    <mergeCell ref="HFO27:HFQ27"/>
    <mergeCell ref="HFR27:HFT27"/>
    <mergeCell ref="HFU27:HFW27"/>
    <mergeCell ref="HFX27:HFZ27"/>
    <mergeCell ref="HGA27:HGC27"/>
    <mergeCell ref="HEZ27:HFB27"/>
    <mergeCell ref="HFC27:HFE27"/>
    <mergeCell ref="HFF27:HFH27"/>
    <mergeCell ref="HFI27:HFK27"/>
    <mergeCell ref="HFL27:HFN27"/>
    <mergeCell ref="HMM27:HMO27"/>
    <mergeCell ref="HMP27:HMR27"/>
    <mergeCell ref="HMS27:HMU27"/>
    <mergeCell ref="HMV27:HMX27"/>
    <mergeCell ref="HMY27:HNA27"/>
    <mergeCell ref="HLX27:HLZ27"/>
    <mergeCell ref="HMA27:HMC27"/>
    <mergeCell ref="HMD27:HMF27"/>
    <mergeCell ref="HMG27:HMI27"/>
    <mergeCell ref="HMJ27:HML27"/>
    <mergeCell ref="HLI27:HLK27"/>
    <mergeCell ref="HLL27:HLN27"/>
    <mergeCell ref="HLO27:HLQ27"/>
    <mergeCell ref="HLR27:HLT27"/>
    <mergeCell ref="HLU27:HLW27"/>
    <mergeCell ref="HKT27:HKV27"/>
    <mergeCell ref="HKW27:HKY27"/>
    <mergeCell ref="HKZ27:HLB27"/>
    <mergeCell ref="HLC27:HLE27"/>
    <mergeCell ref="HLF27:HLH27"/>
    <mergeCell ref="HKE27:HKG27"/>
    <mergeCell ref="HKH27:HKJ27"/>
    <mergeCell ref="HKK27:HKM27"/>
    <mergeCell ref="HKN27:HKP27"/>
    <mergeCell ref="HKQ27:HKS27"/>
    <mergeCell ref="HJP27:HJR27"/>
    <mergeCell ref="HJS27:HJU27"/>
    <mergeCell ref="HJV27:HJX27"/>
    <mergeCell ref="HJY27:HKA27"/>
    <mergeCell ref="HKB27:HKD27"/>
    <mergeCell ref="HJA27:HJC27"/>
    <mergeCell ref="HJD27:HJF27"/>
    <mergeCell ref="HJG27:HJI27"/>
    <mergeCell ref="HJJ27:HJL27"/>
    <mergeCell ref="HJM27:HJO27"/>
    <mergeCell ref="HQN27:HQP27"/>
    <mergeCell ref="HQQ27:HQS27"/>
    <mergeCell ref="HQT27:HQV27"/>
    <mergeCell ref="HQW27:HQY27"/>
    <mergeCell ref="HQZ27:HRB27"/>
    <mergeCell ref="HPY27:HQA27"/>
    <mergeCell ref="HQB27:HQD27"/>
    <mergeCell ref="HQE27:HQG27"/>
    <mergeCell ref="HQH27:HQJ27"/>
    <mergeCell ref="HQK27:HQM27"/>
    <mergeCell ref="HPJ27:HPL27"/>
    <mergeCell ref="HPM27:HPO27"/>
    <mergeCell ref="HPP27:HPR27"/>
    <mergeCell ref="HPS27:HPU27"/>
    <mergeCell ref="HPV27:HPX27"/>
    <mergeCell ref="HOU27:HOW27"/>
    <mergeCell ref="HOX27:HOZ27"/>
    <mergeCell ref="HPA27:HPC27"/>
    <mergeCell ref="HPD27:HPF27"/>
    <mergeCell ref="HPG27:HPI27"/>
    <mergeCell ref="HOF27:HOH27"/>
    <mergeCell ref="HOI27:HOK27"/>
    <mergeCell ref="HOL27:HON27"/>
    <mergeCell ref="HOO27:HOQ27"/>
    <mergeCell ref="HOR27:HOT27"/>
    <mergeCell ref="HNQ27:HNS27"/>
    <mergeCell ref="HNT27:HNV27"/>
    <mergeCell ref="HNW27:HNY27"/>
    <mergeCell ref="HNZ27:HOB27"/>
    <mergeCell ref="HOC27:HOE27"/>
    <mergeCell ref="HNB27:HND27"/>
    <mergeCell ref="HNE27:HNG27"/>
    <mergeCell ref="HNH27:HNJ27"/>
    <mergeCell ref="HNK27:HNM27"/>
    <mergeCell ref="HNN27:HNP27"/>
    <mergeCell ref="HUO27:HUQ27"/>
    <mergeCell ref="HUR27:HUT27"/>
    <mergeCell ref="HUU27:HUW27"/>
    <mergeCell ref="HUX27:HUZ27"/>
    <mergeCell ref="HVA27:HVC27"/>
    <mergeCell ref="HTZ27:HUB27"/>
    <mergeCell ref="HUC27:HUE27"/>
    <mergeCell ref="HUF27:HUH27"/>
    <mergeCell ref="HUI27:HUK27"/>
    <mergeCell ref="HUL27:HUN27"/>
    <mergeCell ref="HTK27:HTM27"/>
    <mergeCell ref="HTN27:HTP27"/>
    <mergeCell ref="HTQ27:HTS27"/>
    <mergeCell ref="HTT27:HTV27"/>
    <mergeCell ref="HTW27:HTY27"/>
    <mergeCell ref="HSV27:HSX27"/>
    <mergeCell ref="HSY27:HTA27"/>
    <mergeCell ref="HTB27:HTD27"/>
    <mergeCell ref="HTE27:HTG27"/>
    <mergeCell ref="HTH27:HTJ27"/>
    <mergeCell ref="HSG27:HSI27"/>
    <mergeCell ref="HSJ27:HSL27"/>
    <mergeCell ref="HSM27:HSO27"/>
    <mergeCell ref="HSP27:HSR27"/>
    <mergeCell ref="HSS27:HSU27"/>
    <mergeCell ref="HRR27:HRT27"/>
    <mergeCell ref="HRU27:HRW27"/>
    <mergeCell ref="HRX27:HRZ27"/>
    <mergeCell ref="HSA27:HSC27"/>
    <mergeCell ref="HSD27:HSF27"/>
    <mergeCell ref="HRC27:HRE27"/>
    <mergeCell ref="HRF27:HRH27"/>
    <mergeCell ref="HRI27:HRK27"/>
    <mergeCell ref="HRL27:HRN27"/>
    <mergeCell ref="HRO27:HRQ27"/>
    <mergeCell ref="HYP27:HYR27"/>
    <mergeCell ref="HYS27:HYU27"/>
    <mergeCell ref="HYV27:HYX27"/>
    <mergeCell ref="HYY27:HZA27"/>
    <mergeCell ref="HZB27:HZD27"/>
    <mergeCell ref="HYA27:HYC27"/>
    <mergeCell ref="HYD27:HYF27"/>
    <mergeCell ref="HYG27:HYI27"/>
    <mergeCell ref="HYJ27:HYL27"/>
    <mergeCell ref="HYM27:HYO27"/>
    <mergeCell ref="HXL27:HXN27"/>
    <mergeCell ref="HXO27:HXQ27"/>
    <mergeCell ref="HXR27:HXT27"/>
    <mergeCell ref="HXU27:HXW27"/>
    <mergeCell ref="HXX27:HXZ27"/>
    <mergeCell ref="HWW27:HWY27"/>
    <mergeCell ref="HWZ27:HXB27"/>
    <mergeCell ref="HXC27:HXE27"/>
    <mergeCell ref="HXF27:HXH27"/>
    <mergeCell ref="HXI27:HXK27"/>
    <mergeCell ref="HWH27:HWJ27"/>
    <mergeCell ref="HWK27:HWM27"/>
    <mergeCell ref="HWN27:HWP27"/>
    <mergeCell ref="HWQ27:HWS27"/>
    <mergeCell ref="HWT27:HWV27"/>
    <mergeCell ref="HVS27:HVU27"/>
    <mergeCell ref="HVV27:HVX27"/>
    <mergeCell ref="HVY27:HWA27"/>
    <mergeCell ref="HWB27:HWD27"/>
    <mergeCell ref="HWE27:HWG27"/>
    <mergeCell ref="HVD27:HVF27"/>
    <mergeCell ref="HVG27:HVI27"/>
    <mergeCell ref="HVJ27:HVL27"/>
    <mergeCell ref="HVM27:HVO27"/>
    <mergeCell ref="HVP27:HVR27"/>
    <mergeCell ref="ICQ27:ICS27"/>
    <mergeCell ref="ICT27:ICV27"/>
    <mergeCell ref="ICW27:ICY27"/>
    <mergeCell ref="ICZ27:IDB27"/>
    <mergeCell ref="IDC27:IDE27"/>
    <mergeCell ref="ICB27:ICD27"/>
    <mergeCell ref="ICE27:ICG27"/>
    <mergeCell ref="ICH27:ICJ27"/>
    <mergeCell ref="ICK27:ICM27"/>
    <mergeCell ref="ICN27:ICP27"/>
    <mergeCell ref="IBM27:IBO27"/>
    <mergeCell ref="IBP27:IBR27"/>
    <mergeCell ref="IBS27:IBU27"/>
    <mergeCell ref="IBV27:IBX27"/>
    <mergeCell ref="IBY27:ICA27"/>
    <mergeCell ref="IAX27:IAZ27"/>
    <mergeCell ref="IBA27:IBC27"/>
    <mergeCell ref="IBD27:IBF27"/>
    <mergeCell ref="IBG27:IBI27"/>
    <mergeCell ref="IBJ27:IBL27"/>
    <mergeCell ref="IAI27:IAK27"/>
    <mergeCell ref="IAL27:IAN27"/>
    <mergeCell ref="IAO27:IAQ27"/>
    <mergeCell ref="IAR27:IAT27"/>
    <mergeCell ref="IAU27:IAW27"/>
    <mergeCell ref="HZT27:HZV27"/>
    <mergeCell ref="HZW27:HZY27"/>
    <mergeCell ref="HZZ27:IAB27"/>
    <mergeCell ref="IAC27:IAE27"/>
    <mergeCell ref="IAF27:IAH27"/>
    <mergeCell ref="HZE27:HZG27"/>
    <mergeCell ref="HZH27:HZJ27"/>
    <mergeCell ref="HZK27:HZM27"/>
    <mergeCell ref="HZN27:HZP27"/>
    <mergeCell ref="HZQ27:HZS27"/>
    <mergeCell ref="IGR27:IGT27"/>
    <mergeCell ref="IGU27:IGW27"/>
    <mergeCell ref="IGX27:IGZ27"/>
    <mergeCell ref="IHA27:IHC27"/>
    <mergeCell ref="IHD27:IHF27"/>
    <mergeCell ref="IGC27:IGE27"/>
    <mergeCell ref="IGF27:IGH27"/>
    <mergeCell ref="IGI27:IGK27"/>
    <mergeCell ref="IGL27:IGN27"/>
    <mergeCell ref="IGO27:IGQ27"/>
    <mergeCell ref="IFN27:IFP27"/>
    <mergeCell ref="IFQ27:IFS27"/>
    <mergeCell ref="IFT27:IFV27"/>
    <mergeCell ref="IFW27:IFY27"/>
    <mergeCell ref="IFZ27:IGB27"/>
    <mergeCell ref="IEY27:IFA27"/>
    <mergeCell ref="IFB27:IFD27"/>
    <mergeCell ref="IFE27:IFG27"/>
    <mergeCell ref="IFH27:IFJ27"/>
    <mergeCell ref="IFK27:IFM27"/>
    <mergeCell ref="IEJ27:IEL27"/>
    <mergeCell ref="IEM27:IEO27"/>
    <mergeCell ref="IEP27:IER27"/>
    <mergeCell ref="IES27:IEU27"/>
    <mergeCell ref="IEV27:IEX27"/>
    <mergeCell ref="IDU27:IDW27"/>
    <mergeCell ref="IDX27:IDZ27"/>
    <mergeCell ref="IEA27:IEC27"/>
    <mergeCell ref="IED27:IEF27"/>
    <mergeCell ref="IEG27:IEI27"/>
    <mergeCell ref="IDF27:IDH27"/>
    <mergeCell ref="IDI27:IDK27"/>
    <mergeCell ref="IDL27:IDN27"/>
    <mergeCell ref="IDO27:IDQ27"/>
    <mergeCell ref="IDR27:IDT27"/>
    <mergeCell ref="IKS27:IKU27"/>
    <mergeCell ref="IKV27:IKX27"/>
    <mergeCell ref="IKY27:ILA27"/>
    <mergeCell ref="ILB27:ILD27"/>
    <mergeCell ref="ILE27:ILG27"/>
    <mergeCell ref="IKD27:IKF27"/>
    <mergeCell ref="IKG27:IKI27"/>
    <mergeCell ref="IKJ27:IKL27"/>
    <mergeCell ref="IKM27:IKO27"/>
    <mergeCell ref="IKP27:IKR27"/>
    <mergeCell ref="IJO27:IJQ27"/>
    <mergeCell ref="IJR27:IJT27"/>
    <mergeCell ref="IJU27:IJW27"/>
    <mergeCell ref="IJX27:IJZ27"/>
    <mergeCell ref="IKA27:IKC27"/>
    <mergeCell ref="IIZ27:IJB27"/>
    <mergeCell ref="IJC27:IJE27"/>
    <mergeCell ref="IJF27:IJH27"/>
    <mergeCell ref="IJI27:IJK27"/>
    <mergeCell ref="IJL27:IJN27"/>
    <mergeCell ref="IIK27:IIM27"/>
    <mergeCell ref="IIN27:IIP27"/>
    <mergeCell ref="IIQ27:IIS27"/>
    <mergeCell ref="IIT27:IIV27"/>
    <mergeCell ref="IIW27:IIY27"/>
    <mergeCell ref="IHV27:IHX27"/>
    <mergeCell ref="IHY27:IIA27"/>
    <mergeCell ref="IIB27:IID27"/>
    <mergeCell ref="IIE27:IIG27"/>
    <mergeCell ref="IIH27:IIJ27"/>
    <mergeCell ref="IHG27:IHI27"/>
    <mergeCell ref="IHJ27:IHL27"/>
    <mergeCell ref="IHM27:IHO27"/>
    <mergeCell ref="IHP27:IHR27"/>
    <mergeCell ref="IHS27:IHU27"/>
    <mergeCell ref="IOT27:IOV27"/>
    <mergeCell ref="IOW27:IOY27"/>
    <mergeCell ref="IOZ27:IPB27"/>
    <mergeCell ref="IPC27:IPE27"/>
    <mergeCell ref="IPF27:IPH27"/>
    <mergeCell ref="IOE27:IOG27"/>
    <mergeCell ref="IOH27:IOJ27"/>
    <mergeCell ref="IOK27:IOM27"/>
    <mergeCell ref="ION27:IOP27"/>
    <mergeCell ref="IOQ27:IOS27"/>
    <mergeCell ref="INP27:INR27"/>
    <mergeCell ref="INS27:INU27"/>
    <mergeCell ref="INV27:INX27"/>
    <mergeCell ref="INY27:IOA27"/>
    <mergeCell ref="IOB27:IOD27"/>
    <mergeCell ref="INA27:INC27"/>
    <mergeCell ref="IND27:INF27"/>
    <mergeCell ref="ING27:INI27"/>
    <mergeCell ref="INJ27:INL27"/>
    <mergeCell ref="INM27:INO27"/>
    <mergeCell ref="IML27:IMN27"/>
    <mergeCell ref="IMO27:IMQ27"/>
    <mergeCell ref="IMR27:IMT27"/>
    <mergeCell ref="IMU27:IMW27"/>
    <mergeCell ref="IMX27:IMZ27"/>
    <mergeCell ref="ILW27:ILY27"/>
    <mergeCell ref="ILZ27:IMB27"/>
    <mergeCell ref="IMC27:IME27"/>
    <mergeCell ref="IMF27:IMH27"/>
    <mergeCell ref="IMI27:IMK27"/>
    <mergeCell ref="ILH27:ILJ27"/>
    <mergeCell ref="ILK27:ILM27"/>
    <mergeCell ref="ILN27:ILP27"/>
    <mergeCell ref="ILQ27:ILS27"/>
    <mergeCell ref="ILT27:ILV27"/>
    <mergeCell ref="ISU27:ISW27"/>
    <mergeCell ref="ISX27:ISZ27"/>
    <mergeCell ref="ITA27:ITC27"/>
    <mergeCell ref="ITD27:ITF27"/>
    <mergeCell ref="ITG27:ITI27"/>
    <mergeCell ref="ISF27:ISH27"/>
    <mergeCell ref="ISI27:ISK27"/>
    <mergeCell ref="ISL27:ISN27"/>
    <mergeCell ref="ISO27:ISQ27"/>
    <mergeCell ref="ISR27:IST27"/>
    <mergeCell ref="IRQ27:IRS27"/>
    <mergeCell ref="IRT27:IRV27"/>
    <mergeCell ref="IRW27:IRY27"/>
    <mergeCell ref="IRZ27:ISB27"/>
    <mergeCell ref="ISC27:ISE27"/>
    <mergeCell ref="IRB27:IRD27"/>
    <mergeCell ref="IRE27:IRG27"/>
    <mergeCell ref="IRH27:IRJ27"/>
    <mergeCell ref="IRK27:IRM27"/>
    <mergeCell ref="IRN27:IRP27"/>
    <mergeCell ref="IQM27:IQO27"/>
    <mergeCell ref="IQP27:IQR27"/>
    <mergeCell ref="IQS27:IQU27"/>
    <mergeCell ref="IQV27:IQX27"/>
    <mergeCell ref="IQY27:IRA27"/>
    <mergeCell ref="IPX27:IPZ27"/>
    <mergeCell ref="IQA27:IQC27"/>
    <mergeCell ref="IQD27:IQF27"/>
    <mergeCell ref="IQG27:IQI27"/>
    <mergeCell ref="IQJ27:IQL27"/>
    <mergeCell ref="IPI27:IPK27"/>
    <mergeCell ref="IPL27:IPN27"/>
    <mergeCell ref="IPO27:IPQ27"/>
    <mergeCell ref="IPR27:IPT27"/>
    <mergeCell ref="IPU27:IPW27"/>
    <mergeCell ref="IWV27:IWX27"/>
    <mergeCell ref="IWY27:IXA27"/>
    <mergeCell ref="IXB27:IXD27"/>
    <mergeCell ref="IXE27:IXG27"/>
    <mergeCell ref="IXH27:IXJ27"/>
    <mergeCell ref="IWG27:IWI27"/>
    <mergeCell ref="IWJ27:IWL27"/>
    <mergeCell ref="IWM27:IWO27"/>
    <mergeCell ref="IWP27:IWR27"/>
    <mergeCell ref="IWS27:IWU27"/>
    <mergeCell ref="IVR27:IVT27"/>
    <mergeCell ref="IVU27:IVW27"/>
    <mergeCell ref="IVX27:IVZ27"/>
    <mergeCell ref="IWA27:IWC27"/>
    <mergeCell ref="IWD27:IWF27"/>
    <mergeCell ref="IVC27:IVE27"/>
    <mergeCell ref="IVF27:IVH27"/>
    <mergeCell ref="IVI27:IVK27"/>
    <mergeCell ref="IVL27:IVN27"/>
    <mergeCell ref="IVO27:IVQ27"/>
    <mergeCell ref="IUN27:IUP27"/>
    <mergeCell ref="IUQ27:IUS27"/>
    <mergeCell ref="IUT27:IUV27"/>
    <mergeCell ref="IUW27:IUY27"/>
    <mergeCell ref="IUZ27:IVB27"/>
    <mergeCell ref="ITY27:IUA27"/>
    <mergeCell ref="IUB27:IUD27"/>
    <mergeCell ref="IUE27:IUG27"/>
    <mergeCell ref="IUH27:IUJ27"/>
    <mergeCell ref="IUK27:IUM27"/>
    <mergeCell ref="ITJ27:ITL27"/>
    <mergeCell ref="ITM27:ITO27"/>
    <mergeCell ref="ITP27:ITR27"/>
    <mergeCell ref="ITS27:ITU27"/>
    <mergeCell ref="ITV27:ITX27"/>
    <mergeCell ref="JAW27:JAY27"/>
    <mergeCell ref="JAZ27:JBB27"/>
    <mergeCell ref="JBC27:JBE27"/>
    <mergeCell ref="JBF27:JBH27"/>
    <mergeCell ref="JBI27:JBK27"/>
    <mergeCell ref="JAH27:JAJ27"/>
    <mergeCell ref="JAK27:JAM27"/>
    <mergeCell ref="JAN27:JAP27"/>
    <mergeCell ref="JAQ27:JAS27"/>
    <mergeCell ref="JAT27:JAV27"/>
    <mergeCell ref="IZS27:IZU27"/>
    <mergeCell ref="IZV27:IZX27"/>
    <mergeCell ref="IZY27:JAA27"/>
    <mergeCell ref="JAB27:JAD27"/>
    <mergeCell ref="JAE27:JAG27"/>
    <mergeCell ref="IZD27:IZF27"/>
    <mergeCell ref="IZG27:IZI27"/>
    <mergeCell ref="IZJ27:IZL27"/>
    <mergeCell ref="IZM27:IZO27"/>
    <mergeCell ref="IZP27:IZR27"/>
    <mergeCell ref="IYO27:IYQ27"/>
    <mergeCell ref="IYR27:IYT27"/>
    <mergeCell ref="IYU27:IYW27"/>
    <mergeCell ref="IYX27:IYZ27"/>
    <mergeCell ref="IZA27:IZC27"/>
    <mergeCell ref="IXZ27:IYB27"/>
    <mergeCell ref="IYC27:IYE27"/>
    <mergeCell ref="IYF27:IYH27"/>
    <mergeCell ref="IYI27:IYK27"/>
    <mergeCell ref="IYL27:IYN27"/>
    <mergeCell ref="IXK27:IXM27"/>
    <mergeCell ref="IXN27:IXP27"/>
    <mergeCell ref="IXQ27:IXS27"/>
    <mergeCell ref="IXT27:IXV27"/>
    <mergeCell ref="IXW27:IXY27"/>
    <mergeCell ref="JEX27:JEZ27"/>
    <mergeCell ref="JFA27:JFC27"/>
    <mergeCell ref="JFD27:JFF27"/>
    <mergeCell ref="JFG27:JFI27"/>
    <mergeCell ref="JFJ27:JFL27"/>
    <mergeCell ref="JEI27:JEK27"/>
    <mergeCell ref="JEL27:JEN27"/>
    <mergeCell ref="JEO27:JEQ27"/>
    <mergeCell ref="JER27:JET27"/>
    <mergeCell ref="JEU27:JEW27"/>
    <mergeCell ref="JDT27:JDV27"/>
    <mergeCell ref="JDW27:JDY27"/>
    <mergeCell ref="JDZ27:JEB27"/>
    <mergeCell ref="JEC27:JEE27"/>
    <mergeCell ref="JEF27:JEH27"/>
    <mergeCell ref="JDE27:JDG27"/>
    <mergeCell ref="JDH27:JDJ27"/>
    <mergeCell ref="JDK27:JDM27"/>
    <mergeCell ref="JDN27:JDP27"/>
    <mergeCell ref="JDQ27:JDS27"/>
    <mergeCell ref="JCP27:JCR27"/>
    <mergeCell ref="JCS27:JCU27"/>
    <mergeCell ref="JCV27:JCX27"/>
    <mergeCell ref="JCY27:JDA27"/>
    <mergeCell ref="JDB27:JDD27"/>
    <mergeCell ref="JCA27:JCC27"/>
    <mergeCell ref="JCD27:JCF27"/>
    <mergeCell ref="JCG27:JCI27"/>
    <mergeCell ref="JCJ27:JCL27"/>
    <mergeCell ref="JCM27:JCO27"/>
    <mergeCell ref="JBL27:JBN27"/>
    <mergeCell ref="JBO27:JBQ27"/>
    <mergeCell ref="JBR27:JBT27"/>
    <mergeCell ref="JBU27:JBW27"/>
    <mergeCell ref="JBX27:JBZ27"/>
    <mergeCell ref="JIY27:JJA27"/>
    <mergeCell ref="JJB27:JJD27"/>
    <mergeCell ref="JJE27:JJG27"/>
    <mergeCell ref="JJH27:JJJ27"/>
    <mergeCell ref="JJK27:JJM27"/>
    <mergeCell ref="JIJ27:JIL27"/>
    <mergeCell ref="JIM27:JIO27"/>
    <mergeCell ref="JIP27:JIR27"/>
    <mergeCell ref="JIS27:JIU27"/>
    <mergeCell ref="JIV27:JIX27"/>
    <mergeCell ref="JHU27:JHW27"/>
    <mergeCell ref="JHX27:JHZ27"/>
    <mergeCell ref="JIA27:JIC27"/>
    <mergeCell ref="JID27:JIF27"/>
    <mergeCell ref="JIG27:JII27"/>
    <mergeCell ref="JHF27:JHH27"/>
    <mergeCell ref="JHI27:JHK27"/>
    <mergeCell ref="JHL27:JHN27"/>
    <mergeCell ref="JHO27:JHQ27"/>
    <mergeCell ref="JHR27:JHT27"/>
    <mergeCell ref="JGQ27:JGS27"/>
    <mergeCell ref="JGT27:JGV27"/>
    <mergeCell ref="JGW27:JGY27"/>
    <mergeCell ref="JGZ27:JHB27"/>
    <mergeCell ref="JHC27:JHE27"/>
    <mergeCell ref="JGB27:JGD27"/>
    <mergeCell ref="JGE27:JGG27"/>
    <mergeCell ref="JGH27:JGJ27"/>
    <mergeCell ref="JGK27:JGM27"/>
    <mergeCell ref="JGN27:JGP27"/>
    <mergeCell ref="JFM27:JFO27"/>
    <mergeCell ref="JFP27:JFR27"/>
    <mergeCell ref="JFS27:JFU27"/>
    <mergeCell ref="JFV27:JFX27"/>
    <mergeCell ref="JFY27:JGA27"/>
    <mergeCell ref="JMZ27:JNB27"/>
    <mergeCell ref="JNC27:JNE27"/>
    <mergeCell ref="JNF27:JNH27"/>
    <mergeCell ref="JNI27:JNK27"/>
    <mergeCell ref="JNL27:JNN27"/>
    <mergeCell ref="JMK27:JMM27"/>
    <mergeCell ref="JMN27:JMP27"/>
    <mergeCell ref="JMQ27:JMS27"/>
    <mergeCell ref="JMT27:JMV27"/>
    <mergeCell ref="JMW27:JMY27"/>
    <mergeCell ref="JLV27:JLX27"/>
    <mergeCell ref="JLY27:JMA27"/>
    <mergeCell ref="JMB27:JMD27"/>
    <mergeCell ref="JME27:JMG27"/>
    <mergeCell ref="JMH27:JMJ27"/>
    <mergeCell ref="JLG27:JLI27"/>
    <mergeCell ref="JLJ27:JLL27"/>
    <mergeCell ref="JLM27:JLO27"/>
    <mergeCell ref="JLP27:JLR27"/>
    <mergeCell ref="JLS27:JLU27"/>
    <mergeCell ref="JKR27:JKT27"/>
    <mergeCell ref="JKU27:JKW27"/>
    <mergeCell ref="JKX27:JKZ27"/>
    <mergeCell ref="JLA27:JLC27"/>
    <mergeCell ref="JLD27:JLF27"/>
    <mergeCell ref="JKC27:JKE27"/>
    <mergeCell ref="JKF27:JKH27"/>
    <mergeCell ref="JKI27:JKK27"/>
    <mergeCell ref="JKL27:JKN27"/>
    <mergeCell ref="JKO27:JKQ27"/>
    <mergeCell ref="JJN27:JJP27"/>
    <mergeCell ref="JJQ27:JJS27"/>
    <mergeCell ref="JJT27:JJV27"/>
    <mergeCell ref="JJW27:JJY27"/>
    <mergeCell ref="JJZ27:JKB27"/>
    <mergeCell ref="JRA27:JRC27"/>
    <mergeCell ref="JRD27:JRF27"/>
    <mergeCell ref="JRG27:JRI27"/>
    <mergeCell ref="JRJ27:JRL27"/>
    <mergeCell ref="JRM27:JRO27"/>
    <mergeCell ref="JQL27:JQN27"/>
    <mergeCell ref="JQO27:JQQ27"/>
    <mergeCell ref="JQR27:JQT27"/>
    <mergeCell ref="JQU27:JQW27"/>
    <mergeCell ref="JQX27:JQZ27"/>
    <mergeCell ref="JPW27:JPY27"/>
    <mergeCell ref="JPZ27:JQB27"/>
    <mergeCell ref="JQC27:JQE27"/>
    <mergeCell ref="JQF27:JQH27"/>
    <mergeCell ref="JQI27:JQK27"/>
    <mergeCell ref="JPH27:JPJ27"/>
    <mergeCell ref="JPK27:JPM27"/>
    <mergeCell ref="JPN27:JPP27"/>
    <mergeCell ref="JPQ27:JPS27"/>
    <mergeCell ref="JPT27:JPV27"/>
    <mergeCell ref="JOS27:JOU27"/>
    <mergeCell ref="JOV27:JOX27"/>
    <mergeCell ref="JOY27:JPA27"/>
    <mergeCell ref="JPB27:JPD27"/>
    <mergeCell ref="JPE27:JPG27"/>
    <mergeCell ref="JOD27:JOF27"/>
    <mergeCell ref="JOG27:JOI27"/>
    <mergeCell ref="JOJ27:JOL27"/>
    <mergeCell ref="JOM27:JOO27"/>
    <mergeCell ref="JOP27:JOR27"/>
    <mergeCell ref="JNO27:JNQ27"/>
    <mergeCell ref="JNR27:JNT27"/>
    <mergeCell ref="JNU27:JNW27"/>
    <mergeCell ref="JNX27:JNZ27"/>
    <mergeCell ref="JOA27:JOC27"/>
    <mergeCell ref="JVB27:JVD27"/>
    <mergeCell ref="JVE27:JVG27"/>
    <mergeCell ref="JVH27:JVJ27"/>
    <mergeCell ref="JVK27:JVM27"/>
    <mergeCell ref="JVN27:JVP27"/>
    <mergeCell ref="JUM27:JUO27"/>
    <mergeCell ref="JUP27:JUR27"/>
    <mergeCell ref="JUS27:JUU27"/>
    <mergeCell ref="JUV27:JUX27"/>
    <mergeCell ref="JUY27:JVA27"/>
    <mergeCell ref="JTX27:JTZ27"/>
    <mergeCell ref="JUA27:JUC27"/>
    <mergeCell ref="JUD27:JUF27"/>
    <mergeCell ref="JUG27:JUI27"/>
    <mergeCell ref="JUJ27:JUL27"/>
    <mergeCell ref="JTI27:JTK27"/>
    <mergeCell ref="JTL27:JTN27"/>
    <mergeCell ref="JTO27:JTQ27"/>
    <mergeCell ref="JTR27:JTT27"/>
    <mergeCell ref="JTU27:JTW27"/>
    <mergeCell ref="JST27:JSV27"/>
    <mergeCell ref="JSW27:JSY27"/>
    <mergeCell ref="JSZ27:JTB27"/>
    <mergeCell ref="JTC27:JTE27"/>
    <mergeCell ref="JTF27:JTH27"/>
    <mergeCell ref="JSE27:JSG27"/>
    <mergeCell ref="JSH27:JSJ27"/>
    <mergeCell ref="JSK27:JSM27"/>
    <mergeCell ref="JSN27:JSP27"/>
    <mergeCell ref="JSQ27:JSS27"/>
    <mergeCell ref="JRP27:JRR27"/>
    <mergeCell ref="JRS27:JRU27"/>
    <mergeCell ref="JRV27:JRX27"/>
    <mergeCell ref="JRY27:JSA27"/>
    <mergeCell ref="JSB27:JSD27"/>
    <mergeCell ref="JZC27:JZE27"/>
    <mergeCell ref="JZF27:JZH27"/>
    <mergeCell ref="JZI27:JZK27"/>
    <mergeCell ref="JZL27:JZN27"/>
    <mergeCell ref="JZO27:JZQ27"/>
    <mergeCell ref="JYN27:JYP27"/>
    <mergeCell ref="JYQ27:JYS27"/>
    <mergeCell ref="JYT27:JYV27"/>
    <mergeCell ref="JYW27:JYY27"/>
    <mergeCell ref="JYZ27:JZB27"/>
    <mergeCell ref="JXY27:JYA27"/>
    <mergeCell ref="JYB27:JYD27"/>
    <mergeCell ref="JYE27:JYG27"/>
    <mergeCell ref="JYH27:JYJ27"/>
    <mergeCell ref="JYK27:JYM27"/>
    <mergeCell ref="JXJ27:JXL27"/>
    <mergeCell ref="JXM27:JXO27"/>
    <mergeCell ref="JXP27:JXR27"/>
    <mergeCell ref="JXS27:JXU27"/>
    <mergeCell ref="JXV27:JXX27"/>
    <mergeCell ref="JWU27:JWW27"/>
    <mergeCell ref="JWX27:JWZ27"/>
    <mergeCell ref="JXA27:JXC27"/>
    <mergeCell ref="JXD27:JXF27"/>
    <mergeCell ref="JXG27:JXI27"/>
    <mergeCell ref="JWF27:JWH27"/>
    <mergeCell ref="JWI27:JWK27"/>
    <mergeCell ref="JWL27:JWN27"/>
    <mergeCell ref="JWO27:JWQ27"/>
    <mergeCell ref="JWR27:JWT27"/>
    <mergeCell ref="JVQ27:JVS27"/>
    <mergeCell ref="JVT27:JVV27"/>
    <mergeCell ref="JVW27:JVY27"/>
    <mergeCell ref="JVZ27:JWB27"/>
    <mergeCell ref="JWC27:JWE27"/>
    <mergeCell ref="KDD27:KDF27"/>
    <mergeCell ref="KDG27:KDI27"/>
    <mergeCell ref="KDJ27:KDL27"/>
    <mergeCell ref="KDM27:KDO27"/>
    <mergeCell ref="KDP27:KDR27"/>
    <mergeCell ref="KCO27:KCQ27"/>
    <mergeCell ref="KCR27:KCT27"/>
    <mergeCell ref="KCU27:KCW27"/>
    <mergeCell ref="KCX27:KCZ27"/>
    <mergeCell ref="KDA27:KDC27"/>
    <mergeCell ref="KBZ27:KCB27"/>
    <mergeCell ref="KCC27:KCE27"/>
    <mergeCell ref="KCF27:KCH27"/>
    <mergeCell ref="KCI27:KCK27"/>
    <mergeCell ref="KCL27:KCN27"/>
    <mergeCell ref="KBK27:KBM27"/>
    <mergeCell ref="KBN27:KBP27"/>
    <mergeCell ref="KBQ27:KBS27"/>
    <mergeCell ref="KBT27:KBV27"/>
    <mergeCell ref="KBW27:KBY27"/>
    <mergeCell ref="KAV27:KAX27"/>
    <mergeCell ref="KAY27:KBA27"/>
    <mergeCell ref="KBB27:KBD27"/>
    <mergeCell ref="KBE27:KBG27"/>
    <mergeCell ref="KBH27:KBJ27"/>
    <mergeCell ref="KAG27:KAI27"/>
    <mergeCell ref="KAJ27:KAL27"/>
    <mergeCell ref="KAM27:KAO27"/>
    <mergeCell ref="KAP27:KAR27"/>
    <mergeCell ref="KAS27:KAU27"/>
    <mergeCell ref="JZR27:JZT27"/>
    <mergeCell ref="JZU27:JZW27"/>
    <mergeCell ref="JZX27:JZZ27"/>
    <mergeCell ref="KAA27:KAC27"/>
    <mergeCell ref="KAD27:KAF27"/>
    <mergeCell ref="KHE27:KHG27"/>
    <mergeCell ref="KHH27:KHJ27"/>
    <mergeCell ref="KHK27:KHM27"/>
    <mergeCell ref="KHN27:KHP27"/>
    <mergeCell ref="KHQ27:KHS27"/>
    <mergeCell ref="KGP27:KGR27"/>
    <mergeCell ref="KGS27:KGU27"/>
    <mergeCell ref="KGV27:KGX27"/>
    <mergeCell ref="KGY27:KHA27"/>
    <mergeCell ref="KHB27:KHD27"/>
    <mergeCell ref="KGA27:KGC27"/>
    <mergeCell ref="KGD27:KGF27"/>
    <mergeCell ref="KGG27:KGI27"/>
    <mergeCell ref="KGJ27:KGL27"/>
    <mergeCell ref="KGM27:KGO27"/>
    <mergeCell ref="KFL27:KFN27"/>
    <mergeCell ref="KFO27:KFQ27"/>
    <mergeCell ref="KFR27:KFT27"/>
    <mergeCell ref="KFU27:KFW27"/>
    <mergeCell ref="KFX27:KFZ27"/>
    <mergeCell ref="KEW27:KEY27"/>
    <mergeCell ref="KEZ27:KFB27"/>
    <mergeCell ref="KFC27:KFE27"/>
    <mergeCell ref="KFF27:KFH27"/>
    <mergeCell ref="KFI27:KFK27"/>
    <mergeCell ref="KEH27:KEJ27"/>
    <mergeCell ref="KEK27:KEM27"/>
    <mergeCell ref="KEN27:KEP27"/>
    <mergeCell ref="KEQ27:KES27"/>
    <mergeCell ref="KET27:KEV27"/>
    <mergeCell ref="KDS27:KDU27"/>
    <mergeCell ref="KDV27:KDX27"/>
    <mergeCell ref="KDY27:KEA27"/>
    <mergeCell ref="KEB27:KED27"/>
    <mergeCell ref="KEE27:KEG27"/>
    <mergeCell ref="KLF27:KLH27"/>
    <mergeCell ref="KLI27:KLK27"/>
    <mergeCell ref="KLL27:KLN27"/>
    <mergeCell ref="KLO27:KLQ27"/>
    <mergeCell ref="KLR27:KLT27"/>
    <mergeCell ref="KKQ27:KKS27"/>
    <mergeCell ref="KKT27:KKV27"/>
    <mergeCell ref="KKW27:KKY27"/>
    <mergeCell ref="KKZ27:KLB27"/>
    <mergeCell ref="KLC27:KLE27"/>
    <mergeCell ref="KKB27:KKD27"/>
    <mergeCell ref="KKE27:KKG27"/>
    <mergeCell ref="KKH27:KKJ27"/>
    <mergeCell ref="KKK27:KKM27"/>
    <mergeCell ref="KKN27:KKP27"/>
    <mergeCell ref="KJM27:KJO27"/>
    <mergeCell ref="KJP27:KJR27"/>
    <mergeCell ref="KJS27:KJU27"/>
    <mergeCell ref="KJV27:KJX27"/>
    <mergeCell ref="KJY27:KKA27"/>
    <mergeCell ref="KIX27:KIZ27"/>
    <mergeCell ref="KJA27:KJC27"/>
    <mergeCell ref="KJD27:KJF27"/>
    <mergeCell ref="KJG27:KJI27"/>
    <mergeCell ref="KJJ27:KJL27"/>
    <mergeCell ref="KII27:KIK27"/>
    <mergeCell ref="KIL27:KIN27"/>
    <mergeCell ref="KIO27:KIQ27"/>
    <mergeCell ref="KIR27:KIT27"/>
    <mergeCell ref="KIU27:KIW27"/>
    <mergeCell ref="KHT27:KHV27"/>
    <mergeCell ref="KHW27:KHY27"/>
    <mergeCell ref="KHZ27:KIB27"/>
    <mergeCell ref="KIC27:KIE27"/>
    <mergeCell ref="KIF27:KIH27"/>
    <mergeCell ref="KPG27:KPI27"/>
    <mergeCell ref="KPJ27:KPL27"/>
    <mergeCell ref="KPM27:KPO27"/>
    <mergeCell ref="KPP27:KPR27"/>
    <mergeCell ref="KPS27:KPU27"/>
    <mergeCell ref="KOR27:KOT27"/>
    <mergeCell ref="KOU27:KOW27"/>
    <mergeCell ref="KOX27:KOZ27"/>
    <mergeCell ref="KPA27:KPC27"/>
    <mergeCell ref="KPD27:KPF27"/>
    <mergeCell ref="KOC27:KOE27"/>
    <mergeCell ref="KOF27:KOH27"/>
    <mergeCell ref="KOI27:KOK27"/>
    <mergeCell ref="KOL27:KON27"/>
    <mergeCell ref="KOO27:KOQ27"/>
    <mergeCell ref="KNN27:KNP27"/>
    <mergeCell ref="KNQ27:KNS27"/>
    <mergeCell ref="KNT27:KNV27"/>
    <mergeCell ref="KNW27:KNY27"/>
    <mergeCell ref="KNZ27:KOB27"/>
    <mergeCell ref="KMY27:KNA27"/>
    <mergeCell ref="KNB27:KND27"/>
    <mergeCell ref="KNE27:KNG27"/>
    <mergeCell ref="KNH27:KNJ27"/>
    <mergeCell ref="KNK27:KNM27"/>
    <mergeCell ref="KMJ27:KML27"/>
    <mergeCell ref="KMM27:KMO27"/>
    <mergeCell ref="KMP27:KMR27"/>
    <mergeCell ref="KMS27:KMU27"/>
    <mergeCell ref="KMV27:KMX27"/>
    <mergeCell ref="KLU27:KLW27"/>
    <mergeCell ref="KLX27:KLZ27"/>
    <mergeCell ref="KMA27:KMC27"/>
    <mergeCell ref="KMD27:KMF27"/>
    <mergeCell ref="KMG27:KMI27"/>
    <mergeCell ref="KTH27:KTJ27"/>
    <mergeCell ref="KTK27:KTM27"/>
    <mergeCell ref="KTN27:KTP27"/>
    <mergeCell ref="KTQ27:KTS27"/>
    <mergeCell ref="KTT27:KTV27"/>
    <mergeCell ref="KSS27:KSU27"/>
    <mergeCell ref="KSV27:KSX27"/>
    <mergeCell ref="KSY27:KTA27"/>
    <mergeCell ref="KTB27:KTD27"/>
    <mergeCell ref="KTE27:KTG27"/>
    <mergeCell ref="KSD27:KSF27"/>
    <mergeCell ref="KSG27:KSI27"/>
    <mergeCell ref="KSJ27:KSL27"/>
    <mergeCell ref="KSM27:KSO27"/>
    <mergeCell ref="KSP27:KSR27"/>
    <mergeCell ref="KRO27:KRQ27"/>
    <mergeCell ref="KRR27:KRT27"/>
    <mergeCell ref="KRU27:KRW27"/>
    <mergeCell ref="KRX27:KRZ27"/>
    <mergeCell ref="KSA27:KSC27"/>
    <mergeCell ref="KQZ27:KRB27"/>
    <mergeCell ref="KRC27:KRE27"/>
    <mergeCell ref="KRF27:KRH27"/>
    <mergeCell ref="KRI27:KRK27"/>
    <mergeCell ref="KRL27:KRN27"/>
    <mergeCell ref="KQK27:KQM27"/>
    <mergeCell ref="KQN27:KQP27"/>
    <mergeCell ref="KQQ27:KQS27"/>
    <mergeCell ref="KQT27:KQV27"/>
    <mergeCell ref="KQW27:KQY27"/>
    <mergeCell ref="KPV27:KPX27"/>
    <mergeCell ref="KPY27:KQA27"/>
    <mergeCell ref="KQB27:KQD27"/>
    <mergeCell ref="KQE27:KQG27"/>
    <mergeCell ref="KQH27:KQJ27"/>
    <mergeCell ref="KXI27:KXK27"/>
    <mergeCell ref="KXL27:KXN27"/>
    <mergeCell ref="KXO27:KXQ27"/>
    <mergeCell ref="KXR27:KXT27"/>
    <mergeCell ref="KXU27:KXW27"/>
    <mergeCell ref="KWT27:KWV27"/>
    <mergeCell ref="KWW27:KWY27"/>
    <mergeCell ref="KWZ27:KXB27"/>
    <mergeCell ref="KXC27:KXE27"/>
    <mergeCell ref="KXF27:KXH27"/>
    <mergeCell ref="KWE27:KWG27"/>
    <mergeCell ref="KWH27:KWJ27"/>
    <mergeCell ref="KWK27:KWM27"/>
    <mergeCell ref="KWN27:KWP27"/>
    <mergeCell ref="KWQ27:KWS27"/>
    <mergeCell ref="KVP27:KVR27"/>
    <mergeCell ref="KVS27:KVU27"/>
    <mergeCell ref="KVV27:KVX27"/>
    <mergeCell ref="KVY27:KWA27"/>
    <mergeCell ref="KWB27:KWD27"/>
    <mergeCell ref="KVA27:KVC27"/>
    <mergeCell ref="KVD27:KVF27"/>
    <mergeCell ref="KVG27:KVI27"/>
    <mergeCell ref="KVJ27:KVL27"/>
    <mergeCell ref="KVM27:KVO27"/>
    <mergeCell ref="KUL27:KUN27"/>
    <mergeCell ref="KUO27:KUQ27"/>
    <mergeCell ref="KUR27:KUT27"/>
    <mergeCell ref="KUU27:KUW27"/>
    <mergeCell ref="KUX27:KUZ27"/>
    <mergeCell ref="KTW27:KTY27"/>
    <mergeCell ref="KTZ27:KUB27"/>
    <mergeCell ref="KUC27:KUE27"/>
    <mergeCell ref="KUF27:KUH27"/>
    <mergeCell ref="KUI27:KUK27"/>
    <mergeCell ref="LBJ27:LBL27"/>
    <mergeCell ref="LBM27:LBO27"/>
    <mergeCell ref="LBP27:LBR27"/>
    <mergeCell ref="LBS27:LBU27"/>
    <mergeCell ref="LBV27:LBX27"/>
    <mergeCell ref="LAU27:LAW27"/>
    <mergeCell ref="LAX27:LAZ27"/>
    <mergeCell ref="LBA27:LBC27"/>
    <mergeCell ref="LBD27:LBF27"/>
    <mergeCell ref="LBG27:LBI27"/>
    <mergeCell ref="LAF27:LAH27"/>
    <mergeCell ref="LAI27:LAK27"/>
    <mergeCell ref="LAL27:LAN27"/>
    <mergeCell ref="LAO27:LAQ27"/>
    <mergeCell ref="LAR27:LAT27"/>
    <mergeCell ref="KZQ27:KZS27"/>
    <mergeCell ref="KZT27:KZV27"/>
    <mergeCell ref="KZW27:KZY27"/>
    <mergeCell ref="KZZ27:LAB27"/>
    <mergeCell ref="LAC27:LAE27"/>
    <mergeCell ref="KZB27:KZD27"/>
    <mergeCell ref="KZE27:KZG27"/>
    <mergeCell ref="KZH27:KZJ27"/>
    <mergeCell ref="KZK27:KZM27"/>
    <mergeCell ref="KZN27:KZP27"/>
    <mergeCell ref="KYM27:KYO27"/>
    <mergeCell ref="KYP27:KYR27"/>
    <mergeCell ref="KYS27:KYU27"/>
    <mergeCell ref="KYV27:KYX27"/>
    <mergeCell ref="KYY27:KZA27"/>
    <mergeCell ref="KXX27:KXZ27"/>
    <mergeCell ref="KYA27:KYC27"/>
    <mergeCell ref="KYD27:KYF27"/>
    <mergeCell ref="KYG27:KYI27"/>
    <mergeCell ref="KYJ27:KYL27"/>
    <mergeCell ref="LFK27:LFM27"/>
    <mergeCell ref="LFN27:LFP27"/>
    <mergeCell ref="LFQ27:LFS27"/>
    <mergeCell ref="LFT27:LFV27"/>
    <mergeCell ref="LFW27:LFY27"/>
    <mergeCell ref="LEV27:LEX27"/>
    <mergeCell ref="LEY27:LFA27"/>
    <mergeCell ref="LFB27:LFD27"/>
    <mergeCell ref="LFE27:LFG27"/>
    <mergeCell ref="LFH27:LFJ27"/>
    <mergeCell ref="LEG27:LEI27"/>
    <mergeCell ref="LEJ27:LEL27"/>
    <mergeCell ref="LEM27:LEO27"/>
    <mergeCell ref="LEP27:LER27"/>
    <mergeCell ref="LES27:LEU27"/>
    <mergeCell ref="LDR27:LDT27"/>
    <mergeCell ref="LDU27:LDW27"/>
    <mergeCell ref="LDX27:LDZ27"/>
    <mergeCell ref="LEA27:LEC27"/>
    <mergeCell ref="LED27:LEF27"/>
    <mergeCell ref="LDC27:LDE27"/>
    <mergeCell ref="LDF27:LDH27"/>
    <mergeCell ref="LDI27:LDK27"/>
    <mergeCell ref="LDL27:LDN27"/>
    <mergeCell ref="LDO27:LDQ27"/>
    <mergeCell ref="LCN27:LCP27"/>
    <mergeCell ref="LCQ27:LCS27"/>
    <mergeCell ref="LCT27:LCV27"/>
    <mergeCell ref="LCW27:LCY27"/>
    <mergeCell ref="LCZ27:LDB27"/>
    <mergeCell ref="LBY27:LCA27"/>
    <mergeCell ref="LCB27:LCD27"/>
    <mergeCell ref="LCE27:LCG27"/>
    <mergeCell ref="LCH27:LCJ27"/>
    <mergeCell ref="LCK27:LCM27"/>
    <mergeCell ref="LJL27:LJN27"/>
    <mergeCell ref="LJO27:LJQ27"/>
    <mergeCell ref="LJR27:LJT27"/>
    <mergeCell ref="LJU27:LJW27"/>
    <mergeCell ref="LJX27:LJZ27"/>
    <mergeCell ref="LIW27:LIY27"/>
    <mergeCell ref="LIZ27:LJB27"/>
    <mergeCell ref="LJC27:LJE27"/>
    <mergeCell ref="LJF27:LJH27"/>
    <mergeCell ref="LJI27:LJK27"/>
    <mergeCell ref="LIH27:LIJ27"/>
    <mergeCell ref="LIK27:LIM27"/>
    <mergeCell ref="LIN27:LIP27"/>
    <mergeCell ref="LIQ27:LIS27"/>
    <mergeCell ref="LIT27:LIV27"/>
    <mergeCell ref="LHS27:LHU27"/>
    <mergeCell ref="LHV27:LHX27"/>
    <mergeCell ref="LHY27:LIA27"/>
    <mergeCell ref="LIB27:LID27"/>
    <mergeCell ref="LIE27:LIG27"/>
    <mergeCell ref="LHD27:LHF27"/>
    <mergeCell ref="LHG27:LHI27"/>
    <mergeCell ref="LHJ27:LHL27"/>
    <mergeCell ref="LHM27:LHO27"/>
    <mergeCell ref="LHP27:LHR27"/>
    <mergeCell ref="LGO27:LGQ27"/>
    <mergeCell ref="LGR27:LGT27"/>
    <mergeCell ref="LGU27:LGW27"/>
    <mergeCell ref="LGX27:LGZ27"/>
    <mergeCell ref="LHA27:LHC27"/>
    <mergeCell ref="LFZ27:LGB27"/>
    <mergeCell ref="LGC27:LGE27"/>
    <mergeCell ref="LGF27:LGH27"/>
    <mergeCell ref="LGI27:LGK27"/>
    <mergeCell ref="LGL27:LGN27"/>
    <mergeCell ref="LNM27:LNO27"/>
    <mergeCell ref="LNP27:LNR27"/>
    <mergeCell ref="LNS27:LNU27"/>
    <mergeCell ref="LNV27:LNX27"/>
    <mergeCell ref="LNY27:LOA27"/>
    <mergeCell ref="LMX27:LMZ27"/>
    <mergeCell ref="LNA27:LNC27"/>
    <mergeCell ref="LND27:LNF27"/>
    <mergeCell ref="LNG27:LNI27"/>
    <mergeCell ref="LNJ27:LNL27"/>
    <mergeCell ref="LMI27:LMK27"/>
    <mergeCell ref="LML27:LMN27"/>
    <mergeCell ref="LMO27:LMQ27"/>
    <mergeCell ref="LMR27:LMT27"/>
    <mergeCell ref="LMU27:LMW27"/>
    <mergeCell ref="LLT27:LLV27"/>
    <mergeCell ref="LLW27:LLY27"/>
    <mergeCell ref="LLZ27:LMB27"/>
    <mergeCell ref="LMC27:LME27"/>
    <mergeCell ref="LMF27:LMH27"/>
    <mergeCell ref="LLE27:LLG27"/>
    <mergeCell ref="LLH27:LLJ27"/>
    <mergeCell ref="LLK27:LLM27"/>
    <mergeCell ref="LLN27:LLP27"/>
    <mergeCell ref="LLQ27:LLS27"/>
    <mergeCell ref="LKP27:LKR27"/>
    <mergeCell ref="LKS27:LKU27"/>
    <mergeCell ref="LKV27:LKX27"/>
    <mergeCell ref="LKY27:LLA27"/>
    <mergeCell ref="LLB27:LLD27"/>
    <mergeCell ref="LKA27:LKC27"/>
    <mergeCell ref="LKD27:LKF27"/>
    <mergeCell ref="LKG27:LKI27"/>
    <mergeCell ref="LKJ27:LKL27"/>
    <mergeCell ref="LKM27:LKO27"/>
    <mergeCell ref="LRN27:LRP27"/>
    <mergeCell ref="LRQ27:LRS27"/>
    <mergeCell ref="LRT27:LRV27"/>
    <mergeCell ref="LRW27:LRY27"/>
    <mergeCell ref="LRZ27:LSB27"/>
    <mergeCell ref="LQY27:LRA27"/>
    <mergeCell ref="LRB27:LRD27"/>
    <mergeCell ref="LRE27:LRG27"/>
    <mergeCell ref="LRH27:LRJ27"/>
    <mergeCell ref="LRK27:LRM27"/>
    <mergeCell ref="LQJ27:LQL27"/>
    <mergeCell ref="LQM27:LQO27"/>
    <mergeCell ref="LQP27:LQR27"/>
    <mergeCell ref="LQS27:LQU27"/>
    <mergeCell ref="LQV27:LQX27"/>
    <mergeCell ref="LPU27:LPW27"/>
    <mergeCell ref="LPX27:LPZ27"/>
    <mergeCell ref="LQA27:LQC27"/>
    <mergeCell ref="LQD27:LQF27"/>
    <mergeCell ref="LQG27:LQI27"/>
    <mergeCell ref="LPF27:LPH27"/>
    <mergeCell ref="LPI27:LPK27"/>
    <mergeCell ref="LPL27:LPN27"/>
    <mergeCell ref="LPO27:LPQ27"/>
    <mergeCell ref="LPR27:LPT27"/>
    <mergeCell ref="LOQ27:LOS27"/>
    <mergeCell ref="LOT27:LOV27"/>
    <mergeCell ref="LOW27:LOY27"/>
    <mergeCell ref="LOZ27:LPB27"/>
    <mergeCell ref="LPC27:LPE27"/>
    <mergeCell ref="LOB27:LOD27"/>
    <mergeCell ref="LOE27:LOG27"/>
    <mergeCell ref="LOH27:LOJ27"/>
    <mergeCell ref="LOK27:LOM27"/>
    <mergeCell ref="LON27:LOP27"/>
    <mergeCell ref="LVO27:LVQ27"/>
    <mergeCell ref="LVR27:LVT27"/>
    <mergeCell ref="LVU27:LVW27"/>
    <mergeCell ref="LVX27:LVZ27"/>
    <mergeCell ref="LWA27:LWC27"/>
    <mergeCell ref="LUZ27:LVB27"/>
    <mergeCell ref="LVC27:LVE27"/>
    <mergeCell ref="LVF27:LVH27"/>
    <mergeCell ref="LVI27:LVK27"/>
    <mergeCell ref="LVL27:LVN27"/>
    <mergeCell ref="LUK27:LUM27"/>
    <mergeCell ref="LUN27:LUP27"/>
    <mergeCell ref="LUQ27:LUS27"/>
    <mergeCell ref="LUT27:LUV27"/>
    <mergeCell ref="LUW27:LUY27"/>
    <mergeCell ref="LTV27:LTX27"/>
    <mergeCell ref="LTY27:LUA27"/>
    <mergeCell ref="LUB27:LUD27"/>
    <mergeCell ref="LUE27:LUG27"/>
    <mergeCell ref="LUH27:LUJ27"/>
    <mergeCell ref="LTG27:LTI27"/>
    <mergeCell ref="LTJ27:LTL27"/>
    <mergeCell ref="LTM27:LTO27"/>
    <mergeCell ref="LTP27:LTR27"/>
    <mergeCell ref="LTS27:LTU27"/>
    <mergeCell ref="LSR27:LST27"/>
    <mergeCell ref="LSU27:LSW27"/>
    <mergeCell ref="LSX27:LSZ27"/>
    <mergeCell ref="LTA27:LTC27"/>
    <mergeCell ref="LTD27:LTF27"/>
    <mergeCell ref="LSC27:LSE27"/>
    <mergeCell ref="LSF27:LSH27"/>
    <mergeCell ref="LSI27:LSK27"/>
    <mergeCell ref="LSL27:LSN27"/>
    <mergeCell ref="LSO27:LSQ27"/>
    <mergeCell ref="LZP27:LZR27"/>
    <mergeCell ref="LZS27:LZU27"/>
    <mergeCell ref="LZV27:LZX27"/>
    <mergeCell ref="LZY27:MAA27"/>
    <mergeCell ref="MAB27:MAD27"/>
    <mergeCell ref="LZA27:LZC27"/>
    <mergeCell ref="LZD27:LZF27"/>
    <mergeCell ref="LZG27:LZI27"/>
    <mergeCell ref="LZJ27:LZL27"/>
    <mergeCell ref="LZM27:LZO27"/>
    <mergeCell ref="LYL27:LYN27"/>
    <mergeCell ref="LYO27:LYQ27"/>
    <mergeCell ref="LYR27:LYT27"/>
    <mergeCell ref="LYU27:LYW27"/>
    <mergeCell ref="LYX27:LYZ27"/>
    <mergeCell ref="LXW27:LXY27"/>
    <mergeCell ref="LXZ27:LYB27"/>
    <mergeCell ref="LYC27:LYE27"/>
    <mergeCell ref="LYF27:LYH27"/>
    <mergeCell ref="LYI27:LYK27"/>
    <mergeCell ref="LXH27:LXJ27"/>
    <mergeCell ref="LXK27:LXM27"/>
    <mergeCell ref="LXN27:LXP27"/>
    <mergeCell ref="LXQ27:LXS27"/>
    <mergeCell ref="LXT27:LXV27"/>
    <mergeCell ref="LWS27:LWU27"/>
    <mergeCell ref="LWV27:LWX27"/>
    <mergeCell ref="LWY27:LXA27"/>
    <mergeCell ref="LXB27:LXD27"/>
    <mergeCell ref="LXE27:LXG27"/>
    <mergeCell ref="LWD27:LWF27"/>
    <mergeCell ref="LWG27:LWI27"/>
    <mergeCell ref="LWJ27:LWL27"/>
    <mergeCell ref="LWM27:LWO27"/>
    <mergeCell ref="LWP27:LWR27"/>
    <mergeCell ref="MDQ27:MDS27"/>
    <mergeCell ref="MDT27:MDV27"/>
    <mergeCell ref="MDW27:MDY27"/>
    <mergeCell ref="MDZ27:MEB27"/>
    <mergeCell ref="MEC27:MEE27"/>
    <mergeCell ref="MDB27:MDD27"/>
    <mergeCell ref="MDE27:MDG27"/>
    <mergeCell ref="MDH27:MDJ27"/>
    <mergeCell ref="MDK27:MDM27"/>
    <mergeCell ref="MDN27:MDP27"/>
    <mergeCell ref="MCM27:MCO27"/>
    <mergeCell ref="MCP27:MCR27"/>
    <mergeCell ref="MCS27:MCU27"/>
    <mergeCell ref="MCV27:MCX27"/>
    <mergeCell ref="MCY27:MDA27"/>
    <mergeCell ref="MBX27:MBZ27"/>
    <mergeCell ref="MCA27:MCC27"/>
    <mergeCell ref="MCD27:MCF27"/>
    <mergeCell ref="MCG27:MCI27"/>
    <mergeCell ref="MCJ27:MCL27"/>
    <mergeCell ref="MBI27:MBK27"/>
    <mergeCell ref="MBL27:MBN27"/>
    <mergeCell ref="MBO27:MBQ27"/>
    <mergeCell ref="MBR27:MBT27"/>
    <mergeCell ref="MBU27:MBW27"/>
    <mergeCell ref="MAT27:MAV27"/>
    <mergeCell ref="MAW27:MAY27"/>
    <mergeCell ref="MAZ27:MBB27"/>
    <mergeCell ref="MBC27:MBE27"/>
    <mergeCell ref="MBF27:MBH27"/>
    <mergeCell ref="MAE27:MAG27"/>
    <mergeCell ref="MAH27:MAJ27"/>
    <mergeCell ref="MAK27:MAM27"/>
    <mergeCell ref="MAN27:MAP27"/>
    <mergeCell ref="MAQ27:MAS27"/>
    <mergeCell ref="MHR27:MHT27"/>
    <mergeCell ref="MHU27:MHW27"/>
    <mergeCell ref="MHX27:MHZ27"/>
    <mergeCell ref="MIA27:MIC27"/>
    <mergeCell ref="MID27:MIF27"/>
    <mergeCell ref="MHC27:MHE27"/>
    <mergeCell ref="MHF27:MHH27"/>
    <mergeCell ref="MHI27:MHK27"/>
    <mergeCell ref="MHL27:MHN27"/>
    <mergeCell ref="MHO27:MHQ27"/>
    <mergeCell ref="MGN27:MGP27"/>
    <mergeCell ref="MGQ27:MGS27"/>
    <mergeCell ref="MGT27:MGV27"/>
    <mergeCell ref="MGW27:MGY27"/>
    <mergeCell ref="MGZ27:MHB27"/>
    <mergeCell ref="MFY27:MGA27"/>
    <mergeCell ref="MGB27:MGD27"/>
    <mergeCell ref="MGE27:MGG27"/>
    <mergeCell ref="MGH27:MGJ27"/>
    <mergeCell ref="MGK27:MGM27"/>
    <mergeCell ref="MFJ27:MFL27"/>
    <mergeCell ref="MFM27:MFO27"/>
    <mergeCell ref="MFP27:MFR27"/>
    <mergeCell ref="MFS27:MFU27"/>
    <mergeCell ref="MFV27:MFX27"/>
    <mergeCell ref="MEU27:MEW27"/>
    <mergeCell ref="MEX27:MEZ27"/>
    <mergeCell ref="MFA27:MFC27"/>
    <mergeCell ref="MFD27:MFF27"/>
    <mergeCell ref="MFG27:MFI27"/>
    <mergeCell ref="MEF27:MEH27"/>
    <mergeCell ref="MEI27:MEK27"/>
    <mergeCell ref="MEL27:MEN27"/>
    <mergeCell ref="MEO27:MEQ27"/>
    <mergeCell ref="MER27:MET27"/>
    <mergeCell ref="MLS27:MLU27"/>
    <mergeCell ref="MLV27:MLX27"/>
    <mergeCell ref="MLY27:MMA27"/>
    <mergeCell ref="MMB27:MMD27"/>
    <mergeCell ref="MME27:MMG27"/>
    <mergeCell ref="MLD27:MLF27"/>
    <mergeCell ref="MLG27:MLI27"/>
    <mergeCell ref="MLJ27:MLL27"/>
    <mergeCell ref="MLM27:MLO27"/>
    <mergeCell ref="MLP27:MLR27"/>
    <mergeCell ref="MKO27:MKQ27"/>
    <mergeCell ref="MKR27:MKT27"/>
    <mergeCell ref="MKU27:MKW27"/>
    <mergeCell ref="MKX27:MKZ27"/>
    <mergeCell ref="MLA27:MLC27"/>
    <mergeCell ref="MJZ27:MKB27"/>
    <mergeCell ref="MKC27:MKE27"/>
    <mergeCell ref="MKF27:MKH27"/>
    <mergeCell ref="MKI27:MKK27"/>
    <mergeCell ref="MKL27:MKN27"/>
    <mergeCell ref="MJK27:MJM27"/>
    <mergeCell ref="MJN27:MJP27"/>
    <mergeCell ref="MJQ27:MJS27"/>
    <mergeCell ref="MJT27:MJV27"/>
    <mergeCell ref="MJW27:MJY27"/>
    <mergeCell ref="MIV27:MIX27"/>
    <mergeCell ref="MIY27:MJA27"/>
    <mergeCell ref="MJB27:MJD27"/>
    <mergeCell ref="MJE27:MJG27"/>
    <mergeCell ref="MJH27:MJJ27"/>
    <mergeCell ref="MIG27:MII27"/>
    <mergeCell ref="MIJ27:MIL27"/>
    <mergeCell ref="MIM27:MIO27"/>
    <mergeCell ref="MIP27:MIR27"/>
    <mergeCell ref="MIS27:MIU27"/>
    <mergeCell ref="MPT27:MPV27"/>
    <mergeCell ref="MPW27:MPY27"/>
    <mergeCell ref="MPZ27:MQB27"/>
    <mergeCell ref="MQC27:MQE27"/>
    <mergeCell ref="MQF27:MQH27"/>
    <mergeCell ref="MPE27:MPG27"/>
    <mergeCell ref="MPH27:MPJ27"/>
    <mergeCell ref="MPK27:MPM27"/>
    <mergeCell ref="MPN27:MPP27"/>
    <mergeCell ref="MPQ27:MPS27"/>
    <mergeCell ref="MOP27:MOR27"/>
    <mergeCell ref="MOS27:MOU27"/>
    <mergeCell ref="MOV27:MOX27"/>
    <mergeCell ref="MOY27:MPA27"/>
    <mergeCell ref="MPB27:MPD27"/>
    <mergeCell ref="MOA27:MOC27"/>
    <mergeCell ref="MOD27:MOF27"/>
    <mergeCell ref="MOG27:MOI27"/>
    <mergeCell ref="MOJ27:MOL27"/>
    <mergeCell ref="MOM27:MOO27"/>
    <mergeCell ref="MNL27:MNN27"/>
    <mergeCell ref="MNO27:MNQ27"/>
    <mergeCell ref="MNR27:MNT27"/>
    <mergeCell ref="MNU27:MNW27"/>
    <mergeCell ref="MNX27:MNZ27"/>
    <mergeCell ref="MMW27:MMY27"/>
    <mergeCell ref="MMZ27:MNB27"/>
    <mergeCell ref="MNC27:MNE27"/>
    <mergeCell ref="MNF27:MNH27"/>
    <mergeCell ref="MNI27:MNK27"/>
    <mergeCell ref="MMH27:MMJ27"/>
    <mergeCell ref="MMK27:MMM27"/>
    <mergeCell ref="MMN27:MMP27"/>
    <mergeCell ref="MMQ27:MMS27"/>
    <mergeCell ref="MMT27:MMV27"/>
    <mergeCell ref="MTU27:MTW27"/>
    <mergeCell ref="MTX27:MTZ27"/>
    <mergeCell ref="MUA27:MUC27"/>
    <mergeCell ref="MUD27:MUF27"/>
    <mergeCell ref="MUG27:MUI27"/>
    <mergeCell ref="MTF27:MTH27"/>
    <mergeCell ref="MTI27:MTK27"/>
    <mergeCell ref="MTL27:MTN27"/>
    <mergeCell ref="MTO27:MTQ27"/>
    <mergeCell ref="MTR27:MTT27"/>
    <mergeCell ref="MSQ27:MSS27"/>
    <mergeCell ref="MST27:MSV27"/>
    <mergeCell ref="MSW27:MSY27"/>
    <mergeCell ref="MSZ27:MTB27"/>
    <mergeCell ref="MTC27:MTE27"/>
    <mergeCell ref="MSB27:MSD27"/>
    <mergeCell ref="MSE27:MSG27"/>
    <mergeCell ref="MSH27:MSJ27"/>
    <mergeCell ref="MSK27:MSM27"/>
    <mergeCell ref="MSN27:MSP27"/>
    <mergeCell ref="MRM27:MRO27"/>
    <mergeCell ref="MRP27:MRR27"/>
    <mergeCell ref="MRS27:MRU27"/>
    <mergeCell ref="MRV27:MRX27"/>
    <mergeCell ref="MRY27:MSA27"/>
    <mergeCell ref="MQX27:MQZ27"/>
    <mergeCell ref="MRA27:MRC27"/>
    <mergeCell ref="MRD27:MRF27"/>
    <mergeCell ref="MRG27:MRI27"/>
    <mergeCell ref="MRJ27:MRL27"/>
    <mergeCell ref="MQI27:MQK27"/>
    <mergeCell ref="MQL27:MQN27"/>
    <mergeCell ref="MQO27:MQQ27"/>
    <mergeCell ref="MQR27:MQT27"/>
    <mergeCell ref="MQU27:MQW27"/>
    <mergeCell ref="MXV27:MXX27"/>
    <mergeCell ref="MXY27:MYA27"/>
    <mergeCell ref="MYB27:MYD27"/>
    <mergeCell ref="MYE27:MYG27"/>
    <mergeCell ref="MYH27:MYJ27"/>
    <mergeCell ref="MXG27:MXI27"/>
    <mergeCell ref="MXJ27:MXL27"/>
    <mergeCell ref="MXM27:MXO27"/>
    <mergeCell ref="MXP27:MXR27"/>
    <mergeCell ref="MXS27:MXU27"/>
    <mergeCell ref="MWR27:MWT27"/>
    <mergeCell ref="MWU27:MWW27"/>
    <mergeCell ref="MWX27:MWZ27"/>
    <mergeCell ref="MXA27:MXC27"/>
    <mergeCell ref="MXD27:MXF27"/>
    <mergeCell ref="MWC27:MWE27"/>
    <mergeCell ref="MWF27:MWH27"/>
    <mergeCell ref="MWI27:MWK27"/>
    <mergeCell ref="MWL27:MWN27"/>
    <mergeCell ref="MWO27:MWQ27"/>
    <mergeCell ref="MVN27:MVP27"/>
    <mergeCell ref="MVQ27:MVS27"/>
    <mergeCell ref="MVT27:MVV27"/>
    <mergeCell ref="MVW27:MVY27"/>
    <mergeCell ref="MVZ27:MWB27"/>
    <mergeCell ref="MUY27:MVA27"/>
    <mergeCell ref="MVB27:MVD27"/>
    <mergeCell ref="MVE27:MVG27"/>
    <mergeCell ref="MVH27:MVJ27"/>
    <mergeCell ref="MVK27:MVM27"/>
    <mergeCell ref="MUJ27:MUL27"/>
    <mergeCell ref="MUM27:MUO27"/>
    <mergeCell ref="MUP27:MUR27"/>
    <mergeCell ref="MUS27:MUU27"/>
    <mergeCell ref="MUV27:MUX27"/>
    <mergeCell ref="NBW27:NBY27"/>
    <mergeCell ref="NBZ27:NCB27"/>
    <mergeCell ref="NCC27:NCE27"/>
    <mergeCell ref="NCF27:NCH27"/>
    <mergeCell ref="NCI27:NCK27"/>
    <mergeCell ref="NBH27:NBJ27"/>
    <mergeCell ref="NBK27:NBM27"/>
    <mergeCell ref="NBN27:NBP27"/>
    <mergeCell ref="NBQ27:NBS27"/>
    <mergeCell ref="NBT27:NBV27"/>
    <mergeCell ref="NAS27:NAU27"/>
    <mergeCell ref="NAV27:NAX27"/>
    <mergeCell ref="NAY27:NBA27"/>
    <mergeCell ref="NBB27:NBD27"/>
    <mergeCell ref="NBE27:NBG27"/>
    <mergeCell ref="NAD27:NAF27"/>
    <mergeCell ref="NAG27:NAI27"/>
    <mergeCell ref="NAJ27:NAL27"/>
    <mergeCell ref="NAM27:NAO27"/>
    <mergeCell ref="NAP27:NAR27"/>
    <mergeCell ref="MZO27:MZQ27"/>
    <mergeCell ref="MZR27:MZT27"/>
    <mergeCell ref="MZU27:MZW27"/>
    <mergeCell ref="MZX27:MZZ27"/>
    <mergeCell ref="NAA27:NAC27"/>
    <mergeCell ref="MYZ27:MZB27"/>
    <mergeCell ref="MZC27:MZE27"/>
    <mergeCell ref="MZF27:MZH27"/>
    <mergeCell ref="MZI27:MZK27"/>
    <mergeCell ref="MZL27:MZN27"/>
    <mergeCell ref="MYK27:MYM27"/>
    <mergeCell ref="MYN27:MYP27"/>
    <mergeCell ref="MYQ27:MYS27"/>
    <mergeCell ref="MYT27:MYV27"/>
    <mergeCell ref="MYW27:MYY27"/>
    <mergeCell ref="NFX27:NFZ27"/>
    <mergeCell ref="NGA27:NGC27"/>
    <mergeCell ref="NGD27:NGF27"/>
    <mergeCell ref="NGG27:NGI27"/>
    <mergeCell ref="NGJ27:NGL27"/>
    <mergeCell ref="NFI27:NFK27"/>
    <mergeCell ref="NFL27:NFN27"/>
    <mergeCell ref="NFO27:NFQ27"/>
    <mergeCell ref="NFR27:NFT27"/>
    <mergeCell ref="NFU27:NFW27"/>
    <mergeCell ref="NET27:NEV27"/>
    <mergeCell ref="NEW27:NEY27"/>
    <mergeCell ref="NEZ27:NFB27"/>
    <mergeCell ref="NFC27:NFE27"/>
    <mergeCell ref="NFF27:NFH27"/>
    <mergeCell ref="NEE27:NEG27"/>
    <mergeCell ref="NEH27:NEJ27"/>
    <mergeCell ref="NEK27:NEM27"/>
    <mergeCell ref="NEN27:NEP27"/>
    <mergeCell ref="NEQ27:NES27"/>
    <mergeCell ref="NDP27:NDR27"/>
    <mergeCell ref="NDS27:NDU27"/>
    <mergeCell ref="NDV27:NDX27"/>
    <mergeCell ref="NDY27:NEA27"/>
    <mergeCell ref="NEB27:NED27"/>
    <mergeCell ref="NDA27:NDC27"/>
    <mergeCell ref="NDD27:NDF27"/>
    <mergeCell ref="NDG27:NDI27"/>
    <mergeCell ref="NDJ27:NDL27"/>
    <mergeCell ref="NDM27:NDO27"/>
    <mergeCell ref="NCL27:NCN27"/>
    <mergeCell ref="NCO27:NCQ27"/>
    <mergeCell ref="NCR27:NCT27"/>
    <mergeCell ref="NCU27:NCW27"/>
    <mergeCell ref="NCX27:NCZ27"/>
    <mergeCell ref="NJY27:NKA27"/>
    <mergeCell ref="NKB27:NKD27"/>
    <mergeCell ref="NKE27:NKG27"/>
    <mergeCell ref="NKH27:NKJ27"/>
    <mergeCell ref="NKK27:NKM27"/>
    <mergeCell ref="NJJ27:NJL27"/>
    <mergeCell ref="NJM27:NJO27"/>
    <mergeCell ref="NJP27:NJR27"/>
    <mergeCell ref="NJS27:NJU27"/>
    <mergeCell ref="NJV27:NJX27"/>
    <mergeCell ref="NIU27:NIW27"/>
    <mergeCell ref="NIX27:NIZ27"/>
    <mergeCell ref="NJA27:NJC27"/>
    <mergeCell ref="NJD27:NJF27"/>
    <mergeCell ref="NJG27:NJI27"/>
    <mergeCell ref="NIF27:NIH27"/>
    <mergeCell ref="NII27:NIK27"/>
    <mergeCell ref="NIL27:NIN27"/>
    <mergeCell ref="NIO27:NIQ27"/>
    <mergeCell ref="NIR27:NIT27"/>
    <mergeCell ref="NHQ27:NHS27"/>
    <mergeCell ref="NHT27:NHV27"/>
    <mergeCell ref="NHW27:NHY27"/>
    <mergeCell ref="NHZ27:NIB27"/>
    <mergeCell ref="NIC27:NIE27"/>
    <mergeCell ref="NHB27:NHD27"/>
    <mergeCell ref="NHE27:NHG27"/>
    <mergeCell ref="NHH27:NHJ27"/>
    <mergeCell ref="NHK27:NHM27"/>
    <mergeCell ref="NHN27:NHP27"/>
    <mergeCell ref="NGM27:NGO27"/>
    <mergeCell ref="NGP27:NGR27"/>
    <mergeCell ref="NGS27:NGU27"/>
    <mergeCell ref="NGV27:NGX27"/>
    <mergeCell ref="NGY27:NHA27"/>
    <mergeCell ref="NNZ27:NOB27"/>
    <mergeCell ref="NOC27:NOE27"/>
    <mergeCell ref="NOF27:NOH27"/>
    <mergeCell ref="NOI27:NOK27"/>
    <mergeCell ref="NOL27:NON27"/>
    <mergeCell ref="NNK27:NNM27"/>
    <mergeCell ref="NNN27:NNP27"/>
    <mergeCell ref="NNQ27:NNS27"/>
    <mergeCell ref="NNT27:NNV27"/>
    <mergeCell ref="NNW27:NNY27"/>
    <mergeCell ref="NMV27:NMX27"/>
    <mergeCell ref="NMY27:NNA27"/>
    <mergeCell ref="NNB27:NND27"/>
    <mergeCell ref="NNE27:NNG27"/>
    <mergeCell ref="NNH27:NNJ27"/>
    <mergeCell ref="NMG27:NMI27"/>
    <mergeCell ref="NMJ27:NML27"/>
    <mergeCell ref="NMM27:NMO27"/>
    <mergeCell ref="NMP27:NMR27"/>
    <mergeCell ref="NMS27:NMU27"/>
    <mergeCell ref="NLR27:NLT27"/>
    <mergeCell ref="NLU27:NLW27"/>
    <mergeCell ref="NLX27:NLZ27"/>
    <mergeCell ref="NMA27:NMC27"/>
    <mergeCell ref="NMD27:NMF27"/>
    <mergeCell ref="NLC27:NLE27"/>
    <mergeCell ref="NLF27:NLH27"/>
    <mergeCell ref="NLI27:NLK27"/>
    <mergeCell ref="NLL27:NLN27"/>
    <mergeCell ref="NLO27:NLQ27"/>
    <mergeCell ref="NKN27:NKP27"/>
    <mergeCell ref="NKQ27:NKS27"/>
    <mergeCell ref="NKT27:NKV27"/>
    <mergeCell ref="NKW27:NKY27"/>
    <mergeCell ref="NKZ27:NLB27"/>
    <mergeCell ref="NSA27:NSC27"/>
    <mergeCell ref="NSD27:NSF27"/>
    <mergeCell ref="NSG27:NSI27"/>
    <mergeCell ref="NSJ27:NSL27"/>
    <mergeCell ref="NSM27:NSO27"/>
    <mergeCell ref="NRL27:NRN27"/>
    <mergeCell ref="NRO27:NRQ27"/>
    <mergeCell ref="NRR27:NRT27"/>
    <mergeCell ref="NRU27:NRW27"/>
    <mergeCell ref="NRX27:NRZ27"/>
    <mergeCell ref="NQW27:NQY27"/>
    <mergeCell ref="NQZ27:NRB27"/>
    <mergeCell ref="NRC27:NRE27"/>
    <mergeCell ref="NRF27:NRH27"/>
    <mergeCell ref="NRI27:NRK27"/>
    <mergeCell ref="NQH27:NQJ27"/>
    <mergeCell ref="NQK27:NQM27"/>
    <mergeCell ref="NQN27:NQP27"/>
    <mergeCell ref="NQQ27:NQS27"/>
    <mergeCell ref="NQT27:NQV27"/>
    <mergeCell ref="NPS27:NPU27"/>
    <mergeCell ref="NPV27:NPX27"/>
    <mergeCell ref="NPY27:NQA27"/>
    <mergeCell ref="NQB27:NQD27"/>
    <mergeCell ref="NQE27:NQG27"/>
    <mergeCell ref="NPD27:NPF27"/>
    <mergeCell ref="NPG27:NPI27"/>
    <mergeCell ref="NPJ27:NPL27"/>
    <mergeCell ref="NPM27:NPO27"/>
    <mergeCell ref="NPP27:NPR27"/>
    <mergeCell ref="NOO27:NOQ27"/>
    <mergeCell ref="NOR27:NOT27"/>
    <mergeCell ref="NOU27:NOW27"/>
    <mergeCell ref="NOX27:NOZ27"/>
    <mergeCell ref="NPA27:NPC27"/>
    <mergeCell ref="NWB27:NWD27"/>
    <mergeCell ref="NWE27:NWG27"/>
    <mergeCell ref="NWH27:NWJ27"/>
    <mergeCell ref="NWK27:NWM27"/>
    <mergeCell ref="NWN27:NWP27"/>
    <mergeCell ref="NVM27:NVO27"/>
    <mergeCell ref="NVP27:NVR27"/>
    <mergeCell ref="NVS27:NVU27"/>
    <mergeCell ref="NVV27:NVX27"/>
    <mergeCell ref="NVY27:NWA27"/>
    <mergeCell ref="NUX27:NUZ27"/>
    <mergeCell ref="NVA27:NVC27"/>
    <mergeCell ref="NVD27:NVF27"/>
    <mergeCell ref="NVG27:NVI27"/>
    <mergeCell ref="NVJ27:NVL27"/>
    <mergeCell ref="NUI27:NUK27"/>
    <mergeCell ref="NUL27:NUN27"/>
    <mergeCell ref="NUO27:NUQ27"/>
    <mergeCell ref="NUR27:NUT27"/>
    <mergeCell ref="NUU27:NUW27"/>
    <mergeCell ref="NTT27:NTV27"/>
    <mergeCell ref="NTW27:NTY27"/>
    <mergeCell ref="NTZ27:NUB27"/>
    <mergeCell ref="NUC27:NUE27"/>
    <mergeCell ref="NUF27:NUH27"/>
    <mergeCell ref="NTE27:NTG27"/>
    <mergeCell ref="NTH27:NTJ27"/>
    <mergeCell ref="NTK27:NTM27"/>
    <mergeCell ref="NTN27:NTP27"/>
    <mergeCell ref="NTQ27:NTS27"/>
    <mergeCell ref="NSP27:NSR27"/>
    <mergeCell ref="NSS27:NSU27"/>
    <mergeCell ref="NSV27:NSX27"/>
    <mergeCell ref="NSY27:NTA27"/>
    <mergeCell ref="NTB27:NTD27"/>
    <mergeCell ref="OAC27:OAE27"/>
    <mergeCell ref="OAF27:OAH27"/>
    <mergeCell ref="OAI27:OAK27"/>
    <mergeCell ref="OAL27:OAN27"/>
    <mergeCell ref="OAO27:OAQ27"/>
    <mergeCell ref="NZN27:NZP27"/>
    <mergeCell ref="NZQ27:NZS27"/>
    <mergeCell ref="NZT27:NZV27"/>
    <mergeCell ref="NZW27:NZY27"/>
    <mergeCell ref="NZZ27:OAB27"/>
    <mergeCell ref="NYY27:NZA27"/>
    <mergeCell ref="NZB27:NZD27"/>
    <mergeCell ref="NZE27:NZG27"/>
    <mergeCell ref="NZH27:NZJ27"/>
    <mergeCell ref="NZK27:NZM27"/>
    <mergeCell ref="NYJ27:NYL27"/>
    <mergeCell ref="NYM27:NYO27"/>
    <mergeCell ref="NYP27:NYR27"/>
    <mergeCell ref="NYS27:NYU27"/>
    <mergeCell ref="NYV27:NYX27"/>
    <mergeCell ref="NXU27:NXW27"/>
    <mergeCell ref="NXX27:NXZ27"/>
    <mergeCell ref="NYA27:NYC27"/>
    <mergeCell ref="NYD27:NYF27"/>
    <mergeCell ref="NYG27:NYI27"/>
    <mergeCell ref="NXF27:NXH27"/>
    <mergeCell ref="NXI27:NXK27"/>
    <mergeCell ref="NXL27:NXN27"/>
    <mergeCell ref="NXO27:NXQ27"/>
    <mergeCell ref="NXR27:NXT27"/>
    <mergeCell ref="NWQ27:NWS27"/>
    <mergeCell ref="NWT27:NWV27"/>
    <mergeCell ref="NWW27:NWY27"/>
    <mergeCell ref="NWZ27:NXB27"/>
    <mergeCell ref="NXC27:NXE27"/>
    <mergeCell ref="OED27:OEF27"/>
    <mergeCell ref="OEG27:OEI27"/>
    <mergeCell ref="OEJ27:OEL27"/>
    <mergeCell ref="OEM27:OEO27"/>
    <mergeCell ref="OEP27:OER27"/>
    <mergeCell ref="ODO27:ODQ27"/>
    <mergeCell ref="ODR27:ODT27"/>
    <mergeCell ref="ODU27:ODW27"/>
    <mergeCell ref="ODX27:ODZ27"/>
    <mergeCell ref="OEA27:OEC27"/>
    <mergeCell ref="OCZ27:ODB27"/>
    <mergeCell ref="ODC27:ODE27"/>
    <mergeCell ref="ODF27:ODH27"/>
    <mergeCell ref="ODI27:ODK27"/>
    <mergeCell ref="ODL27:ODN27"/>
    <mergeCell ref="OCK27:OCM27"/>
    <mergeCell ref="OCN27:OCP27"/>
    <mergeCell ref="OCQ27:OCS27"/>
    <mergeCell ref="OCT27:OCV27"/>
    <mergeCell ref="OCW27:OCY27"/>
    <mergeCell ref="OBV27:OBX27"/>
    <mergeCell ref="OBY27:OCA27"/>
    <mergeCell ref="OCB27:OCD27"/>
    <mergeCell ref="OCE27:OCG27"/>
    <mergeCell ref="OCH27:OCJ27"/>
    <mergeCell ref="OBG27:OBI27"/>
    <mergeCell ref="OBJ27:OBL27"/>
    <mergeCell ref="OBM27:OBO27"/>
    <mergeCell ref="OBP27:OBR27"/>
    <mergeCell ref="OBS27:OBU27"/>
    <mergeCell ref="OAR27:OAT27"/>
    <mergeCell ref="OAU27:OAW27"/>
    <mergeCell ref="OAX27:OAZ27"/>
    <mergeCell ref="OBA27:OBC27"/>
    <mergeCell ref="OBD27:OBF27"/>
    <mergeCell ref="OIE27:OIG27"/>
    <mergeCell ref="OIH27:OIJ27"/>
    <mergeCell ref="OIK27:OIM27"/>
    <mergeCell ref="OIN27:OIP27"/>
    <mergeCell ref="OIQ27:OIS27"/>
    <mergeCell ref="OHP27:OHR27"/>
    <mergeCell ref="OHS27:OHU27"/>
    <mergeCell ref="OHV27:OHX27"/>
    <mergeCell ref="OHY27:OIA27"/>
    <mergeCell ref="OIB27:OID27"/>
    <mergeCell ref="OHA27:OHC27"/>
    <mergeCell ref="OHD27:OHF27"/>
    <mergeCell ref="OHG27:OHI27"/>
    <mergeCell ref="OHJ27:OHL27"/>
    <mergeCell ref="OHM27:OHO27"/>
    <mergeCell ref="OGL27:OGN27"/>
    <mergeCell ref="OGO27:OGQ27"/>
    <mergeCell ref="OGR27:OGT27"/>
    <mergeCell ref="OGU27:OGW27"/>
    <mergeCell ref="OGX27:OGZ27"/>
    <mergeCell ref="OFW27:OFY27"/>
    <mergeCell ref="OFZ27:OGB27"/>
    <mergeCell ref="OGC27:OGE27"/>
    <mergeCell ref="OGF27:OGH27"/>
    <mergeCell ref="OGI27:OGK27"/>
    <mergeCell ref="OFH27:OFJ27"/>
    <mergeCell ref="OFK27:OFM27"/>
    <mergeCell ref="OFN27:OFP27"/>
    <mergeCell ref="OFQ27:OFS27"/>
    <mergeCell ref="OFT27:OFV27"/>
    <mergeCell ref="OES27:OEU27"/>
    <mergeCell ref="OEV27:OEX27"/>
    <mergeCell ref="OEY27:OFA27"/>
    <mergeCell ref="OFB27:OFD27"/>
    <mergeCell ref="OFE27:OFG27"/>
    <mergeCell ref="OMF27:OMH27"/>
    <mergeCell ref="OMI27:OMK27"/>
    <mergeCell ref="OML27:OMN27"/>
    <mergeCell ref="OMO27:OMQ27"/>
    <mergeCell ref="OMR27:OMT27"/>
    <mergeCell ref="OLQ27:OLS27"/>
    <mergeCell ref="OLT27:OLV27"/>
    <mergeCell ref="OLW27:OLY27"/>
    <mergeCell ref="OLZ27:OMB27"/>
    <mergeCell ref="OMC27:OME27"/>
    <mergeCell ref="OLB27:OLD27"/>
    <mergeCell ref="OLE27:OLG27"/>
    <mergeCell ref="OLH27:OLJ27"/>
    <mergeCell ref="OLK27:OLM27"/>
    <mergeCell ref="OLN27:OLP27"/>
    <mergeCell ref="OKM27:OKO27"/>
    <mergeCell ref="OKP27:OKR27"/>
    <mergeCell ref="OKS27:OKU27"/>
    <mergeCell ref="OKV27:OKX27"/>
    <mergeCell ref="OKY27:OLA27"/>
    <mergeCell ref="OJX27:OJZ27"/>
    <mergeCell ref="OKA27:OKC27"/>
    <mergeCell ref="OKD27:OKF27"/>
    <mergeCell ref="OKG27:OKI27"/>
    <mergeCell ref="OKJ27:OKL27"/>
    <mergeCell ref="OJI27:OJK27"/>
    <mergeCell ref="OJL27:OJN27"/>
    <mergeCell ref="OJO27:OJQ27"/>
    <mergeCell ref="OJR27:OJT27"/>
    <mergeCell ref="OJU27:OJW27"/>
    <mergeCell ref="OIT27:OIV27"/>
    <mergeCell ref="OIW27:OIY27"/>
    <mergeCell ref="OIZ27:OJB27"/>
    <mergeCell ref="OJC27:OJE27"/>
    <mergeCell ref="OJF27:OJH27"/>
    <mergeCell ref="OQG27:OQI27"/>
    <mergeCell ref="OQJ27:OQL27"/>
    <mergeCell ref="OQM27:OQO27"/>
    <mergeCell ref="OQP27:OQR27"/>
    <mergeCell ref="OQS27:OQU27"/>
    <mergeCell ref="OPR27:OPT27"/>
    <mergeCell ref="OPU27:OPW27"/>
    <mergeCell ref="OPX27:OPZ27"/>
    <mergeCell ref="OQA27:OQC27"/>
    <mergeCell ref="OQD27:OQF27"/>
    <mergeCell ref="OPC27:OPE27"/>
    <mergeCell ref="OPF27:OPH27"/>
    <mergeCell ref="OPI27:OPK27"/>
    <mergeCell ref="OPL27:OPN27"/>
    <mergeCell ref="OPO27:OPQ27"/>
    <mergeCell ref="OON27:OOP27"/>
    <mergeCell ref="OOQ27:OOS27"/>
    <mergeCell ref="OOT27:OOV27"/>
    <mergeCell ref="OOW27:OOY27"/>
    <mergeCell ref="OOZ27:OPB27"/>
    <mergeCell ref="ONY27:OOA27"/>
    <mergeCell ref="OOB27:OOD27"/>
    <mergeCell ref="OOE27:OOG27"/>
    <mergeCell ref="OOH27:OOJ27"/>
    <mergeCell ref="OOK27:OOM27"/>
    <mergeCell ref="ONJ27:ONL27"/>
    <mergeCell ref="ONM27:ONO27"/>
    <mergeCell ref="ONP27:ONR27"/>
    <mergeCell ref="ONS27:ONU27"/>
    <mergeCell ref="ONV27:ONX27"/>
    <mergeCell ref="OMU27:OMW27"/>
    <mergeCell ref="OMX27:OMZ27"/>
    <mergeCell ref="ONA27:ONC27"/>
    <mergeCell ref="OND27:ONF27"/>
    <mergeCell ref="ONG27:ONI27"/>
    <mergeCell ref="OUH27:OUJ27"/>
    <mergeCell ref="OUK27:OUM27"/>
    <mergeCell ref="OUN27:OUP27"/>
    <mergeCell ref="OUQ27:OUS27"/>
    <mergeCell ref="OUT27:OUV27"/>
    <mergeCell ref="OTS27:OTU27"/>
    <mergeCell ref="OTV27:OTX27"/>
    <mergeCell ref="OTY27:OUA27"/>
    <mergeCell ref="OUB27:OUD27"/>
    <mergeCell ref="OUE27:OUG27"/>
    <mergeCell ref="OTD27:OTF27"/>
    <mergeCell ref="OTG27:OTI27"/>
    <mergeCell ref="OTJ27:OTL27"/>
    <mergeCell ref="OTM27:OTO27"/>
    <mergeCell ref="OTP27:OTR27"/>
    <mergeCell ref="OSO27:OSQ27"/>
    <mergeCell ref="OSR27:OST27"/>
    <mergeCell ref="OSU27:OSW27"/>
    <mergeCell ref="OSX27:OSZ27"/>
    <mergeCell ref="OTA27:OTC27"/>
    <mergeCell ref="ORZ27:OSB27"/>
    <mergeCell ref="OSC27:OSE27"/>
    <mergeCell ref="OSF27:OSH27"/>
    <mergeCell ref="OSI27:OSK27"/>
    <mergeCell ref="OSL27:OSN27"/>
    <mergeCell ref="ORK27:ORM27"/>
    <mergeCell ref="ORN27:ORP27"/>
    <mergeCell ref="ORQ27:ORS27"/>
    <mergeCell ref="ORT27:ORV27"/>
    <mergeCell ref="ORW27:ORY27"/>
    <mergeCell ref="OQV27:OQX27"/>
    <mergeCell ref="OQY27:ORA27"/>
    <mergeCell ref="ORB27:ORD27"/>
    <mergeCell ref="ORE27:ORG27"/>
    <mergeCell ref="ORH27:ORJ27"/>
    <mergeCell ref="OYI27:OYK27"/>
    <mergeCell ref="OYL27:OYN27"/>
    <mergeCell ref="OYO27:OYQ27"/>
    <mergeCell ref="OYR27:OYT27"/>
    <mergeCell ref="OYU27:OYW27"/>
    <mergeCell ref="OXT27:OXV27"/>
    <mergeCell ref="OXW27:OXY27"/>
    <mergeCell ref="OXZ27:OYB27"/>
    <mergeCell ref="OYC27:OYE27"/>
    <mergeCell ref="OYF27:OYH27"/>
    <mergeCell ref="OXE27:OXG27"/>
    <mergeCell ref="OXH27:OXJ27"/>
    <mergeCell ref="OXK27:OXM27"/>
    <mergeCell ref="OXN27:OXP27"/>
    <mergeCell ref="OXQ27:OXS27"/>
    <mergeCell ref="OWP27:OWR27"/>
    <mergeCell ref="OWS27:OWU27"/>
    <mergeCell ref="OWV27:OWX27"/>
    <mergeCell ref="OWY27:OXA27"/>
    <mergeCell ref="OXB27:OXD27"/>
    <mergeCell ref="OWA27:OWC27"/>
    <mergeCell ref="OWD27:OWF27"/>
    <mergeCell ref="OWG27:OWI27"/>
    <mergeCell ref="OWJ27:OWL27"/>
    <mergeCell ref="OWM27:OWO27"/>
    <mergeCell ref="OVL27:OVN27"/>
    <mergeCell ref="OVO27:OVQ27"/>
    <mergeCell ref="OVR27:OVT27"/>
    <mergeCell ref="OVU27:OVW27"/>
    <mergeCell ref="OVX27:OVZ27"/>
    <mergeCell ref="OUW27:OUY27"/>
    <mergeCell ref="OUZ27:OVB27"/>
    <mergeCell ref="OVC27:OVE27"/>
    <mergeCell ref="OVF27:OVH27"/>
    <mergeCell ref="OVI27:OVK27"/>
    <mergeCell ref="PCJ27:PCL27"/>
    <mergeCell ref="PCM27:PCO27"/>
    <mergeCell ref="PCP27:PCR27"/>
    <mergeCell ref="PCS27:PCU27"/>
    <mergeCell ref="PCV27:PCX27"/>
    <mergeCell ref="PBU27:PBW27"/>
    <mergeCell ref="PBX27:PBZ27"/>
    <mergeCell ref="PCA27:PCC27"/>
    <mergeCell ref="PCD27:PCF27"/>
    <mergeCell ref="PCG27:PCI27"/>
    <mergeCell ref="PBF27:PBH27"/>
    <mergeCell ref="PBI27:PBK27"/>
    <mergeCell ref="PBL27:PBN27"/>
    <mergeCell ref="PBO27:PBQ27"/>
    <mergeCell ref="PBR27:PBT27"/>
    <mergeCell ref="PAQ27:PAS27"/>
    <mergeCell ref="PAT27:PAV27"/>
    <mergeCell ref="PAW27:PAY27"/>
    <mergeCell ref="PAZ27:PBB27"/>
    <mergeCell ref="PBC27:PBE27"/>
    <mergeCell ref="PAB27:PAD27"/>
    <mergeCell ref="PAE27:PAG27"/>
    <mergeCell ref="PAH27:PAJ27"/>
    <mergeCell ref="PAK27:PAM27"/>
    <mergeCell ref="PAN27:PAP27"/>
    <mergeCell ref="OZM27:OZO27"/>
    <mergeCell ref="OZP27:OZR27"/>
    <mergeCell ref="OZS27:OZU27"/>
    <mergeCell ref="OZV27:OZX27"/>
    <mergeCell ref="OZY27:PAA27"/>
    <mergeCell ref="OYX27:OYZ27"/>
    <mergeCell ref="OZA27:OZC27"/>
    <mergeCell ref="OZD27:OZF27"/>
    <mergeCell ref="OZG27:OZI27"/>
    <mergeCell ref="OZJ27:OZL27"/>
    <mergeCell ref="PGK27:PGM27"/>
    <mergeCell ref="PGN27:PGP27"/>
    <mergeCell ref="PGQ27:PGS27"/>
    <mergeCell ref="PGT27:PGV27"/>
    <mergeCell ref="PGW27:PGY27"/>
    <mergeCell ref="PFV27:PFX27"/>
    <mergeCell ref="PFY27:PGA27"/>
    <mergeCell ref="PGB27:PGD27"/>
    <mergeCell ref="PGE27:PGG27"/>
    <mergeCell ref="PGH27:PGJ27"/>
    <mergeCell ref="PFG27:PFI27"/>
    <mergeCell ref="PFJ27:PFL27"/>
    <mergeCell ref="PFM27:PFO27"/>
    <mergeCell ref="PFP27:PFR27"/>
    <mergeCell ref="PFS27:PFU27"/>
    <mergeCell ref="PER27:PET27"/>
    <mergeCell ref="PEU27:PEW27"/>
    <mergeCell ref="PEX27:PEZ27"/>
    <mergeCell ref="PFA27:PFC27"/>
    <mergeCell ref="PFD27:PFF27"/>
    <mergeCell ref="PEC27:PEE27"/>
    <mergeCell ref="PEF27:PEH27"/>
    <mergeCell ref="PEI27:PEK27"/>
    <mergeCell ref="PEL27:PEN27"/>
    <mergeCell ref="PEO27:PEQ27"/>
    <mergeCell ref="PDN27:PDP27"/>
    <mergeCell ref="PDQ27:PDS27"/>
    <mergeCell ref="PDT27:PDV27"/>
    <mergeCell ref="PDW27:PDY27"/>
    <mergeCell ref="PDZ27:PEB27"/>
    <mergeCell ref="PCY27:PDA27"/>
    <mergeCell ref="PDB27:PDD27"/>
    <mergeCell ref="PDE27:PDG27"/>
    <mergeCell ref="PDH27:PDJ27"/>
    <mergeCell ref="PDK27:PDM27"/>
    <mergeCell ref="PKL27:PKN27"/>
    <mergeCell ref="PKO27:PKQ27"/>
    <mergeCell ref="PKR27:PKT27"/>
    <mergeCell ref="PKU27:PKW27"/>
    <mergeCell ref="PKX27:PKZ27"/>
    <mergeCell ref="PJW27:PJY27"/>
    <mergeCell ref="PJZ27:PKB27"/>
    <mergeCell ref="PKC27:PKE27"/>
    <mergeCell ref="PKF27:PKH27"/>
    <mergeCell ref="PKI27:PKK27"/>
    <mergeCell ref="PJH27:PJJ27"/>
    <mergeCell ref="PJK27:PJM27"/>
    <mergeCell ref="PJN27:PJP27"/>
    <mergeCell ref="PJQ27:PJS27"/>
    <mergeCell ref="PJT27:PJV27"/>
    <mergeCell ref="PIS27:PIU27"/>
    <mergeCell ref="PIV27:PIX27"/>
    <mergeCell ref="PIY27:PJA27"/>
    <mergeCell ref="PJB27:PJD27"/>
    <mergeCell ref="PJE27:PJG27"/>
    <mergeCell ref="PID27:PIF27"/>
    <mergeCell ref="PIG27:PII27"/>
    <mergeCell ref="PIJ27:PIL27"/>
    <mergeCell ref="PIM27:PIO27"/>
    <mergeCell ref="PIP27:PIR27"/>
    <mergeCell ref="PHO27:PHQ27"/>
    <mergeCell ref="PHR27:PHT27"/>
    <mergeCell ref="PHU27:PHW27"/>
    <mergeCell ref="PHX27:PHZ27"/>
    <mergeCell ref="PIA27:PIC27"/>
    <mergeCell ref="PGZ27:PHB27"/>
    <mergeCell ref="PHC27:PHE27"/>
    <mergeCell ref="PHF27:PHH27"/>
    <mergeCell ref="PHI27:PHK27"/>
    <mergeCell ref="PHL27:PHN27"/>
    <mergeCell ref="POM27:POO27"/>
    <mergeCell ref="POP27:POR27"/>
    <mergeCell ref="POS27:POU27"/>
    <mergeCell ref="POV27:POX27"/>
    <mergeCell ref="POY27:PPA27"/>
    <mergeCell ref="PNX27:PNZ27"/>
    <mergeCell ref="POA27:POC27"/>
    <mergeCell ref="POD27:POF27"/>
    <mergeCell ref="POG27:POI27"/>
    <mergeCell ref="POJ27:POL27"/>
    <mergeCell ref="PNI27:PNK27"/>
    <mergeCell ref="PNL27:PNN27"/>
    <mergeCell ref="PNO27:PNQ27"/>
    <mergeCell ref="PNR27:PNT27"/>
    <mergeCell ref="PNU27:PNW27"/>
    <mergeCell ref="PMT27:PMV27"/>
    <mergeCell ref="PMW27:PMY27"/>
    <mergeCell ref="PMZ27:PNB27"/>
    <mergeCell ref="PNC27:PNE27"/>
    <mergeCell ref="PNF27:PNH27"/>
    <mergeCell ref="PME27:PMG27"/>
    <mergeCell ref="PMH27:PMJ27"/>
    <mergeCell ref="PMK27:PMM27"/>
    <mergeCell ref="PMN27:PMP27"/>
    <mergeCell ref="PMQ27:PMS27"/>
    <mergeCell ref="PLP27:PLR27"/>
    <mergeCell ref="PLS27:PLU27"/>
    <mergeCell ref="PLV27:PLX27"/>
    <mergeCell ref="PLY27:PMA27"/>
    <mergeCell ref="PMB27:PMD27"/>
    <mergeCell ref="PLA27:PLC27"/>
    <mergeCell ref="PLD27:PLF27"/>
    <mergeCell ref="PLG27:PLI27"/>
    <mergeCell ref="PLJ27:PLL27"/>
    <mergeCell ref="PLM27:PLO27"/>
    <mergeCell ref="PSN27:PSP27"/>
    <mergeCell ref="PSQ27:PSS27"/>
    <mergeCell ref="PST27:PSV27"/>
    <mergeCell ref="PSW27:PSY27"/>
    <mergeCell ref="PSZ27:PTB27"/>
    <mergeCell ref="PRY27:PSA27"/>
    <mergeCell ref="PSB27:PSD27"/>
    <mergeCell ref="PSE27:PSG27"/>
    <mergeCell ref="PSH27:PSJ27"/>
    <mergeCell ref="PSK27:PSM27"/>
    <mergeCell ref="PRJ27:PRL27"/>
    <mergeCell ref="PRM27:PRO27"/>
    <mergeCell ref="PRP27:PRR27"/>
    <mergeCell ref="PRS27:PRU27"/>
    <mergeCell ref="PRV27:PRX27"/>
    <mergeCell ref="PQU27:PQW27"/>
    <mergeCell ref="PQX27:PQZ27"/>
    <mergeCell ref="PRA27:PRC27"/>
    <mergeCell ref="PRD27:PRF27"/>
    <mergeCell ref="PRG27:PRI27"/>
    <mergeCell ref="PQF27:PQH27"/>
    <mergeCell ref="PQI27:PQK27"/>
    <mergeCell ref="PQL27:PQN27"/>
    <mergeCell ref="PQO27:PQQ27"/>
    <mergeCell ref="PQR27:PQT27"/>
    <mergeCell ref="PPQ27:PPS27"/>
    <mergeCell ref="PPT27:PPV27"/>
    <mergeCell ref="PPW27:PPY27"/>
    <mergeCell ref="PPZ27:PQB27"/>
    <mergeCell ref="PQC27:PQE27"/>
    <mergeCell ref="PPB27:PPD27"/>
    <mergeCell ref="PPE27:PPG27"/>
    <mergeCell ref="PPH27:PPJ27"/>
    <mergeCell ref="PPK27:PPM27"/>
    <mergeCell ref="PPN27:PPP27"/>
    <mergeCell ref="PWO27:PWQ27"/>
    <mergeCell ref="PWR27:PWT27"/>
    <mergeCell ref="PWU27:PWW27"/>
    <mergeCell ref="PWX27:PWZ27"/>
    <mergeCell ref="PXA27:PXC27"/>
    <mergeCell ref="PVZ27:PWB27"/>
    <mergeCell ref="PWC27:PWE27"/>
    <mergeCell ref="PWF27:PWH27"/>
    <mergeCell ref="PWI27:PWK27"/>
    <mergeCell ref="PWL27:PWN27"/>
    <mergeCell ref="PVK27:PVM27"/>
    <mergeCell ref="PVN27:PVP27"/>
    <mergeCell ref="PVQ27:PVS27"/>
    <mergeCell ref="PVT27:PVV27"/>
    <mergeCell ref="PVW27:PVY27"/>
    <mergeCell ref="PUV27:PUX27"/>
    <mergeCell ref="PUY27:PVA27"/>
    <mergeCell ref="PVB27:PVD27"/>
    <mergeCell ref="PVE27:PVG27"/>
    <mergeCell ref="PVH27:PVJ27"/>
    <mergeCell ref="PUG27:PUI27"/>
    <mergeCell ref="PUJ27:PUL27"/>
    <mergeCell ref="PUM27:PUO27"/>
    <mergeCell ref="PUP27:PUR27"/>
    <mergeCell ref="PUS27:PUU27"/>
    <mergeCell ref="PTR27:PTT27"/>
    <mergeCell ref="PTU27:PTW27"/>
    <mergeCell ref="PTX27:PTZ27"/>
    <mergeCell ref="PUA27:PUC27"/>
    <mergeCell ref="PUD27:PUF27"/>
    <mergeCell ref="PTC27:PTE27"/>
    <mergeCell ref="PTF27:PTH27"/>
    <mergeCell ref="PTI27:PTK27"/>
    <mergeCell ref="PTL27:PTN27"/>
    <mergeCell ref="PTO27:PTQ27"/>
    <mergeCell ref="QAP27:QAR27"/>
    <mergeCell ref="QAS27:QAU27"/>
    <mergeCell ref="QAV27:QAX27"/>
    <mergeCell ref="QAY27:QBA27"/>
    <mergeCell ref="QBB27:QBD27"/>
    <mergeCell ref="QAA27:QAC27"/>
    <mergeCell ref="QAD27:QAF27"/>
    <mergeCell ref="QAG27:QAI27"/>
    <mergeCell ref="QAJ27:QAL27"/>
    <mergeCell ref="QAM27:QAO27"/>
    <mergeCell ref="PZL27:PZN27"/>
    <mergeCell ref="PZO27:PZQ27"/>
    <mergeCell ref="PZR27:PZT27"/>
    <mergeCell ref="PZU27:PZW27"/>
    <mergeCell ref="PZX27:PZZ27"/>
    <mergeCell ref="PYW27:PYY27"/>
    <mergeCell ref="PYZ27:PZB27"/>
    <mergeCell ref="PZC27:PZE27"/>
    <mergeCell ref="PZF27:PZH27"/>
    <mergeCell ref="PZI27:PZK27"/>
    <mergeCell ref="PYH27:PYJ27"/>
    <mergeCell ref="PYK27:PYM27"/>
    <mergeCell ref="PYN27:PYP27"/>
    <mergeCell ref="PYQ27:PYS27"/>
    <mergeCell ref="PYT27:PYV27"/>
    <mergeCell ref="PXS27:PXU27"/>
    <mergeCell ref="PXV27:PXX27"/>
    <mergeCell ref="PXY27:PYA27"/>
    <mergeCell ref="PYB27:PYD27"/>
    <mergeCell ref="PYE27:PYG27"/>
    <mergeCell ref="PXD27:PXF27"/>
    <mergeCell ref="PXG27:PXI27"/>
    <mergeCell ref="PXJ27:PXL27"/>
    <mergeCell ref="PXM27:PXO27"/>
    <mergeCell ref="PXP27:PXR27"/>
    <mergeCell ref="QEQ27:QES27"/>
    <mergeCell ref="QET27:QEV27"/>
    <mergeCell ref="QEW27:QEY27"/>
    <mergeCell ref="QEZ27:QFB27"/>
    <mergeCell ref="QFC27:QFE27"/>
    <mergeCell ref="QEB27:QED27"/>
    <mergeCell ref="QEE27:QEG27"/>
    <mergeCell ref="QEH27:QEJ27"/>
    <mergeCell ref="QEK27:QEM27"/>
    <mergeCell ref="QEN27:QEP27"/>
    <mergeCell ref="QDM27:QDO27"/>
    <mergeCell ref="QDP27:QDR27"/>
    <mergeCell ref="QDS27:QDU27"/>
    <mergeCell ref="QDV27:QDX27"/>
    <mergeCell ref="QDY27:QEA27"/>
    <mergeCell ref="QCX27:QCZ27"/>
    <mergeCell ref="QDA27:QDC27"/>
    <mergeCell ref="QDD27:QDF27"/>
    <mergeCell ref="QDG27:QDI27"/>
    <mergeCell ref="QDJ27:QDL27"/>
    <mergeCell ref="QCI27:QCK27"/>
    <mergeCell ref="QCL27:QCN27"/>
    <mergeCell ref="QCO27:QCQ27"/>
    <mergeCell ref="QCR27:QCT27"/>
    <mergeCell ref="QCU27:QCW27"/>
    <mergeCell ref="QBT27:QBV27"/>
    <mergeCell ref="QBW27:QBY27"/>
    <mergeCell ref="QBZ27:QCB27"/>
    <mergeCell ref="QCC27:QCE27"/>
    <mergeCell ref="QCF27:QCH27"/>
    <mergeCell ref="QBE27:QBG27"/>
    <mergeCell ref="QBH27:QBJ27"/>
    <mergeCell ref="QBK27:QBM27"/>
    <mergeCell ref="QBN27:QBP27"/>
    <mergeCell ref="QBQ27:QBS27"/>
    <mergeCell ref="QIR27:QIT27"/>
    <mergeCell ref="QIU27:QIW27"/>
    <mergeCell ref="QIX27:QIZ27"/>
    <mergeCell ref="QJA27:QJC27"/>
    <mergeCell ref="QJD27:QJF27"/>
    <mergeCell ref="QIC27:QIE27"/>
    <mergeCell ref="QIF27:QIH27"/>
    <mergeCell ref="QII27:QIK27"/>
    <mergeCell ref="QIL27:QIN27"/>
    <mergeCell ref="QIO27:QIQ27"/>
    <mergeCell ref="QHN27:QHP27"/>
    <mergeCell ref="QHQ27:QHS27"/>
    <mergeCell ref="QHT27:QHV27"/>
    <mergeCell ref="QHW27:QHY27"/>
    <mergeCell ref="QHZ27:QIB27"/>
    <mergeCell ref="QGY27:QHA27"/>
    <mergeCell ref="QHB27:QHD27"/>
    <mergeCell ref="QHE27:QHG27"/>
    <mergeCell ref="QHH27:QHJ27"/>
    <mergeCell ref="QHK27:QHM27"/>
    <mergeCell ref="QGJ27:QGL27"/>
    <mergeCell ref="QGM27:QGO27"/>
    <mergeCell ref="QGP27:QGR27"/>
    <mergeCell ref="QGS27:QGU27"/>
    <mergeCell ref="QGV27:QGX27"/>
    <mergeCell ref="QFU27:QFW27"/>
    <mergeCell ref="QFX27:QFZ27"/>
    <mergeCell ref="QGA27:QGC27"/>
    <mergeCell ref="QGD27:QGF27"/>
    <mergeCell ref="QGG27:QGI27"/>
    <mergeCell ref="QFF27:QFH27"/>
    <mergeCell ref="QFI27:QFK27"/>
    <mergeCell ref="QFL27:QFN27"/>
    <mergeCell ref="QFO27:QFQ27"/>
    <mergeCell ref="QFR27:QFT27"/>
    <mergeCell ref="QMS27:QMU27"/>
    <mergeCell ref="QMV27:QMX27"/>
    <mergeCell ref="QMY27:QNA27"/>
    <mergeCell ref="QNB27:QND27"/>
    <mergeCell ref="QNE27:QNG27"/>
    <mergeCell ref="QMD27:QMF27"/>
    <mergeCell ref="QMG27:QMI27"/>
    <mergeCell ref="QMJ27:QML27"/>
    <mergeCell ref="QMM27:QMO27"/>
    <mergeCell ref="QMP27:QMR27"/>
    <mergeCell ref="QLO27:QLQ27"/>
    <mergeCell ref="QLR27:QLT27"/>
    <mergeCell ref="QLU27:QLW27"/>
    <mergeCell ref="QLX27:QLZ27"/>
    <mergeCell ref="QMA27:QMC27"/>
    <mergeCell ref="QKZ27:QLB27"/>
    <mergeCell ref="QLC27:QLE27"/>
    <mergeCell ref="QLF27:QLH27"/>
    <mergeCell ref="QLI27:QLK27"/>
    <mergeCell ref="QLL27:QLN27"/>
    <mergeCell ref="QKK27:QKM27"/>
    <mergeCell ref="QKN27:QKP27"/>
    <mergeCell ref="QKQ27:QKS27"/>
    <mergeCell ref="QKT27:QKV27"/>
    <mergeCell ref="QKW27:QKY27"/>
    <mergeCell ref="QJV27:QJX27"/>
    <mergeCell ref="QJY27:QKA27"/>
    <mergeCell ref="QKB27:QKD27"/>
    <mergeCell ref="QKE27:QKG27"/>
    <mergeCell ref="QKH27:QKJ27"/>
    <mergeCell ref="QJG27:QJI27"/>
    <mergeCell ref="QJJ27:QJL27"/>
    <mergeCell ref="QJM27:QJO27"/>
    <mergeCell ref="QJP27:QJR27"/>
    <mergeCell ref="QJS27:QJU27"/>
    <mergeCell ref="QQT27:QQV27"/>
    <mergeCell ref="QQW27:QQY27"/>
    <mergeCell ref="QQZ27:QRB27"/>
    <mergeCell ref="QRC27:QRE27"/>
    <mergeCell ref="QRF27:QRH27"/>
    <mergeCell ref="QQE27:QQG27"/>
    <mergeCell ref="QQH27:QQJ27"/>
    <mergeCell ref="QQK27:QQM27"/>
    <mergeCell ref="QQN27:QQP27"/>
    <mergeCell ref="QQQ27:QQS27"/>
    <mergeCell ref="QPP27:QPR27"/>
    <mergeCell ref="QPS27:QPU27"/>
    <mergeCell ref="QPV27:QPX27"/>
    <mergeCell ref="QPY27:QQA27"/>
    <mergeCell ref="QQB27:QQD27"/>
    <mergeCell ref="QPA27:QPC27"/>
    <mergeCell ref="QPD27:QPF27"/>
    <mergeCell ref="QPG27:QPI27"/>
    <mergeCell ref="QPJ27:QPL27"/>
    <mergeCell ref="QPM27:QPO27"/>
    <mergeCell ref="QOL27:QON27"/>
    <mergeCell ref="QOO27:QOQ27"/>
    <mergeCell ref="QOR27:QOT27"/>
    <mergeCell ref="QOU27:QOW27"/>
    <mergeCell ref="QOX27:QOZ27"/>
    <mergeCell ref="QNW27:QNY27"/>
    <mergeCell ref="QNZ27:QOB27"/>
    <mergeCell ref="QOC27:QOE27"/>
    <mergeCell ref="QOF27:QOH27"/>
    <mergeCell ref="QOI27:QOK27"/>
    <mergeCell ref="QNH27:QNJ27"/>
    <mergeCell ref="QNK27:QNM27"/>
    <mergeCell ref="QNN27:QNP27"/>
    <mergeCell ref="QNQ27:QNS27"/>
    <mergeCell ref="QNT27:QNV27"/>
    <mergeCell ref="QUU27:QUW27"/>
    <mergeCell ref="QUX27:QUZ27"/>
    <mergeCell ref="QVA27:QVC27"/>
    <mergeCell ref="QVD27:QVF27"/>
    <mergeCell ref="QVG27:QVI27"/>
    <mergeCell ref="QUF27:QUH27"/>
    <mergeCell ref="QUI27:QUK27"/>
    <mergeCell ref="QUL27:QUN27"/>
    <mergeCell ref="QUO27:QUQ27"/>
    <mergeCell ref="QUR27:QUT27"/>
    <mergeCell ref="QTQ27:QTS27"/>
    <mergeCell ref="QTT27:QTV27"/>
    <mergeCell ref="QTW27:QTY27"/>
    <mergeCell ref="QTZ27:QUB27"/>
    <mergeCell ref="QUC27:QUE27"/>
    <mergeCell ref="QTB27:QTD27"/>
    <mergeCell ref="QTE27:QTG27"/>
    <mergeCell ref="QTH27:QTJ27"/>
    <mergeCell ref="QTK27:QTM27"/>
    <mergeCell ref="QTN27:QTP27"/>
    <mergeCell ref="QSM27:QSO27"/>
    <mergeCell ref="QSP27:QSR27"/>
    <mergeCell ref="QSS27:QSU27"/>
    <mergeCell ref="QSV27:QSX27"/>
    <mergeCell ref="QSY27:QTA27"/>
    <mergeCell ref="QRX27:QRZ27"/>
    <mergeCell ref="QSA27:QSC27"/>
    <mergeCell ref="QSD27:QSF27"/>
    <mergeCell ref="QSG27:QSI27"/>
    <mergeCell ref="QSJ27:QSL27"/>
    <mergeCell ref="QRI27:QRK27"/>
    <mergeCell ref="QRL27:QRN27"/>
    <mergeCell ref="QRO27:QRQ27"/>
    <mergeCell ref="QRR27:QRT27"/>
    <mergeCell ref="QRU27:QRW27"/>
    <mergeCell ref="QYV27:QYX27"/>
    <mergeCell ref="QYY27:QZA27"/>
    <mergeCell ref="QZB27:QZD27"/>
    <mergeCell ref="QZE27:QZG27"/>
    <mergeCell ref="QZH27:QZJ27"/>
    <mergeCell ref="QYG27:QYI27"/>
    <mergeCell ref="QYJ27:QYL27"/>
    <mergeCell ref="QYM27:QYO27"/>
    <mergeCell ref="QYP27:QYR27"/>
    <mergeCell ref="QYS27:QYU27"/>
    <mergeCell ref="QXR27:QXT27"/>
    <mergeCell ref="QXU27:QXW27"/>
    <mergeCell ref="QXX27:QXZ27"/>
    <mergeCell ref="QYA27:QYC27"/>
    <mergeCell ref="QYD27:QYF27"/>
    <mergeCell ref="QXC27:QXE27"/>
    <mergeCell ref="QXF27:QXH27"/>
    <mergeCell ref="QXI27:QXK27"/>
    <mergeCell ref="QXL27:QXN27"/>
    <mergeCell ref="QXO27:QXQ27"/>
    <mergeCell ref="QWN27:QWP27"/>
    <mergeCell ref="QWQ27:QWS27"/>
    <mergeCell ref="QWT27:QWV27"/>
    <mergeCell ref="QWW27:QWY27"/>
    <mergeCell ref="QWZ27:QXB27"/>
    <mergeCell ref="QVY27:QWA27"/>
    <mergeCell ref="QWB27:QWD27"/>
    <mergeCell ref="QWE27:QWG27"/>
    <mergeCell ref="QWH27:QWJ27"/>
    <mergeCell ref="QWK27:QWM27"/>
    <mergeCell ref="QVJ27:QVL27"/>
    <mergeCell ref="QVM27:QVO27"/>
    <mergeCell ref="QVP27:QVR27"/>
    <mergeCell ref="QVS27:QVU27"/>
    <mergeCell ref="QVV27:QVX27"/>
    <mergeCell ref="RCW27:RCY27"/>
    <mergeCell ref="RCZ27:RDB27"/>
    <mergeCell ref="RDC27:RDE27"/>
    <mergeCell ref="RDF27:RDH27"/>
    <mergeCell ref="RDI27:RDK27"/>
    <mergeCell ref="RCH27:RCJ27"/>
    <mergeCell ref="RCK27:RCM27"/>
    <mergeCell ref="RCN27:RCP27"/>
    <mergeCell ref="RCQ27:RCS27"/>
    <mergeCell ref="RCT27:RCV27"/>
    <mergeCell ref="RBS27:RBU27"/>
    <mergeCell ref="RBV27:RBX27"/>
    <mergeCell ref="RBY27:RCA27"/>
    <mergeCell ref="RCB27:RCD27"/>
    <mergeCell ref="RCE27:RCG27"/>
    <mergeCell ref="RBD27:RBF27"/>
    <mergeCell ref="RBG27:RBI27"/>
    <mergeCell ref="RBJ27:RBL27"/>
    <mergeCell ref="RBM27:RBO27"/>
    <mergeCell ref="RBP27:RBR27"/>
    <mergeCell ref="RAO27:RAQ27"/>
    <mergeCell ref="RAR27:RAT27"/>
    <mergeCell ref="RAU27:RAW27"/>
    <mergeCell ref="RAX27:RAZ27"/>
    <mergeCell ref="RBA27:RBC27"/>
    <mergeCell ref="QZZ27:RAB27"/>
    <mergeCell ref="RAC27:RAE27"/>
    <mergeCell ref="RAF27:RAH27"/>
    <mergeCell ref="RAI27:RAK27"/>
    <mergeCell ref="RAL27:RAN27"/>
    <mergeCell ref="QZK27:QZM27"/>
    <mergeCell ref="QZN27:QZP27"/>
    <mergeCell ref="QZQ27:QZS27"/>
    <mergeCell ref="QZT27:QZV27"/>
    <mergeCell ref="QZW27:QZY27"/>
    <mergeCell ref="RGX27:RGZ27"/>
    <mergeCell ref="RHA27:RHC27"/>
    <mergeCell ref="RHD27:RHF27"/>
    <mergeCell ref="RHG27:RHI27"/>
    <mergeCell ref="RHJ27:RHL27"/>
    <mergeCell ref="RGI27:RGK27"/>
    <mergeCell ref="RGL27:RGN27"/>
    <mergeCell ref="RGO27:RGQ27"/>
    <mergeCell ref="RGR27:RGT27"/>
    <mergeCell ref="RGU27:RGW27"/>
    <mergeCell ref="RFT27:RFV27"/>
    <mergeCell ref="RFW27:RFY27"/>
    <mergeCell ref="RFZ27:RGB27"/>
    <mergeCell ref="RGC27:RGE27"/>
    <mergeCell ref="RGF27:RGH27"/>
    <mergeCell ref="RFE27:RFG27"/>
    <mergeCell ref="RFH27:RFJ27"/>
    <mergeCell ref="RFK27:RFM27"/>
    <mergeCell ref="RFN27:RFP27"/>
    <mergeCell ref="RFQ27:RFS27"/>
    <mergeCell ref="REP27:RER27"/>
    <mergeCell ref="RES27:REU27"/>
    <mergeCell ref="REV27:REX27"/>
    <mergeCell ref="REY27:RFA27"/>
    <mergeCell ref="RFB27:RFD27"/>
    <mergeCell ref="REA27:REC27"/>
    <mergeCell ref="RED27:REF27"/>
    <mergeCell ref="REG27:REI27"/>
    <mergeCell ref="REJ27:REL27"/>
    <mergeCell ref="REM27:REO27"/>
    <mergeCell ref="RDL27:RDN27"/>
    <mergeCell ref="RDO27:RDQ27"/>
    <mergeCell ref="RDR27:RDT27"/>
    <mergeCell ref="RDU27:RDW27"/>
    <mergeCell ref="RDX27:RDZ27"/>
    <mergeCell ref="RKY27:RLA27"/>
    <mergeCell ref="RLB27:RLD27"/>
    <mergeCell ref="RLE27:RLG27"/>
    <mergeCell ref="RLH27:RLJ27"/>
    <mergeCell ref="RLK27:RLM27"/>
    <mergeCell ref="RKJ27:RKL27"/>
    <mergeCell ref="RKM27:RKO27"/>
    <mergeCell ref="RKP27:RKR27"/>
    <mergeCell ref="RKS27:RKU27"/>
    <mergeCell ref="RKV27:RKX27"/>
    <mergeCell ref="RJU27:RJW27"/>
    <mergeCell ref="RJX27:RJZ27"/>
    <mergeCell ref="RKA27:RKC27"/>
    <mergeCell ref="RKD27:RKF27"/>
    <mergeCell ref="RKG27:RKI27"/>
    <mergeCell ref="RJF27:RJH27"/>
    <mergeCell ref="RJI27:RJK27"/>
    <mergeCell ref="RJL27:RJN27"/>
    <mergeCell ref="RJO27:RJQ27"/>
    <mergeCell ref="RJR27:RJT27"/>
    <mergeCell ref="RIQ27:RIS27"/>
    <mergeCell ref="RIT27:RIV27"/>
    <mergeCell ref="RIW27:RIY27"/>
    <mergeCell ref="RIZ27:RJB27"/>
    <mergeCell ref="RJC27:RJE27"/>
    <mergeCell ref="RIB27:RID27"/>
    <mergeCell ref="RIE27:RIG27"/>
    <mergeCell ref="RIH27:RIJ27"/>
    <mergeCell ref="RIK27:RIM27"/>
    <mergeCell ref="RIN27:RIP27"/>
    <mergeCell ref="RHM27:RHO27"/>
    <mergeCell ref="RHP27:RHR27"/>
    <mergeCell ref="RHS27:RHU27"/>
    <mergeCell ref="RHV27:RHX27"/>
    <mergeCell ref="RHY27:RIA27"/>
    <mergeCell ref="ROZ27:RPB27"/>
    <mergeCell ref="RPC27:RPE27"/>
    <mergeCell ref="RPF27:RPH27"/>
    <mergeCell ref="RPI27:RPK27"/>
    <mergeCell ref="RPL27:RPN27"/>
    <mergeCell ref="ROK27:ROM27"/>
    <mergeCell ref="RON27:ROP27"/>
    <mergeCell ref="ROQ27:ROS27"/>
    <mergeCell ref="ROT27:ROV27"/>
    <mergeCell ref="ROW27:ROY27"/>
    <mergeCell ref="RNV27:RNX27"/>
    <mergeCell ref="RNY27:ROA27"/>
    <mergeCell ref="ROB27:ROD27"/>
    <mergeCell ref="ROE27:ROG27"/>
    <mergeCell ref="ROH27:ROJ27"/>
    <mergeCell ref="RNG27:RNI27"/>
    <mergeCell ref="RNJ27:RNL27"/>
    <mergeCell ref="RNM27:RNO27"/>
    <mergeCell ref="RNP27:RNR27"/>
    <mergeCell ref="RNS27:RNU27"/>
    <mergeCell ref="RMR27:RMT27"/>
    <mergeCell ref="RMU27:RMW27"/>
    <mergeCell ref="RMX27:RMZ27"/>
    <mergeCell ref="RNA27:RNC27"/>
    <mergeCell ref="RND27:RNF27"/>
    <mergeCell ref="RMC27:RME27"/>
    <mergeCell ref="RMF27:RMH27"/>
    <mergeCell ref="RMI27:RMK27"/>
    <mergeCell ref="RML27:RMN27"/>
    <mergeCell ref="RMO27:RMQ27"/>
    <mergeCell ref="RLN27:RLP27"/>
    <mergeCell ref="RLQ27:RLS27"/>
    <mergeCell ref="RLT27:RLV27"/>
    <mergeCell ref="RLW27:RLY27"/>
    <mergeCell ref="RLZ27:RMB27"/>
    <mergeCell ref="RTA27:RTC27"/>
    <mergeCell ref="RTD27:RTF27"/>
    <mergeCell ref="RTG27:RTI27"/>
    <mergeCell ref="RTJ27:RTL27"/>
    <mergeCell ref="RTM27:RTO27"/>
    <mergeCell ref="RSL27:RSN27"/>
    <mergeCell ref="RSO27:RSQ27"/>
    <mergeCell ref="RSR27:RST27"/>
    <mergeCell ref="RSU27:RSW27"/>
    <mergeCell ref="RSX27:RSZ27"/>
    <mergeCell ref="RRW27:RRY27"/>
    <mergeCell ref="RRZ27:RSB27"/>
    <mergeCell ref="RSC27:RSE27"/>
    <mergeCell ref="RSF27:RSH27"/>
    <mergeCell ref="RSI27:RSK27"/>
    <mergeCell ref="RRH27:RRJ27"/>
    <mergeCell ref="RRK27:RRM27"/>
    <mergeCell ref="RRN27:RRP27"/>
    <mergeCell ref="RRQ27:RRS27"/>
    <mergeCell ref="RRT27:RRV27"/>
    <mergeCell ref="RQS27:RQU27"/>
    <mergeCell ref="RQV27:RQX27"/>
    <mergeCell ref="RQY27:RRA27"/>
    <mergeCell ref="RRB27:RRD27"/>
    <mergeCell ref="RRE27:RRG27"/>
    <mergeCell ref="RQD27:RQF27"/>
    <mergeCell ref="RQG27:RQI27"/>
    <mergeCell ref="RQJ27:RQL27"/>
    <mergeCell ref="RQM27:RQO27"/>
    <mergeCell ref="RQP27:RQR27"/>
    <mergeCell ref="RPO27:RPQ27"/>
    <mergeCell ref="RPR27:RPT27"/>
    <mergeCell ref="RPU27:RPW27"/>
    <mergeCell ref="RPX27:RPZ27"/>
    <mergeCell ref="RQA27:RQC27"/>
    <mergeCell ref="RXB27:RXD27"/>
    <mergeCell ref="RXE27:RXG27"/>
    <mergeCell ref="RXH27:RXJ27"/>
    <mergeCell ref="RXK27:RXM27"/>
    <mergeCell ref="RXN27:RXP27"/>
    <mergeCell ref="RWM27:RWO27"/>
    <mergeCell ref="RWP27:RWR27"/>
    <mergeCell ref="RWS27:RWU27"/>
    <mergeCell ref="RWV27:RWX27"/>
    <mergeCell ref="RWY27:RXA27"/>
    <mergeCell ref="RVX27:RVZ27"/>
    <mergeCell ref="RWA27:RWC27"/>
    <mergeCell ref="RWD27:RWF27"/>
    <mergeCell ref="RWG27:RWI27"/>
    <mergeCell ref="RWJ27:RWL27"/>
    <mergeCell ref="RVI27:RVK27"/>
    <mergeCell ref="RVL27:RVN27"/>
    <mergeCell ref="RVO27:RVQ27"/>
    <mergeCell ref="RVR27:RVT27"/>
    <mergeCell ref="RVU27:RVW27"/>
    <mergeCell ref="RUT27:RUV27"/>
    <mergeCell ref="RUW27:RUY27"/>
    <mergeCell ref="RUZ27:RVB27"/>
    <mergeCell ref="RVC27:RVE27"/>
    <mergeCell ref="RVF27:RVH27"/>
    <mergeCell ref="RUE27:RUG27"/>
    <mergeCell ref="RUH27:RUJ27"/>
    <mergeCell ref="RUK27:RUM27"/>
    <mergeCell ref="RUN27:RUP27"/>
    <mergeCell ref="RUQ27:RUS27"/>
    <mergeCell ref="RTP27:RTR27"/>
    <mergeCell ref="RTS27:RTU27"/>
    <mergeCell ref="RTV27:RTX27"/>
    <mergeCell ref="RTY27:RUA27"/>
    <mergeCell ref="RUB27:RUD27"/>
    <mergeCell ref="SBC27:SBE27"/>
    <mergeCell ref="SBF27:SBH27"/>
    <mergeCell ref="SBI27:SBK27"/>
    <mergeCell ref="SBL27:SBN27"/>
    <mergeCell ref="SBO27:SBQ27"/>
    <mergeCell ref="SAN27:SAP27"/>
    <mergeCell ref="SAQ27:SAS27"/>
    <mergeCell ref="SAT27:SAV27"/>
    <mergeCell ref="SAW27:SAY27"/>
    <mergeCell ref="SAZ27:SBB27"/>
    <mergeCell ref="RZY27:SAA27"/>
    <mergeCell ref="SAB27:SAD27"/>
    <mergeCell ref="SAE27:SAG27"/>
    <mergeCell ref="SAH27:SAJ27"/>
    <mergeCell ref="SAK27:SAM27"/>
    <mergeCell ref="RZJ27:RZL27"/>
    <mergeCell ref="RZM27:RZO27"/>
    <mergeCell ref="RZP27:RZR27"/>
    <mergeCell ref="RZS27:RZU27"/>
    <mergeCell ref="RZV27:RZX27"/>
    <mergeCell ref="RYU27:RYW27"/>
    <mergeCell ref="RYX27:RYZ27"/>
    <mergeCell ref="RZA27:RZC27"/>
    <mergeCell ref="RZD27:RZF27"/>
    <mergeCell ref="RZG27:RZI27"/>
    <mergeCell ref="RYF27:RYH27"/>
    <mergeCell ref="RYI27:RYK27"/>
    <mergeCell ref="RYL27:RYN27"/>
    <mergeCell ref="RYO27:RYQ27"/>
    <mergeCell ref="RYR27:RYT27"/>
    <mergeCell ref="RXQ27:RXS27"/>
    <mergeCell ref="RXT27:RXV27"/>
    <mergeCell ref="RXW27:RXY27"/>
    <mergeCell ref="RXZ27:RYB27"/>
    <mergeCell ref="RYC27:RYE27"/>
    <mergeCell ref="SFD27:SFF27"/>
    <mergeCell ref="SFG27:SFI27"/>
    <mergeCell ref="SFJ27:SFL27"/>
    <mergeCell ref="SFM27:SFO27"/>
    <mergeCell ref="SFP27:SFR27"/>
    <mergeCell ref="SEO27:SEQ27"/>
    <mergeCell ref="SER27:SET27"/>
    <mergeCell ref="SEU27:SEW27"/>
    <mergeCell ref="SEX27:SEZ27"/>
    <mergeCell ref="SFA27:SFC27"/>
    <mergeCell ref="SDZ27:SEB27"/>
    <mergeCell ref="SEC27:SEE27"/>
    <mergeCell ref="SEF27:SEH27"/>
    <mergeCell ref="SEI27:SEK27"/>
    <mergeCell ref="SEL27:SEN27"/>
    <mergeCell ref="SDK27:SDM27"/>
    <mergeCell ref="SDN27:SDP27"/>
    <mergeCell ref="SDQ27:SDS27"/>
    <mergeCell ref="SDT27:SDV27"/>
    <mergeCell ref="SDW27:SDY27"/>
    <mergeCell ref="SCV27:SCX27"/>
    <mergeCell ref="SCY27:SDA27"/>
    <mergeCell ref="SDB27:SDD27"/>
    <mergeCell ref="SDE27:SDG27"/>
    <mergeCell ref="SDH27:SDJ27"/>
    <mergeCell ref="SCG27:SCI27"/>
    <mergeCell ref="SCJ27:SCL27"/>
    <mergeCell ref="SCM27:SCO27"/>
    <mergeCell ref="SCP27:SCR27"/>
    <mergeCell ref="SCS27:SCU27"/>
    <mergeCell ref="SBR27:SBT27"/>
    <mergeCell ref="SBU27:SBW27"/>
    <mergeCell ref="SBX27:SBZ27"/>
    <mergeCell ref="SCA27:SCC27"/>
    <mergeCell ref="SCD27:SCF27"/>
    <mergeCell ref="SJE27:SJG27"/>
    <mergeCell ref="SJH27:SJJ27"/>
    <mergeCell ref="SJK27:SJM27"/>
    <mergeCell ref="SJN27:SJP27"/>
    <mergeCell ref="SJQ27:SJS27"/>
    <mergeCell ref="SIP27:SIR27"/>
    <mergeCell ref="SIS27:SIU27"/>
    <mergeCell ref="SIV27:SIX27"/>
    <mergeCell ref="SIY27:SJA27"/>
    <mergeCell ref="SJB27:SJD27"/>
    <mergeCell ref="SIA27:SIC27"/>
    <mergeCell ref="SID27:SIF27"/>
    <mergeCell ref="SIG27:SII27"/>
    <mergeCell ref="SIJ27:SIL27"/>
    <mergeCell ref="SIM27:SIO27"/>
    <mergeCell ref="SHL27:SHN27"/>
    <mergeCell ref="SHO27:SHQ27"/>
    <mergeCell ref="SHR27:SHT27"/>
    <mergeCell ref="SHU27:SHW27"/>
    <mergeCell ref="SHX27:SHZ27"/>
    <mergeCell ref="SGW27:SGY27"/>
    <mergeCell ref="SGZ27:SHB27"/>
    <mergeCell ref="SHC27:SHE27"/>
    <mergeCell ref="SHF27:SHH27"/>
    <mergeCell ref="SHI27:SHK27"/>
    <mergeCell ref="SGH27:SGJ27"/>
    <mergeCell ref="SGK27:SGM27"/>
    <mergeCell ref="SGN27:SGP27"/>
    <mergeCell ref="SGQ27:SGS27"/>
    <mergeCell ref="SGT27:SGV27"/>
    <mergeCell ref="SFS27:SFU27"/>
    <mergeCell ref="SFV27:SFX27"/>
    <mergeCell ref="SFY27:SGA27"/>
    <mergeCell ref="SGB27:SGD27"/>
    <mergeCell ref="SGE27:SGG27"/>
    <mergeCell ref="SNF27:SNH27"/>
    <mergeCell ref="SNI27:SNK27"/>
    <mergeCell ref="SNL27:SNN27"/>
    <mergeCell ref="SNO27:SNQ27"/>
    <mergeCell ref="SNR27:SNT27"/>
    <mergeCell ref="SMQ27:SMS27"/>
    <mergeCell ref="SMT27:SMV27"/>
    <mergeCell ref="SMW27:SMY27"/>
    <mergeCell ref="SMZ27:SNB27"/>
    <mergeCell ref="SNC27:SNE27"/>
    <mergeCell ref="SMB27:SMD27"/>
    <mergeCell ref="SME27:SMG27"/>
    <mergeCell ref="SMH27:SMJ27"/>
    <mergeCell ref="SMK27:SMM27"/>
    <mergeCell ref="SMN27:SMP27"/>
    <mergeCell ref="SLM27:SLO27"/>
    <mergeCell ref="SLP27:SLR27"/>
    <mergeCell ref="SLS27:SLU27"/>
    <mergeCell ref="SLV27:SLX27"/>
    <mergeCell ref="SLY27:SMA27"/>
    <mergeCell ref="SKX27:SKZ27"/>
    <mergeCell ref="SLA27:SLC27"/>
    <mergeCell ref="SLD27:SLF27"/>
    <mergeCell ref="SLG27:SLI27"/>
    <mergeCell ref="SLJ27:SLL27"/>
    <mergeCell ref="SKI27:SKK27"/>
    <mergeCell ref="SKL27:SKN27"/>
    <mergeCell ref="SKO27:SKQ27"/>
    <mergeCell ref="SKR27:SKT27"/>
    <mergeCell ref="SKU27:SKW27"/>
    <mergeCell ref="SJT27:SJV27"/>
    <mergeCell ref="SJW27:SJY27"/>
    <mergeCell ref="SJZ27:SKB27"/>
    <mergeCell ref="SKC27:SKE27"/>
    <mergeCell ref="SKF27:SKH27"/>
    <mergeCell ref="SRG27:SRI27"/>
    <mergeCell ref="SRJ27:SRL27"/>
    <mergeCell ref="SRM27:SRO27"/>
    <mergeCell ref="SRP27:SRR27"/>
    <mergeCell ref="SRS27:SRU27"/>
    <mergeCell ref="SQR27:SQT27"/>
    <mergeCell ref="SQU27:SQW27"/>
    <mergeCell ref="SQX27:SQZ27"/>
    <mergeCell ref="SRA27:SRC27"/>
    <mergeCell ref="SRD27:SRF27"/>
    <mergeCell ref="SQC27:SQE27"/>
    <mergeCell ref="SQF27:SQH27"/>
    <mergeCell ref="SQI27:SQK27"/>
    <mergeCell ref="SQL27:SQN27"/>
    <mergeCell ref="SQO27:SQQ27"/>
    <mergeCell ref="SPN27:SPP27"/>
    <mergeCell ref="SPQ27:SPS27"/>
    <mergeCell ref="SPT27:SPV27"/>
    <mergeCell ref="SPW27:SPY27"/>
    <mergeCell ref="SPZ27:SQB27"/>
    <mergeCell ref="SOY27:SPA27"/>
    <mergeCell ref="SPB27:SPD27"/>
    <mergeCell ref="SPE27:SPG27"/>
    <mergeCell ref="SPH27:SPJ27"/>
    <mergeCell ref="SPK27:SPM27"/>
    <mergeCell ref="SOJ27:SOL27"/>
    <mergeCell ref="SOM27:SOO27"/>
    <mergeCell ref="SOP27:SOR27"/>
    <mergeCell ref="SOS27:SOU27"/>
    <mergeCell ref="SOV27:SOX27"/>
    <mergeCell ref="SNU27:SNW27"/>
    <mergeCell ref="SNX27:SNZ27"/>
    <mergeCell ref="SOA27:SOC27"/>
    <mergeCell ref="SOD27:SOF27"/>
    <mergeCell ref="SOG27:SOI27"/>
    <mergeCell ref="SVH27:SVJ27"/>
    <mergeCell ref="SVK27:SVM27"/>
    <mergeCell ref="SVN27:SVP27"/>
    <mergeCell ref="SVQ27:SVS27"/>
    <mergeCell ref="SVT27:SVV27"/>
    <mergeCell ref="SUS27:SUU27"/>
    <mergeCell ref="SUV27:SUX27"/>
    <mergeCell ref="SUY27:SVA27"/>
    <mergeCell ref="SVB27:SVD27"/>
    <mergeCell ref="SVE27:SVG27"/>
    <mergeCell ref="SUD27:SUF27"/>
    <mergeCell ref="SUG27:SUI27"/>
    <mergeCell ref="SUJ27:SUL27"/>
    <mergeCell ref="SUM27:SUO27"/>
    <mergeCell ref="SUP27:SUR27"/>
    <mergeCell ref="STO27:STQ27"/>
    <mergeCell ref="STR27:STT27"/>
    <mergeCell ref="STU27:STW27"/>
    <mergeCell ref="STX27:STZ27"/>
    <mergeCell ref="SUA27:SUC27"/>
    <mergeCell ref="SSZ27:STB27"/>
    <mergeCell ref="STC27:STE27"/>
    <mergeCell ref="STF27:STH27"/>
    <mergeCell ref="STI27:STK27"/>
    <mergeCell ref="STL27:STN27"/>
    <mergeCell ref="SSK27:SSM27"/>
    <mergeCell ref="SSN27:SSP27"/>
    <mergeCell ref="SSQ27:SSS27"/>
    <mergeCell ref="SST27:SSV27"/>
    <mergeCell ref="SSW27:SSY27"/>
    <mergeCell ref="SRV27:SRX27"/>
    <mergeCell ref="SRY27:SSA27"/>
    <mergeCell ref="SSB27:SSD27"/>
    <mergeCell ref="SSE27:SSG27"/>
    <mergeCell ref="SSH27:SSJ27"/>
    <mergeCell ref="SZI27:SZK27"/>
    <mergeCell ref="SZL27:SZN27"/>
    <mergeCell ref="SZO27:SZQ27"/>
    <mergeCell ref="SZR27:SZT27"/>
    <mergeCell ref="SZU27:SZW27"/>
    <mergeCell ref="SYT27:SYV27"/>
    <mergeCell ref="SYW27:SYY27"/>
    <mergeCell ref="SYZ27:SZB27"/>
    <mergeCell ref="SZC27:SZE27"/>
    <mergeCell ref="SZF27:SZH27"/>
    <mergeCell ref="SYE27:SYG27"/>
    <mergeCell ref="SYH27:SYJ27"/>
    <mergeCell ref="SYK27:SYM27"/>
    <mergeCell ref="SYN27:SYP27"/>
    <mergeCell ref="SYQ27:SYS27"/>
    <mergeCell ref="SXP27:SXR27"/>
    <mergeCell ref="SXS27:SXU27"/>
    <mergeCell ref="SXV27:SXX27"/>
    <mergeCell ref="SXY27:SYA27"/>
    <mergeCell ref="SYB27:SYD27"/>
    <mergeCell ref="SXA27:SXC27"/>
    <mergeCell ref="SXD27:SXF27"/>
    <mergeCell ref="SXG27:SXI27"/>
    <mergeCell ref="SXJ27:SXL27"/>
    <mergeCell ref="SXM27:SXO27"/>
    <mergeCell ref="SWL27:SWN27"/>
    <mergeCell ref="SWO27:SWQ27"/>
    <mergeCell ref="SWR27:SWT27"/>
    <mergeCell ref="SWU27:SWW27"/>
    <mergeCell ref="SWX27:SWZ27"/>
    <mergeCell ref="SVW27:SVY27"/>
    <mergeCell ref="SVZ27:SWB27"/>
    <mergeCell ref="SWC27:SWE27"/>
    <mergeCell ref="SWF27:SWH27"/>
    <mergeCell ref="SWI27:SWK27"/>
    <mergeCell ref="TDJ27:TDL27"/>
    <mergeCell ref="TDM27:TDO27"/>
    <mergeCell ref="TDP27:TDR27"/>
    <mergeCell ref="TDS27:TDU27"/>
    <mergeCell ref="TDV27:TDX27"/>
    <mergeCell ref="TCU27:TCW27"/>
    <mergeCell ref="TCX27:TCZ27"/>
    <mergeCell ref="TDA27:TDC27"/>
    <mergeCell ref="TDD27:TDF27"/>
    <mergeCell ref="TDG27:TDI27"/>
    <mergeCell ref="TCF27:TCH27"/>
    <mergeCell ref="TCI27:TCK27"/>
    <mergeCell ref="TCL27:TCN27"/>
    <mergeCell ref="TCO27:TCQ27"/>
    <mergeCell ref="TCR27:TCT27"/>
    <mergeCell ref="TBQ27:TBS27"/>
    <mergeCell ref="TBT27:TBV27"/>
    <mergeCell ref="TBW27:TBY27"/>
    <mergeCell ref="TBZ27:TCB27"/>
    <mergeCell ref="TCC27:TCE27"/>
    <mergeCell ref="TBB27:TBD27"/>
    <mergeCell ref="TBE27:TBG27"/>
    <mergeCell ref="TBH27:TBJ27"/>
    <mergeCell ref="TBK27:TBM27"/>
    <mergeCell ref="TBN27:TBP27"/>
    <mergeCell ref="TAM27:TAO27"/>
    <mergeCell ref="TAP27:TAR27"/>
    <mergeCell ref="TAS27:TAU27"/>
    <mergeCell ref="TAV27:TAX27"/>
    <mergeCell ref="TAY27:TBA27"/>
    <mergeCell ref="SZX27:SZZ27"/>
    <mergeCell ref="TAA27:TAC27"/>
    <mergeCell ref="TAD27:TAF27"/>
    <mergeCell ref="TAG27:TAI27"/>
    <mergeCell ref="TAJ27:TAL27"/>
    <mergeCell ref="THK27:THM27"/>
    <mergeCell ref="THN27:THP27"/>
    <mergeCell ref="THQ27:THS27"/>
    <mergeCell ref="THT27:THV27"/>
    <mergeCell ref="THW27:THY27"/>
    <mergeCell ref="TGV27:TGX27"/>
    <mergeCell ref="TGY27:THA27"/>
    <mergeCell ref="THB27:THD27"/>
    <mergeCell ref="THE27:THG27"/>
    <mergeCell ref="THH27:THJ27"/>
    <mergeCell ref="TGG27:TGI27"/>
    <mergeCell ref="TGJ27:TGL27"/>
    <mergeCell ref="TGM27:TGO27"/>
    <mergeCell ref="TGP27:TGR27"/>
    <mergeCell ref="TGS27:TGU27"/>
    <mergeCell ref="TFR27:TFT27"/>
    <mergeCell ref="TFU27:TFW27"/>
    <mergeCell ref="TFX27:TFZ27"/>
    <mergeCell ref="TGA27:TGC27"/>
    <mergeCell ref="TGD27:TGF27"/>
    <mergeCell ref="TFC27:TFE27"/>
    <mergeCell ref="TFF27:TFH27"/>
    <mergeCell ref="TFI27:TFK27"/>
    <mergeCell ref="TFL27:TFN27"/>
    <mergeCell ref="TFO27:TFQ27"/>
    <mergeCell ref="TEN27:TEP27"/>
    <mergeCell ref="TEQ27:TES27"/>
    <mergeCell ref="TET27:TEV27"/>
    <mergeCell ref="TEW27:TEY27"/>
    <mergeCell ref="TEZ27:TFB27"/>
    <mergeCell ref="TDY27:TEA27"/>
    <mergeCell ref="TEB27:TED27"/>
    <mergeCell ref="TEE27:TEG27"/>
    <mergeCell ref="TEH27:TEJ27"/>
    <mergeCell ref="TEK27:TEM27"/>
    <mergeCell ref="TLL27:TLN27"/>
    <mergeCell ref="TLO27:TLQ27"/>
    <mergeCell ref="TLR27:TLT27"/>
    <mergeCell ref="TLU27:TLW27"/>
    <mergeCell ref="TLX27:TLZ27"/>
    <mergeCell ref="TKW27:TKY27"/>
    <mergeCell ref="TKZ27:TLB27"/>
    <mergeCell ref="TLC27:TLE27"/>
    <mergeCell ref="TLF27:TLH27"/>
    <mergeCell ref="TLI27:TLK27"/>
    <mergeCell ref="TKH27:TKJ27"/>
    <mergeCell ref="TKK27:TKM27"/>
    <mergeCell ref="TKN27:TKP27"/>
    <mergeCell ref="TKQ27:TKS27"/>
    <mergeCell ref="TKT27:TKV27"/>
    <mergeCell ref="TJS27:TJU27"/>
    <mergeCell ref="TJV27:TJX27"/>
    <mergeCell ref="TJY27:TKA27"/>
    <mergeCell ref="TKB27:TKD27"/>
    <mergeCell ref="TKE27:TKG27"/>
    <mergeCell ref="TJD27:TJF27"/>
    <mergeCell ref="TJG27:TJI27"/>
    <mergeCell ref="TJJ27:TJL27"/>
    <mergeCell ref="TJM27:TJO27"/>
    <mergeCell ref="TJP27:TJR27"/>
    <mergeCell ref="TIO27:TIQ27"/>
    <mergeCell ref="TIR27:TIT27"/>
    <mergeCell ref="TIU27:TIW27"/>
    <mergeCell ref="TIX27:TIZ27"/>
    <mergeCell ref="TJA27:TJC27"/>
    <mergeCell ref="THZ27:TIB27"/>
    <mergeCell ref="TIC27:TIE27"/>
    <mergeCell ref="TIF27:TIH27"/>
    <mergeCell ref="TII27:TIK27"/>
    <mergeCell ref="TIL27:TIN27"/>
    <mergeCell ref="TPM27:TPO27"/>
    <mergeCell ref="TPP27:TPR27"/>
    <mergeCell ref="TPS27:TPU27"/>
    <mergeCell ref="TPV27:TPX27"/>
    <mergeCell ref="TPY27:TQA27"/>
    <mergeCell ref="TOX27:TOZ27"/>
    <mergeCell ref="TPA27:TPC27"/>
    <mergeCell ref="TPD27:TPF27"/>
    <mergeCell ref="TPG27:TPI27"/>
    <mergeCell ref="TPJ27:TPL27"/>
    <mergeCell ref="TOI27:TOK27"/>
    <mergeCell ref="TOL27:TON27"/>
    <mergeCell ref="TOO27:TOQ27"/>
    <mergeCell ref="TOR27:TOT27"/>
    <mergeCell ref="TOU27:TOW27"/>
    <mergeCell ref="TNT27:TNV27"/>
    <mergeCell ref="TNW27:TNY27"/>
    <mergeCell ref="TNZ27:TOB27"/>
    <mergeCell ref="TOC27:TOE27"/>
    <mergeCell ref="TOF27:TOH27"/>
    <mergeCell ref="TNE27:TNG27"/>
    <mergeCell ref="TNH27:TNJ27"/>
    <mergeCell ref="TNK27:TNM27"/>
    <mergeCell ref="TNN27:TNP27"/>
    <mergeCell ref="TNQ27:TNS27"/>
    <mergeCell ref="TMP27:TMR27"/>
    <mergeCell ref="TMS27:TMU27"/>
    <mergeCell ref="TMV27:TMX27"/>
    <mergeCell ref="TMY27:TNA27"/>
    <mergeCell ref="TNB27:TND27"/>
    <mergeCell ref="TMA27:TMC27"/>
    <mergeCell ref="TMD27:TMF27"/>
    <mergeCell ref="TMG27:TMI27"/>
    <mergeCell ref="TMJ27:TML27"/>
    <mergeCell ref="TMM27:TMO27"/>
    <mergeCell ref="TTN27:TTP27"/>
    <mergeCell ref="TTQ27:TTS27"/>
    <mergeCell ref="TTT27:TTV27"/>
    <mergeCell ref="TTW27:TTY27"/>
    <mergeCell ref="TTZ27:TUB27"/>
    <mergeCell ref="TSY27:TTA27"/>
    <mergeCell ref="TTB27:TTD27"/>
    <mergeCell ref="TTE27:TTG27"/>
    <mergeCell ref="TTH27:TTJ27"/>
    <mergeCell ref="TTK27:TTM27"/>
    <mergeCell ref="TSJ27:TSL27"/>
    <mergeCell ref="TSM27:TSO27"/>
    <mergeCell ref="TSP27:TSR27"/>
    <mergeCell ref="TSS27:TSU27"/>
    <mergeCell ref="TSV27:TSX27"/>
    <mergeCell ref="TRU27:TRW27"/>
    <mergeCell ref="TRX27:TRZ27"/>
    <mergeCell ref="TSA27:TSC27"/>
    <mergeCell ref="TSD27:TSF27"/>
    <mergeCell ref="TSG27:TSI27"/>
    <mergeCell ref="TRF27:TRH27"/>
    <mergeCell ref="TRI27:TRK27"/>
    <mergeCell ref="TRL27:TRN27"/>
    <mergeCell ref="TRO27:TRQ27"/>
    <mergeCell ref="TRR27:TRT27"/>
    <mergeCell ref="TQQ27:TQS27"/>
    <mergeCell ref="TQT27:TQV27"/>
    <mergeCell ref="TQW27:TQY27"/>
    <mergeCell ref="TQZ27:TRB27"/>
    <mergeCell ref="TRC27:TRE27"/>
    <mergeCell ref="TQB27:TQD27"/>
    <mergeCell ref="TQE27:TQG27"/>
    <mergeCell ref="TQH27:TQJ27"/>
    <mergeCell ref="TQK27:TQM27"/>
    <mergeCell ref="TQN27:TQP27"/>
    <mergeCell ref="TXO27:TXQ27"/>
    <mergeCell ref="TXR27:TXT27"/>
    <mergeCell ref="TXU27:TXW27"/>
    <mergeCell ref="TXX27:TXZ27"/>
    <mergeCell ref="TYA27:TYC27"/>
    <mergeCell ref="TWZ27:TXB27"/>
    <mergeCell ref="TXC27:TXE27"/>
    <mergeCell ref="TXF27:TXH27"/>
    <mergeCell ref="TXI27:TXK27"/>
    <mergeCell ref="TXL27:TXN27"/>
    <mergeCell ref="TWK27:TWM27"/>
    <mergeCell ref="TWN27:TWP27"/>
    <mergeCell ref="TWQ27:TWS27"/>
    <mergeCell ref="TWT27:TWV27"/>
    <mergeCell ref="TWW27:TWY27"/>
    <mergeCell ref="TVV27:TVX27"/>
    <mergeCell ref="TVY27:TWA27"/>
    <mergeCell ref="TWB27:TWD27"/>
    <mergeCell ref="TWE27:TWG27"/>
    <mergeCell ref="TWH27:TWJ27"/>
    <mergeCell ref="TVG27:TVI27"/>
    <mergeCell ref="TVJ27:TVL27"/>
    <mergeCell ref="TVM27:TVO27"/>
    <mergeCell ref="TVP27:TVR27"/>
    <mergeCell ref="TVS27:TVU27"/>
    <mergeCell ref="TUR27:TUT27"/>
    <mergeCell ref="TUU27:TUW27"/>
    <mergeCell ref="TUX27:TUZ27"/>
    <mergeCell ref="TVA27:TVC27"/>
    <mergeCell ref="TVD27:TVF27"/>
    <mergeCell ref="TUC27:TUE27"/>
    <mergeCell ref="TUF27:TUH27"/>
    <mergeCell ref="TUI27:TUK27"/>
    <mergeCell ref="TUL27:TUN27"/>
    <mergeCell ref="TUO27:TUQ27"/>
    <mergeCell ref="UBP27:UBR27"/>
    <mergeCell ref="UBS27:UBU27"/>
    <mergeCell ref="UBV27:UBX27"/>
    <mergeCell ref="UBY27:UCA27"/>
    <mergeCell ref="UCB27:UCD27"/>
    <mergeCell ref="UBA27:UBC27"/>
    <mergeCell ref="UBD27:UBF27"/>
    <mergeCell ref="UBG27:UBI27"/>
    <mergeCell ref="UBJ27:UBL27"/>
    <mergeCell ref="UBM27:UBO27"/>
    <mergeCell ref="UAL27:UAN27"/>
    <mergeCell ref="UAO27:UAQ27"/>
    <mergeCell ref="UAR27:UAT27"/>
    <mergeCell ref="UAU27:UAW27"/>
    <mergeCell ref="UAX27:UAZ27"/>
    <mergeCell ref="TZW27:TZY27"/>
    <mergeCell ref="TZZ27:UAB27"/>
    <mergeCell ref="UAC27:UAE27"/>
    <mergeCell ref="UAF27:UAH27"/>
    <mergeCell ref="UAI27:UAK27"/>
    <mergeCell ref="TZH27:TZJ27"/>
    <mergeCell ref="TZK27:TZM27"/>
    <mergeCell ref="TZN27:TZP27"/>
    <mergeCell ref="TZQ27:TZS27"/>
    <mergeCell ref="TZT27:TZV27"/>
    <mergeCell ref="TYS27:TYU27"/>
    <mergeCell ref="TYV27:TYX27"/>
    <mergeCell ref="TYY27:TZA27"/>
    <mergeCell ref="TZB27:TZD27"/>
    <mergeCell ref="TZE27:TZG27"/>
    <mergeCell ref="TYD27:TYF27"/>
    <mergeCell ref="TYG27:TYI27"/>
    <mergeCell ref="TYJ27:TYL27"/>
    <mergeCell ref="TYM27:TYO27"/>
    <mergeCell ref="TYP27:TYR27"/>
    <mergeCell ref="UFQ27:UFS27"/>
    <mergeCell ref="UFT27:UFV27"/>
    <mergeCell ref="UFW27:UFY27"/>
    <mergeCell ref="UFZ27:UGB27"/>
    <mergeCell ref="UGC27:UGE27"/>
    <mergeCell ref="UFB27:UFD27"/>
    <mergeCell ref="UFE27:UFG27"/>
    <mergeCell ref="UFH27:UFJ27"/>
    <mergeCell ref="UFK27:UFM27"/>
    <mergeCell ref="UFN27:UFP27"/>
    <mergeCell ref="UEM27:UEO27"/>
    <mergeCell ref="UEP27:UER27"/>
    <mergeCell ref="UES27:UEU27"/>
    <mergeCell ref="UEV27:UEX27"/>
    <mergeCell ref="UEY27:UFA27"/>
    <mergeCell ref="UDX27:UDZ27"/>
    <mergeCell ref="UEA27:UEC27"/>
    <mergeCell ref="UED27:UEF27"/>
    <mergeCell ref="UEG27:UEI27"/>
    <mergeCell ref="UEJ27:UEL27"/>
    <mergeCell ref="UDI27:UDK27"/>
    <mergeCell ref="UDL27:UDN27"/>
    <mergeCell ref="UDO27:UDQ27"/>
    <mergeCell ref="UDR27:UDT27"/>
    <mergeCell ref="UDU27:UDW27"/>
    <mergeCell ref="UCT27:UCV27"/>
    <mergeCell ref="UCW27:UCY27"/>
    <mergeCell ref="UCZ27:UDB27"/>
    <mergeCell ref="UDC27:UDE27"/>
    <mergeCell ref="UDF27:UDH27"/>
    <mergeCell ref="UCE27:UCG27"/>
    <mergeCell ref="UCH27:UCJ27"/>
    <mergeCell ref="UCK27:UCM27"/>
    <mergeCell ref="UCN27:UCP27"/>
    <mergeCell ref="UCQ27:UCS27"/>
    <mergeCell ref="UJR27:UJT27"/>
    <mergeCell ref="UJU27:UJW27"/>
    <mergeCell ref="UJX27:UJZ27"/>
    <mergeCell ref="UKA27:UKC27"/>
    <mergeCell ref="UKD27:UKF27"/>
    <mergeCell ref="UJC27:UJE27"/>
    <mergeCell ref="UJF27:UJH27"/>
    <mergeCell ref="UJI27:UJK27"/>
    <mergeCell ref="UJL27:UJN27"/>
    <mergeCell ref="UJO27:UJQ27"/>
    <mergeCell ref="UIN27:UIP27"/>
    <mergeCell ref="UIQ27:UIS27"/>
    <mergeCell ref="UIT27:UIV27"/>
    <mergeCell ref="UIW27:UIY27"/>
    <mergeCell ref="UIZ27:UJB27"/>
    <mergeCell ref="UHY27:UIA27"/>
    <mergeCell ref="UIB27:UID27"/>
    <mergeCell ref="UIE27:UIG27"/>
    <mergeCell ref="UIH27:UIJ27"/>
    <mergeCell ref="UIK27:UIM27"/>
    <mergeCell ref="UHJ27:UHL27"/>
    <mergeCell ref="UHM27:UHO27"/>
    <mergeCell ref="UHP27:UHR27"/>
    <mergeCell ref="UHS27:UHU27"/>
    <mergeCell ref="UHV27:UHX27"/>
    <mergeCell ref="UGU27:UGW27"/>
    <mergeCell ref="UGX27:UGZ27"/>
    <mergeCell ref="UHA27:UHC27"/>
    <mergeCell ref="UHD27:UHF27"/>
    <mergeCell ref="UHG27:UHI27"/>
    <mergeCell ref="UGF27:UGH27"/>
    <mergeCell ref="UGI27:UGK27"/>
    <mergeCell ref="UGL27:UGN27"/>
    <mergeCell ref="UGO27:UGQ27"/>
    <mergeCell ref="UGR27:UGT27"/>
    <mergeCell ref="UNS27:UNU27"/>
    <mergeCell ref="UNV27:UNX27"/>
    <mergeCell ref="UNY27:UOA27"/>
    <mergeCell ref="UOB27:UOD27"/>
    <mergeCell ref="UOE27:UOG27"/>
    <mergeCell ref="UND27:UNF27"/>
    <mergeCell ref="UNG27:UNI27"/>
    <mergeCell ref="UNJ27:UNL27"/>
    <mergeCell ref="UNM27:UNO27"/>
    <mergeCell ref="UNP27:UNR27"/>
    <mergeCell ref="UMO27:UMQ27"/>
    <mergeCell ref="UMR27:UMT27"/>
    <mergeCell ref="UMU27:UMW27"/>
    <mergeCell ref="UMX27:UMZ27"/>
    <mergeCell ref="UNA27:UNC27"/>
    <mergeCell ref="ULZ27:UMB27"/>
    <mergeCell ref="UMC27:UME27"/>
    <mergeCell ref="UMF27:UMH27"/>
    <mergeCell ref="UMI27:UMK27"/>
    <mergeCell ref="UML27:UMN27"/>
    <mergeCell ref="ULK27:ULM27"/>
    <mergeCell ref="ULN27:ULP27"/>
    <mergeCell ref="ULQ27:ULS27"/>
    <mergeCell ref="ULT27:ULV27"/>
    <mergeCell ref="ULW27:ULY27"/>
    <mergeCell ref="UKV27:UKX27"/>
    <mergeCell ref="UKY27:ULA27"/>
    <mergeCell ref="ULB27:ULD27"/>
    <mergeCell ref="ULE27:ULG27"/>
    <mergeCell ref="ULH27:ULJ27"/>
    <mergeCell ref="UKG27:UKI27"/>
    <mergeCell ref="UKJ27:UKL27"/>
    <mergeCell ref="UKM27:UKO27"/>
    <mergeCell ref="UKP27:UKR27"/>
    <mergeCell ref="UKS27:UKU27"/>
    <mergeCell ref="URT27:URV27"/>
    <mergeCell ref="URW27:URY27"/>
    <mergeCell ref="URZ27:USB27"/>
    <mergeCell ref="USC27:USE27"/>
    <mergeCell ref="USF27:USH27"/>
    <mergeCell ref="URE27:URG27"/>
    <mergeCell ref="URH27:URJ27"/>
    <mergeCell ref="URK27:URM27"/>
    <mergeCell ref="URN27:URP27"/>
    <mergeCell ref="URQ27:URS27"/>
    <mergeCell ref="UQP27:UQR27"/>
    <mergeCell ref="UQS27:UQU27"/>
    <mergeCell ref="UQV27:UQX27"/>
    <mergeCell ref="UQY27:URA27"/>
    <mergeCell ref="URB27:URD27"/>
    <mergeCell ref="UQA27:UQC27"/>
    <mergeCell ref="UQD27:UQF27"/>
    <mergeCell ref="UQG27:UQI27"/>
    <mergeCell ref="UQJ27:UQL27"/>
    <mergeCell ref="UQM27:UQO27"/>
    <mergeCell ref="UPL27:UPN27"/>
    <mergeCell ref="UPO27:UPQ27"/>
    <mergeCell ref="UPR27:UPT27"/>
    <mergeCell ref="UPU27:UPW27"/>
    <mergeCell ref="UPX27:UPZ27"/>
    <mergeCell ref="UOW27:UOY27"/>
    <mergeCell ref="UOZ27:UPB27"/>
    <mergeCell ref="UPC27:UPE27"/>
    <mergeCell ref="UPF27:UPH27"/>
    <mergeCell ref="UPI27:UPK27"/>
    <mergeCell ref="UOH27:UOJ27"/>
    <mergeCell ref="UOK27:UOM27"/>
    <mergeCell ref="UON27:UOP27"/>
    <mergeCell ref="UOQ27:UOS27"/>
    <mergeCell ref="UOT27:UOV27"/>
    <mergeCell ref="UVU27:UVW27"/>
    <mergeCell ref="UVX27:UVZ27"/>
    <mergeCell ref="UWA27:UWC27"/>
    <mergeCell ref="UWD27:UWF27"/>
    <mergeCell ref="UWG27:UWI27"/>
    <mergeCell ref="UVF27:UVH27"/>
    <mergeCell ref="UVI27:UVK27"/>
    <mergeCell ref="UVL27:UVN27"/>
    <mergeCell ref="UVO27:UVQ27"/>
    <mergeCell ref="UVR27:UVT27"/>
    <mergeCell ref="UUQ27:UUS27"/>
    <mergeCell ref="UUT27:UUV27"/>
    <mergeCell ref="UUW27:UUY27"/>
    <mergeCell ref="UUZ27:UVB27"/>
    <mergeCell ref="UVC27:UVE27"/>
    <mergeCell ref="UUB27:UUD27"/>
    <mergeCell ref="UUE27:UUG27"/>
    <mergeCell ref="UUH27:UUJ27"/>
    <mergeCell ref="UUK27:UUM27"/>
    <mergeCell ref="UUN27:UUP27"/>
    <mergeCell ref="UTM27:UTO27"/>
    <mergeCell ref="UTP27:UTR27"/>
    <mergeCell ref="UTS27:UTU27"/>
    <mergeCell ref="UTV27:UTX27"/>
    <mergeCell ref="UTY27:UUA27"/>
    <mergeCell ref="USX27:USZ27"/>
    <mergeCell ref="UTA27:UTC27"/>
    <mergeCell ref="UTD27:UTF27"/>
    <mergeCell ref="UTG27:UTI27"/>
    <mergeCell ref="UTJ27:UTL27"/>
    <mergeCell ref="USI27:USK27"/>
    <mergeCell ref="USL27:USN27"/>
    <mergeCell ref="USO27:USQ27"/>
    <mergeCell ref="USR27:UST27"/>
    <mergeCell ref="USU27:USW27"/>
    <mergeCell ref="UZV27:UZX27"/>
    <mergeCell ref="UZY27:VAA27"/>
    <mergeCell ref="VAB27:VAD27"/>
    <mergeCell ref="VAE27:VAG27"/>
    <mergeCell ref="VAH27:VAJ27"/>
    <mergeCell ref="UZG27:UZI27"/>
    <mergeCell ref="UZJ27:UZL27"/>
    <mergeCell ref="UZM27:UZO27"/>
    <mergeCell ref="UZP27:UZR27"/>
    <mergeCell ref="UZS27:UZU27"/>
    <mergeCell ref="UYR27:UYT27"/>
    <mergeCell ref="UYU27:UYW27"/>
    <mergeCell ref="UYX27:UYZ27"/>
    <mergeCell ref="UZA27:UZC27"/>
    <mergeCell ref="UZD27:UZF27"/>
    <mergeCell ref="UYC27:UYE27"/>
    <mergeCell ref="UYF27:UYH27"/>
    <mergeCell ref="UYI27:UYK27"/>
    <mergeCell ref="UYL27:UYN27"/>
    <mergeCell ref="UYO27:UYQ27"/>
    <mergeCell ref="UXN27:UXP27"/>
    <mergeCell ref="UXQ27:UXS27"/>
    <mergeCell ref="UXT27:UXV27"/>
    <mergeCell ref="UXW27:UXY27"/>
    <mergeCell ref="UXZ27:UYB27"/>
    <mergeCell ref="UWY27:UXA27"/>
    <mergeCell ref="UXB27:UXD27"/>
    <mergeCell ref="UXE27:UXG27"/>
    <mergeCell ref="UXH27:UXJ27"/>
    <mergeCell ref="UXK27:UXM27"/>
    <mergeCell ref="UWJ27:UWL27"/>
    <mergeCell ref="UWM27:UWO27"/>
    <mergeCell ref="UWP27:UWR27"/>
    <mergeCell ref="UWS27:UWU27"/>
    <mergeCell ref="UWV27:UWX27"/>
    <mergeCell ref="VDW27:VDY27"/>
    <mergeCell ref="VDZ27:VEB27"/>
    <mergeCell ref="VEC27:VEE27"/>
    <mergeCell ref="VEF27:VEH27"/>
    <mergeCell ref="VEI27:VEK27"/>
    <mergeCell ref="VDH27:VDJ27"/>
    <mergeCell ref="VDK27:VDM27"/>
    <mergeCell ref="VDN27:VDP27"/>
    <mergeCell ref="VDQ27:VDS27"/>
    <mergeCell ref="VDT27:VDV27"/>
    <mergeCell ref="VCS27:VCU27"/>
    <mergeCell ref="VCV27:VCX27"/>
    <mergeCell ref="VCY27:VDA27"/>
    <mergeCell ref="VDB27:VDD27"/>
    <mergeCell ref="VDE27:VDG27"/>
    <mergeCell ref="VCD27:VCF27"/>
    <mergeCell ref="VCG27:VCI27"/>
    <mergeCell ref="VCJ27:VCL27"/>
    <mergeCell ref="VCM27:VCO27"/>
    <mergeCell ref="VCP27:VCR27"/>
    <mergeCell ref="VBO27:VBQ27"/>
    <mergeCell ref="VBR27:VBT27"/>
    <mergeCell ref="VBU27:VBW27"/>
    <mergeCell ref="VBX27:VBZ27"/>
    <mergeCell ref="VCA27:VCC27"/>
    <mergeCell ref="VAZ27:VBB27"/>
    <mergeCell ref="VBC27:VBE27"/>
    <mergeCell ref="VBF27:VBH27"/>
    <mergeCell ref="VBI27:VBK27"/>
    <mergeCell ref="VBL27:VBN27"/>
    <mergeCell ref="VAK27:VAM27"/>
    <mergeCell ref="VAN27:VAP27"/>
    <mergeCell ref="VAQ27:VAS27"/>
    <mergeCell ref="VAT27:VAV27"/>
    <mergeCell ref="VAW27:VAY27"/>
    <mergeCell ref="VHX27:VHZ27"/>
    <mergeCell ref="VIA27:VIC27"/>
    <mergeCell ref="VID27:VIF27"/>
    <mergeCell ref="VIG27:VII27"/>
    <mergeCell ref="VIJ27:VIL27"/>
    <mergeCell ref="VHI27:VHK27"/>
    <mergeCell ref="VHL27:VHN27"/>
    <mergeCell ref="VHO27:VHQ27"/>
    <mergeCell ref="VHR27:VHT27"/>
    <mergeCell ref="VHU27:VHW27"/>
    <mergeCell ref="VGT27:VGV27"/>
    <mergeCell ref="VGW27:VGY27"/>
    <mergeCell ref="VGZ27:VHB27"/>
    <mergeCell ref="VHC27:VHE27"/>
    <mergeCell ref="VHF27:VHH27"/>
    <mergeCell ref="VGE27:VGG27"/>
    <mergeCell ref="VGH27:VGJ27"/>
    <mergeCell ref="VGK27:VGM27"/>
    <mergeCell ref="VGN27:VGP27"/>
    <mergeCell ref="VGQ27:VGS27"/>
    <mergeCell ref="VFP27:VFR27"/>
    <mergeCell ref="VFS27:VFU27"/>
    <mergeCell ref="VFV27:VFX27"/>
    <mergeCell ref="VFY27:VGA27"/>
    <mergeCell ref="VGB27:VGD27"/>
    <mergeCell ref="VFA27:VFC27"/>
    <mergeCell ref="VFD27:VFF27"/>
    <mergeCell ref="VFG27:VFI27"/>
    <mergeCell ref="VFJ27:VFL27"/>
    <mergeCell ref="VFM27:VFO27"/>
    <mergeCell ref="VEL27:VEN27"/>
    <mergeCell ref="VEO27:VEQ27"/>
    <mergeCell ref="VER27:VET27"/>
    <mergeCell ref="VEU27:VEW27"/>
    <mergeCell ref="VEX27:VEZ27"/>
    <mergeCell ref="VLY27:VMA27"/>
    <mergeCell ref="VMB27:VMD27"/>
    <mergeCell ref="VME27:VMG27"/>
    <mergeCell ref="VMH27:VMJ27"/>
    <mergeCell ref="VMK27:VMM27"/>
    <mergeCell ref="VLJ27:VLL27"/>
    <mergeCell ref="VLM27:VLO27"/>
    <mergeCell ref="VLP27:VLR27"/>
    <mergeCell ref="VLS27:VLU27"/>
    <mergeCell ref="VLV27:VLX27"/>
    <mergeCell ref="VKU27:VKW27"/>
    <mergeCell ref="VKX27:VKZ27"/>
    <mergeCell ref="VLA27:VLC27"/>
    <mergeCell ref="VLD27:VLF27"/>
    <mergeCell ref="VLG27:VLI27"/>
    <mergeCell ref="VKF27:VKH27"/>
    <mergeCell ref="VKI27:VKK27"/>
    <mergeCell ref="VKL27:VKN27"/>
    <mergeCell ref="VKO27:VKQ27"/>
    <mergeCell ref="VKR27:VKT27"/>
    <mergeCell ref="VJQ27:VJS27"/>
    <mergeCell ref="VJT27:VJV27"/>
    <mergeCell ref="VJW27:VJY27"/>
    <mergeCell ref="VJZ27:VKB27"/>
    <mergeCell ref="VKC27:VKE27"/>
    <mergeCell ref="VJB27:VJD27"/>
    <mergeCell ref="VJE27:VJG27"/>
    <mergeCell ref="VJH27:VJJ27"/>
    <mergeCell ref="VJK27:VJM27"/>
    <mergeCell ref="VJN27:VJP27"/>
    <mergeCell ref="VIM27:VIO27"/>
    <mergeCell ref="VIP27:VIR27"/>
    <mergeCell ref="VIS27:VIU27"/>
    <mergeCell ref="VIV27:VIX27"/>
    <mergeCell ref="VIY27:VJA27"/>
    <mergeCell ref="VPZ27:VQB27"/>
    <mergeCell ref="VQC27:VQE27"/>
    <mergeCell ref="VQF27:VQH27"/>
    <mergeCell ref="VQI27:VQK27"/>
    <mergeCell ref="VQL27:VQN27"/>
    <mergeCell ref="VPK27:VPM27"/>
    <mergeCell ref="VPN27:VPP27"/>
    <mergeCell ref="VPQ27:VPS27"/>
    <mergeCell ref="VPT27:VPV27"/>
    <mergeCell ref="VPW27:VPY27"/>
    <mergeCell ref="VOV27:VOX27"/>
    <mergeCell ref="VOY27:VPA27"/>
    <mergeCell ref="VPB27:VPD27"/>
    <mergeCell ref="VPE27:VPG27"/>
    <mergeCell ref="VPH27:VPJ27"/>
    <mergeCell ref="VOG27:VOI27"/>
    <mergeCell ref="VOJ27:VOL27"/>
    <mergeCell ref="VOM27:VOO27"/>
    <mergeCell ref="VOP27:VOR27"/>
    <mergeCell ref="VOS27:VOU27"/>
    <mergeCell ref="VNR27:VNT27"/>
    <mergeCell ref="VNU27:VNW27"/>
    <mergeCell ref="VNX27:VNZ27"/>
    <mergeCell ref="VOA27:VOC27"/>
    <mergeCell ref="VOD27:VOF27"/>
    <mergeCell ref="VNC27:VNE27"/>
    <mergeCell ref="VNF27:VNH27"/>
    <mergeCell ref="VNI27:VNK27"/>
    <mergeCell ref="VNL27:VNN27"/>
    <mergeCell ref="VNO27:VNQ27"/>
    <mergeCell ref="VMN27:VMP27"/>
    <mergeCell ref="VMQ27:VMS27"/>
    <mergeCell ref="VMT27:VMV27"/>
    <mergeCell ref="VMW27:VMY27"/>
    <mergeCell ref="VMZ27:VNB27"/>
    <mergeCell ref="VUA27:VUC27"/>
    <mergeCell ref="VUD27:VUF27"/>
    <mergeCell ref="VUG27:VUI27"/>
    <mergeCell ref="VUJ27:VUL27"/>
    <mergeCell ref="VUM27:VUO27"/>
    <mergeCell ref="VTL27:VTN27"/>
    <mergeCell ref="VTO27:VTQ27"/>
    <mergeCell ref="VTR27:VTT27"/>
    <mergeCell ref="VTU27:VTW27"/>
    <mergeCell ref="VTX27:VTZ27"/>
    <mergeCell ref="VSW27:VSY27"/>
    <mergeCell ref="VSZ27:VTB27"/>
    <mergeCell ref="VTC27:VTE27"/>
    <mergeCell ref="VTF27:VTH27"/>
    <mergeCell ref="VTI27:VTK27"/>
    <mergeCell ref="VSH27:VSJ27"/>
    <mergeCell ref="VSK27:VSM27"/>
    <mergeCell ref="VSN27:VSP27"/>
    <mergeCell ref="VSQ27:VSS27"/>
    <mergeCell ref="VST27:VSV27"/>
    <mergeCell ref="VRS27:VRU27"/>
    <mergeCell ref="VRV27:VRX27"/>
    <mergeCell ref="VRY27:VSA27"/>
    <mergeCell ref="VSB27:VSD27"/>
    <mergeCell ref="VSE27:VSG27"/>
    <mergeCell ref="VRD27:VRF27"/>
    <mergeCell ref="VRG27:VRI27"/>
    <mergeCell ref="VRJ27:VRL27"/>
    <mergeCell ref="VRM27:VRO27"/>
    <mergeCell ref="VRP27:VRR27"/>
    <mergeCell ref="VQO27:VQQ27"/>
    <mergeCell ref="VQR27:VQT27"/>
    <mergeCell ref="VQU27:VQW27"/>
    <mergeCell ref="VQX27:VQZ27"/>
    <mergeCell ref="VRA27:VRC27"/>
    <mergeCell ref="VYB27:VYD27"/>
    <mergeCell ref="VYE27:VYG27"/>
    <mergeCell ref="VYH27:VYJ27"/>
    <mergeCell ref="VYK27:VYM27"/>
    <mergeCell ref="VYN27:VYP27"/>
    <mergeCell ref="VXM27:VXO27"/>
    <mergeCell ref="VXP27:VXR27"/>
    <mergeCell ref="VXS27:VXU27"/>
    <mergeCell ref="VXV27:VXX27"/>
    <mergeCell ref="VXY27:VYA27"/>
    <mergeCell ref="VWX27:VWZ27"/>
    <mergeCell ref="VXA27:VXC27"/>
    <mergeCell ref="VXD27:VXF27"/>
    <mergeCell ref="VXG27:VXI27"/>
    <mergeCell ref="VXJ27:VXL27"/>
    <mergeCell ref="VWI27:VWK27"/>
    <mergeCell ref="VWL27:VWN27"/>
    <mergeCell ref="VWO27:VWQ27"/>
    <mergeCell ref="VWR27:VWT27"/>
    <mergeCell ref="VWU27:VWW27"/>
    <mergeCell ref="VVT27:VVV27"/>
    <mergeCell ref="VVW27:VVY27"/>
    <mergeCell ref="VVZ27:VWB27"/>
    <mergeCell ref="VWC27:VWE27"/>
    <mergeCell ref="VWF27:VWH27"/>
    <mergeCell ref="VVE27:VVG27"/>
    <mergeCell ref="VVH27:VVJ27"/>
    <mergeCell ref="VVK27:VVM27"/>
    <mergeCell ref="VVN27:VVP27"/>
    <mergeCell ref="VVQ27:VVS27"/>
    <mergeCell ref="VUP27:VUR27"/>
    <mergeCell ref="VUS27:VUU27"/>
    <mergeCell ref="VUV27:VUX27"/>
    <mergeCell ref="VUY27:VVA27"/>
    <mergeCell ref="VVB27:VVD27"/>
    <mergeCell ref="WCC27:WCE27"/>
    <mergeCell ref="WCF27:WCH27"/>
    <mergeCell ref="WCI27:WCK27"/>
    <mergeCell ref="WCL27:WCN27"/>
    <mergeCell ref="WCO27:WCQ27"/>
    <mergeCell ref="WBN27:WBP27"/>
    <mergeCell ref="WBQ27:WBS27"/>
    <mergeCell ref="WBT27:WBV27"/>
    <mergeCell ref="WBW27:WBY27"/>
    <mergeCell ref="WBZ27:WCB27"/>
    <mergeCell ref="WAY27:WBA27"/>
    <mergeCell ref="WBB27:WBD27"/>
    <mergeCell ref="WBE27:WBG27"/>
    <mergeCell ref="WBH27:WBJ27"/>
    <mergeCell ref="WBK27:WBM27"/>
    <mergeCell ref="WAJ27:WAL27"/>
    <mergeCell ref="WAM27:WAO27"/>
    <mergeCell ref="WAP27:WAR27"/>
    <mergeCell ref="WAS27:WAU27"/>
    <mergeCell ref="WAV27:WAX27"/>
    <mergeCell ref="VZU27:VZW27"/>
    <mergeCell ref="VZX27:VZZ27"/>
    <mergeCell ref="WAA27:WAC27"/>
    <mergeCell ref="WAD27:WAF27"/>
    <mergeCell ref="WAG27:WAI27"/>
    <mergeCell ref="VZF27:VZH27"/>
    <mergeCell ref="VZI27:VZK27"/>
    <mergeCell ref="VZL27:VZN27"/>
    <mergeCell ref="VZO27:VZQ27"/>
    <mergeCell ref="VZR27:VZT27"/>
    <mergeCell ref="VYQ27:VYS27"/>
    <mergeCell ref="VYT27:VYV27"/>
    <mergeCell ref="VYW27:VYY27"/>
    <mergeCell ref="VYZ27:VZB27"/>
    <mergeCell ref="VZC27:VZE27"/>
    <mergeCell ref="WGD27:WGF27"/>
    <mergeCell ref="WGG27:WGI27"/>
    <mergeCell ref="WGJ27:WGL27"/>
    <mergeCell ref="WGM27:WGO27"/>
    <mergeCell ref="WGP27:WGR27"/>
    <mergeCell ref="WFO27:WFQ27"/>
    <mergeCell ref="WFR27:WFT27"/>
    <mergeCell ref="WFU27:WFW27"/>
    <mergeCell ref="WFX27:WFZ27"/>
    <mergeCell ref="WGA27:WGC27"/>
    <mergeCell ref="WEZ27:WFB27"/>
    <mergeCell ref="WFC27:WFE27"/>
    <mergeCell ref="WFF27:WFH27"/>
    <mergeCell ref="WFI27:WFK27"/>
    <mergeCell ref="WFL27:WFN27"/>
    <mergeCell ref="WEK27:WEM27"/>
    <mergeCell ref="WEN27:WEP27"/>
    <mergeCell ref="WEQ27:WES27"/>
    <mergeCell ref="WET27:WEV27"/>
    <mergeCell ref="WEW27:WEY27"/>
    <mergeCell ref="WDV27:WDX27"/>
    <mergeCell ref="WDY27:WEA27"/>
    <mergeCell ref="WEB27:WED27"/>
    <mergeCell ref="WEE27:WEG27"/>
    <mergeCell ref="WEH27:WEJ27"/>
    <mergeCell ref="WDG27:WDI27"/>
    <mergeCell ref="WDJ27:WDL27"/>
    <mergeCell ref="WDM27:WDO27"/>
    <mergeCell ref="WDP27:WDR27"/>
    <mergeCell ref="WDS27:WDU27"/>
    <mergeCell ref="WCR27:WCT27"/>
    <mergeCell ref="WCU27:WCW27"/>
    <mergeCell ref="WCX27:WCZ27"/>
    <mergeCell ref="WDA27:WDC27"/>
    <mergeCell ref="WDD27:WDF27"/>
    <mergeCell ref="WKE27:WKG27"/>
    <mergeCell ref="WKH27:WKJ27"/>
    <mergeCell ref="WKK27:WKM27"/>
    <mergeCell ref="WKN27:WKP27"/>
    <mergeCell ref="WKQ27:WKS27"/>
    <mergeCell ref="WJP27:WJR27"/>
    <mergeCell ref="WJS27:WJU27"/>
    <mergeCell ref="WJV27:WJX27"/>
    <mergeCell ref="WJY27:WKA27"/>
    <mergeCell ref="WKB27:WKD27"/>
    <mergeCell ref="WJA27:WJC27"/>
    <mergeCell ref="WJD27:WJF27"/>
    <mergeCell ref="WJG27:WJI27"/>
    <mergeCell ref="WJJ27:WJL27"/>
    <mergeCell ref="WJM27:WJO27"/>
    <mergeCell ref="WIL27:WIN27"/>
    <mergeCell ref="WIO27:WIQ27"/>
    <mergeCell ref="WIR27:WIT27"/>
    <mergeCell ref="WIU27:WIW27"/>
    <mergeCell ref="WIX27:WIZ27"/>
    <mergeCell ref="WHW27:WHY27"/>
    <mergeCell ref="WHZ27:WIB27"/>
    <mergeCell ref="WIC27:WIE27"/>
    <mergeCell ref="WIF27:WIH27"/>
    <mergeCell ref="WII27:WIK27"/>
    <mergeCell ref="WHH27:WHJ27"/>
    <mergeCell ref="WHK27:WHM27"/>
    <mergeCell ref="WHN27:WHP27"/>
    <mergeCell ref="WHQ27:WHS27"/>
    <mergeCell ref="WHT27:WHV27"/>
    <mergeCell ref="WGS27:WGU27"/>
    <mergeCell ref="WGV27:WGX27"/>
    <mergeCell ref="WGY27:WHA27"/>
    <mergeCell ref="WHB27:WHD27"/>
    <mergeCell ref="WHE27:WHG27"/>
    <mergeCell ref="WOF27:WOH27"/>
    <mergeCell ref="WOI27:WOK27"/>
    <mergeCell ref="WOL27:WON27"/>
    <mergeCell ref="WOO27:WOQ27"/>
    <mergeCell ref="WOR27:WOT27"/>
    <mergeCell ref="WNQ27:WNS27"/>
    <mergeCell ref="WNT27:WNV27"/>
    <mergeCell ref="WNW27:WNY27"/>
    <mergeCell ref="WNZ27:WOB27"/>
    <mergeCell ref="WOC27:WOE27"/>
    <mergeCell ref="WNB27:WND27"/>
    <mergeCell ref="WNE27:WNG27"/>
    <mergeCell ref="WNH27:WNJ27"/>
    <mergeCell ref="WNK27:WNM27"/>
    <mergeCell ref="WNN27:WNP27"/>
    <mergeCell ref="WMM27:WMO27"/>
    <mergeCell ref="WMP27:WMR27"/>
    <mergeCell ref="WMS27:WMU27"/>
    <mergeCell ref="WMV27:WMX27"/>
    <mergeCell ref="WMY27:WNA27"/>
    <mergeCell ref="WLX27:WLZ27"/>
    <mergeCell ref="WMA27:WMC27"/>
    <mergeCell ref="WMD27:WMF27"/>
    <mergeCell ref="WMG27:WMI27"/>
    <mergeCell ref="WMJ27:WML27"/>
    <mergeCell ref="WLI27:WLK27"/>
    <mergeCell ref="WLL27:WLN27"/>
    <mergeCell ref="WLO27:WLQ27"/>
    <mergeCell ref="WLR27:WLT27"/>
    <mergeCell ref="WLU27:WLW27"/>
    <mergeCell ref="WKT27:WKV27"/>
    <mergeCell ref="WKW27:WKY27"/>
    <mergeCell ref="WKZ27:WLB27"/>
    <mergeCell ref="WLC27:WLE27"/>
    <mergeCell ref="WLF27:WLH27"/>
    <mergeCell ref="WSG27:WSI27"/>
    <mergeCell ref="WSJ27:WSL27"/>
    <mergeCell ref="WSM27:WSO27"/>
    <mergeCell ref="WSP27:WSR27"/>
    <mergeCell ref="WSS27:WSU27"/>
    <mergeCell ref="WRR27:WRT27"/>
    <mergeCell ref="WRU27:WRW27"/>
    <mergeCell ref="WRX27:WRZ27"/>
    <mergeCell ref="WSA27:WSC27"/>
    <mergeCell ref="WSD27:WSF27"/>
    <mergeCell ref="WRC27:WRE27"/>
    <mergeCell ref="WRF27:WRH27"/>
    <mergeCell ref="WRI27:WRK27"/>
    <mergeCell ref="WRL27:WRN27"/>
    <mergeCell ref="WRO27:WRQ27"/>
    <mergeCell ref="WQN27:WQP27"/>
    <mergeCell ref="WQQ27:WQS27"/>
    <mergeCell ref="WQT27:WQV27"/>
    <mergeCell ref="WQW27:WQY27"/>
    <mergeCell ref="WQZ27:WRB27"/>
    <mergeCell ref="WPY27:WQA27"/>
    <mergeCell ref="WQB27:WQD27"/>
    <mergeCell ref="WQE27:WQG27"/>
    <mergeCell ref="WQH27:WQJ27"/>
    <mergeCell ref="WQK27:WQM27"/>
    <mergeCell ref="WPJ27:WPL27"/>
    <mergeCell ref="WPM27:WPO27"/>
    <mergeCell ref="WPP27:WPR27"/>
    <mergeCell ref="WPS27:WPU27"/>
    <mergeCell ref="WPV27:WPX27"/>
    <mergeCell ref="WOU27:WOW27"/>
    <mergeCell ref="WOX27:WOZ27"/>
    <mergeCell ref="WPA27:WPC27"/>
    <mergeCell ref="WPD27:WPF27"/>
    <mergeCell ref="WPG27:WPI27"/>
    <mergeCell ref="WWH27:WWJ27"/>
    <mergeCell ref="WWK27:WWM27"/>
    <mergeCell ref="WWN27:WWP27"/>
    <mergeCell ref="WWQ27:WWS27"/>
    <mergeCell ref="WWT27:WWV27"/>
    <mergeCell ref="WVS27:WVU27"/>
    <mergeCell ref="WVV27:WVX27"/>
    <mergeCell ref="WVY27:WWA27"/>
    <mergeCell ref="WWB27:WWD27"/>
    <mergeCell ref="WWE27:WWG27"/>
    <mergeCell ref="WVD27:WVF27"/>
    <mergeCell ref="WVG27:WVI27"/>
    <mergeCell ref="WVJ27:WVL27"/>
    <mergeCell ref="WVM27:WVO27"/>
    <mergeCell ref="WVP27:WVR27"/>
    <mergeCell ref="WUO27:WUQ27"/>
    <mergeCell ref="WUR27:WUT27"/>
    <mergeCell ref="WUU27:WUW27"/>
    <mergeCell ref="WUX27:WUZ27"/>
    <mergeCell ref="WVA27:WVC27"/>
    <mergeCell ref="WTZ27:WUB27"/>
    <mergeCell ref="WUC27:WUE27"/>
    <mergeCell ref="WUF27:WUH27"/>
    <mergeCell ref="WUI27:WUK27"/>
    <mergeCell ref="WUL27:WUN27"/>
    <mergeCell ref="WTK27:WTM27"/>
    <mergeCell ref="WTN27:WTP27"/>
    <mergeCell ref="WTQ27:WTS27"/>
    <mergeCell ref="WTT27:WTV27"/>
    <mergeCell ref="WTW27:WTY27"/>
    <mergeCell ref="WSV27:WSX27"/>
    <mergeCell ref="WSY27:WTA27"/>
    <mergeCell ref="WTB27:WTD27"/>
    <mergeCell ref="WTE27:WTG27"/>
    <mergeCell ref="WTH27:WTJ27"/>
    <mergeCell ref="XAI27:XAK27"/>
    <mergeCell ref="XAL27:XAN27"/>
    <mergeCell ref="XAO27:XAQ27"/>
    <mergeCell ref="XAR27:XAT27"/>
    <mergeCell ref="XAU27:XAW27"/>
    <mergeCell ref="WZT27:WZV27"/>
    <mergeCell ref="WZW27:WZY27"/>
    <mergeCell ref="WZZ27:XAB27"/>
    <mergeCell ref="XAC27:XAE27"/>
    <mergeCell ref="XAF27:XAH27"/>
    <mergeCell ref="WZE27:WZG27"/>
    <mergeCell ref="WZH27:WZJ27"/>
    <mergeCell ref="WZK27:WZM27"/>
    <mergeCell ref="WZN27:WZP27"/>
    <mergeCell ref="WZQ27:WZS27"/>
    <mergeCell ref="WYP27:WYR27"/>
    <mergeCell ref="WYS27:WYU27"/>
    <mergeCell ref="WYV27:WYX27"/>
    <mergeCell ref="WYY27:WZA27"/>
    <mergeCell ref="WZB27:WZD27"/>
    <mergeCell ref="WYA27:WYC27"/>
    <mergeCell ref="WYD27:WYF27"/>
    <mergeCell ref="WYG27:WYI27"/>
    <mergeCell ref="WYJ27:WYL27"/>
    <mergeCell ref="WYM27:WYO27"/>
    <mergeCell ref="WXL27:WXN27"/>
    <mergeCell ref="WXO27:WXQ27"/>
    <mergeCell ref="WXR27:WXT27"/>
    <mergeCell ref="WXU27:WXW27"/>
    <mergeCell ref="WXX27:WXZ27"/>
    <mergeCell ref="WWW27:WWY27"/>
    <mergeCell ref="WWZ27:WXB27"/>
    <mergeCell ref="WXC27:WXE27"/>
    <mergeCell ref="WXF27:WXH27"/>
    <mergeCell ref="WXI27:WXK27"/>
    <mergeCell ref="XEY27:XFA27"/>
    <mergeCell ref="XEJ27:XEL27"/>
    <mergeCell ref="XEM27:XEO27"/>
    <mergeCell ref="XEP27:XER27"/>
    <mergeCell ref="XES27:XEU27"/>
    <mergeCell ref="XEV27:XEX27"/>
    <mergeCell ref="XDU27:XDW27"/>
    <mergeCell ref="XDX27:XDZ27"/>
    <mergeCell ref="XEA27:XEC27"/>
    <mergeCell ref="XED27:XEF27"/>
    <mergeCell ref="XEG27:XEI27"/>
    <mergeCell ref="XDF27:XDH27"/>
    <mergeCell ref="XDI27:XDK27"/>
    <mergeCell ref="XDL27:XDN27"/>
    <mergeCell ref="XDO27:XDQ27"/>
    <mergeCell ref="XDR27:XDT27"/>
    <mergeCell ref="XCQ27:XCS27"/>
    <mergeCell ref="XCT27:XCV27"/>
    <mergeCell ref="XCW27:XCY27"/>
    <mergeCell ref="XCZ27:XDB27"/>
    <mergeCell ref="XDC27:XDE27"/>
    <mergeCell ref="XCB27:XCD27"/>
    <mergeCell ref="XCE27:XCG27"/>
    <mergeCell ref="XCH27:XCJ27"/>
    <mergeCell ref="XCK27:XCM27"/>
    <mergeCell ref="XCN27:XCP27"/>
    <mergeCell ref="XBM27:XBO27"/>
    <mergeCell ref="XBP27:XBR27"/>
    <mergeCell ref="XBS27:XBU27"/>
    <mergeCell ref="XBV27:XBX27"/>
    <mergeCell ref="XBY27:XCA27"/>
    <mergeCell ref="XAX27:XAZ27"/>
    <mergeCell ref="XBA27:XBC27"/>
    <mergeCell ref="XBD27:XBF27"/>
    <mergeCell ref="XBG27:XBI27"/>
    <mergeCell ref="XBJ27:XBL27"/>
    <mergeCell ref="CZ32:DB32"/>
    <mergeCell ref="DC32:DE32"/>
    <mergeCell ref="DF32:DH32"/>
    <mergeCell ref="DI32:DK32"/>
    <mergeCell ref="DL32:DN32"/>
    <mergeCell ref="CK32:CM32"/>
    <mergeCell ref="CN32:CP32"/>
    <mergeCell ref="CQ32:CS32"/>
    <mergeCell ref="CT32:CV32"/>
    <mergeCell ref="CW32:CY32"/>
    <mergeCell ref="BV32:BX32"/>
    <mergeCell ref="BY32:CA32"/>
    <mergeCell ref="CB32:CD32"/>
    <mergeCell ref="CE32:CG32"/>
    <mergeCell ref="CH32:CJ32"/>
    <mergeCell ref="BG32:BI32"/>
    <mergeCell ref="BJ32:BL32"/>
    <mergeCell ref="BM32:BO32"/>
    <mergeCell ref="BP32:BR32"/>
    <mergeCell ref="BS32:BU32"/>
    <mergeCell ref="AR32:AT32"/>
    <mergeCell ref="AU32:AW32"/>
    <mergeCell ref="AX32:AZ32"/>
    <mergeCell ref="BA32:BC32"/>
    <mergeCell ref="BD32:BF32"/>
    <mergeCell ref="A32:C32"/>
    <mergeCell ref="D32:F32"/>
    <mergeCell ref="G32:I32"/>
    <mergeCell ref="J32:L32"/>
    <mergeCell ref="N32:P32"/>
    <mergeCell ref="Q32:S32"/>
    <mergeCell ref="T32:V32"/>
    <mergeCell ref="W32:Y32"/>
    <mergeCell ref="Z32:AB32"/>
    <mergeCell ref="AC32:AE32"/>
    <mergeCell ref="AF32:AH32"/>
    <mergeCell ref="AI32:AK32"/>
    <mergeCell ref="AL32:AN32"/>
    <mergeCell ref="AO32:AQ32"/>
    <mergeCell ref="HA32:HC32"/>
    <mergeCell ref="HD32:HF32"/>
    <mergeCell ref="HG32:HI32"/>
    <mergeCell ref="HJ32:HL32"/>
    <mergeCell ref="HM32:HO32"/>
    <mergeCell ref="GL32:GN32"/>
    <mergeCell ref="GO32:GQ32"/>
    <mergeCell ref="GR32:GT32"/>
    <mergeCell ref="GU32:GW32"/>
    <mergeCell ref="GX32:GZ32"/>
    <mergeCell ref="FW32:FY32"/>
    <mergeCell ref="FZ32:GB32"/>
    <mergeCell ref="GC32:GE32"/>
    <mergeCell ref="GF32:GH32"/>
    <mergeCell ref="GI32:GK32"/>
    <mergeCell ref="FH32:FJ32"/>
    <mergeCell ref="FK32:FM32"/>
    <mergeCell ref="FN32:FP32"/>
    <mergeCell ref="FQ32:FS32"/>
    <mergeCell ref="FT32:FV32"/>
    <mergeCell ref="ES32:EU32"/>
    <mergeCell ref="EV32:EX32"/>
    <mergeCell ref="EY32:FA32"/>
    <mergeCell ref="FB32:FD32"/>
    <mergeCell ref="FE32:FG32"/>
    <mergeCell ref="ED32:EF32"/>
    <mergeCell ref="EG32:EI32"/>
    <mergeCell ref="EJ32:EL32"/>
    <mergeCell ref="EM32:EO32"/>
    <mergeCell ref="EP32:ER32"/>
    <mergeCell ref="DO32:DQ32"/>
    <mergeCell ref="DR32:DT32"/>
    <mergeCell ref="DU32:DW32"/>
    <mergeCell ref="DX32:DZ32"/>
    <mergeCell ref="EA32:EC32"/>
    <mergeCell ref="LB32:LD32"/>
    <mergeCell ref="LE32:LG32"/>
    <mergeCell ref="LH32:LJ32"/>
    <mergeCell ref="LK32:LM32"/>
    <mergeCell ref="LN32:LP32"/>
    <mergeCell ref="KM32:KO32"/>
    <mergeCell ref="KP32:KR32"/>
    <mergeCell ref="KS32:KU32"/>
    <mergeCell ref="KV32:KX32"/>
    <mergeCell ref="KY32:LA32"/>
    <mergeCell ref="JX32:JZ32"/>
    <mergeCell ref="KA32:KC32"/>
    <mergeCell ref="KD32:KF32"/>
    <mergeCell ref="KG32:KI32"/>
    <mergeCell ref="KJ32:KL32"/>
    <mergeCell ref="JI32:JK32"/>
    <mergeCell ref="JL32:JN32"/>
    <mergeCell ref="JO32:JQ32"/>
    <mergeCell ref="JR32:JT32"/>
    <mergeCell ref="JU32:JW32"/>
    <mergeCell ref="IT32:IV32"/>
    <mergeCell ref="IW32:IY32"/>
    <mergeCell ref="IZ32:JB32"/>
    <mergeCell ref="JC32:JE32"/>
    <mergeCell ref="JF32:JH32"/>
    <mergeCell ref="IE32:IG32"/>
    <mergeCell ref="IH32:IJ32"/>
    <mergeCell ref="IK32:IM32"/>
    <mergeCell ref="IN32:IP32"/>
    <mergeCell ref="IQ32:IS32"/>
    <mergeCell ref="HP32:HR32"/>
    <mergeCell ref="HS32:HU32"/>
    <mergeCell ref="HV32:HX32"/>
    <mergeCell ref="HY32:IA32"/>
    <mergeCell ref="IB32:ID32"/>
    <mergeCell ref="PC32:PE32"/>
    <mergeCell ref="PF32:PH32"/>
    <mergeCell ref="PI32:PK32"/>
    <mergeCell ref="PL32:PN32"/>
    <mergeCell ref="PO32:PQ32"/>
    <mergeCell ref="ON32:OP32"/>
    <mergeCell ref="OQ32:OS32"/>
    <mergeCell ref="OT32:OV32"/>
    <mergeCell ref="OW32:OY32"/>
    <mergeCell ref="OZ32:PB32"/>
    <mergeCell ref="NY32:OA32"/>
    <mergeCell ref="OB32:OD32"/>
    <mergeCell ref="OE32:OG32"/>
    <mergeCell ref="OH32:OJ32"/>
    <mergeCell ref="OK32:OM32"/>
    <mergeCell ref="NJ32:NL32"/>
    <mergeCell ref="NM32:NO32"/>
    <mergeCell ref="NP32:NR32"/>
    <mergeCell ref="NS32:NU32"/>
    <mergeCell ref="NV32:NX32"/>
    <mergeCell ref="MU32:MW32"/>
    <mergeCell ref="MX32:MZ32"/>
    <mergeCell ref="NA32:NC32"/>
    <mergeCell ref="ND32:NF32"/>
    <mergeCell ref="NG32:NI32"/>
    <mergeCell ref="MF32:MH32"/>
    <mergeCell ref="MI32:MK32"/>
    <mergeCell ref="ML32:MN32"/>
    <mergeCell ref="MO32:MQ32"/>
    <mergeCell ref="MR32:MT32"/>
    <mergeCell ref="LQ32:LS32"/>
    <mergeCell ref="LT32:LV32"/>
    <mergeCell ref="LW32:LY32"/>
    <mergeCell ref="LZ32:MB32"/>
    <mergeCell ref="MC32:ME32"/>
    <mergeCell ref="TD32:TF32"/>
    <mergeCell ref="TG32:TI32"/>
    <mergeCell ref="TJ32:TL32"/>
    <mergeCell ref="TM32:TO32"/>
    <mergeCell ref="TP32:TR32"/>
    <mergeCell ref="SO32:SQ32"/>
    <mergeCell ref="SR32:ST32"/>
    <mergeCell ref="SU32:SW32"/>
    <mergeCell ref="SX32:SZ32"/>
    <mergeCell ref="TA32:TC32"/>
    <mergeCell ref="RZ32:SB32"/>
    <mergeCell ref="SC32:SE32"/>
    <mergeCell ref="SF32:SH32"/>
    <mergeCell ref="SI32:SK32"/>
    <mergeCell ref="SL32:SN32"/>
    <mergeCell ref="RK32:RM32"/>
    <mergeCell ref="RN32:RP32"/>
    <mergeCell ref="RQ32:RS32"/>
    <mergeCell ref="RT32:RV32"/>
    <mergeCell ref="RW32:RY32"/>
    <mergeCell ref="QV32:QX32"/>
    <mergeCell ref="QY32:RA32"/>
    <mergeCell ref="RB32:RD32"/>
    <mergeCell ref="RE32:RG32"/>
    <mergeCell ref="RH32:RJ32"/>
    <mergeCell ref="QG32:QI32"/>
    <mergeCell ref="QJ32:QL32"/>
    <mergeCell ref="QM32:QO32"/>
    <mergeCell ref="QP32:QR32"/>
    <mergeCell ref="QS32:QU32"/>
    <mergeCell ref="PR32:PT32"/>
    <mergeCell ref="PU32:PW32"/>
    <mergeCell ref="PX32:PZ32"/>
    <mergeCell ref="QA32:QC32"/>
    <mergeCell ref="QD32:QF32"/>
    <mergeCell ref="XE32:XG32"/>
    <mergeCell ref="XH32:XJ32"/>
    <mergeCell ref="XK32:XM32"/>
    <mergeCell ref="XN32:XP32"/>
    <mergeCell ref="XQ32:XS32"/>
    <mergeCell ref="WP32:WR32"/>
    <mergeCell ref="WS32:WU32"/>
    <mergeCell ref="WV32:WX32"/>
    <mergeCell ref="WY32:XA32"/>
    <mergeCell ref="XB32:XD32"/>
    <mergeCell ref="WA32:WC32"/>
    <mergeCell ref="WD32:WF32"/>
    <mergeCell ref="WG32:WI32"/>
    <mergeCell ref="WJ32:WL32"/>
    <mergeCell ref="WM32:WO32"/>
    <mergeCell ref="VL32:VN32"/>
    <mergeCell ref="VO32:VQ32"/>
    <mergeCell ref="VR32:VT32"/>
    <mergeCell ref="VU32:VW32"/>
    <mergeCell ref="VX32:VZ32"/>
    <mergeCell ref="UW32:UY32"/>
    <mergeCell ref="UZ32:VB32"/>
    <mergeCell ref="VC32:VE32"/>
    <mergeCell ref="VF32:VH32"/>
    <mergeCell ref="VI32:VK32"/>
    <mergeCell ref="UH32:UJ32"/>
    <mergeCell ref="UK32:UM32"/>
    <mergeCell ref="UN32:UP32"/>
    <mergeCell ref="UQ32:US32"/>
    <mergeCell ref="UT32:UV32"/>
    <mergeCell ref="TS32:TU32"/>
    <mergeCell ref="TV32:TX32"/>
    <mergeCell ref="TY32:UA32"/>
    <mergeCell ref="UB32:UD32"/>
    <mergeCell ref="UE32:UG32"/>
    <mergeCell ref="ABF32:ABH32"/>
    <mergeCell ref="ABI32:ABK32"/>
    <mergeCell ref="ABL32:ABN32"/>
    <mergeCell ref="ABO32:ABQ32"/>
    <mergeCell ref="ABR32:ABT32"/>
    <mergeCell ref="AAQ32:AAS32"/>
    <mergeCell ref="AAT32:AAV32"/>
    <mergeCell ref="AAW32:AAY32"/>
    <mergeCell ref="AAZ32:ABB32"/>
    <mergeCell ref="ABC32:ABE32"/>
    <mergeCell ref="AAB32:AAD32"/>
    <mergeCell ref="AAE32:AAG32"/>
    <mergeCell ref="AAH32:AAJ32"/>
    <mergeCell ref="AAK32:AAM32"/>
    <mergeCell ref="AAN32:AAP32"/>
    <mergeCell ref="ZM32:ZO32"/>
    <mergeCell ref="ZP32:ZR32"/>
    <mergeCell ref="ZS32:ZU32"/>
    <mergeCell ref="ZV32:ZX32"/>
    <mergeCell ref="ZY32:AAA32"/>
    <mergeCell ref="YX32:YZ32"/>
    <mergeCell ref="ZA32:ZC32"/>
    <mergeCell ref="ZD32:ZF32"/>
    <mergeCell ref="ZG32:ZI32"/>
    <mergeCell ref="ZJ32:ZL32"/>
    <mergeCell ref="YI32:YK32"/>
    <mergeCell ref="YL32:YN32"/>
    <mergeCell ref="YO32:YQ32"/>
    <mergeCell ref="YR32:YT32"/>
    <mergeCell ref="YU32:YW32"/>
    <mergeCell ref="XT32:XV32"/>
    <mergeCell ref="XW32:XY32"/>
    <mergeCell ref="XZ32:YB32"/>
    <mergeCell ref="YC32:YE32"/>
    <mergeCell ref="YF32:YH32"/>
    <mergeCell ref="AFG32:AFI32"/>
    <mergeCell ref="AFJ32:AFL32"/>
    <mergeCell ref="AFM32:AFO32"/>
    <mergeCell ref="AFP32:AFR32"/>
    <mergeCell ref="AFS32:AFU32"/>
    <mergeCell ref="AER32:AET32"/>
    <mergeCell ref="AEU32:AEW32"/>
    <mergeCell ref="AEX32:AEZ32"/>
    <mergeCell ref="AFA32:AFC32"/>
    <mergeCell ref="AFD32:AFF32"/>
    <mergeCell ref="AEC32:AEE32"/>
    <mergeCell ref="AEF32:AEH32"/>
    <mergeCell ref="AEI32:AEK32"/>
    <mergeCell ref="AEL32:AEN32"/>
    <mergeCell ref="AEO32:AEQ32"/>
    <mergeCell ref="ADN32:ADP32"/>
    <mergeCell ref="ADQ32:ADS32"/>
    <mergeCell ref="ADT32:ADV32"/>
    <mergeCell ref="ADW32:ADY32"/>
    <mergeCell ref="ADZ32:AEB32"/>
    <mergeCell ref="ACY32:ADA32"/>
    <mergeCell ref="ADB32:ADD32"/>
    <mergeCell ref="ADE32:ADG32"/>
    <mergeCell ref="ADH32:ADJ32"/>
    <mergeCell ref="ADK32:ADM32"/>
    <mergeCell ref="ACJ32:ACL32"/>
    <mergeCell ref="ACM32:ACO32"/>
    <mergeCell ref="ACP32:ACR32"/>
    <mergeCell ref="ACS32:ACU32"/>
    <mergeCell ref="ACV32:ACX32"/>
    <mergeCell ref="ABU32:ABW32"/>
    <mergeCell ref="ABX32:ABZ32"/>
    <mergeCell ref="ACA32:ACC32"/>
    <mergeCell ref="ACD32:ACF32"/>
    <mergeCell ref="ACG32:ACI32"/>
    <mergeCell ref="AJH32:AJJ32"/>
    <mergeCell ref="AJK32:AJM32"/>
    <mergeCell ref="AJN32:AJP32"/>
    <mergeCell ref="AJQ32:AJS32"/>
    <mergeCell ref="AJT32:AJV32"/>
    <mergeCell ref="AIS32:AIU32"/>
    <mergeCell ref="AIV32:AIX32"/>
    <mergeCell ref="AIY32:AJA32"/>
    <mergeCell ref="AJB32:AJD32"/>
    <mergeCell ref="AJE32:AJG32"/>
    <mergeCell ref="AID32:AIF32"/>
    <mergeCell ref="AIG32:AII32"/>
    <mergeCell ref="AIJ32:AIL32"/>
    <mergeCell ref="AIM32:AIO32"/>
    <mergeCell ref="AIP32:AIR32"/>
    <mergeCell ref="AHO32:AHQ32"/>
    <mergeCell ref="AHR32:AHT32"/>
    <mergeCell ref="AHU32:AHW32"/>
    <mergeCell ref="AHX32:AHZ32"/>
    <mergeCell ref="AIA32:AIC32"/>
    <mergeCell ref="AGZ32:AHB32"/>
    <mergeCell ref="AHC32:AHE32"/>
    <mergeCell ref="AHF32:AHH32"/>
    <mergeCell ref="AHI32:AHK32"/>
    <mergeCell ref="AHL32:AHN32"/>
    <mergeCell ref="AGK32:AGM32"/>
    <mergeCell ref="AGN32:AGP32"/>
    <mergeCell ref="AGQ32:AGS32"/>
    <mergeCell ref="AGT32:AGV32"/>
    <mergeCell ref="AGW32:AGY32"/>
    <mergeCell ref="AFV32:AFX32"/>
    <mergeCell ref="AFY32:AGA32"/>
    <mergeCell ref="AGB32:AGD32"/>
    <mergeCell ref="AGE32:AGG32"/>
    <mergeCell ref="AGH32:AGJ32"/>
    <mergeCell ref="ANI32:ANK32"/>
    <mergeCell ref="ANL32:ANN32"/>
    <mergeCell ref="ANO32:ANQ32"/>
    <mergeCell ref="ANR32:ANT32"/>
    <mergeCell ref="ANU32:ANW32"/>
    <mergeCell ref="AMT32:AMV32"/>
    <mergeCell ref="AMW32:AMY32"/>
    <mergeCell ref="AMZ32:ANB32"/>
    <mergeCell ref="ANC32:ANE32"/>
    <mergeCell ref="ANF32:ANH32"/>
    <mergeCell ref="AME32:AMG32"/>
    <mergeCell ref="AMH32:AMJ32"/>
    <mergeCell ref="AMK32:AMM32"/>
    <mergeCell ref="AMN32:AMP32"/>
    <mergeCell ref="AMQ32:AMS32"/>
    <mergeCell ref="ALP32:ALR32"/>
    <mergeCell ref="ALS32:ALU32"/>
    <mergeCell ref="ALV32:ALX32"/>
    <mergeCell ref="ALY32:AMA32"/>
    <mergeCell ref="AMB32:AMD32"/>
    <mergeCell ref="ALA32:ALC32"/>
    <mergeCell ref="ALD32:ALF32"/>
    <mergeCell ref="ALG32:ALI32"/>
    <mergeCell ref="ALJ32:ALL32"/>
    <mergeCell ref="ALM32:ALO32"/>
    <mergeCell ref="AKL32:AKN32"/>
    <mergeCell ref="AKO32:AKQ32"/>
    <mergeCell ref="AKR32:AKT32"/>
    <mergeCell ref="AKU32:AKW32"/>
    <mergeCell ref="AKX32:AKZ32"/>
    <mergeCell ref="AJW32:AJY32"/>
    <mergeCell ref="AJZ32:AKB32"/>
    <mergeCell ref="AKC32:AKE32"/>
    <mergeCell ref="AKF32:AKH32"/>
    <mergeCell ref="AKI32:AKK32"/>
    <mergeCell ref="ARJ32:ARL32"/>
    <mergeCell ref="ARM32:ARO32"/>
    <mergeCell ref="ARP32:ARR32"/>
    <mergeCell ref="ARS32:ARU32"/>
    <mergeCell ref="ARV32:ARX32"/>
    <mergeCell ref="AQU32:AQW32"/>
    <mergeCell ref="AQX32:AQZ32"/>
    <mergeCell ref="ARA32:ARC32"/>
    <mergeCell ref="ARD32:ARF32"/>
    <mergeCell ref="ARG32:ARI32"/>
    <mergeCell ref="AQF32:AQH32"/>
    <mergeCell ref="AQI32:AQK32"/>
    <mergeCell ref="AQL32:AQN32"/>
    <mergeCell ref="AQO32:AQQ32"/>
    <mergeCell ref="AQR32:AQT32"/>
    <mergeCell ref="APQ32:APS32"/>
    <mergeCell ref="APT32:APV32"/>
    <mergeCell ref="APW32:APY32"/>
    <mergeCell ref="APZ32:AQB32"/>
    <mergeCell ref="AQC32:AQE32"/>
    <mergeCell ref="APB32:APD32"/>
    <mergeCell ref="APE32:APG32"/>
    <mergeCell ref="APH32:APJ32"/>
    <mergeCell ref="APK32:APM32"/>
    <mergeCell ref="APN32:APP32"/>
    <mergeCell ref="AOM32:AOO32"/>
    <mergeCell ref="AOP32:AOR32"/>
    <mergeCell ref="AOS32:AOU32"/>
    <mergeCell ref="AOV32:AOX32"/>
    <mergeCell ref="AOY32:APA32"/>
    <mergeCell ref="ANX32:ANZ32"/>
    <mergeCell ref="AOA32:AOC32"/>
    <mergeCell ref="AOD32:AOF32"/>
    <mergeCell ref="AOG32:AOI32"/>
    <mergeCell ref="AOJ32:AOL32"/>
    <mergeCell ref="AVK32:AVM32"/>
    <mergeCell ref="AVN32:AVP32"/>
    <mergeCell ref="AVQ32:AVS32"/>
    <mergeCell ref="AVT32:AVV32"/>
    <mergeCell ref="AVW32:AVY32"/>
    <mergeCell ref="AUV32:AUX32"/>
    <mergeCell ref="AUY32:AVA32"/>
    <mergeCell ref="AVB32:AVD32"/>
    <mergeCell ref="AVE32:AVG32"/>
    <mergeCell ref="AVH32:AVJ32"/>
    <mergeCell ref="AUG32:AUI32"/>
    <mergeCell ref="AUJ32:AUL32"/>
    <mergeCell ref="AUM32:AUO32"/>
    <mergeCell ref="AUP32:AUR32"/>
    <mergeCell ref="AUS32:AUU32"/>
    <mergeCell ref="ATR32:ATT32"/>
    <mergeCell ref="ATU32:ATW32"/>
    <mergeCell ref="ATX32:ATZ32"/>
    <mergeCell ref="AUA32:AUC32"/>
    <mergeCell ref="AUD32:AUF32"/>
    <mergeCell ref="ATC32:ATE32"/>
    <mergeCell ref="ATF32:ATH32"/>
    <mergeCell ref="ATI32:ATK32"/>
    <mergeCell ref="ATL32:ATN32"/>
    <mergeCell ref="ATO32:ATQ32"/>
    <mergeCell ref="ASN32:ASP32"/>
    <mergeCell ref="ASQ32:ASS32"/>
    <mergeCell ref="AST32:ASV32"/>
    <mergeCell ref="ASW32:ASY32"/>
    <mergeCell ref="ASZ32:ATB32"/>
    <mergeCell ref="ARY32:ASA32"/>
    <mergeCell ref="ASB32:ASD32"/>
    <mergeCell ref="ASE32:ASG32"/>
    <mergeCell ref="ASH32:ASJ32"/>
    <mergeCell ref="ASK32:ASM32"/>
    <mergeCell ref="AZL32:AZN32"/>
    <mergeCell ref="AZO32:AZQ32"/>
    <mergeCell ref="AZR32:AZT32"/>
    <mergeCell ref="AZU32:AZW32"/>
    <mergeCell ref="AZX32:AZZ32"/>
    <mergeCell ref="AYW32:AYY32"/>
    <mergeCell ref="AYZ32:AZB32"/>
    <mergeCell ref="AZC32:AZE32"/>
    <mergeCell ref="AZF32:AZH32"/>
    <mergeCell ref="AZI32:AZK32"/>
    <mergeCell ref="AYH32:AYJ32"/>
    <mergeCell ref="AYK32:AYM32"/>
    <mergeCell ref="AYN32:AYP32"/>
    <mergeCell ref="AYQ32:AYS32"/>
    <mergeCell ref="AYT32:AYV32"/>
    <mergeCell ref="AXS32:AXU32"/>
    <mergeCell ref="AXV32:AXX32"/>
    <mergeCell ref="AXY32:AYA32"/>
    <mergeCell ref="AYB32:AYD32"/>
    <mergeCell ref="AYE32:AYG32"/>
    <mergeCell ref="AXD32:AXF32"/>
    <mergeCell ref="AXG32:AXI32"/>
    <mergeCell ref="AXJ32:AXL32"/>
    <mergeCell ref="AXM32:AXO32"/>
    <mergeCell ref="AXP32:AXR32"/>
    <mergeCell ref="AWO32:AWQ32"/>
    <mergeCell ref="AWR32:AWT32"/>
    <mergeCell ref="AWU32:AWW32"/>
    <mergeCell ref="AWX32:AWZ32"/>
    <mergeCell ref="AXA32:AXC32"/>
    <mergeCell ref="AVZ32:AWB32"/>
    <mergeCell ref="AWC32:AWE32"/>
    <mergeCell ref="AWF32:AWH32"/>
    <mergeCell ref="AWI32:AWK32"/>
    <mergeCell ref="AWL32:AWN32"/>
    <mergeCell ref="BDM32:BDO32"/>
    <mergeCell ref="BDP32:BDR32"/>
    <mergeCell ref="BDS32:BDU32"/>
    <mergeCell ref="BDV32:BDX32"/>
    <mergeCell ref="BDY32:BEA32"/>
    <mergeCell ref="BCX32:BCZ32"/>
    <mergeCell ref="BDA32:BDC32"/>
    <mergeCell ref="BDD32:BDF32"/>
    <mergeCell ref="BDG32:BDI32"/>
    <mergeCell ref="BDJ32:BDL32"/>
    <mergeCell ref="BCI32:BCK32"/>
    <mergeCell ref="BCL32:BCN32"/>
    <mergeCell ref="BCO32:BCQ32"/>
    <mergeCell ref="BCR32:BCT32"/>
    <mergeCell ref="BCU32:BCW32"/>
    <mergeCell ref="BBT32:BBV32"/>
    <mergeCell ref="BBW32:BBY32"/>
    <mergeCell ref="BBZ32:BCB32"/>
    <mergeCell ref="BCC32:BCE32"/>
    <mergeCell ref="BCF32:BCH32"/>
    <mergeCell ref="BBE32:BBG32"/>
    <mergeCell ref="BBH32:BBJ32"/>
    <mergeCell ref="BBK32:BBM32"/>
    <mergeCell ref="BBN32:BBP32"/>
    <mergeCell ref="BBQ32:BBS32"/>
    <mergeCell ref="BAP32:BAR32"/>
    <mergeCell ref="BAS32:BAU32"/>
    <mergeCell ref="BAV32:BAX32"/>
    <mergeCell ref="BAY32:BBA32"/>
    <mergeCell ref="BBB32:BBD32"/>
    <mergeCell ref="BAA32:BAC32"/>
    <mergeCell ref="BAD32:BAF32"/>
    <mergeCell ref="BAG32:BAI32"/>
    <mergeCell ref="BAJ32:BAL32"/>
    <mergeCell ref="BAM32:BAO32"/>
    <mergeCell ref="BHN32:BHP32"/>
    <mergeCell ref="BHQ32:BHS32"/>
    <mergeCell ref="BHT32:BHV32"/>
    <mergeCell ref="BHW32:BHY32"/>
    <mergeCell ref="BHZ32:BIB32"/>
    <mergeCell ref="BGY32:BHA32"/>
    <mergeCell ref="BHB32:BHD32"/>
    <mergeCell ref="BHE32:BHG32"/>
    <mergeCell ref="BHH32:BHJ32"/>
    <mergeCell ref="BHK32:BHM32"/>
    <mergeCell ref="BGJ32:BGL32"/>
    <mergeCell ref="BGM32:BGO32"/>
    <mergeCell ref="BGP32:BGR32"/>
    <mergeCell ref="BGS32:BGU32"/>
    <mergeCell ref="BGV32:BGX32"/>
    <mergeCell ref="BFU32:BFW32"/>
    <mergeCell ref="BFX32:BFZ32"/>
    <mergeCell ref="BGA32:BGC32"/>
    <mergeCell ref="BGD32:BGF32"/>
    <mergeCell ref="BGG32:BGI32"/>
    <mergeCell ref="BFF32:BFH32"/>
    <mergeCell ref="BFI32:BFK32"/>
    <mergeCell ref="BFL32:BFN32"/>
    <mergeCell ref="BFO32:BFQ32"/>
    <mergeCell ref="BFR32:BFT32"/>
    <mergeCell ref="BEQ32:BES32"/>
    <mergeCell ref="BET32:BEV32"/>
    <mergeCell ref="BEW32:BEY32"/>
    <mergeCell ref="BEZ32:BFB32"/>
    <mergeCell ref="BFC32:BFE32"/>
    <mergeCell ref="BEB32:BED32"/>
    <mergeCell ref="BEE32:BEG32"/>
    <mergeCell ref="BEH32:BEJ32"/>
    <mergeCell ref="BEK32:BEM32"/>
    <mergeCell ref="BEN32:BEP32"/>
    <mergeCell ref="BLO32:BLQ32"/>
    <mergeCell ref="BLR32:BLT32"/>
    <mergeCell ref="BLU32:BLW32"/>
    <mergeCell ref="BLX32:BLZ32"/>
    <mergeCell ref="BMA32:BMC32"/>
    <mergeCell ref="BKZ32:BLB32"/>
    <mergeCell ref="BLC32:BLE32"/>
    <mergeCell ref="BLF32:BLH32"/>
    <mergeCell ref="BLI32:BLK32"/>
    <mergeCell ref="BLL32:BLN32"/>
    <mergeCell ref="BKK32:BKM32"/>
    <mergeCell ref="BKN32:BKP32"/>
    <mergeCell ref="BKQ32:BKS32"/>
    <mergeCell ref="BKT32:BKV32"/>
    <mergeCell ref="BKW32:BKY32"/>
    <mergeCell ref="BJV32:BJX32"/>
    <mergeCell ref="BJY32:BKA32"/>
    <mergeCell ref="BKB32:BKD32"/>
    <mergeCell ref="BKE32:BKG32"/>
    <mergeCell ref="BKH32:BKJ32"/>
    <mergeCell ref="BJG32:BJI32"/>
    <mergeCell ref="BJJ32:BJL32"/>
    <mergeCell ref="BJM32:BJO32"/>
    <mergeCell ref="BJP32:BJR32"/>
    <mergeCell ref="BJS32:BJU32"/>
    <mergeCell ref="BIR32:BIT32"/>
    <mergeCell ref="BIU32:BIW32"/>
    <mergeCell ref="BIX32:BIZ32"/>
    <mergeCell ref="BJA32:BJC32"/>
    <mergeCell ref="BJD32:BJF32"/>
    <mergeCell ref="BIC32:BIE32"/>
    <mergeCell ref="BIF32:BIH32"/>
    <mergeCell ref="BII32:BIK32"/>
    <mergeCell ref="BIL32:BIN32"/>
    <mergeCell ref="BIO32:BIQ32"/>
    <mergeCell ref="BPP32:BPR32"/>
    <mergeCell ref="BPS32:BPU32"/>
    <mergeCell ref="BPV32:BPX32"/>
    <mergeCell ref="BPY32:BQA32"/>
    <mergeCell ref="BQB32:BQD32"/>
    <mergeCell ref="BPA32:BPC32"/>
    <mergeCell ref="BPD32:BPF32"/>
    <mergeCell ref="BPG32:BPI32"/>
    <mergeCell ref="BPJ32:BPL32"/>
    <mergeCell ref="BPM32:BPO32"/>
    <mergeCell ref="BOL32:BON32"/>
    <mergeCell ref="BOO32:BOQ32"/>
    <mergeCell ref="BOR32:BOT32"/>
    <mergeCell ref="BOU32:BOW32"/>
    <mergeCell ref="BOX32:BOZ32"/>
    <mergeCell ref="BNW32:BNY32"/>
    <mergeCell ref="BNZ32:BOB32"/>
    <mergeCell ref="BOC32:BOE32"/>
    <mergeCell ref="BOF32:BOH32"/>
    <mergeCell ref="BOI32:BOK32"/>
    <mergeCell ref="BNH32:BNJ32"/>
    <mergeCell ref="BNK32:BNM32"/>
    <mergeCell ref="BNN32:BNP32"/>
    <mergeCell ref="BNQ32:BNS32"/>
    <mergeCell ref="BNT32:BNV32"/>
    <mergeCell ref="BMS32:BMU32"/>
    <mergeCell ref="BMV32:BMX32"/>
    <mergeCell ref="BMY32:BNA32"/>
    <mergeCell ref="BNB32:BND32"/>
    <mergeCell ref="BNE32:BNG32"/>
    <mergeCell ref="BMD32:BMF32"/>
    <mergeCell ref="BMG32:BMI32"/>
    <mergeCell ref="BMJ32:BML32"/>
    <mergeCell ref="BMM32:BMO32"/>
    <mergeCell ref="BMP32:BMR32"/>
    <mergeCell ref="BTQ32:BTS32"/>
    <mergeCell ref="BTT32:BTV32"/>
    <mergeCell ref="BTW32:BTY32"/>
    <mergeCell ref="BTZ32:BUB32"/>
    <mergeCell ref="BUC32:BUE32"/>
    <mergeCell ref="BTB32:BTD32"/>
    <mergeCell ref="BTE32:BTG32"/>
    <mergeCell ref="BTH32:BTJ32"/>
    <mergeCell ref="BTK32:BTM32"/>
    <mergeCell ref="BTN32:BTP32"/>
    <mergeCell ref="BSM32:BSO32"/>
    <mergeCell ref="BSP32:BSR32"/>
    <mergeCell ref="BSS32:BSU32"/>
    <mergeCell ref="BSV32:BSX32"/>
    <mergeCell ref="BSY32:BTA32"/>
    <mergeCell ref="BRX32:BRZ32"/>
    <mergeCell ref="BSA32:BSC32"/>
    <mergeCell ref="BSD32:BSF32"/>
    <mergeCell ref="BSG32:BSI32"/>
    <mergeCell ref="BSJ32:BSL32"/>
    <mergeCell ref="BRI32:BRK32"/>
    <mergeCell ref="BRL32:BRN32"/>
    <mergeCell ref="BRO32:BRQ32"/>
    <mergeCell ref="BRR32:BRT32"/>
    <mergeCell ref="BRU32:BRW32"/>
    <mergeCell ref="BQT32:BQV32"/>
    <mergeCell ref="BQW32:BQY32"/>
    <mergeCell ref="BQZ32:BRB32"/>
    <mergeCell ref="BRC32:BRE32"/>
    <mergeCell ref="BRF32:BRH32"/>
    <mergeCell ref="BQE32:BQG32"/>
    <mergeCell ref="BQH32:BQJ32"/>
    <mergeCell ref="BQK32:BQM32"/>
    <mergeCell ref="BQN32:BQP32"/>
    <mergeCell ref="BQQ32:BQS32"/>
    <mergeCell ref="BXR32:BXT32"/>
    <mergeCell ref="BXU32:BXW32"/>
    <mergeCell ref="BXX32:BXZ32"/>
    <mergeCell ref="BYA32:BYC32"/>
    <mergeCell ref="BYD32:BYF32"/>
    <mergeCell ref="BXC32:BXE32"/>
    <mergeCell ref="BXF32:BXH32"/>
    <mergeCell ref="BXI32:BXK32"/>
    <mergeCell ref="BXL32:BXN32"/>
    <mergeCell ref="BXO32:BXQ32"/>
    <mergeCell ref="BWN32:BWP32"/>
    <mergeCell ref="BWQ32:BWS32"/>
    <mergeCell ref="BWT32:BWV32"/>
    <mergeCell ref="BWW32:BWY32"/>
    <mergeCell ref="BWZ32:BXB32"/>
    <mergeCell ref="BVY32:BWA32"/>
    <mergeCell ref="BWB32:BWD32"/>
    <mergeCell ref="BWE32:BWG32"/>
    <mergeCell ref="BWH32:BWJ32"/>
    <mergeCell ref="BWK32:BWM32"/>
    <mergeCell ref="BVJ32:BVL32"/>
    <mergeCell ref="BVM32:BVO32"/>
    <mergeCell ref="BVP32:BVR32"/>
    <mergeCell ref="BVS32:BVU32"/>
    <mergeCell ref="BVV32:BVX32"/>
    <mergeCell ref="BUU32:BUW32"/>
    <mergeCell ref="BUX32:BUZ32"/>
    <mergeCell ref="BVA32:BVC32"/>
    <mergeCell ref="BVD32:BVF32"/>
    <mergeCell ref="BVG32:BVI32"/>
    <mergeCell ref="BUF32:BUH32"/>
    <mergeCell ref="BUI32:BUK32"/>
    <mergeCell ref="BUL32:BUN32"/>
    <mergeCell ref="BUO32:BUQ32"/>
    <mergeCell ref="BUR32:BUT32"/>
    <mergeCell ref="CBS32:CBU32"/>
    <mergeCell ref="CBV32:CBX32"/>
    <mergeCell ref="CBY32:CCA32"/>
    <mergeCell ref="CCB32:CCD32"/>
    <mergeCell ref="CCE32:CCG32"/>
    <mergeCell ref="CBD32:CBF32"/>
    <mergeCell ref="CBG32:CBI32"/>
    <mergeCell ref="CBJ32:CBL32"/>
    <mergeCell ref="CBM32:CBO32"/>
    <mergeCell ref="CBP32:CBR32"/>
    <mergeCell ref="CAO32:CAQ32"/>
    <mergeCell ref="CAR32:CAT32"/>
    <mergeCell ref="CAU32:CAW32"/>
    <mergeCell ref="CAX32:CAZ32"/>
    <mergeCell ref="CBA32:CBC32"/>
    <mergeCell ref="BZZ32:CAB32"/>
    <mergeCell ref="CAC32:CAE32"/>
    <mergeCell ref="CAF32:CAH32"/>
    <mergeCell ref="CAI32:CAK32"/>
    <mergeCell ref="CAL32:CAN32"/>
    <mergeCell ref="BZK32:BZM32"/>
    <mergeCell ref="BZN32:BZP32"/>
    <mergeCell ref="BZQ32:BZS32"/>
    <mergeCell ref="BZT32:BZV32"/>
    <mergeCell ref="BZW32:BZY32"/>
    <mergeCell ref="BYV32:BYX32"/>
    <mergeCell ref="BYY32:BZA32"/>
    <mergeCell ref="BZB32:BZD32"/>
    <mergeCell ref="BZE32:BZG32"/>
    <mergeCell ref="BZH32:BZJ32"/>
    <mergeCell ref="BYG32:BYI32"/>
    <mergeCell ref="BYJ32:BYL32"/>
    <mergeCell ref="BYM32:BYO32"/>
    <mergeCell ref="BYP32:BYR32"/>
    <mergeCell ref="BYS32:BYU32"/>
    <mergeCell ref="CFT32:CFV32"/>
    <mergeCell ref="CFW32:CFY32"/>
    <mergeCell ref="CFZ32:CGB32"/>
    <mergeCell ref="CGC32:CGE32"/>
    <mergeCell ref="CGF32:CGH32"/>
    <mergeCell ref="CFE32:CFG32"/>
    <mergeCell ref="CFH32:CFJ32"/>
    <mergeCell ref="CFK32:CFM32"/>
    <mergeCell ref="CFN32:CFP32"/>
    <mergeCell ref="CFQ32:CFS32"/>
    <mergeCell ref="CEP32:CER32"/>
    <mergeCell ref="CES32:CEU32"/>
    <mergeCell ref="CEV32:CEX32"/>
    <mergeCell ref="CEY32:CFA32"/>
    <mergeCell ref="CFB32:CFD32"/>
    <mergeCell ref="CEA32:CEC32"/>
    <mergeCell ref="CED32:CEF32"/>
    <mergeCell ref="CEG32:CEI32"/>
    <mergeCell ref="CEJ32:CEL32"/>
    <mergeCell ref="CEM32:CEO32"/>
    <mergeCell ref="CDL32:CDN32"/>
    <mergeCell ref="CDO32:CDQ32"/>
    <mergeCell ref="CDR32:CDT32"/>
    <mergeCell ref="CDU32:CDW32"/>
    <mergeCell ref="CDX32:CDZ32"/>
    <mergeCell ref="CCW32:CCY32"/>
    <mergeCell ref="CCZ32:CDB32"/>
    <mergeCell ref="CDC32:CDE32"/>
    <mergeCell ref="CDF32:CDH32"/>
    <mergeCell ref="CDI32:CDK32"/>
    <mergeCell ref="CCH32:CCJ32"/>
    <mergeCell ref="CCK32:CCM32"/>
    <mergeCell ref="CCN32:CCP32"/>
    <mergeCell ref="CCQ32:CCS32"/>
    <mergeCell ref="CCT32:CCV32"/>
    <mergeCell ref="CJU32:CJW32"/>
    <mergeCell ref="CJX32:CJZ32"/>
    <mergeCell ref="CKA32:CKC32"/>
    <mergeCell ref="CKD32:CKF32"/>
    <mergeCell ref="CKG32:CKI32"/>
    <mergeCell ref="CJF32:CJH32"/>
    <mergeCell ref="CJI32:CJK32"/>
    <mergeCell ref="CJL32:CJN32"/>
    <mergeCell ref="CJO32:CJQ32"/>
    <mergeCell ref="CJR32:CJT32"/>
    <mergeCell ref="CIQ32:CIS32"/>
    <mergeCell ref="CIT32:CIV32"/>
    <mergeCell ref="CIW32:CIY32"/>
    <mergeCell ref="CIZ32:CJB32"/>
    <mergeCell ref="CJC32:CJE32"/>
    <mergeCell ref="CIB32:CID32"/>
    <mergeCell ref="CIE32:CIG32"/>
    <mergeCell ref="CIH32:CIJ32"/>
    <mergeCell ref="CIK32:CIM32"/>
    <mergeCell ref="CIN32:CIP32"/>
    <mergeCell ref="CHM32:CHO32"/>
    <mergeCell ref="CHP32:CHR32"/>
    <mergeCell ref="CHS32:CHU32"/>
    <mergeCell ref="CHV32:CHX32"/>
    <mergeCell ref="CHY32:CIA32"/>
    <mergeCell ref="CGX32:CGZ32"/>
    <mergeCell ref="CHA32:CHC32"/>
    <mergeCell ref="CHD32:CHF32"/>
    <mergeCell ref="CHG32:CHI32"/>
    <mergeCell ref="CHJ32:CHL32"/>
    <mergeCell ref="CGI32:CGK32"/>
    <mergeCell ref="CGL32:CGN32"/>
    <mergeCell ref="CGO32:CGQ32"/>
    <mergeCell ref="CGR32:CGT32"/>
    <mergeCell ref="CGU32:CGW32"/>
    <mergeCell ref="CNV32:CNX32"/>
    <mergeCell ref="CNY32:COA32"/>
    <mergeCell ref="COB32:COD32"/>
    <mergeCell ref="COE32:COG32"/>
    <mergeCell ref="COH32:COJ32"/>
    <mergeCell ref="CNG32:CNI32"/>
    <mergeCell ref="CNJ32:CNL32"/>
    <mergeCell ref="CNM32:CNO32"/>
    <mergeCell ref="CNP32:CNR32"/>
    <mergeCell ref="CNS32:CNU32"/>
    <mergeCell ref="CMR32:CMT32"/>
    <mergeCell ref="CMU32:CMW32"/>
    <mergeCell ref="CMX32:CMZ32"/>
    <mergeCell ref="CNA32:CNC32"/>
    <mergeCell ref="CND32:CNF32"/>
    <mergeCell ref="CMC32:CME32"/>
    <mergeCell ref="CMF32:CMH32"/>
    <mergeCell ref="CMI32:CMK32"/>
    <mergeCell ref="CML32:CMN32"/>
    <mergeCell ref="CMO32:CMQ32"/>
    <mergeCell ref="CLN32:CLP32"/>
    <mergeCell ref="CLQ32:CLS32"/>
    <mergeCell ref="CLT32:CLV32"/>
    <mergeCell ref="CLW32:CLY32"/>
    <mergeCell ref="CLZ32:CMB32"/>
    <mergeCell ref="CKY32:CLA32"/>
    <mergeCell ref="CLB32:CLD32"/>
    <mergeCell ref="CLE32:CLG32"/>
    <mergeCell ref="CLH32:CLJ32"/>
    <mergeCell ref="CLK32:CLM32"/>
    <mergeCell ref="CKJ32:CKL32"/>
    <mergeCell ref="CKM32:CKO32"/>
    <mergeCell ref="CKP32:CKR32"/>
    <mergeCell ref="CKS32:CKU32"/>
    <mergeCell ref="CKV32:CKX32"/>
    <mergeCell ref="CRW32:CRY32"/>
    <mergeCell ref="CRZ32:CSB32"/>
    <mergeCell ref="CSC32:CSE32"/>
    <mergeCell ref="CSF32:CSH32"/>
    <mergeCell ref="CSI32:CSK32"/>
    <mergeCell ref="CRH32:CRJ32"/>
    <mergeCell ref="CRK32:CRM32"/>
    <mergeCell ref="CRN32:CRP32"/>
    <mergeCell ref="CRQ32:CRS32"/>
    <mergeCell ref="CRT32:CRV32"/>
    <mergeCell ref="CQS32:CQU32"/>
    <mergeCell ref="CQV32:CQX32"/>
    <mergeCell ref="CQY32:CRA32"/>
    <mergeCell ref="CRB32:CRD32"/>
    <mergeCell ref="CRE32:CRG32"/>
    <mergeCell ref="CQD32:CQF32"/>
    <mergeCell ref="CQG32:CQI32"/>
    <mergeCell ref="CQJ32:CQL32"/>
    <mergeCell ref="CQM32:CQO32"/>
    <mergeCell ref="CQP32:CQR32"/>
    <mergeCell ref="CPO32:CPQ32"/>
    <mergeCell ref="CPR32:CPT32"/>
    <mergeCell ref="CPU32:CPW32"/>
    <mergeCell ref="CPX32:CPZ32"/>
    <mergeCell ref="CQA32:CQC32"/>
    <mergeCell ref="COZ32:CPB32"/>
    <mergeCell ref="CPC32:CPE32"/>
    <mergeCell ref="CPF32:CPH32"/>
    <mergeCell ref="CPI32:CPK32"/>
    <mergeCell ref="CPL32:CPN32"/>
    <mergeCell ref="COK32:COM32"/>
    <mergeCell ref="CON32:COP32"/>
    <mergeCell ref="COQ32:COS32"/>
    <mergeCell ref="COT32:COV32"/>
    <mergeCell ref="COW32:COY32"/>
    <mergeCell ref="CVX32:CVZ32"/>
    <mergeCell ref="CWA32:CWC32"/>
    <mergeCell ref="CWD32:CWF32"/>
    <mergeCell ref="CWG32:CWI32"/>
    <mergeCell ref="CWJ32:CWL32"/>
    <mergeCell ref="CVI32:CVK32"/>
    <mergeCell ref="CVL32:CVN32"/>
    <mergeCell ref="CVO32:CVQ32"/>
    <mergeCell ref="CVR32:CVT32"/>
    <mergeCell ref="CVU32:CVW32"/>
    <mergeCell ref="CUT32:CUV32"/>
    <mergeCell ref="CUW32:CUY32"/>
    <mergeCell ref="CUZ32:CVB32"/>
    <mergeCell ref="CVC32:CVE32"/>
    <mergeCell ref="CVF32:CVH32"/>
    <mergeCell ref="CUE32:CUG32"/>
    <mergeCell ref="CUH32:CUJ32"/>
    <mergeCell ref="CUK32:CUM32"/>
    <mergeCell ref="CUN32:CUP32"/>
    <mergeCell ref="CUQ32:CUS32"/>
    <mergeCell ref="CTP32:CTR32"/>
    <mergeCell ref="CTS32:CTU32"/>
    <mergeCell ref="CTV32:CTX32"/>
    <mergeCell ref="CTY32:CUA32"/>
    <mergeCell ref="CUB32:CUD32"/>
    <mergeCell ref="CTA32:CTC32"/>
    <mergeCell ref="CTD32:CTF32"/>
    <mergeCell ref="CTG32:CTI32"/>
    <mergeCell ref="CTJ32:CTL32"/>
    <mergeCell ref="CTM32:CTO32"/>
    <mergeCell ref="CSL32:CSN32"/>
    <mergeCell ref="CSO32:CSQ32"/>
    <mergeCell ref="CSR32:CST32"/>
    <mergeCell ref="CSU32:CSW32"/>
    <mergeCell ref="CSX32:CSZ32"/>
    <mergeCell ref="CZY32:DAA32"/>
    <mergeCell ref="DAB32:DAD32"/>
    <mergeCell ref="DAE32:DAG32"/>
    <mergeCell ref="DAH32:DAJ32"/>
    <mergeCell ref="DAK32:DAM32"/>
    <mergeCell ref="CZJ32:CZL32"/>
    <mergeCell ref="CZM32:CZO32"/>
    <mergeCell ref="CZP32:CZR32"/>
    <mergeCell ref="CZS32:CZU32"/>
    <mergeCell ref="CZV32:CZX32"/>
    <mergeCell ref="CYU32:CYW32"/>
    <mergeCell ref="CYX32:CYZ32"/>
    <mergeCell ref="CZA32:CZC32"/>
    <mergeCell ref="CZD32:CZF32"/>
    <mergeCell ref="CZG32:CZI32"/>
    <mergeCell ref="CYF32:CYH32"/>
    <mergeCell ref="CYI32:CYK32"/>
    <mergeCell ref="CYL32:CYN32"/>
    <mergeCell ref="CYO32:CYQ32"/>
    <mergeCell ref="CYR32:CYT32"/>
    <mergeCell ref="CXQ32:CXS32"/>
    <mergeCell ref="CXT32:CXV32"/>
    <mergeCell ref="CXW32:CXY32"/>
    <mergeCell ref="CXZ32:CYB32"/>
    <mergeCell ref="CYC32:CYE32"/>
    <mergeCell ref="CXB32:CXD32"/>
    <mergeCell ref="CXE32:CXG32"/>
    <mergeCell ref="CXH32:CXJ32"/>
    <mergeCell ref="CXK32:CXM32"/>
    <mergeCell ref="CXN32:CXP32"/>
    <mergeCell ref="CWM32:CWO32"/>
    <mergeCell ref="CWP32:CWR32"/>
    <mergeCell ref="CWS32:CWU32"/>
    <mergeCell ref="CWV32:CWX32"/>
    <mergeCell ref="CWY32:CXA32"/>
    <mergeCell ref="DDZ32:DEB32"/>
    <mergeCell ref="DEC32:DEE32"/>
    <mergeCell ref="DEF32:DEH32"/>
    <mergeCell ref="DEI32:DEK32"/>
    <mergeCell ref="DEL32:DEN32"/>
    <mergeCell ref="DDK32:DDM32"/>
    <mergeCell ref="DDN32:DDP32"/>
    <mergeCell ref="DDQ32:DDS32"/>
    <mergeCell ref="DDT32:DDV32"/>
    <mergeCell ref="DDW32:DDY32"/>
    <mergeCell ref="DCV32:DCX32"/>
    <mergeCell ref="DCY32:DDA32"/>
    <mergeCell ref="DDB32:DDD32"/>
    <mergeCell ref="DDE32:DDG32"/>
    <mergeCell ref="DDH32:DDJ32"/>
    <mergeCell ref="DCG32:DCI32"/>
    <mergeCell ref="DCJ32:DCL32"/>
    <mergeCell ref="DCM32:DCO32"/>
    <mergeCell ref="DCP32:DCR32"/>
    <mergeCell ref="DCS32:DCU32"/>
    <mergeCell ref="DBR32:DBT32"/>
    <mergeCell ref="DBU32:DBW32"/>
    <mergeCell ref="DBX32:DBZ32"/>
    <mergeCell ref="DCA32:DCC32"/>
    <mergeCell ref="DCD32:DCF32"/>
    <mergeCell ref="DBC32:DBE32"/>
    <mergeCell ref="DBF32:DBH32"/>
    <mergeCell ref="DBI32:DBK32"/>
    <mergeCell ref="DBL32:DBN32"/>
    <mergeCell ref="DBO32:DBQ32"/>
    <mergeCell ref="DAN32:DAP32"/>
    <mergeCell ref="DAQ32:DAS32"/>
    <mergeCell ref="DAT32:DAV32"/>
    <mergeCell ref="DAW32:DAY32"/>
    <mergeCell ref="DAZ32:DBB32"/>
    <mergeCell ref="DIA32:DIC32"/>
    <mergeCell ref="DID32:DIF32"/>
    <mergeCell ref="DIG32:DII32"/>
    <mergeCell ref="DIJ32:DIL32"/>
    <mergeCell ref="DIM32:DIO32"/>
    <mergeCell ref="DHL32:DHN32"/>
    <mergeCell ref="DHO32:DHQ32"/>
    <mergeCell ref="DHR32:DHT32"/>
    <mergeCell ref="DHU32:DHW32"/>
    <mergeCell ref="DHX32:DHZ32"/>
    <mergeCell ref="DGW32:DGY32"/>
    <mergeCell ref="DGZ32:DHB32"/>
    <mergeCell ref="DHC32:DHE32"/>
    <mergeCell ref="DHF32:DHH32"/>
    <mergeCell ref="DHI32:DHK32"/>
    <mergeCell ref="DGH32:DGJ32"/>
    <mergeCell ref="DGK32:DGM32"/>
    <mergeCell ref="DGN32:DGP32"/>
    <mergeCell ref="DGQ32:DGS32"/>
    <mergeCell ref="DGT32:DGV32"/>
    <mergeCell ref="DFS32:DFU32"/>
    <mergeCell ref="DFV32:DFX32"/>
    <mergeCell ref="DFY32:DGA32"/>
    <mergeCell ref="DGB32:DGD32"/>
    <mergeCell ref="DGE32:DGG32"/>
    <mergeCell ref="DFD32:DFF32"/>
    <mergeCell ref="DFG32:DFI32"/>
    <mergeCell ref="DFJ32:DFL32"/>
    <mergeCell ref="DFM32:DFO32"/>
    <mergeCell ref="DFP32:DFR32"/>
    <mergeCell ref="DEO32:DEQ32"/>
    <mergeCell ref="DER32:DET32"/>
    <mergeCell ref="DEU32:DEW32"/>
    <mergeCell ref="DEX32:DEZ32"/>
    <mergeCell ref="DFA32:DFC32"/>
    <mergeCell ref="DMB32:DMD32"/>
    <mergeCell ref="DME32:DMG32"/>
    <mergeCell ref="DMH32:DMJ32"/>
    <mergeCell ref="DMK32:DMM32"/>
    <mergeCell ref="DMN32:DMP32"/>
    <mergeCell ref="DLM32:DLO32"/>
    <mergeCell ref="DLP32:DLR32"/>
    <mergeCell ref="DLS32:DLU32"/>
    <mergeCell ref="DLV32:DLX32"/>
    <mergeCell ref="DLY32:DMA32"/>
    <mergeCell ref="DKX32:DKZ32"/>
    <mergeCell ref="DLA32:DLC32"/>
    <mergeCell ref="DLD32:DLF32"/>
    <mergeCell ref="DLG32:DLI32"/>
    <mergeCell ref="DLJ32:DLL32"/>
    <mergeCell ref="DKI32:DKK32"/>
    <mergeCell ref="DKL32:DKN32"/>
    <mergeCell ref="DKO32:DKQ32"/>
    <mergeCell ref="DKR32:DKT32"/>
    <mergeCell ref="DKU32:DKW32"/>
    <mergeCell ref="DJT32:DJV32"/>
    <mergeCell ref="DJW32:DJY32"/>
    <mergeCell ref="DJZ32:DKB32"/>
    <mergeCell ref="DKC32:DKE32"/>
    <mergeCell ref="DKF32:DKH32"/>
    <mergeCell ref="DJE32:DJG32"/>
    <mergeCell ref="DJH32:DJJ32"/>
    <mergeCell ref="DJK32:DJM32"/>
    <mergeCell ref="DJN32:DJP32"/>
    <mergeCell ref="DJQ32:DJS32"/>
    <mergeCell ref="DIP32:DIR32"/>
    <mergeCell ref="DIS32:DIU32"/>
    <mergeCell ref="DIV32:DIX32"/>
    <mergeCell ref="DIY32:DJA32"/>
    <mergeCell ref="DJB32:DJD32"/>
    <mergeCell ref="DQC32:DQE32"/>
    <mergeCell ref="DQF32:DQH32"/>
    <mergeCell ref="DQI32:DQK32"/>
    <mergeCell ref="DQL32:DQN32"/>
    <mergeCell ref="DQO32:DQQ32"/>
    <mergeCell ref="DPN32:DPP32"/>
    <mergeCell ref="DPQ32:DPS32"/>
    <mergeCell ref="DPT32:DPV32"/>
    <mergeCell ref="DPW32:DPY32"/>
    <mergeCell ref="DPZ32:DQB32"/>
    <mergeCell ref="DOY32:DPA32"/>
    <mergeCell ref="DPB32:DPD32"/>
    <mergeCell ref="DPE32:DPG32"/>
    <mergeCell ref="DPH32:DPJ32"/>
    <mergeCell ref="DPK32:DPM32"/>
    <mergeCell ref="DOJ32:DOL32"/>
    <mergeCell ref="DOM32:DOO32"/>
    <mergeCell ref="DOP32:DOR32"/>
    <mergeCell ref="DOS32:DOU32"/>
    <mergeCell ref="DOV32:DOX32"/>
    <mergeCell ref="DNU32:DNW32"/>
    <mergeCell ref="DNX32:DNZ32"/>
    <mergeCell ref="DOA32:DOC32"/>
    <mergeCell ref="DOD32:DOF32"/>
    <mergeCell ref="DOG32:DOI32"/>
    <mergeCell ref="DNF32:DNH32"/>
    <mergeCell ref="DNI32:DNK32"/>
    <mergeCell ref="DNL32:DNN32"/>
    <mergeCell ref="DNO32:DNQ32"/>
    <mergeCell ref="DNR32:DNT32"/>
    <mergeCell ref="DMQ32:DMS32"/>
    <mergeCell ref="DMT32:DMV32"/>
    <mergeCell ref="DMW32:DMY32"/>
    <mergeCell ref="DMZ32:DNB32"/>
    <mergeCell ref="DNC32:DNE32"/>
    <mergeCell ref="DUD32:DUF32"/>
    <mergeCell ref="DUG32:DUI32"/>
    <mergeCell ref="DUJ32:DUL32"/>
    <mergeCell ref="DUM32:DUO32"/>
    <mergeCell ref="DUP32:DUR32"/>
    <mergeCell ref="DTO32:DTQ32"/>
    <mergeCell ref="DTR32:DTT32"/>
    <mergeCell ref="DTU32:DTW32"/>
    <mergeCell ref="DTX32:DTZ32"/>
    <mergeCell ref="DUA32:DUC32"/>
    <mergeCell ref="DSZ32:DTB32"/>
    <mergeCell ref="DTC32:DTE32"/>
    <mergeCell ref="DTF32:DTH32"/>
    <mergeCell ref="DTI32:DTK32"/>
    <mergeCell ref="DTL32:DTN32"/>
    <mergeCell ref="DSK32:DSM32"/>
    <mergeCell ref="DSN32:DSP32"/>
    <mergeCell ref="DSQ32:DSS32"/>
    <mergeCell ref="DST32:DSV32"/>
    <mergeCell ref="DSW32:DSY32"/>
    <mergeCell ref="DRV32:DRX32"/>
    <mergeCell ref="DRY32:DSA32"/>
    <mergeCell ref="DSB32:DSD32"/>
    <mergeCell ref="DSE32:DSG32"/>
    <mergeCell ref="DSH32:DSJ32"/>
    <mergeCell ref="DRG32:DRI32"/>
    <mergeCell ref="DRJ32:DRL32"/>
    <mergeCell ref="DRM32:DRO32"/>
    <mergeCell ref="DRP32:DRR32"/>
    <mergeCell ref="DRS32:DRU32"/>
    <mergeCell ref="DQR32:DQT32"/>
    <mergeCell ref="DQU32:DQW32"/>
    <mergeCell ref="DQX32:DQZ32"/>
    <mergeCell ref="DRA32:DRC32"/>
    <mergeCell ref="DRD32:DRF32"/>
    <mergeCell ref="DYE32:DYG32"/>
    <mergeCell ref="DYH32:DYJ32"/>
    <mergeCell ref="DYK32:DYM32"/>
    <mergeCell ref="DYN32:DYP32"/>
    <mergeCell ref="DYQ32:DYS32"/>
    <mergeCell ref="DXP32:DXR32"/>
    <mergeCell ref="DXS32:DXU32"/>
    <mergeCell ref="DXV32:DXX32"/>
    <mergeCell ref="DXY32:DYA32"/>
    <mergeCell ref="DYB32:DYD32"/>
    <mergeCell ref="DXA32:DXC32"/>
    <mergeCell ref="DXD32:DXF32"/>
    <mergeCell ref="DXG32:DXI32"/>
    <mergeCell ref="DXJ32:DXL32"/>
    <mergeCell ref="DXM32:DXO32"/>
    <mergeCell ref="DWL32:DWN32"/>
    <mergeCell ref="DWO32:DWQ32"/>
    <mergeCell ref="DWR32:DWT32"/>
    <mergeCell ref="DWU32:DWW32"/>
    <mergeCell ref="DWX32:DWZ32"/>
    <mergeCell ref="DVW32:DVY32"/>
    <mergeCell ref="DVZ32:DWB32"/>
    <mergeCell ref="DWC32:DWE32"/>
    <mergeCell ref="DWF32:DWH32"/>
    <mergeCell ref="DWI32:DWK32"/>
    <mergeCell ref="DVH32:DVJ32"/>
    <mergeCell ref="DVK32:DVM32"/>
    <mergeCell ref="DVN32:DVP32"/>
    <mergeCell ref="DVQ32:DVS32"/>
    <mergeCell ref="DVT32:DVV32"/>
    <mergeCell ref="DUS32:DUU32"/>
    <mergeCell ref="DUV32:DUX32"/>
    <mergeCell ref="DUY32:DVA32"/>
    <mergeCell ref="DVB32:DVD32"/>
    <mergeCell ref="DVE32:DVG32"/>
    <mergeCell ref="ECF32:ECH32"/>
    <mergeCell ref="ECI32:ECK32"/>
    <mergeCell ref="ECL32:ECN32"/>
    <mergeCell ref="ECO32:ECQ32"/>
    <mergeCell ref="ECR32:ECT32"/>
    <mergeCell ref="EBQ32:EBS32"/>
    <mergeCell ref="EBT32:EBV32"/>
    <mergeCell ref="EBW32:EBY32"/>
    <mergeCell ref="EBZ32:ECB32"/>
    <mergeCell ref="ECC32:ECE32"/>
    <mergeCell ref="EBB32:EBD32"/>
    <mergeCell ref="EBE32:EBG32"/>
    <mergeCell ref="EBH32:EBJ32"/>
    <mergeCell ref="EBK32:EBM32"/>
    <mergeCell ref="EBN32:EBP32"/>
    <mergeCell ref="EAM32:EAO32"/>
    <mergeCell ref="EAP32:EAR32"/>
    <mergeCell ref="EAS32:EAU32"/>
    <mergeCell ref="EAV32:EAX32"/>
    <mergeCell ref="EAY32:EBA32"/>
    <mergeCell ref="DZX32:DZZ32"/>
    <mergeCell ref="EAA32:EAC32"/>
    <mergeCell ref="EAD32:EAF32"/>
    <mergeCell ref="EAG32:EAI32"/>
    <mergeCell ref="EAJ32:EAL32"/>
    <mergeCell ref="DZI32:DZK32"/>
    <mergeCell ref="DZL32:DZN32"/>
    <mergeCell ref="DZO32:DZQ32"/>
    <mergeCell ref="DZR32:DZT32"/>
    <mergeCell ref="DZU32:DZW32"/>
    <mergeCell ref="DYT32:DYV32"/>
    <mergeCell ref="DYW32:DYY32"/>
    <mergeCell ref="DYZ32:DZB32"/>
    <mergeCell ref="DZC32:DZE32"/>
    <mergeCell ref="DZF32:DZH32"/>
    <mergeCell ref="EGG32:EGI32"/>
    <mergeCell ref="EGJ32:EGL32"/>
    <mergeCell ref="EGM32:EGO32"/>
    <mergeCell ref="EGP32:EGR32"/>
    <mergeCell ref="EGS32:EGU32"/>
    <mergeCell ref="EFR32:EFT32"/>
    <mergeCell ref="EFU32:EFW32"/>
    <mergeCell ref="EFX32:EFZ32"/>
    <mergeCell ref="EGA32:EGC32"/>
    <mergeCell ref="EGD32:EGF32"/>
    <mergeCell ref="EFC32:EFE32"/>
    <mergeCell ref="EFF32:EFH32"/>
    <mergeCell ref="EFI32:EFK32"/>
    <mergeCell ref="EFL32:EFN32"/>
    <mergeCell ref="EFO32:EFQ32"/>
    <mergeCell ref="EEN32:EEP32"/>
    <mergeCell ref="EEQ32:EES32"/>
    <mergeCell ref="EET32:EEV32"/>
    <mergeCell ref="EEW32:EEY32"/>
    <mergeCell ref="EEZ32:EFB32"/>
    <mergeCell ref="EDY32:EEA32"/>
    <mergeCell ref="EEB32:EED32"/>
    <mergeCell ref="EEE32:EEG32"/>
    <mergeCell ref="EEH32:EEJ32"/>
    <mergeCell ref="EEK32:EEM32"/>
    <mergeCell ref="EDJ32:EDL32"/>
    <mergeCell ref="EDM32:EDO32"/>
    <mergeCell ref="EDP32:EDR32"/>
    <mergeCell ref="EDS32:EDU32"/>
    <mergeCell ref="EDV32:EDX32"/>
    <mergeCell ref="ECU32:ECW32"/>
    <mergeCell ref="ECX32:ECZ32"/>
    <mergeCell ref="EDA32:EDC32"/>
    <mergeCell ref="EDD32:EDF32"/>
    <mergeCell ref="EDG32:EDI32"/>
    <mergeCell ref="EKH32:EKJ32"/>
    <mergeCell ref="EKK32:EKM32"/>
    <mergeCell ref="EKN32:EKP32"/>
    <mergeCell ref="EKQ32:EKS32"/>
    <mergeCell ref="EKT32:EKV32"/>
    <mergeCell ref="EJS32:EJU32"/>
    <mergeCell ref="EJV32:EJX32"/>
    <mergeCell ref="EJY32:EKA32"/>
    <mergeCell ref="EKB32:EKD32"/>
    <mergeCell ref="EKE32:EKG32"/>
    <mergeCell ref="EJD32:EJF32"/>
    <mergeCell ref="EJG32:EJI32"/>
    <mergeCell ref="EJJ32:EJL32"/>
    <mergeCell ref="EJM32:EJO32"/>
    <mergeCell ref="EJP32:EJR32"/>
    <mergeCell ref="EIO32:EIQ32"/>
    <mergeCell ref="EIR32:EIT32"/>
    <mergeCell ref="EIU32:EIW32"/>
    <mergeCell ref="EIX32:EIZ32"/>
    <mergeCell ref="EJA32:EJC32"/>
    <mergeCell ref="EHZ32:EIB32"/>
    <mergeCell ref="EIC32:EIE32"/>
    <mergeCell ref="EIF32:EIH32"/>
    <mergeCell ref="EII32:EIK32"/>
    <mergeCell ref="EIL32:EIN32"/>
    <mergeCell ref="EHK32:EHM32"/>
    <mergeCell ref="EHN32:EHP32"/>
    <mergeCell ref="EHQ32:EHS32"/>
    <mergeCell ref="EHT32:EHV32"/>
    <mergeCell ref="EHW32:EHY32"/>
    <mergeCell ref="EGV32:EGX32"/>
    <mergeCell ref="EGY32:EHA32"/>
    <mergeCell ref="EHB32:EHD32"/>
    <mergeCell ref="EHE32:EHG32"/>
    <mergeCell ref="EHH32:EHJ32"/>
    <mergeCell ref="EOI32:EOK32"/>
    <mergeCell ref="EOL32:EON32"/>
    <mergeCell ref="EOO32:EOQ32"/>
    <mergeCell ref="EOR32:EOT32"/>
    <mergeCell ref="EOU32:EOW32"/>
    <mergeCell ref="ENT32:ENV32"/>
    <mergeCell ref="ENW32:ENY32"/>
    <mergeCell ref="ENZ32:EOB32"/>
    <mergeCell ref="EOC32:EOE32"/>
    <mergeCell ref="EOF32:EOH32"/>
    <mergeCell ref="ENE32:ENG32"/>
    <mergeCell ref="ENH32:ENJ32"/>
    <mergeCell ref="ENK32:ENM32"/>
    <mergeCell ref="ENN32:ENP32"/>
    <mergeCell ref="ENQ32:ENS32"/>
    <mergeCell ref="EMP32:EMR32"/>
    <mergeCell ref="EMS32:EMU32"/>
    <mergeCell ref="EMV32:EMX32"/>
    <mergeCell ref="EMY32:ENA32"/>
    <mergeCell ref="ENB32:END32"/>
    <mergeCell ref="EMA32:EMC32"/>
    <mergeCell ref="EMD32:EMF32"/>
    <mergeCell ref="EMG32:EMI32"/>
    <mergeCell ref="EMJ32:EML32"/>
    <mergeCell ref="EMM32:EMO32"/>
    <mergeCell ref="ELL32:ELN32"/>
    <mergeCell ref="ELO32:ELQ32"/>
    <mergeCell ref="ELR32:ELT32"/>
    <mergeCell ref="ELU32:ELW32"/>
    <mergeCell ref="ELX32:ELZ32"/>
    <mergeCell ref="EKW32:EKY32"/>
    <mergeCell ref="EKZ32:ELB32"/>
    <mergeCell ref="ELC32:ELE32"/>
    <mergeCell ref="ELF32:ELH32"/>
    <mergeCell ref="ELI32:ELK32"/>
    <mergeCell ref="ESJ32:ESL32"/>
    <mergeCell ref="ESM32:ESO32"/>
    <mergeCell ref="ESP32:ESR32"/>
    <mergeCell ref="ESS32:ESU32"/>
    <mergeCell ref="ESV32:ESX32"/>
    <mergeCell ref="ERU32:ERW32"/>
    <mergeCell ref="ERX32:ERZ32"/>
    <mergeCell ref="ESA32:ESC32"/>
    <mergeCell ref="ESD32:ESF32"/>
    <mergeCell ref="ESG32:ESI32"/>
    <mergeCell ref="ERF32:ERH32"/>
    <mergeCell ref="ERI32:ERK32"/>
    <mergeCell ref="ERL32:ERN32"/>
    <mergeCell ref="ERO32:ERQ32"/>
    <mergeCell ref="ERR32:ERT32"/>
    <mergeCell ref="EQQ32:EQS32"/>
    <mergeCell ref="EQT32:EQV32"/>
    <mergeCell ref="EQW32:EQY32"/>
    <mergeCell ref="EQZ32:ERB32"/>
    <mergeCell ref="ERC32:ERE32"/>
    <mergeCell ref="EQB32:EQD32"/>
    <mergeCell ref="EQE32:EQG32"/>
    <mergeCell ref="EQH32:EQJ32"/>
    <mergeCell ref="EQK32:EQM32"/>
    <mergeCell ref="EQN32:EQP32"/>
    <mergeCell ref="EPM32:EPO32"/>
    <mergeCell ref="EPP32:EPR32"/>
    <mergeCell ref="EPS32:EPU32"/>
    <mergeCell ref="EPV32:EPX32"/>
    <mergeCell ref="EPY32:EQA32"/>
    <mergeCell ref="EOX32:EOZ32"/>
    <mergeCell ref="EPA32:EPC32"/>
    <mergeCell ref="EPD32:EPF32"/>
    <mergeCell ref="EPG32:EPI32"/>
    <mergeCell ref="EPJ32:EPL32"/>
    <mergeCell ref="EWK32:EWM32"/>
    <mergeCell ref="EWN32:EWP32"/>
    <mergeCell ref="EWQ32:EWS32"/>
    <mergeCell ref="EWT32:EWV32"/>
    <mergeCell ref="EWW32:EWY32"/>
    <mergeCell ref="EVV32:EVX32"/>
    <mergeCell ref="EVY32:EWA32"/>
    <mergeCell ref="EWB32:EWD32"/>
    <mergeCell ref="EWE32:EWG32"/>
    <mergeCell ref="EWH32:EWJ32"/>
    <mergeCell ref="EVG32:EVI32"/>
    <mergeCell ref="EVJ32:EVL32"/>
    <mergeCell ref="EVM32:EVO32"/>
    <mergeCell ref="EVP32:EVR32"/>
    <mergeCell ref="EVS32:EVU32"/>
    <mergeCell ref="EUR32:EUT32"/>
    <mergeCell ref="EUU32:EUW32"/>
    <mergeCell ref="EUX32:EUZ32"/>
    <mergeCell ref="EVA32:EVC32"/>
    <mergeCell ref="EVD32:EVF32"/>
    <mergeCell ref="EUC32:EUE32"/>
    <mergeCell ref="EUF32:EUH32"/>
    <mergeCell ref="EUI32:EUK32"/>
    <mergeCell ref="EUL32:EUN32"/>
    <mergeCell ref="EUO32:EUQ32"/>
    <mergeCell ref="ETN32:ETP32"/>
    <mergeCell ref="ETQ32:ETS32"/>
    <mergeCell ref="ETT32:ETV32"/>
    <mergeCell ref="ETW32:ETY32"/>
    <mergeCell ref="ETZ32:EUB32"/>
    <mergeCell ref="ESY32:ETA32"/>
    <mergeCell ref="ETB32:ETD32"/>
    <mergeCell ref="ETE32:ETG32"/>
    <mergeCell ref="ETH32:ETJ32"/>
    <mergeCell ref="ETK32:ETM32"/>
    <mergeCell ref="FAL32:FAN32"/>
    <mergeCell ref="FAO32:FAQ32"/>
    <mergeCell ref="FAR32:FAT32"/>
    <mergeCell ref="FAU32:FAW32"/>
    <mergeCell ref="FAX32:FAZ32"/>
    <mergeCell ref="EZW32:EZY32"/>
    <mergeCell ref="EZZ32:FAB32"/>
    <mergeCell ref="FAC32:FAE32"/>
    <mergeCell ref="FAF32:FAH32"/>
    <mergeCell ref="FAI32:FAK32"/>
    <mergeCell ref="EZH32:EZJ32"/>
    <mergeCell ref="EZK32:EZM32"/>
    <mergeCell ref="EZN32:EZP32"/>
    <mergeCell ref="EZQ32:EZS32"/>
    <mergeCell ref="EZT32:EZV32"/>
    <mergeCell ref="EYS32:EYU32"/>
    <mergeCell ref="EYV32:EYX32"/>
    <mergeCell ref="EYY32:EZA32"/>
    <mergeCell ref="EZB32:EZD32"/>
    <mergeCell ref="EZE32:EZG32"/>
    <mergeCell ref="EYD32:EYF32"/>
    <mergeCell ref="EYG32:EYI32"/>
    <mergeCell ref="EYJ32:EYL32"/>
    <mergeCell ref="EYM32:EYO32"/>
    <mergeCell ref="EYP32:EYR32"/>
    <mergeCell ref="EXO32:EXQ32"/>
    <mergeCell ref="EXR32:EXT32"/>
    <mergeCell ref="EXU32:EXW32"/>
    <mergeCell ref="EXX32:EXZ32"/>
    <mergeCell ref="EYA32:EYC32"/>
    <mergeCell ref="EWZ32:EXB32"/>
    <mergeCell ref="EXC32:EXE32"/>
    <mergeCell ref="EXF32:EXH32"/>
    <mergeCell ref="EXI32:EXK32"/>
    <mergeCell ref="EXL32:EXN32"/>
    <mergeCell ref="FEM32:FEO32"/>
    <mergeCell ref="FEP32:FER32"/>
    <mergeCell ref="FES32:FEU32"/>
    <mergeCell ref="FEV32:FEX32"/>
    <mergeCell ref="FEY32:FFA32"/>
    <mergeCell ref="FDX32:FDZ32"/>
    <mergeCell ref="FEA32:FEC32"/>
    <mergeCell ref="FED32:FEF32"/>
    <mergeCell ref="FEG32:FEI32"/>
    <mergeCell ref="FEJ32:FEL32"/>
    <mergeCell ref="FDI32:FDK32"/>
    <mergeCell ref="FDL32:FDN32"/>
    <mergeCell ref="FDO32:FDQ32"/>
    <mergeCell ref="FDR32:FDT32"/>
    <mergeCell ref="FDU32:FDW32"/>
    <mergeCell ref="FCT32:FCV32"/>
    <mergeCell ref="FCW32:FCY32"/>
    <mergeCell ref="FCZ32:FDB32"/>
    <mergeCell ref="FDC32:FDE32"/>
    <mergeCell ref="FDF32:FDH32"/>
    <mergeCell ref="FCE32:FCG32"/>
    <mergeCell ref="FCH32:FCJ32"/>
    <mergeCell ref="FCK32:FCM32"/>
    <mergeCell ref="FCN32:FCP32"/>
    <mergeCell ref="FCQ32:FCS32"/>
    <mergeCell ref="FBP32:FBR32"/>
    <mergeCell ref="FBS32:FBU32"/>
    <mergeCell ref="FBV32:FBX32"/>
    <mergeCell ref="FBY32:FCA32"/>
    <mergeCell ref="FCB32:FCD32"/>
    <mergeCell ref="FBA32:FBC32"/>
    <mergeCell ref="FBD32:FBF32"/>
    <mergeCell ref="FBG32:FBI32"/>
    <mergeCell ref="FBJ32:FBL32"/>
    <mergeCell ref="FBM32:FBO32"/>
    <mergeCell ref="FIN32:FIP32"/>
    <mergeCell ref="FIQ32:FIS32"/>
    <mergeCell ref="FIT32:FIV32"/>
    <mergeCell ref="FIW32:FIY32"/>
    <mergeCell ref="FIZ32:FJB32"/>
    <mergeCell ref="FHY32:FIA32"/>
    <mergeCell ref="FIB32:FID32"/>
    <mergeCell ref="FIE32:FIG32"/>
    <mergeCell ref="FIH32:FIJ32"/>
    <mergeCell ref="FIK32:FIM32"/>
    <mergeCell ref="FHJ32:FHL32"/>
    <mergeCell ref="FHM32:FHO32"/>
    <mergeCell ref="FHP32:FHR32"/>
    <mergeCell ref="FHS32:FHU32"/>
    <mergeCell ref="FHV32:FHX32"/>
    <mergeCell ref="FGU32:FGW32"/>
    <mergeCell ref="FGX32:FGZ32"/>
    <mergeCell ref="FHA32:FHC32"/>
    <mergeCell ref="FHD32:FHF32"/>
    <mergeCell ref="FHG32:FHI32"/>
    <mergeCell ref="FGF32:FGH32"/>
    <mergeCell ref="FGI32:FGK32"/>
    <mergeCell ref="FGL32:FGN32"/>
    <mergeCell ref="FGO32:FGQ32"/>
    <mergeCell ref="FGR32:FGT32"/>
    <mergeCell ref="FFQ32:FFS32"/>
    <mergeCell ref="FFT32:FFV32"/>
    <mergeCell ref="FFW32:FFY32"/>
    <mergeCell ref="FFZ32:FGB32"/>
    <mergeCell ref="FGC32:FGE32"/>
    <mergeCell ref="FFB32:FFD32"/>
    <mergeCell ref="FFE32:FFG32"/>
    <mergeCell ref="FFH32:FFJ32"/>
    <mergeCell ref="FFK32:FFM32"/>
    <mergeCell ref="FFN32:FFP32"/>
    <mergeCell ref="FMO32:FMQ32"/>
    <mergeCell ref="FMR32:FMT32"/>
    <mergeCell ref="FMU32:FMW32"/>
    <mergeCell ref="FMX32:FMZ32"/>
    <mergeCell ref="FNA32:FNC32"/>
    <mergeCell ref="FLZ32:FMB32"/>
    <mergeCell ref="FMC32:FME32"/>
    <mergeCell ref="FMF32:FMH32"/>
    <mergeCell ref="FMI32:FMK32"/>
    <mergeCell ref="FML32:FMN32"/>
    <mergeCell ref="FLK32:FLM32"/>
    <mergeCell ref="FLN32:FLP32"/>
    <mergeCell ref="FLQ32:FLS32"/>
    <mergeCell ref="FLT32:FLV32"/>
    <mergeCell ref="FLW32:FLY32"/>
    <mergeCell ref="FKV32:FKX32"/>
    <mergeCell ref="FKY32:FLA32"/>
    <mergeCell ref="FLB32:FLD32"/>
    <mergeCell ref="FLE32:FLG32"/>
    <mergeCell ref="FLH32:FLJ32"/>
    <mergeCell ref="FKG32:FKI32"/>
    <mergeCell ref="FKJ32:FKL32"/>
    <mergeCell ref="FKM32:FKO32"/>
    <mergeCell ref="FKP32:FKR32"/>
    <mergeCell ref="FKS32:FKU32"/>
    <mergeCell ref="FJR32:FJT32"/>
    <mergeCell ref="FJU32:FJW32"/>
    <mergeCell ref="FJX32:FJZ32"/>
    <mergeCell ref="FKA32:FKC32"/>
    <mergeCell ref="FKD32:FKF32"/>
    <mergeCell ref="FJC32:FJE32"/>
    <mergeCell ref="FJF32:FJH32"/>
    <mergeCell ref="FJI32:FJK32"/>
    <mergeCell ref="FJL32:FJN32"/>
    <mergeCell ref="FJO32:FJQ32"/>
    <mergeCell ref="FQP32:FQR32"/>
    <mergeCell ref="FQS32:FQU32"/>
    <mergeCell ref="FQV32:FQX32"/>
    <mergeCell ref="FQY32:FRA32"/>
    <mergeCell ref="FRB32:FRD32"/>
    <mergeCell ref="FQA32:FQC32"/>
    <mergeCell ref="FQD32:FQF32"/>
    <mergeCell ref="FQG32:FQI32"/>
    <mergeCell ref="FQJ32:FQL32"/>
    <mergeCell ref="FQM32:FQO32"/>
    <mergeCell ref="FPL32:FPN32"/>
    <mergeCell ref="FPO32:FPQ32"/>
    <mergeCell ref="FPR32:FPT32"/>
    <mergeCell ref="FPU32:FPW32"/>
    <mergeCell ref="FPX32:FPZ32"/>
    <mergeCell ref="FOW32:FOY32"/>
    <mergeCell ref="FOZ32:FPB32"/>
    <mergeCell ref="FPC32:FPE32"/>
    <mergeCell ref="FPF32:FPH32"/>
    <mergeCell ref="FPI32:FPK32"/>
    <mergeCell ref="FOH32:FOJ32"/>
    <mergeCell ref="FOK32:FOM32"/>
    <mergeCell ref="FON32:FOP32"/>
    <mergeCell ref="FOQ32:FOS32"/>
    <mergeCell ref="FOT32:FOV32"/>
    <mergeCell ref="FNS32:FNU32"/>
    <mergeCell ref="FNV32:FNX32"/>
    <mergeCell ref="FNY32:FOA32"/>
    <mergeCell ref="FOB32:FOD32"/>
    <mergeCell ref="FOE32:FOG32"/>
    <mergeCell ref="FND32:FNF32"/>
    <mergeCell ref="FNG32:FNI32"/>
    <mergeCell ref="FNJ32:FNL32"/>
    <mergeCell ref="FNM32:FNO32"/>
    <mergeCell ref="FNP32:FNR32"/>
    <mergeCell ref="FUQ32:FUS32"/>
    <mergeCell ref="FUT32:FUV32"/>
    <mergeCell ref="FUW32:FUY32"/>
    <mergeCell ref="FUZ32:FVB32"/>
    <mergeCell ref="FVC32:FVE32"/>
    <mergeCell ref="FUB32:FUD32"/>
    <mergeCell ref="FUE32:FUG32"/>
    <mergeCell ref="FUH32:FUJ32"/>
    <mergeCell ref="FUK32:FUM32"/>
    <mergeCell ref="FUN32:FUP32"/>
    <mergeCell ref="FTM32:FTO32"/>
    <mergeCell ref="FTP32:FTR32"/>
    <mergeCell ref="FTS32:FTU32"/>
    <mergeCell ref="FTV32:FTX32"/>
    <mergeCell ref="FTY32:FUA32"/>
    <mergeCell ref="FSX32:FSZ32"/>
    <mergeCell ref="FTA32:FTC32"/>
    <mergeCell ref="FTD32:FTF32"/>
    <mergeCell ref="FTG32:FTI32"/>
    <mergeCell ref="FTJ32:FTL32"/>
    <mergeCell ref="FSI32:FSK32"/>
    <mergeCell ref="FSL32:FSN32"/>
    <mergeCell ref="FSO32:FSQ32"/>
    <mergeCell ref="FSR32:FST32"/>
    <mergeCell ref="FSU32:FSW32"/>
    <mergeCell ref="FRT32:FRV32"/>
    <mergeCell ref="FRW32:FRY32"/>
    <mergeCell ref="FRZ32:FSB32"/>
    <mergeCell ref="FSC32:FSE32"/>
    <mergeCell ref="FSF32:FSH32"/>
    <mergeCell ref="FRE32:FRG32"/>
    <mergeCell ref="FRH32:FRJ32"/>
    <mergeCell ref="FRK32:FRM32"/>
    <mergeCell ref="FRN32:FRP32"/>
    <mergeCell ref="FRQ32:FRS32"/>
    <mergeCell ref="FYR32:FYT32"/>
    <mergeCell ref="FYU32:FYW32"/>
    <mergeCell ref="FYX32:FYZ32"/>
    <mergeCell ref="FZA32:FZC32"/>
    <mergeCell ref="FZD32:FZF32"/>
    <mergeCell ref="FYC32:FYE32"/>
    <mergeCell ref="FYF32:FYH32"/>
    <mergeCell ref="FYI32:FYK32"/>
    <mergeCell ref="FYL32:FYN32"/>
    <mergeCell ref="FYO32:FYQ32"/>
    <mergeCell ref="FXN32:FXP32"/>
    <mergeCell ref="FXQ32:FXS32"/>
    <mergeCell ref="FXT32:FXV32"/>
    <mergeCell ref="FXW32:FXY32"/>
    <mergeCell ref="FXZ32:FYB32"/>
    <mergeCell ref="FWY32:FXA32"/>
    <mergeCell ref="FXB32:FXD32"/>
    <mergeCell ref="FXE32:FXG32"/>
    <mergeCell ref="FXH32:FXJ32"/>
    <mergeCell ref="FXK32:FXM32"/>
    <mergeCell ref="FWJ32:FWL32"/>
    <mergeCell ref="FWM32:FWO32"/>
    <mergeCell ref="FWP32:FWR32"/>
    <mergeCell ref="FWS32:FWU32"/>
    <mergeCell ref="FWV32:FWX32"/>
    <mergeCell ref="FVU32:FVW32"/>
    <mergeCell ref="FVX32:FVZ32"/>
    <mergeCell ref="FWA32:FWC32"/>
    <mergeCell ref="FWD32:FWF32"/>
    <mergeCell ref="FWG32:FWI32"/>
    <mergeCell ref="FVF32:FVH32"/>
    <mergeCell ref="FVI32:FVK32"/>
    <mergeCell ref="FVL32:FVN32"/>
    <mergeCell ref="FVO32:FVQ32"/>
    <mergeCell ref="FVR32:FVT32"/>
    <mergeCell ref="GCS32:GCU32"/>
    <mergeCell ref="GCV32:GCX32"/>
    <mergeCell ref="GCY32:GDA32"/>
    <mergeCell ref="GDB32:GDD32"/>
    <mergeCell ref="GDE32:GDG32"/>
    <mergeCell ref="GCD32:GCF32"/>
    <mergeCell ref="GCG32:GCI32"/>
    <mergeCell ref="GCJ32:GCL32"/>
    <mergeCell ref="GCM32:GCO32"/>
    <mergeCell ref="GCP32:GCR32"/>
    <mergeCell ref="GBO32:GBQ32"/>
    <mergeCell ref="GBR32:GBT32"/>
    <mergeCell ref="GBU32:GBW32"/>
    <mergeCell ref="GBX32:GBZ32"/>
    <mergeCell ref="GCA32:GCC32"/>
    <mergeCell ref="GAZ32:GBB32"/>
    <mergeCell ref="GBC32:GBE32"/>
    <mergeCell ref="GBF32:GBH32"/>
    <mergeCell ref="GBI32:GBK32"/>
    <mergeCell ref="GBL32:GBN32"/>
    <mergeCell ref="GAK32:GAM32"/>
    <mergeCell ref="GAN32:GAP32"/>
    <mergeCell ref="GAQ32:GAS32"/>
    <mergeCell ref="GAT32:GAV32"/>
    <mergeCell ref="GAW32:GAY32"/>
    <mergeCell ref="FZV32:FZX32"/>
    <mergeCell ref="FZY32:GAA32"/>
    <mergeCell ref="GAB32:GAD32"/>
    <mergeCell ref="GAE32:GAG32"/>
    <mergeCell ref="GAH32:GAJ32"/>
    <mergeCell ref="FZG32:FZI32"/>
    <mergeCell ref="FZJ32:FZL32"/>
    <mergeCell ref="FZM32:FZO32"/>
    <mergeCell ref="FZP32:FZR32"/>
    <mergeCell ref="FZS32:FZU32"/>
    <mergeCell ref="GGT32:GGV32"/>
    <mergeCell ref="GGW32:GGY32"/>
    <mergeCell ref="GGZ32:GHB32"/>
    <mergeCell ref="GHC32:GHE32"/>
    <mergeCell ref="GHF32:GHH32"/>
    <mergeCell ref="GGE32:GGG32"/>
    <mergeCell ref="GGH32:GGJ32"/>
    <mergeCell ref="GGK32:GGM32"/>
    <mergeCell ref="GGN32:GGP32"/>
    <mergeCell ref="GGQ32:GGS32"/>
    <mergeCell ref="GFP32:GFR32"/>
    <mergeCell ref="GFS32:GFU32"/>
    <mergeCell ref="GFV32:GFX32"/>
    <mergeCell ref="GFY32:GGA32"/>
    <mergeCell ref="GGB32:GGD32"/>
    <mergeCell ref="GFA32:GFC32"/>
    <mergeCell ref="GFD32:GFF32"/>
    <mergeCell ref="GFG32:GFI32"/>
    <mergeCell ref="GFJ32:GFL32"/>
    <mergeCell ref="GFM32:GFO32"/>
    <mergeCell ref="GEL32:GEN32"/>
    <mergeCell ref="GEO32:GEQ32"/>
    <mergeCell ref="GER32:GET32"/>
    <mergeCell ref="GEU32:GEW32"/>
    <mergeCell ref="GEX32:GEZ32"/>
    <mergeCell ref="GDW32:GDY32"/>
    <mergeCell ref="GDZ32:GEB32"/>
    <mergeCell ref="GEC32:GEE32"/>
    <mergeCell ref="GEF32:GEH32"/>
    <mergeCell ref="GEI32:GEK32"/>
    <mergeCell ref="GDH32:GDJ32"/>
    <mergeCell ref="GDK32:GDM32"/>
    <mergeCell ref="GDN32:GDP32"/>
    <mergeCell ref="GDQ32:GDS32"/>
    <mergeCell ref="GDT32:GDV32"/>
    <mergeCell ref="GKU32:GKW32"/>
    <mergeCell ref="GKX32:GKZ32"/>
    <mergeCell ref="GLA32:GLC32"/>
    <mergeCell ref="GLD32:GLF32"/>
    <mergeCell ref="GLG32:GLI32"/>
    <mergeCell ref="GKF32:GKH32"/>
    <mergeCell ref="GKI32:GKK32"/>
    <mergeCell ref="GKL32:GKN32"/>
    <mergeCell ref="GKO32:GKQ32"/>
    <mergeCell ref="GKR32:GKT32"/>
    <mergeCell ref="GJQ32:GJS32"/>
    <mergeCell ref="GJT32:GJV32"/>
    <mergeCell ref="GJW32:GJY32"/>
    <mergeCell ref="GJZ32:GKB32"/>
    <mergeCell ref="GKC32:GKE32"/>
    <mergeCell ref="GJB32:GJD32"/>
    <mergeCell ref="GJE32:GJG32"/>
    <mergeCell ref="GJH32:GJJ32"/>
    <mergeCell ref="GJK32:GJM32"/>
    <mergeCell ref="GJN32:GJP32"/>
    <mergeCell ref="GIM32:GIO32"/>
    <mergeCell ref="GIP32:GIR32"/>
    <mergeCell ref="GIS32:GIU32"/>
    <mergeCell ref="GIV32:GIX32"/>
    <mergeCell ref="GIY32:GJA32"/>
    <mergeCell ref="GHX32:GHZ32"/>
    <mergeCell ref="GIA32:GIC32"/>
    <mergeCell ref="GID32:GIF32"/>
    <mergeCell ref="GIG32:GII32"/>
    <mergeCell ref="GIJ32:GIL32"/>
    <mergeCell ref="GHI32:GHK32"/>
    <mergeCell ref="GHL32:GHN32"/>
    <mergeCell ref="GHO32:GHQ32"/>
    <mergeCell ref="GHR32:GHT32"/>
    <mergeCell ref="GHU32:GHW32"/>
    <mergeCell ref="GOV32:GOX32"/>
    <mergeCell ref="GOY32:GPA32"/>
    <mergeCell ref="GPB32:GPD32"/>
    <mergeCell ref="GPE32:GPG32"/>
    <mergeCell ref="GPH32:GPJ32"/>
    <mergeCell ref="GOG32:GOI32"/>
    <mergeCell ref="GOJ32:GOL32"/>
    <mergeCell ref="GOM32:GOO32"/>
    <mergeCell ref="GOP32:GOR32"/>
    <mergeCell ref="GOS32:GOU32"/>
    <mergeCell ref="GNR32:GNT32"/>
    <mergeCell ref="GNU32:GNW32"/>
    <mergeCell ref="GNX32:GNZ32"/>
    <mergeCell ref="GOA32:GOC32"/>
    <mergeCell ref="GOD32:GOF32"/>
    <mergeCell ref="GNC32:GNE32"/>
    <mergeCell ref="GNF32:GNH32"/>
    <mergeCell ref="GNI32:GNK32"/>
    <mergeCell ref="GNL32:GNN32"/>
    <mergeCell ref="GNO32:GNQ32"/>
    <mergeCell ref="GMN32:GMP32"/>
    <mergeCell ref="GMQ32:GMS32"/>
    <mergeCell ref="GMT32:GMV32"/>
    <mergeCell ref="GMW32:GMY32"/>
    <mergeCell ref="GMZ32:GNB32"/>
    <mergeCell ref="GLY32:GMA32"/>
    <mergeCell ref="GMB32:GMD32"/>
    <mergeCell ref="GME32:GMG32"/>
    <mergeCell ref="GMH32:GMJ32"/>
    <mergeCell ref="GMK32:GMM32"/>
    <mergeCell ref="GLJ32:GLL32"/>
    <mergeCell ref="GLM32:GLO32"/>
    <mergeCell ref="GLP32:GLR32"/>
    <mergeCell ref="GLS32:GLU32"/>
    <mergeCell ref="GLV32:GLX32"/>
    <mergeCell ref="GSW32:GSY32"/>
    <mergeCell ref="GSZ32:GTB32"/>
    <mergeCell ref="GTC32:GTE32"/>
    <mergeCell ref="GTF32:GTH32"/>
    <mergeCell ref="GTI32:GTK32"/>
    <mergeCell ref="GSH32:GSJ32"/>
    <mergeCell ref="GSK32:GSM32"/>
    <mergeCell ref="GSN32:GSP32"/>
    <mergeCell ref="GSQ32:GSS32"/>
    <mergeCell ref="GST32:GSV32"/>
    <mergeCell ref="GRS32:GRU32"/>
    <mergeCell ref="GRV32:GRX32"/>
    <mergeCell ref="GRY32:GSA32"/>
    <mergeCell ref="GSB32:GSD32"/>
    <mergeCell ref="GSE32:GSG32"/>
    <mergeCell ref="GRD32:GRF32"/>
    <mergeCell ref="GRG32:GRI32"/>
    <mergeCell ref="GRJ32:GRL32"/>
    <mergeCell ref="GRM32:GRO32"/>
    <mergeCell ref="GRP32:GRR32"/>
    <mergeCell ref="GQO32:GQQ32"/>
    <mergeCell ref="GQR32:GQT32"/>
    <mergeCell ref="GQU32:GQW32"/>
    <mergeCell ref="GQX32:GQZ32"/>
    <mergeCell ref="GRA32:GRC32"/>
    <mergeCell ref="GPZ32:GQB32"/>
    <mergeCell ref="GQC32:GQE32"/>
    <mergeCell ref="GQF32:GQH32"/>
    <mergeCell ref="GQI32:GQK32"/>
    <mergeCell ref="GQL32:GQN32"/>
    <mergeCell ref="GPK32:GPM32"/>
    <mergeCell ref="GPN32:GPP32"/>
    <mergeCell ref="GPQ32:GPS32"/>
    <mergeCell ref="GPT32:GPV32"/>
    <mergeCell ref="GPW32:GPY32"/>
    <mergeCell ref="GWX32:GWZ32"/>
    <mergeCell ref="GXA32:GXC32"/>
    <mergeCell ref="GXD32:GXF32"/>
    <mergeCell ref="GXG32:GXI32"/>
    <mergeCell ref="GXJ32:GXL32"/>
    <mergeCell ref="GWI32:GWK32"/>
    <mergeCell ref="GWL32:GWN32"/>
    <mergeCell ref="GWO32:GWQ32"/>
    <mergeCell ref="GWR32:GWT32"/>
    <mergeCell ref="GWU32:GWW32"/>
    <mergeCell ref="GVT32:GVV32"/>
    <mergeCell ref="GVW32:GVY32"/>
    <mergeCell ref="GVZ32:GWB32"/>
    <mergeCell ref="GWC32:GWE32"/>
    <mergeCell ref="GWF32:GWH32"/>
    <mergeCell ref="GVE32:GVG32"/>
    <mergeCell ref="GVH32:GVJ32"/>
    <mergeCell ref="GVK32:GVM32"/>
    <mergeCell ref="GVN32:GVP32"/>
    <mergeCell ref="GVQ32:GVS32"/>
    <mergeCell ref="GUP32:GUR32"/>
    <mergeCell ref="GUS32:GUU32"/>
    <mergeCell ref="GUV32:GUX32"/>
    <mergeCell ref="GUY32:GVA32"/>
    <mergeCell ref="GVB32:GVD32"/>
    <mergeCell ref="GUA32:GUC32"/>
    <mergeCell ref="GUD32:GUF32"/>
    <mergeCell ref="GUG32:GUI32"/>
    <mergeCell ref="GUJ32:GUL32"/>
    <mergeCell ref="GUM32:GUO32"/>
    <mergeCell ref="GTL32:GTN32"/>
    <mergeCell ref="GTO32:GTQ32"/>
    <mergeCell ref="GTR32:GTT32"/>
    <mergeCell ref="GTU32:GTW32"/>
    <mergeCell ref="GTX32:GTZ32"/>
    <mergeCell ref="HAY32:HBA32"/>
    <mergeCell ref="HBB32:HBD32"/>
    <mergeCell ref="HBE32:HBG32"/>
    <mergeCell ref="HBH32:HBJ32"/>
    <mergeCell ref="HBK32:HBM32"/>
    <mergeCell ref="HAJ32:HAL32"/>
    <mergeCell ref="HAM32:HAO32"/>
    <mergeCell ref="HAP32:HAR32"/>
    <mergeCell ref="HAS32:HAU32"/>
    <mergeCell ref="HAV32:HAX32"/>
    <mergeCell ref="GZU32:GZW32"/>
    <mergeCell ref="GZX32:GZZ32"/>
    <mergeCell ref="HAA32:HAC32"/>
    <mergeCell ref="HAD32:HAF32"/>
    <mergeCell ref="HAG32:HAI32"/>
    <mergeCell ref="GZF32:GZH32"/>
    <mergeCell ref="GZI32:GZK32"/>
    <mergeCell ref="GZL32:GZN32"/>
    <mergeCell ref="GZO32:GZQ32"/>
    <mergeCell ref="GZR32:GZT32"/>
    <mergeCell ref="GYQ32:GYS32"/>
    <mergeCell ref="GYT32:GYV32"/>
    <mergeCell ref="GYW32:GYY32"/>
    <mergeCell ref="GYZ32:GZB32"/>
    <mergeCell ref="GZC32:GZE32"/>
    <mergeCell ref="GYB32:GYD32"/>
    <mergeCell ref="GYE32:GYG32"/>
    <mergeCell ref="GYH32:GYJ32"/>
    <mergeCell ref="GYK32:GYM32"/>
    <mergeCell ref="GYN32:GYP32"/>
    <mergeCell ref="GXM32:GXO32"/>
    <mergeCell ref="GXP32:GXR32"/>
    <mergeCell ref="GXS32:GXU32"/>
    <mergeCell ref="GXV32:GXX32"/>
    <mergeCell ref="GXY32:GYA32"/>
    <mergeCell ref="HEZ32:HFB32"/>
    <mergeCell ref="HFC32:HFE32"/>
    <mergeCell ref="HFF32:HFH32"/>
    <mergeCell ref="HFI32:HFK32"/>
    <mergeCell ref="HFL32:HFN32"/>
    <mergeCell ref="HEK32:HEM32"/>
    <mergeCell ref="HEN32:HEP32"/>
    <mergeCell ref="HEQ32:HES32"/>
    <mergeCell ref="HET32:HEV32"/>
    <mergeCell ref="HEW32:HEY32"/>
    <mergeCell ref="HDV32:HDX32"/>
    <mergeCell ref="HDY32:HEA32"/>
    <mergeCell ref="HEB32:HED32"/>
    <mergeCell ref="HEE32:HEG32"/>
    <mergeCell ref="HEH32:HEJ32"/>
    <mergeCell ref="HDG32:HDI32"/>
    <mergeCell ref="HDJ32:HDL32"/>
    <mergeCell ref="HDM32:HDO32"/>
    <mergeCell ref="HDP32:HDR32"/>
    <mergeCell ref="HDS32:HDU32"/>
    <mergeCell ref="HCR32:HCT32"/>
    <mergeCell ref="HCU32:HCW32"/>
    <mergeCell ref="HCX32:HCZ32"/>
    <mergeCell ref="HDA32:HDC32"/>
    <mergeCell ref="HDD32:HDF32"/>
    <mergeCell ref="HCC32:HCE32"/>
    <mergeCell ref="HCF32:HCH32"/>
    <mergeCell ref="HCI32:HCK32"/>
    <mergeCell ref="HCL32:HCN32"/>
    <mergeCell ref="HCO32:HCQ32"/>
    <mergeCell ref="HBN32:HBP32"/>
    <mergeCell ref="HBQ32:HBS32"/>
    <mergeCell ref="HBT32:HBV32"/>
    <mergeCell ref="HBW32:HBY32"/>
    <mergeCell ref="HBZ32:HCB32"/>
    <mergeCell ref="HJA32:HJC32"/>
    <mergeCell ref="HJD32:HJF32"/>
    <mergeCell ref="HJG32:HJI32"/>
    <mergeCell ref="HJJ32:HJL32"/>
    <mergeCell ref="HJM32:HJO32"/>
    <mergeCell ref="HIL32:HIN32"/>
    <mergeCell ref="HIO32:HIQ32"/>
    <mergeCell ref="HIR32:HIT32"/>
    <mergeCell ref="HIU32:HIW32"/>
    <mergeCell ref="HIX32:HIZ32"/>
    <mergeCell ref="HHW32:HHY32"/>
    <mergeCell ref="HHZ32:HIB32"/>
    <mergeCell ref="HIC32:HIE32"/>
    <mergeCell ref="HIF32:HIH32"/>
    <mergeCell ref="HII32:HIK32"/>
    <mergeCell ref="HHH32:HHJ32"/>
    <mergeCell ref="HHK32:HHM32"/>
    <mergeCell ref="HHN32:HHP32"/>
    <mergeCell ref="HHQ32:HHS32"/>
    <mergeCell ref="HHT32:HHV32"/>
    <mergeCell ref="HGS32:HGU32"/>
    <mergeCell ref="HGV32:HGX32"/>
    <mergeCell ref="HGY32:HHA32"/>
    <mergeCell ref="HHB32:HHD32"/>
    <mergeCell ref="HHE32:HHG32"/>
    <mergeCell ref="HGD32:HGF32"/>
    <mergeCell ref="HGG32:HGI32"/>
    <mergeCell ref="HGJ32:HGL32"/>
    <mergeCell ref="HGM32:HGO32"/>
    <mergeCell ref="HGP32:HGR32"/>
    <mergeCell ref="HFO32:HFQ32"/>
    <mergeCell ref="HFR32:HFT32"/>
    <mergeCell ref="HFU32:HFW32"/>
    <mergeCell ref="HFX32:HFZ32"/>
    <mergeCell ref="HGA32:HGC32"/>
    <mergeCell ref="HNB32:HND32"/>
    <mergeCell ref="HNE32:HNG32"/>
    <mergeCell ref="HNH32:HNJ32"/>
    <mergeCell ref="HNK32:HNM32"/>
    <mergeCell ref="HNN32:HNP32"/>
    <mergeCell ref="HMM32:HMO32"/>
    <mergeCell ref="HMP32:HMR32"/>
    <mergeCell ref="HMS32:HMU32"/>
    <mergeCell ref="HMV32:HMX32"/>
    <mergeCell ref="HMY32:HNA32"/>
    <mergeCell ref="HLX32:HLZ32"/>
    <mergeCell ref="HMA32:HMC32"/>
    <mergeCell ref="HMD32:HMF32"/>
    <mergeCell ref="HMG32:HMI32"/>
    <mergeCell ref="HMJ32:HML32"/>
    <mergeCell ref="HLI32:HLK32"/>
    <mergeCell ref="HLL32:HLN32"/>
    <mergeCell ref="HLO32:HLQ32"/>
    <mergeCell ref="HLR32:HLT32"/>
    <mergeCell ref="HLU32:HLW32"/>
    <mergeCell ref="HKT32:HKV32"/>
    <mergeCell ref="HKW32:HKY32"/>
    <mergeCell ref="HKZ32:HLB32"/>
    <mergeCell ref="HLC32:HLE32"/>
    <mergeCell ref="HLF32:HLH32"/>
    <mergeCell ref="HKE32:HKG32"/>
    <mergeCell ref="HKH32:HKJ32"/>
    <mergeCell ref="HKK32:HKM32"/>
    <mergeCell ref="HKN32:HKP32"/>
    <mergeCell ref="HKQ32:HKS32"/>
    <mergeCell ref="HJP32:HJR32"/>
    <mergeCell ref="HJS32:HJU32"/>
    <mergeCell ref="HJV32:HJX32"/>
    <mergeCell ref="HJY32:HKA32"/>
    <mergeCell ref="HKB32:HKD32"/>
    <mergeCell ref="HRC32:HRE32"/>
    <mergeCell ref="HRF32:HRH32"/>
    <mergeCell ref="HRI32:HRK32"/>
    <mergeCell ref="HRL32:HRN32"/>
    <mergeCell ref="HRO32:HRQ32"/>
    <mergeCell ref="HQN32:HQP32"/>
    <mergeCell ref="HQQ32:HQS32"/>
    <mergeCell ref="HQT32:HQV32"/>
    <mergeCell ref="HQW32:HQY32"/>
    <mergeCell ref="HQZ32:HRB32"/>
    <mergeCell ref="HPY32:HQA32"/>
    <mergeCell ref="HQB32:HQD32"/>
    <mergeCell ref="HQE32:HQG32"/>
    <mergeCell ref="HQH32:HQJ32"/>
    <mergeCell ref="HQK32:HQM32"/>
    <mergeCell ref="HPJ32:HPL32"/>
    <mergeCell ref="HPM32:HPO32"/>
    <mergeCell ref="HPP32:HPR32"/>
    <mergeCell ref="HPS32:HPU32"/>
    <mergeCell ref="HPV32:HPX32"/>
    <mergeCell ref="HOU32:HOW32"/>
    <mergeCell ref="HOX32:HOZ32"/>
    <mergeCell ref="HPA32:HPC32"/>
    <mergeCell ref="HPD32:HPF32"/>
    <mergeCell ref="HPG32:HPI32"/>
    <mergeCell ref="HOF32:HOH32"/>
    <mergeCell ref="HOI32:HOK32"/>
    <mergeCell ref="HOL32:HON32"/>
    <mergeCell ref="HOO32:HOQ32"/>
    <mergeCell ref="HOR32:HOT32"/>
    <mergeCell ref="HNQ32:HNS32"/>
    <mergeCell ref="HNT32:HNV32"/>
    <mergeCell ref="HNW32:HNY32"/>
    <mergeCell ref="HNZ32:HOB32"/>
    <mergeCell ref="HOC32:HOE32"/>
    <mergeCell ref="HVD32:HVF32"/>
    <mergeCell ref="HVG32:HVI32"/>
    <mergeCell ref="HVJ32:HVL32"/>
    <mergeCell ref="HVM32:HVO32"/>
    <mergeCell ref="HVP32:HVR32"/>
    <mergeCell ref="HUO32:HUQ32"/>
    <mergeCell ref="HUR32:HUT32"/>
    <mergeCell ref="HUU32:HUW32"/>
    <mergeCell ref="HUX32:HUZ32"/>
    <mergeCell ref="HVA32:HVC32"/>
    <mergeCell ref="HTZ32:HUB32"/>
    <mergeCell ref="HUC32:HUE32"/>
    <mergeCell ref="HUF32:HUH32"/>
    <mergeCell ref="HUI32:HUK32"/>
    <mergeCell ref="HUL32:HUN32"/>
    <mergeCell ref="HTK32:HTM32"/>
    <mergeCell ref="HTN32:HTP32"/>
    <mergeCell ref="HTQ32:HTS32"/>
    <mergeCell ref="HTT32:HTV32"/>
    <mergeCell ref="HTW32:HTY32"/>
    <mergeCell ref="HSV32:HSX32"/>
    <mergeCell ref="HSY32:HTA32"/>
    <mergeCell ref="HTB32:HTD32"/>
    <mergeCell ref="HTE32:HTG32"/>
    <mergeCell ref="HTH32:HTJ32"/>
    <mergeCell ref="HSG32:HSI32"/>
    <mergeCell ref="HSJ32:HSL32"/>
    <mergeCell ref="HSM32:HSO32"/>
    <mergeCell ref="HSP32:HSR32"/>
    <mergeCell ref="HSS32:HSU32"/>
    <mergeCell ref="HRR32:HRT32"/>
    <mergeCell ref="HRU32:HRW32"/>
    <mergeCell ref="HRX32:HRZ32"/>
    <mergeCell ref="HSA32:HSC32"/>
    <mergeCell ref="HSD32:HSF32"/>
    <mergeCell ref="HZE32:HZG32"/>
    <mergeCell ref="HZH32:HZJ32"/>
    <mergeCell ref="HZK32:HZM32"/>
    <mergeCell ref="HZN32:HZP32"/>
    <mergeCell ref="HZQ32:HZS32"/>
    <mergeCell ref="HYP32:HYR32"/>
    <mergeCell ref="HYS32:HYU32"/>
    <mergeCell ref="HYV32:HYX32"/>
    <mergeCell ref="HYY32:HZA32"/>
    <mergeCell ref="HZB32:HZD32"/>
    <mergeCell ref="HYA32:HYC32"/>
    <mergeCell ref="HYD32:HYF32"/>
    <mergeCell ref="HYG32:HYI32"/>
    <mergeCell ref="HYJ32:HYL32"/>
    <mergeCell ref="HYM32:HYO32"/>
    <mergeCell ref="HXL32:HXN32"/>
    <mergeCell ref="HXO32:HXQ32"/>
    <mergeCell ref="HXR32:HXT32"/>
    <mergeCell ref="HXU32:HXW32"/>
    <mergeCell ref="HXX32:HXZ32"/>
    <mergeCell ref="HWW32:HWY32"/>
    <mergeCell ref="HWZ32:HXB32"/>
    <mergeCell ref="HXC32:HXE32"/>
    <mergeCell ref="HXF32:HXH32"/>
    <mergeCell ref="HXI32:HXK32"/>
    <mergeCell ref="HWH32:HWJ32"/>
    <mergeCell ref="HWK32:HWM32"/>
    <mergeCell ref="HWN32:HWP32"/>
    <mergeCell ref="HWQ32:HWS32"/>
    <mergeCell ref="HWT32:HWV32"/>
    <mergeCell ref="HVS32:HVU32"/>
    <mergeCell ref="HVV32:HVX32"/>
    <mergeCell ref="HVY32:HWA32"/>
    <mergeCell ref="HWB32:HWD32"/>
    <mergeCell ref="HWE32:HWG32"/>
    <mergeCell ref="IDF32:IDH32"/>
    <mergeCell ref="IDI32:IDK32"/>
    <mergeCell ref="IDL32:IDN32"/>
    <mergeCell ref="IDO32:IDQ32"/>
    <mergeCell ref="IDR32:IDT32"/>
    <mergeCell ref="ICQ32:ICS32"/>
    <mergeCell ref="ICT32:ICV32"/>
    <mergeCell ref="ICW32:ICY32"/>
    <mergeCell ref="ICZ32:IDB32"/>
    <mergeCell ref="IDC32:IDE32"/>
    <mergeCell ref="ICB32:ICD32"/>
    <mergeCell ref="ICE32:ICG32"/>
    <mergeCell ref="ICH32:ICJ32"/>
    <mergeCell ref="ICK32:ICM32"/>
    <mergeCell ref="ICN32:ICP32"/>
    <mergeCell ref="IBM32:IBO32"/>
    <mergeCell ref="IBP32:IBR32"/>
    <mergeCell ref="IBS32:IBU32"/>
    <mergeCell ref="IBV32:IBX32"/>
    <mergeCell ref="IBY32:ICA32"/>
    <mergeCell ref="IAX32:IAZ32"/>
    <mergeCell ref="IBA32:IBC32"/>
    <mergeCell ref="IBD32:IBF32"/>
    <mergeCell ref="IBG32:IBI32"/>
    <mergeCell ref="IBJ32:IBL32"/>
    <mergeCell ref="IAI32:IAK32"/>
    <mergeCell ref="IAL32:IAN32"/>
    <mergeCell ref="IAO32:IAQ32"/>
    <mergeCell ref="IAR32:IAT32"/>
    <mergeCell ref="IAU32:IAW32"/>
    <mergeCell ref="HZT32:HZV32"/>
    <mergeCell ref="HZW32:HZY32"/>
    <mergeCell ref="HZZ32:IAB32"/>
    <mergeCell ref="IAC32:IAE32"/>
    <mergeCell ref="IAF32:IAH32"/>
    <mergeCell ref="IHG32:IHI32"/>
    <mergeCell ref="IHJ32:IHL32"/>
    <mergeCell ref="IHM32:IHO32"/>
    <mergeCell ref="IHP32:IHR32"/>
    <mergeCell ref="IHS32:IHU32"/>
    <mergeCell ref="IGR32:IGT32"/>
    <mergeCell ref="IGU32:IGW32"/>
    <mergeCell ref="IGX32:IGZ32"/>
    <mergeCell ref="IHA32:IHC32"/>
    <mergeCell ref="IHD32:IHF32"/>
    <mergeCell ref="IGC32:IGE32"/>
    <mergeCell ref="IGF32:IGH32"/>
    <mergeCell ref="IGI32:IGK32"/>
    <mergeCell ref="IGL32:IGN32"/>
    <mergeCell ref="IGO32:IGQ32"/>
    <mergeCell ref="IFN32:IFP32"/>
    <mergeCell ref="IFQ32:IFS32"/>
    <mergeCell ref="IFT32:IFV32"/>
    <mergeCell ref="IFW32:IFY32"/>
    <mergeCell ref="IFZ32:IGB32"/>
    <mergeCell ref="IEY32:IFA32"/>
    <mergeCell ref="IFB32:IFD32"/>
    <mergeCell ref="IFE32:IFG32"/>
    <mergeCell ref="IFH32:IFJ32"/>
    <mergeCell ref="IFK32:IFM32"/>
    <mergeCell ref="IEJ32:IEL32"/>
    <mergeCell ref="IEM32:IEO32"/>
    <mergeCell ref="IEP32:IER32"/>
    <mergeCell ref="IES32:IEU32"/>
    <mergeCell ref="IEV32:IEX32"/>
    <mergeCell ref="IDU32:IDW32"/>
    <mergeCell ref="IDX32:IDZ32"/>
    <mergeCell ref="IEA32:IEC32"/>
    <mergeCell ref="IED32:IEF32"/>
    <mergeCell ref="IEG32:IEI32"/>
    <mergeCell ref="ILH32:ILJ32"/>
    <mergeCell ref="ILK32:ILM32"/>
    <mergeCell ref="ILN32:ILP32"/>
    <mergeCell ref="ILQ32:ILS32"/>
    <mergeCell ref="ILT32:ILV32"/>
    <mergeCell ref="IKS32:IKU32"/>
    <mergeCell ref="IKV32:IKX32"/>
    <mergeCell ref="IKY32:ILA32"/>
    <mergeCell ref="ILB32:ILD32"/>
    <mergeCell ref="ILE32:ILG32"/>
    <mergeCell ref="IKD32:IKF32"/>
    <mergeCell ref="IKG32:IKI32"/>
    <mergeCell ref="IKJ32:IKL32"/>
    <mergeCell ref="IKM32:IKO32"/>
    <mergeCell ref="IKP32:IKR32"/>
    <mergeCell ref="IJO32:IJQ32"/>
    <mergeCell ref="IJR32:IJT32"/>
    <mergeCell ref="IJU32:IJW32"/>
    <mergeCell ref="IJX32:IJZ32"/>
    <mergeCell ref="IKA32:IKC32"/>
    <mergeCell ref="IIZ32:IJB32"/>
    <mergeCell ref="IJC32:IJE32"/>
    <mergeCell ref="IJF32:IJH32"/>
    <mergeCell ref="IJI32:IJK32"/>
    <mergeCell ref="IJL32:IJN32"/>
    <mergeCell ref="IIK32:IIM32"/>
    <mergeCell ref="IIN32:IIP32"/>
    <mergeCell ref="IIQ32:IIS32"/>
    <mergeCell ref="IIT32:IIV32"/>
    <mergeCell ref="IIW32:IIY32"/>
    <mergeCell ref="IHV32:IHX32"/>
    <mergeCell ref="IHY32:IIA32"/>
    <mergeCell ref="IIB32:IID32"/>
    <mergeCell ref="IIE32:IIG32"/>
    <mergeCell ref="IIH32:IIJ32"/>
    <mergeCell ref="IPI32:IPK32"/>
    <mergeCell ref="IPL32:IPN32"/>
    <mergeCell ref="IPO32:IPQ32"/>
    <mergeCell ref="IPR32:IPT32"/>
    <mergeCell ref="IPU32:IPW32"/>
    <mergeCell ref="IOT32:IOV32"/>
    <mergeCell ref="IOW32:IOY32"/>
    <mergeCell ref="IOZ32:IPB32"/>
    <mergeCell ref="IPC32:IPE32"/>
    <mergeCell ref="IPF32:IPH32"/>
    <mergeCell ref="IOE32:IOG32"/>
    <mergeCell ref="IOH32:IOJ32"/>
    <mergeCell ref="IOK32:IOM32"/>
    <mergeCell ref="ION32:IOP32"/>
    <mergeCell ref="IOQ32:IOS32"/>
    <mergeCell ref="INP32:INR32"/>
    <mergeCell ref="INS32:INU32"/>
    <mergeCell ref="INV32:INX32"/>
    <mergeCell ref="INY32:IOA32"/>
    <mergeCell ref="IOB32:IOD32"/>
    <mergeCell ref="INA32:INC32"/>
    <mergeCell ref="IND32:INF32"/>
    <mergeCell ref="ING32:INI32"/>
    <mergeCell ref="INJ32:INL32"/>
    <mergeCell ref="INM32:INO32"/>
    <mergeCell ref="IML32:IMN32"/>
    <mergeCell ref="IMO32:IMQ32"/>
    <mergeCell ref="IMR32:IMT32"/>
    <mergeCell ref="IMU32:IMW32"/>
    <mergeCell ref="IMX32:IMZ32"/>
    <mergeCell ref="ILW32:ILY32"/>
    <mergeCell ref="ILZ32:IMB32"/>
    <mergeCell ref="IMC32:IME32"/>
    <mergeCell ref="IMF32:IMH32"/>
    <mergeCell ref="IMI32:IMK32"/>
    <mergeCell ref="ITJ32:ITL32"/>
    <mergeCell ref="ITM32:ITO32"/>
    <mergeCell ref="ITP32:ITR32"/>
    <mergeCell ref="ITS32:ITU32"/>
    <mergeCell ref="ITV32:ITX32"/>
    <mergeCell ref="ISU32:ISW32"/>
    <mergeCell ref="ISX32:ISZ32"/>
    <mergeCell ref="ITA32:ITC32"/>
    <mergeCell ref="ITD32:ITF32"/>
    <mergeCell ref="ITG32:ITI32"/>
    <mergeCell ref="ISF32:ISH32"/>
    <mergeCell ref="ISI32:ISK32"/>
    <mergeCell ref="ISL32:ISN32"/>
    <mergeCell ref="ISO32:ISQ32"/>
    <mergeCell ref="ISR32:IST32"/>
    <mergeCell ref="IRQ32:IRS32"/>
    <mergeCell ref="IRT32:IRV32"/>
    <mergeCell ref="IRW32:IRY32"/>
    <mergeCell ref="IRZ32:ISB32"/>
    <mergeCell ref="ISC32:ISE32"/>
    <mergeCell ref="IRB32:IRD32"/>
    <mergeCell ref="IRE32:IRG32"/>
    <mergeCell ref="IRH32:IRJ32"/>
    <mergeCell ref="IRK32:IRM32"/>
    <mergeCell ref="IRN32:IRP32"/>
    <mergeCell ref="IQM32:IQO32"/>
    <mergeCell ref="IQP32:IQR32"/>
    <mergeCell ref="IQS32:IQU32"/>
    <mergeCell ref="IQV32:IQX32"/>
    <mergeCell ref="IQY32:IRA32"/>
    <mergeCell ref="IPX32:IPZ32"/>
    <mergeCell ref="IQA32:IQC32"/>
    <mergeCell ref="IQD32:IQF32"/>
    <mergeCell ref="IQG32:IQI32"/>
    <mergeCell ref="IQJ32:IQL32"/>
    <mergeCell ref="IXK32:IXM32"/>
    <mergeCell ref="IXN32:IXP32"/>
    <mergeCell ref="IXQ32:IXS32"/>
    <mergeCell ref="IXT32:IXV32"/>
    <mergeCell ref="IXW32:IXY32"/>
    <mergeCell ref="IWV32:IWX32"/>
    <mergeCell ref="IWY32:IXA32"/>
    <mergeCell ref="IXB32:IXD32"/>
    <mergeCell ref="IXE32:IXG32"/>
    <mergeCell ref="IXH32:IXJ32"/>
    <mergeCell ref="IWG32:IWI32"/>
    <mergeCell ref="IWJ32:IWL32"/>
    <mergeCell ref="IWM32:IWO32"/>
    <mergeCell ref="IWP32:IWR32"/>
    <mergeCell ref="IWS32:IWU32"/>
    <mergeCell ref="IVR32:IVT32"/>
    <mergeCell ref="IVU32:IVW32"/>
    <mergeCell ref="IVX32:IVZ32"/>
    <mergeCell ref="IWA32:IWC32"/>
    <mergeCell ref="IWD32:IWF32"/>
    <mergeCell ref="IVC32:IVE32"/>
    <mergeCell ref="IVF32:IVH32"/>
    <mergeCell ref="IVI32:IVK32"/>
    <mergeCell ref="IVL32:IVN32"/>
    <mergeCell ref="IVO32:IVQ32"/>
    <mergeCell ref="IUN32:IUP32"/>
    <mergeCell ref="IUQ32:IUS32"/>
    <mergeCell ref="IUT32:IUV32"/>
    <mergeCell ref="IUW32:IUY32"/>
    <mergeCell ref="IUZ32:IVB32"/>
    <mergeCell ref="ITY32:IUA32"/>
    <mergeCell ref="IUB32:IUD32"/>
    <mergeCell ref="IUE32:IUG32"/>
    <mergeCell ref="IUH32:IUJ32"/>
    <mergeCell ref="IUK32:IUM32"/>
    <mergeCell ref="JBL32:JBN32"/>
    <mergeCell ref="JBO32:JBQ32"/>
    <mergeCell ref="JBR32:JBT32"/>
    <mergeCell ref="JBU32:JBW32"/>
    <mergeCell ref="JBX32:JBZ32"/>
    <mergeCell ref="JAW32:JAY32"/>
    <mergeCell ref="JAZ32:JBB32"/>
    <mergeCell ref="JBC32:JBE32"/>
    <mergeCell ref="JBF32:JBH32"/>
    <mergeCell ref="JBI32:JBK32"/>
    <mergeCell ref="JAH32:JAJ32"/>
    <mergeCell ref="JAK32:JAM32"/>
    <mergeCell ref="JAN32:JAP32"/>
    <mergeCell ref="JAQ32:JAS32"/>
    <mergeCell ref="JAT32:JAV32"/>
    <mergeCell ref="IZS32:IZU32"/>
    <mergeCell ref="IZV32:IZX32"/>
    <mergeCell ref="IZY32:JAA32"/>
    <mergeCell ref="JAB32:JAD32"/>
    <mergeCell ref="JAE32:JAG32"/>
    <mergeCell ref="IZD32:IZF32"/>
    <mergeCell ref="IZG32:IZI32"/>
    <mergeCell ref="IZJ32:IZL32"/>
    <mergeCell ref="IZM32:IZO32"/>
    <mergeCell ref="IZP32:IZR32"/>
    <mergeCell ref="IYO32:IYQ32"/>
    <mergeCell ref="IYR32:IYT32"/>
    <mergeCell ref="IYU32:IYW32"/>
    <mergeCell ref="IYX32:IYZ32"/>
    <mergeCell ref="IZA32:IZC32"/>
    <mergeCell ref="IXZ32:IYB32"/>
    <mergeCell ref="IYC32:IYE32"/>
    <mergeCell ref="IYF32:IYH32"/>
    <mergeCell ref="IYI32:IYK32"/>
    <mergeCell ref="IYL32:IYN32"/>
    <mergeCell ref="JFM32:JFO32"/>
    <mergeCell ref="JFP32:JFR32"/>
    <mergeCell ref="JFS32:JFU32"/>
    <mergeCell ref="JFV32:JFX32"/>
    <mergeCell ref="JFY32:JGA32"/>
    <mergeCell ref="JEX32:JEZ32"/>
    <mergeCell ref="JFA32:JFC32"/>
    <mergeCell ref="JFD32:JFF32"/>
    <mergeCell ref="JFG32:JFI32"/>
    <mergeCell ref="JFJ32:JFL32"/>
    <mergeCell ref="JEI32:JEK32"/>
    <mergeCell ref="JEL32:JEN32"/>
    <mergeCell ref="JEO32:JEQ32"/>
    <mergeCell ref="JER32:JET32"/>
    <mergeCell ref="JEU32:JEW32"/>
    <mergeCell ref="JDT32:JDV32"/>
    <mergeCell ref="JDW32:JDY32"/>
    <mergeCell ref="JDZ32:JEB32"/>
    <mergeCell ref="JEC32:JEE32"/>
    <mergeCell ref="JEF32:JEH32"/>
    <mergeCell ref="JDE32:JDG32"/>
    <mergeCell ref="JDH32:JDJ32"/>
    <mergeCell ref="JDK32:JDM32"/>
    <mergeCell ref="JDN32:JDP32"/>
    <mergeCell ref="JDQ32:JDS32"/>
    <mergeCell ref="JCP32:JCR32"/>
    <mergeCell ref="JCS32:JCU32"/>
    <mergeCell ref="JCV32:JCX32"/>
    <mergeCell ref="JCY32:JDA32"/>
    <mergeCell ref="JDB32:JDD32"/>
    <mergeCell ref="JCA32:JCC32"/>
    <mergeCell ref="JCD32:JCF32"/>
    <mergeCell ref="JCG32:JCI32"/>
    <mergeCell ref="JCJ32:JCL32"/>
    <mergeCell ref="JCM32:JCO32"/>
    <mergeCell ref="JJN32:JJP32"/>
    <mergeCell ref="JJQ32:JJS32"/>
    <mergeCell ref="JJT32:JJV32"/>
    <mergeCell ref="JJW32:JJY32"/>
    <mergeCell ref="JJZ32:JKB32"/>
    <mergeCell ref="JIY32:JJA32"/>
    <mergeCell ref="JJB32:JJD32"/>
    <mergeCell ref="JJE32:JJG32"/>
    <mergeCell ref="JJH32:JJJ32"/>
    <mergeCell ref="JJK32:JJM32"/>
    <mergeCell ref="JIJ32:JIL32"/>
    <mergeCell ref="JIM32:JIO32"/>
    <mergeCell ref="JIP32:JIR32"/>
    <mergeCell ref="JIS32:JIU32"/>
    <mergeCell ref="JIV32:JIX32"/>
    <mergeCell ref="JHU32:JHW32"/>
    <mergeCell ref="JHX32:JHZ32"/>
    <mergeCell ref="JIA32:JIC32"/>
    <mergeCell ref="JID32:JIF32"/>
    <mergeCell ref="JIG32:JII32"/>
    <mergeCell ref="JHF32:JHH32"/>
    <mergeCell ref="JHI32:JHK32"/>
    <mergeCell ref="JHL32:JHN32"/>
    <mergeCell ref="JHO32:JHQ32"/>
    <mergeCell ref="JHR32:JHT32"/>
    <mergeCell ref="JGQ32:JGS32"/>
    <mergeCell ref="JGT32:JGV32"/>
    <mergeCell ref="JGW32:JGY32"/>
    <mergeCell ref="JGZ32:JHB32"/>
    <mergeCell ref="JHC32:JHE32"/>
    <mergeCell ref="JGB32:JGD32"/>
    <mergeCell ref="JGE32:JGG32"/>
    <mergeCell ref="JGH32:JGJ32"/>
    <mergeCell ref="JGK32:JGM32"/>
    <mergeCell ref="JGN32:JGP32"/>
    <mergeCell ref="JNO32:JNQ32"/>
    <mergeCell ref="JNR32:JNT32"/>
    <mergeCell ref="JNU32:JNW32"/>
    <mergeCell ref="JNX32:JNZ32"/>
    <mergeCell ref="JOA32:JOC32"/>
    <mergeCell ref="JMZ32:JNB32"/>
    <mergeCell ref="JNC32:JNE32"/>
    <mergeCell ref="JNF32:JNH32"/>
    <mergeCell ref="JNI32:JNK32"/>
    <mergeCell ref="JNL32:JNN32"/>
    <mergeCell ref="JMK32:JMM32"/>
    <mergeCell ref="JMN32:JMP32"/>
    <mergeCell ref="JMQ32:JMS32"/>
    <mergeCell ref="JMT32:JMV32"/>
    <mergeCell ref="JMW32:JMY32"/>
    <mergeCell ref="JLV32:JLX32"/>
    <mergeCell ref="JLY32:JMA32"/>
    <mergeCell ref="JMB32:JMD32"/>
    <mergeCell ref="JME32:JMG32"/>
    <mergeCell ref="JMH32:JMJ32"/>
    <mergeCell ref="JLG32:JLI32"/>
    <mergeCell ref="JLJ32:JLL32"/>
    <mergeCell ref="JLM32:JLO32"/>
    <mergeCell ref="JLP32:JLR32"/>
    <mergeCell ref="JLS32:JLU32"/>
    <mergeCell ref="JKR32:JKT32"/>
    <mergeCell ref="JKU32:JKW32"/>
    <mergeCell ref="JKX32:JKZ32"/>
    <mergeCell ref="JLA32:JLC32"/>
    <mergeCell ref="JLD32:JLF32"/>
    <mergeCell ref="JKC32:JKE32"/>
    <mergeCell ref="JKF32:JKH32"/>
    <mergeCell ref="JKI32:JKK32"/>
    <mergeCell ref="JKL32:JKN32"/>
    <mergeCell ref="JKO32:JKQ32"/>
    <mergeCell ref="JRP32:JRR32"/>
    <mergeCell ref="JRS32:JRU32"/>
    <mergeCell ref="JRV32:JRX32"/>
    <mergeCell ref="JRY32:JSA32"/>
    <mergeCell ref="JSB32:JSD32"/>
    <mergeCell ref="JRA32:JRC32"/>
    <mergeCell ref="JRD32:JRF32"/>
    <mergeCell ref="JRG32:JRI32"/>
    <mergeCell ref="JRJ32:JRL32"/>
    <mergeCell ref="JRM32:JRO32"/>
    <mergeCell ref="JQL32:JQN32"/>
    <mergeCell ref="JQO32:JQQ32"/>
    <mergeCell ref="JQR32:JQT32"/>
    <mergeCell ref="JQU32:JQW32"/>
    <mergeCell ref="JQX32:JQZ32"/>
    <mergeCell ref="JPW32:JPY32"/>
    <mergeCell ref="JPZ32:JQB32"/>
    <mergeCell ref="JQC32:JQE32"/>
    <mergeCell ref="JQF32:JQH32"/>
    <mergeCell ref="JQI32:JQK32"/>
    <mergeCell ref="JPH32:JPJ32"/>
    <mergeCell ref="JPK32:JPM32"/>
    <mergeCell ref="JPN32:JPP32"/>
    <mergeCell ref="JPQ32:JPS32"/>
    <mergeCell ref="JPT32:JPV32"/>
    <mergeCell ref="JOS32:JOU32"/>
    <mergeCell ref="JOV32:JOX32"/>
    <mergeCell ref="JOY32:JPA32"/>
    <mergeCell ref="JPB32:JPD32"/>
    <mergeCell ref="JPE32:JPG32"/>
    <mergeCell ref="JOD32:JOF32"/>
    <mergeCell ref="JOG32:JOI32"/>
    <mergeCell ref="JOJ32:JOL32"/>
    <mergeCell ref="JOM32:JOO32"/>
    <mergeCell ref="JOP32:JOR32"/>
    <mergeCell ref="JVQ32:JVS32"/>
    <mergeCell ref="JVT32:JVV32"/>
    <mergeCell ref="JVW32:JVY32"/>
    <mergeCell ref="JVZ32:JWB32"/>
    <mergeCell ref="JWC32:JWE32"/>
    <mergeCell ref="JVB32:JVD32"/>
    <mergeCell ref="JVE32:JVG32"/>
    <mergeCell ref="JVH32:JVJ32"/>
    <mergeCell ref="JVK32:JVM32"/>
    <mergeCell ref="JVN32:JVP32"/>
    <mergeCell ref="JUM32:JUO32"/>
    <mergeCell ref="JUP32:JUR32"/>
    <mergeCell ref="JUS32:JUU32"/>
    <mergeCell ref="JUV32:JUX32"/>
    <mergeCell ref="JUY32:JVA32"/>
    <mergeCell ref="JTX32:JTZ32"/>
    <mergeCell ref="JUA32:JUC32"/>
    <mergeCell ref="JUD32:JUF32"/>
    <mergeCell ref="JUG32:JUI32"/>
    <mergeCell ref="JUJ32:JUL32"/>
    <mergeCell ref="JTI32:JTK32"/>
    <mergeCell ref="JTL32:JTN32"/>
    <mergeCell ref="JTO32:JTQ32"/>
    <mergeCell ref="JTR32:JTT32"/>
    <mergeCell ref="JTU32:JTW32"/>
    <mergeCell ref="JST32:JSV32"/>
    <mergeCell ref="JSW32:JSY32"/>
    <mergeCell ref="JSZ32:JTB32"/>
    <mergeCell ref="JTC32:JTE32"/>
    <mergeCell ref="JTF32:JTH32"/>
    <mergeCell ref="JSE32:JSG32"/>
    <mergeCell ref="JSH32:JSJ32"/>
    <mergeCell ref="JSK32:JSM32"/>
    <mergeCell ref="JSN32:JSP32"/>
    <mergeCell ref="JSQ32:JSS32"/>
    <mergeCell ref="JZR32:JZT32"/>
    <mergeCell ref="JZU32:JZW32"/>
    <mergeCell ref="JZX32:JZZ32"/>
    <mergeCell ref="KAA32:KAC32"/>
    <mergeCell ref="KAD32:KAF32"/>
    <mergeCell ref="JZC32:JZE32"/>
    <mergeCell ref="JZF32:JZH32"/>
    <mergeCell ref="JZI32:JZK32"/>
    <mergeCell ref="JZL32:JZN32"/>
    <mergeCell ref="JZO32:JZQ32"/>
    <mergeCell ref="JYN32:JYP32"/>
    <mergeCell ref="JYQ32:JYS32"/>
    <mergeCell ref="JYT32:JYV32"/>
    <mergeCell ref="JYW32:JYY32"/>
    <mergeCell ref="JYZ32:JZB32"/>
    <mergeCell ref="JXY32:JYA32"/>
    <mergeCell ref="JYB32:JYD32"/>
    <mergeCell ref="JYE32:JYG32"/>
    <mergeCell ref="JYH32:JYJ32"/>
    <mergeCell ref="JYK32:JYM32"/>
    <mergeCell ref="JXJ32:JXL32"/>
    <mergeCell ref="JXM32:JXO32"/>
    <mergeCell ref="JXP32:JXR32"/>
    <mergeCell ref="JXS32:JXU32"/>
    <mergeCell ref="JXV32:JXX32"/>
    <mergeCell ref="JWU32:JWW32"/>
    <mergeCell ref="JWX32:JWZ32"/>
    <mergeCell ref="JXA32:JXC32"/>
    <mergeCell ref="JXD32:JXF32"/>
    <mergeCell ref="JXG32:JXI32"/>
    <mergeCell ref="JWF32:JWH32"/>
    <mergeCell ref="JWI32:JWK32"/>
    <mergeCell ref="JWL32:JWN32"/>
    <mergeCell ref="JWO32:JWQ32"/>
    <mergeCell ref="JWR32:JWT32"/>
    <mergeCell ref="KDS32:KDU32"/>
    <mergeCell ref="KDV32:KDX32"/>
    <mergeCell ref="KDY32:KEA32"/>
    <mergeCell ref="KEB32:KED32"/>
    <mergeCell ref="KEE32:KEG32"/>
    <mergeCell ref="KDD32:KDF32"/>
    <mergeCell ref="KDG32:KDI32"/>
    <mergeCell ref="KDJ32:KDL32"/>
    <mergeCell ref="KDM32:KDO32"/>
    <mergeCell ref="KDP32:KDR32"/>
    <mergeCell ref="KCO32:KCQ32"/>
    <mergeCell ref="KCR32:KCT32"/>
    <mergeCell ref="KCU32:KCW32"/>
    <mergeCell ref="KCX32:KCZ32"/>
    <mergeCell ref="KDA32:KDC32"/>
    <mergeCell ref="KBZ32:KCB32"/>
    <mergeCell ref="KCC32:KCE32"/>
    <mergeCell ref="KCF32:KCH32"/>
    <mergeCell ref="KCI32:KCK32"/>
    <mergeCell ref="KCL32:KCN32"/>
    <mergeCell ref="KBK32:KBM32"/>
    <mergeCell ref="KBN32:KBP32"/>
    <mergeCell ref="KBQ32:KBS32"/>
    <mergeCell ref="KBT32:KBV32"/>
    <mergeCell ref="KBW32:KBY32"/>
    <mergeCell ref="KAV32:KAX32"/>
    <mergeCell ref="KAY32:KBA32"/>
    <mergeCell ref="KBB32:KBD32"/>
    <mergeCell ref="KBE32:KBG32"/>
    <mergeCell ref="KBH32:KBJ32"/>
    <mergeCell ref="KAG32:KAI32"/>
    <mergeCell ref="KAJ32:KAL32"/>
    <mergeCell ref="KAM32:KAO32"/>
    <mergeCell ref="KAP32:KAR32"/>
    <mergeCell ref="KAS32:KAU32"/>
    <mergeCell ref="KHT32:KHV32"/>
    <mergeCell ref="KHW32:KHY32"/>
    <mergeCell ref="KHZ32:KIB32"/>
    <mergeCell ref="KIC32:KIE32"/>
    <mergeCell ref="KIF32:KIH32"/>
    <mergeCell ref="KHE32:KHG32"/>
    <mergeCell ref="KHH32:KHJ32"/>
    <mergeCell ref="KHK32:KHM32"/>
    <mergeCell ref="KHN32:KHP32"/>
    <mergeCell ref="KHQ32:KHS32"/>
    <mergeCell ref="KGP32:KGR32"/>
    <mergeCell ref="KGS32:KGU32"/>
    <mergeCell ref="KGV32:KGX32"/>
    <mergeCell ref="KGY32:KHA32"/>
    <mergeCell ref="KHB32:KHD32"/>
    <mergeCell ref="KGA32:KGC32"/>
    <mergeCell ref="KGD32:KGF32"/>
    <mergeCell ref="KGG32:KGI32"/>
    <mergeCell ref="KGJ32:KGL32"/>
    <mergeCell ref="KGM32:KGO32"/>
    <mergeCell ref="KFL32:KFN32"/>
    <mergeCell ref="KFO32:KFQ32"/>
    <mergeCell ref="KFR32:KFT32"/>
    <mergeCell ref="KFU32:KFW32"/>
    <mergeCell ref="KFX32:KFZ32"/>
    <mergeCell ref="KEW32:KEY32"/>
    <mergeCell ref="KEZ32:KFB32"/>
    <mergeCell ref="KFC32:KFE32"/>
    <mergeCell ref="KFF32:KFH32"/>
    <mergeCell ref="KFI32:KFK32"/>
    <mergeCell ref="KEH32:KEJ32"/>
    <mergeCell ref="KEK32:KEM32"/>
    <mergeCell ref="KEN32:KEP32"/>
    <mergeCell ref="KEQ32:KES32"/>
    <mergeCell ref="KET32:KEV32"/>
    <mergeCell ref="KLU32:KLW32"/>
    <mergeCell ref="KLX32:KLZ32"/>
    <mergeCell ref="KMA32:KMC32"/>
    <mergeCell ref="KMD32:KMF32"/>
    <mergeCell ref="KMG32:KMI32"/>
    <mergeCell ref="KLF32:KLH32"/>
    <mergeCell ref="KLI32:KLK32"/>
    <mergeCell ref="KLL32:KLN32"/>
    <mergeCell ref="KLO32:KLQ32"/>
    <mergeCell ref="KLR32:KLT32"/>
    <mergeCell ref="KKQ32:KKS32"/>
    <mergeCell ref="KKT32:KKV32"/>
    <mergeCell ref="KKW32:KKY32"/>
    <mergeCell ref="KKZ32:KLB32"/>
    <mergeCell ref="KLC32:KLE32"/>
    <mergeCell ref="KKB32:KKD32"/>
    <mergeCell ref="KKE32:KKG32"/>
    <mergeCell ref="KKH32:KKJ32"/>
    <mergeCell ref="KKK32:KKM32"/>
    <mergeCell ref="KKN32:KKP32"/>
    <mergeCell ref="KJM32:KJO32"/>
    <mergeCell ref="KJP32:KJR32"/>
    <mergeCell ref="KJS32:KJU32"/>
    <mergeCell ref="KJV32:KJX32"/>
    <mergeCell ref="KJY32:KKA32"/>
    <mergeCell ref="KIX32:KIZ32"/>
    <mergeCell ref="KJA32:KJC32"/>
    <mergeCell ref="KJD32:KJF32"/>
    <mergeCell ref="KJG32:KJI32"/>
    <mergeCell ref="KJJ32:KJL32"/>
    <mergeCell ref="KII32:KIK32"/>
    <mergeCell ref="KIL32:KIN32"/>
    <mergeCell ref="KIO32:KIQ32"/>
    <mergeCell ref="KIR32:KIT32"/>
    <mergeCell ref="KIU32:KIW32"/>
    <mergeCell ref="KPV32:KPX32"/>
    <mergeCell ref="KPY32:KQA32"/>
    <mergeCell ref="KQB32:KQD32"/>
    <mergeCell ref="KQE32:KQG32"/>
    <mergeCell ref="KQH32:KQJ32"/>
    <mergeCell ref="KPG32:KPI32"/>
    <mergeCell ref="KPJ32:KPL32"/>
    <mergeCell ref="KPM32:KPO32"/>
    <mergeCell ref="KPP32:KPR32"/>
    <mergeCell ref="KPS32:KPU32"/>
    <mergeCell ref="KOR32:KOT32"/>
    <mergeCell ref="KOU32:KOW32"/>
    <mergeCell ref="KOX32:KOZ32"/>
    <mergeCell ref="KPA32:KPC32"/>
    <mergeCell ref="KPD32:KPF32"/>
    <mergeCell ref="KOC32:KOE32"/>
    <mergeCell ref="KOF32:KOH32"/>
    <mergeCell ref="KOI32:KOK32"/>
    <mergeCell ref="KOL32:KON32"/>
    <mergeCell ref="KOO32:KOQ32"/>
    <mergeCell ref="KNN32:KNP32"/>
    <mergeCell ref="KNQ32:KNS32"/>
    <mergeCell ref="KNT32:KNV32"/>
    <mergeCell ref="KNW32:KNY32"/>
    <mergeCell ref="KNZ32:KOB32"/>
    <mergeCell ref="KMY32:KNA32"/>
    <mergeCell ref="KNB32:KND32"/>
    <mergeCell ref="KNE32:KNG32"/>
    <mergeCell ref="KNH32:KNJ32"/>
    <mergeCell ref="KNK32:KNM32"/>
    <mergeCell ref="KMJ32:KML32"/>
    <mergeCell ref="KMM32:KMO32"/>
    <mergeCell ref="KMP32:KMR32"/>
    <mergeCell ref="KMS32:KMU32"/>
    <mergeCell ref="KMV32:KMX32"/>
    <mergeCell ref="KTW32:KTY32"/>
    <mergeCell ref="KTZ32:KUB32"/>
    <mergeCell ref="KUC32:KUE32"/>
    <mergeCell ref="KUF32:KUH32"/>
    <mergeCell ref="KUI32:KUK32"/>
    <mergeCell ref="KTH32:KTJ32"/>
    <mergeCell ref="KTK32:KTM32"/>
    <mergeCell ref="KTN32:KTP32"/>
    <mergeCell ref="KTQ32:KTS32"/>
    <mergeCell ref="KTT32:KTV32"/>
    <mergeCell ref="KSS32:KSU32"/>
    <mergeCell ref="KSV32:KSX32"/>
    <mergeCell ref="KSY32:KTA32"/>
    <mergeCell ref="KTB32:KTD32"/>
    <mergeCell ref="KTE32:KTG32"/>
    <mergeCell ref="KSD32:KSF32"/>
    <mergeCell ref="KSG32:KSI32"/>
    <mergeCell ref="KSJ32:KSL32"/>
    <mergeCell ref="KSM32:KSO32"/>
    <mergeCell ref="KSP32:KSR32"/>
    <mergeCell ref="KRO32:KRQ32"/>
    <mergeCell ref="KRR32:KRT32"/>
    <mergeCell ref="KRU32:KRW32"/>
    <mergeCell ref="KRX32:KRZ32"/>
    <mergeCell ref="KSA32:KSC32"/>
    <mergeCell ref="KQZ32:KRB32"/>
    <mergeCell ref="KRC32:KRE32"/>
    <mergeCell ref="KRF32:KRH32"/>
    <mergeCell ref="KRI32:KRK32"/>
    <mergeCell ref="KRL32:KRN32"/>
    <mergeCell ref="KQK32:KQM32"/>
    <mergeCell ref="KQN32:KQP32"/>
    <mergeCell ref="KQQ32:KQS32"/>
    <mergeCell ref="KQT32:KQV32"/>
    <mergeCell ref="KQW32:KQY32"/>
    <mergeCell ref="KXX32:KXZ32"/>
    <mergeCell ref="KYA32:KYC32"/>
    <mergeCell ref="KYD32:KYF32"/>
    <mergeCell ref="KYG32:KYI32"/>
    <mergeCell ref="KYJ32:KYL32"/>
    <mergeCell ref="KXI32:KXK32"/>
    <mergeCell ref="KXL32:KXN32"/>
    <mergeCell ref="KXO32:KXQ32"/>
    <mergeCell ref="KXR32:KXT32"/>
    <mergeCell ref="KXU32:KXW32"/>
    <mergeCell ref="KWT32:KWV32"/>
    <mergeCell ref="KWW32:KWY32"/>
    <mergeCell ref="KWZ32:KXB32"/>
    <mergeCell ref="KXC32:KXE32"/>
    <mergeCell ref="KXF32:KXH32"/>
    <mergeCell ref="KWE32:KWG32"/>
    <mergeCell ref="KWH32:KWJ32"/>
    <mergeCell ref="KWK32:KWM32"/>
    <mergeCell ref="KWN32:KWP32"/>
    <mergeCell ref="KWQ32:KWS32"/>
    <mergeCell ref="KVP32:KVR32"/>
    <mergeCell ref="KVS32:KVU32"/>
    <mergeCell ref="KVV32:KVX32"/>
    <mergeCell ref="KVY32:KWA32"/>
    <mergeCell ref="KWB32:KWD32"/>
    <mergeCell ref="KVA32:KVC32"/>
    <mergeCell ref="KVD32:KVF32"/>
    <mergeCell ref="KVG32:KVI32"/>
    <mergeCell ref="KVJ32:KVL32"/>
    <mergeCell ref="KVM32:KVO32"/>
    <mergeCell ref="KUL32:KUN32"/>
    <mergeCell ref="KUO32:KUQ32"/>
    <mergeCell ref="KUR32:KUT32"/>
    <mergeCell ref="KUU32:KUW32"/>
    <mergeCell ref="KUX32:KUZ32"/>
    <mergeCell ref="LBY32:LCA32"/>
    <mergeCell ref="LCB32:LCD32"/>
    <mergeCell ref="LCE32:LCG32"/>
    <mergeCell ref="LCH32:LCJ32"/>
    <mergeCell ref="LCK32:LCM32"/>
    <mergeCell ref="LBJ32:LBL32"/>
    <mergeCell ref="LBM32:LBO32"/>
    <mergeCell ref="LBP32:LBR32"/>
    <mergeCell ref="LBS32:LBU32"/>
    <mergeCell ref="LBV32:LBX32"/>
    <mergeCell ref="LAU32:LAW32"/>
    <mergeCell ref="LAX32:LAZ32"/>
    <mergeCell ref="LBA32:LBC32"/>
    <mergeCell ref="LBD32:LBF32"/>
    <mergeCell ref="LBG32:LBI32"/>
    <mergeCell ref="LAF32:LAH32"/>
    <mergeCell ref="LAI32:LAK32"/>
    <mergeCell ref="LAL32:LAN32"/>
    <mergeCell ref="LAO32:LAQ32"/>
    <mergeCell ref="LAR32:LAT32"/>
    <mergeCell ref="KZQ32:KZS32"/>
    <mergeCell ref="KZT32:KZV32"/>
    <mergeCell ref="KZW32:KZY32"/>
    <mergeCell ref="KZZ32:LAB32"/>
    <mergeCell ref="LAC32:LAE32"/>
    <mergeCell ref="KZB32:KZD32"/>
    <mergeCell ref="KZE32:KZG32"/>
    <mergeCell ref="KZH32:KZJ32"/>
    <mergeCell ref="KZK32:KZM32"/>
    <mergeCell ref="KZN32:KZP32"/>
    <mergeCell ref="KYM32:KYO32"/>
    <mergeCell ref="KYP32:KYR32"/>
    <mergeCell ref="KYS32:KYU32"/>
    <mergeCell ref="KYV32:KYX32"/>
    <mergeCell ref="KYY32:KZA32"/>
    <mergeCell ref="LFZ32:LGB32"/>
    <mergeCell ref="LGC32:LGE32"/>
    <mergeCell ref="LGF32:LGH32"/>
    <mergeCell ref="LGI32:LGK32"/>
    <mergeCell ref="LGL32:LGN32"/>
    <mergeCell ref="LFK32:LFM32"/>
    <mergeCell ref="LFN32:LFP32"/>
    <mergeCell ref="LFQ32:LFS32"/>
    <mergeCell ref="LFT32:LFV32"/>
    <mergeCell ref="LFW32:LFY32"/>
    <mergeCell ref="LEV32:LEX32"/>
    <mergeCell ref="LEY32:LFA32"/>
    <mergeCell ref="LFB32:LFD32"/>
    <mergeCell ref="LFE32:LFG32"/>
    <mergeCell ref="LFH32:LFJ32"/>
    <mergeCell ref="LEG32:LEI32"/>
    <mergeCell ref="LEJ32:LEL32"/>
    <mergeCell ref="LEM32:LEO32"/>
    <mergeCell ref="LEP32:LER32"/>
    <mergeCell ref="LES32:LEU32"/>
    <mergeCell ref="LDR32:LDT32"/>
    <mergeCell ref="LDU32:LDW32"/>
    <mergeCell ref="LDX32:LDZ32"/>
    <mergeCell ref="LEA32:LEC32"/>
    <mergeCell ref="LED32:LEF32"/>
    <mergeCell ref="LDC32:LDE32"/>
    <mergeCell ref="LDF32:LDH32"/>
    <mergeCell ref="LDI32:LDK32"/>
    <mergeCell ref="LDL32:LDN32"/>
    <mergeCell ref="LDO32:LDQ32"/>
    <mergeCell ref="LCN32:LCP32"/>
    <mergeCell ref="LCQ32:LCS32"/>
    <mergeCell ref="LCT32:LCV32"/>
    <mergeCell ref="LCW32:LCY32"/>
    <mergeCell ref="LCZ32:LDB32"/>
    <mergeCell ref="LKA32:LKC32"/>
    <mergeCell ref="LKD32:LKF32"/>
    <mergeCell ref="LKG32:LKI32"/>
    <mergeCell ref="LKJ32:LKL32"/>
    <mergeCell ref="LKM32:LKO32"/>
    <mergeCell ref="LJL32:LJN32"/>
    <mergeCell ref="LJO32:LJQ32"/>
    <mergeCell ref="LJR32:LJT32"/>
    <mergeCell ref="LJU32:LJW32"/>
    <mergeCell ref="LJX32:LJZ32"/>
    <mergeCell ref="LIW32:LIY32"/>
    <mergeCell ref="LIZ32:LJB32"/>
    <mergeCell ref="LJC32:LJE32"/>
    <mergeCell ref="LJF32:LJH32"/>
    <mergeCell ref="LJI32:LJK32"/>
    <mergeCell ref="LIH32:LIJ32"/>
    <mergeCell ref="LIK32:LIM32"/>
    <mergeCell ref="LIN32:LIP32"/>
    <mergeCell ref="LIQ32:LIS32"/>
    <mergeCell ref="LIT32:LIV32"/>
    <mergeCell ref="LHS32:LHU32"/>
    <mergeCell ref="LHV32:LHX32"/>
    <mergeCell ref="LHY32:LIA32"/>
    <mergeCell ref="LIB32:LID32"/>
    <mergeCell ref="LIE32:LIG32"/>
    <mergeCell ref="LHD32:LHF32"/>
    <mergeCell ref="LHG32:LHI32"/>
    <mergeCell ref="LHJ32:LHL32"/>
    <mergeCell ref="LHM32:LHO32"/>
    <mergeCell ref="LHP32:LHR32"/>
    <mergeCell ref="LGO32:LGQ32"/>
    <mergeCell ref="LGR32:LGT32"/>
    <mergeCell ref="LGU32:LGW32"/>
    <mergeCell ref="LGX32:LGZ32"/>
    <mergeCell ref="LHA32:LHC32"/>
    <mergeCell ref="LOB32:LOD32"/>
    <mergeCell ref="LOE32:LOG32"/>
    <mergeCell ref="LOH32:LOJ32"/>
    <mergeCell ref="LOK32:LOM32"/>
    <mergeCell ref="LON32:LOP32"/>
    <mergeCell ref="LNM32:LNO32"/>
    <mergeCell ref="LNP32:LNR32"/>
    <mergeCell ref="LNS32:LNU32"/>
    <mergeCell ref="LNV32:LNX32"/>
    <mergeCell ref="LNY32:LOA32"/>
    <mergeCell ref="LMX32:LMZ32"/>
    <mergeCell ref="LNA32:LNC32"/>
    <mergeCell ref="LND32:LNF32"/>
    <mergeCell ref="LNG32:LNI32"/>
    <mergeCell ref="LNJ32:LNL32"/>
    <mergeCell ref="LMI32:LMK32"/>
    <mergeCell ref="LML32:LMN32"/>
    <mergeCell ref="LMO32:LMQ32"/>
    <mergeCell ref="LMR32:LMT32"/>
    <mergeCell ref="LMU32:LMW32"/>
    <mergeCell ref="LLT32:LLV32"/>
    <mergeCell ref="LLW32:LLY32"/>
    <mergeCell ref="LLZ32:LMB32"/>
    <mergeCell ref="LMC32:LME32"/>
    <mergeCell ref="LMF32:LMH32"/>
    <mergeCell ref="LLE32:LLG32"/>
    <mergeCell ref="LLH32:LLJ32"/>
    <mergeCell ref="LLK32:LLM32"/>
    <mergeCell ref="LLN32:LLP32"/>
    <mergeCell ref="LLQ32:LLS32"/>
    <mergeCell ref="LKP32:LKR32"/>
    <mergeCell ref="LKS32:LKU32"/>
    <mergeCell ref="LKV32:LKX32"/>
    <mergeCell ref="LKY32:LLA32"/>
    <mergeCell ref="LLB32:LLD32"/>
    <mergeCell ref="LSC32:LSE32"/>
    <mergeCell ref="LSF32:LSH32"/>
    <mergeCell ref="LSI32:LSK32"/>
    <mergeCell ref="LSL32:LSN32"/>
    <mergeCell ref="LSO32:LSQ32"/>
    <mergeCell ref="LRN32:LRP32"/>
    <mergeCell ref="LRQ32:LRS32"/>
    <mergeCell ref="LRT32:LRV32"/>
    <mergeCell ref="LRW32:LRY32"/>
    <mergeCell ref="LRZ32:LSB32"/>
    <mergeCell ref="LQY32:LRA32"/>
    <mergeCell ref="LRB32:LRD32"/>
    <mergeCell ref="LRE32:LRG32"/>
    <mergeCell ref="LRH32:LRJ32"/>
    <mergeCell ref="LRK32:LRM32"/>
    <mergeCell ref="LQJ32:LQL32"/>
    <mergeCell ref="LQM32:LQO32"/>
    <mergeCell ref="LQP32:LQR32"/>
    <mergeCell ref="LQS32:LQU32"/>
    <mergeCell ref="LQV32:LQX32"/>
    <mergeCell ref="LPU32:LPW32"/>
    <mergeCell ref="LPX32:LPZ32"/>
    <mergeCell ref="LQA32:LQC32"/>
    <mergeCell ref="LQD32:LQF32"/>
    <mergeCell ref="LQG32:LQI32"/>
    <mergeCell ref="LPF32:LPH32"/>
    <mergeCell ref="LPI32:LPK32"/>
    <mergeCell ref="LPL32:LPN32"/>
    <mergeCell ref="LPO32:LPQ32"/>
    <mergeCell ref="LPR32:LPT32"/>
    <mergeCell ref="LOQ32:LOS32"/>
    <mergeCell ref="LOT32:LOV32"/>
    <mergeCell ref="LOW32:LOY32"/>
    <mergeCell ref="LOZ32:LPB32"/>
    <mergeCell ref="LPC32:LPE32"/>
    <mergeCell ref="LWD32:LWF32"/>
    <mergeCell ref="LWG32:LWI32"/>
    <mergeCell ref="LWJ32:LWL32"/>
    <mergeCell ref="LWM32:LWO32"/>
    <mergeCell ref="LWP32:LWR32"/>
    <mergeCell ref="LVO32:LVQ32"/>
    <mergeCell ref="LVR32:LVT32"/>
    <mergeCell ref="LVU32:LVW32"/>
    <mergeCell ref="LVX32:LVZ32"/>
    <mergeCell ref="LWA32:LWC32"/>
    <mergeCell ref="LUZ32:LVB32"/>
    <mergeCell ref="LVC32:LVE32"/>
    <mergeCell ref="LVF32:LVH32"/>
    <mergeCell ref="LVI32:LVK32"/>
    <mergeCell ref="LVL32:LVN32"/>
    <mergeCell ref="LUK32:LUM32"/>
    <mergeCell ref="LUN32:LUP32"/>
    <mergeCell ref="LUQ32:LUS32"/>
    <mergeCell ref="LUT32:LUV32"/>
    <mergeCell ref="LUW32:LUY32"/>
    <mergeCell ref="LTV32:LTX32"/>
    <mergeCell ref="LTY32:LUA32"/>
    <mergeCell ref="LUB32:LUD32"/>
    <mergeCell ref="LUE32:LUG32"/>
    <mergeCell ref="LUH32:LUJ32"/>
    <mergeCell ref="LTG32:LTI32"/>
    <mergeCell ref="LTJ32:LTL32"/>
    <mergeCell ref="LTM32:LTO32"/>
    <mergeCell ref="LTP32:LTR32"/>
    <mergeCell ref="LTS32:LTU32"/>
    <mergeCell ref="LSR32:LST32"/>
    <mergeCell ref="LSU32:LSW32"/>
    <mergeCell ref="LSX32:LSZ32"/>
    <mergeCell ref="LTA32:LTC32"/>
    <mergeCell ref="LTD32:LTF32"/>
    <mergeCell ref="MAE32:MAG32"/>
    <mergeCell ref="MAH32:MAJ32"/>
    <mergeCell ref="MAK32:MAM32"/>
    <mergeCell ref="MAN32:MAP32"/>
    <mergeCell ref="MAQ32:MAS32"/>
    <mergeCell ref="LZP32:LZR32"/>
    <mergeCell ref="LZS32:LZU32"/>
    <mergeCell ref="LZV32:LZX32"/>
    <mergeCell ref="LZY32:MAA32"/>
    <mergeCell ref="MAB32:MAD32"/>
    <mergeCell ref="LZA32:LZC32"/>
    <mergeCell ref="LZD32:LZF32"/>
    <mergeCell ref="LZG32:LZI32"/>
    <mergeCell ref="LZJ32:LZL32"/>
    <mergeCell ref="LZM32:LZO32"/>
    <mergeCell ref="LYL32:LYN32"/>
    <mergeCell ref="LYO32:LYQ32"/>
    <mergeCell ref="LYR32:LYT32"/>
    <mergeCell ref="LYU32:LYW32"/>
    <mergeCell ref="LYX32:LYZ32"/>
    <mergeCell ref="LXW32:LXY32"/>
    <mergeCell ref="LXZ32:LYB32"/>
    <mergeCell ref="LYC32:LYE32"/>
    <mergeCell ref="LYF32:LYH32"/>
    <mergeCell ref="LYI32:LYK32"/>
    <mergeCell ref="LXH32:LXJ32"/>
    <mergeCell ref="LXK32:LXM32"/>
    <mergeCell ref="LXN32:LXP32"/>
    <mergeCell ref="LXQ32:LXS32"/>
    <mergeCell ref="LXT32:LXV32"/>
    <mergeCell ref="LWS32:LWU32"/>
    <mergeCell ref="LWV32:LWX32"/>
    <mergeCell ref="LWY32:LXA32"/>
    <mergeCell ref="LXB32:LXD32"/>
    <mergeCell ref="LXE32:LXG32"/>
    <mergeCell ref="MEF32:MEH32"/>
    <mergeCell ref="MEI32:MEK32"/>
    <mergeCell ref="MEL32:MEN32"/>
    <mergeCell ref="MEO32:MEQ32"/>
    <mergeCell ref="MER32:MET32"/>
    <mergeCell ref="MDQ32:MDS32"/>
    <mergeCell ref="MDT32:MDV32"/>
    <mergeCell ref="MDW32:MDY32"/>
    <mergeCell ref="MDZ32:MEB32"/>
    <mergeCell ref="MEC32:MEE32"/>
    <mergeCell ref="MDB32:MDD32"/>
    <mergeCell ref="MDE32:MDG32"/>
    <mergeCell ref="MDH32:MDJ32"/>
    <mergeCell ref="MDK32:MDM32"/>
    <mergeCell ref="MDN32:MDP32"/>
    <mergeCell ref="MCM32:MCO32"/>
    <mergeCell ref="MCP32:MCR32"/>
    <mergeCell ref="MCS32:MCU32"/>
    <mergeCell ref="MCV32:MCX32"/>
    <mergeCell ref="MCY32:MDA32"/>
    <mergeCell ref="MBX32:MBZ32"/>
    <mergeCell ref="MCA32:MCC32"/>
    <mergeCell ref="MCD32:MCF32"/>
    <mergeCell ref="MCG32:MCI32"/>
    <mergeCell ref="MCJ32:MCL32"/>
    <mergeCell ref="MBI32:MBK32"/>
    <mergeCell ref="MBL32:MBN32"/>
    <mergeCell ref="MBO32:MBQ32"/>
    <mergeCell ref="MBR32:MBT32"/>
    <mergeCell ref="MBU32:MBW32"/>
    <mergeCell ref="MAT32:MAV32"/>
    <mergeCell ref="MAW32:MAY32"/>
    <mergeCell ref="MAZ32:MBB32"/>
    <mergeCell ref="MBC32:MBE32"/>
    <mergeCell ref="MBF32:MBH32"/>
    <mergeCell ref="MIG32:MII32"/>
    <mergeCell ref="MIJ32:MIL32"/>
    <mergeCell ref="MIM32:MIO32"/>
    <mergeCell ref="MIP32:MIR32"/>
    <mergeCell ref="MIS32:MIU32"/>
    <mergeCell ref="MHR32:MHT32"/>
    <mergeCell ref="MHU32:MHW32"/>
    <mergeCell ref="MHX32:MHZ32"/>
    <mergeCell ref="MIA32:MIC32"/>
    <mergeCell ref="MID32:MIF32"/>
    <mergeCell ref="MHC32:MHE32"/>
    <mergeCell ref="MHF32:MHH32"/>
    <mergeCell ref="MHI32:MHK32"/>
    <mergeCell ref="MHL32:MHN32"/>
    <mergeCell ref="MHO32:MHQ32"/>
    <mergeCell ref="MGN32:MGP32"/>
    <mergeCell ref="MGQ32:MGS32"/>
    <mergeCell ref="MGT32:MGV32"/>
    <mergeCell ref="MGW32:MGY32"/>
    <mergeCell ref="MGZ32:MHB32"/>
    <mergeCell ref="MFY32:MGA32"/>
    <mergeCell ref="MGB32:MGD32"/>
    <mergeCell ref="MGE32:MGG32"/>
    <mergeCell ref="MGH32:MGJ32"/>
    <mergeCell ref="MGK32:MGM32"/>
    <mergeCell ref="MFJ32:MFL32"/>
    <mergeCell ref="MFM32:MFO32"/>
    <mergeCell ref="MFP32:MFR32"/>
    <mergeCell ref="MFS32:MFU32"/>
    <mergeCell ref="MFV32:MFX32"/>
    <mergeCell ref="MEU32:MEW32"/>
    <mergeCell ref="MEX32:MEZ32"/>
    <mergeCell ref="MFA32:MFC32"/>
    <mergeCell ref="MFD32:MFF32"/>
    <mergeCell ref="MFG32:MFI32"/>
    <mergeCell ref="MMH32:MMJ32"/>
    <mergeCell ref="MMK32:MMM32"/>
    <mergeCell ref="MMN32:MMP32"/>
    <mergeCell ref="MMQ32:MMS32"/>
    <mergeCell ref="MMT32:MMV32"/>
    <mergeCell ref="MLS32:MLU32"/>
    <mergeCell ref="MLV32:MLX32"/>
    <mergeCell ref="MLY32:MMA32"/>
    <mergeCell ref="MMB32:MMD32"/>
    <mergeCell ref="MME32:MMG32"/>
    <mergeCell ref="MLD32:MLF32"/>
    <mergeCell ref="MLG32:MLI32"/>
    <mergeCell ref="MLJ32:MLL32"/>
    <mergeCell ref="MLM32:MLO32"/>
    <mergeCell ref="MLP32:MLR32"/>
    <mergeCell ref="MKO32:MKQ32"/>
    <mergeCell ref="MKR32:MKT32"/>
    <mergeCell ref="MKU32:MKW32"/>
    <mergeCell ref="MKX32:MKZ32"/>
    <mergeCell ref="MLA32:MLC32"/>
    <mergeCell ref="MJZ32:MKB32"/>
    <mergeCell ref="MKC32:MKE32"/>
    <mergeCell ref="MKF32:MKH32"/>
    <mergeCell ref="MKI32:MKK32"/>
    <mergeCell ref="MKL32:MKN32"/>
    <mergeCell ref="MJK32:MJM32"/>
    <mergeCell ref="MJN32:MJP32"/>
    <mergeCell ref="MJQ32:MJS32"/>
    <mergeCell ref="MJT32:MJV32"/>
    <mergeCell ref="MJW32:MJY32"/>
    <mergeCell ref="MIV32:MIX32"/>
    <mergeCell ref="MIY32:MJA32"/>
    <mergeCell ref="MJB32:MJD32"/>
    <mergeCell ref="MJE32:MJG32"/>
    <mergeCell ref="MJH32:MJJ32"/>
    <mergeCell ref="MQI32:MQK32"/>
    <mergeCell ref="MQL32:MQN32"/>
    <mergeCell ref="MQO32:MQQ32"/>
    <mergeCell ref="MQR32:MQT32"/>
    <mergeCell ref="MQU32:MQW32"/>
    <mergeCell ref="MPT32:MPV32"/>
    <mergeCell ref="MPW32:MPY32"/>
    <mergeCell ref="MPZ32:MQB32"/>
    <mergeCell ref="MQC32:MQE32"/>
    <mergeCell ref="MQF32:MQH32"/>
    <mergeCell ref="MPE32:MPG32"/>
    <mergeCell ref="MPH32:MPJ32"/>
    <mergeCell ref="MPK32:MPM32"/>
    <mergeCell ref="MPN32:MPP32"/>
    <mergeCell ref="MPQ32:MPS32"/>
    <mergeCell ref="MOP32:MOR32"/>
    <mergeCell ref="MOS32:MOU32"/>
    <mergeCell ref="MOV32:MOX32"/>
    <mergeCell ref="MOY32:MPA32"/>
    <mergeCell ref="MPB32:MPD32"/>
    <mergeCell ref="MOA32:MOC32"/>
    <mergeCell ref="MOD32:MOF32"/>
    <mergeCell ref="MOG32:MOI32"/>
    <mergeCell ref="MOJ32:MOL32"/>
    <mergeCell ref="MOM32:MOO32"/>
    <mergeCell ref="MNL32:MNN32"/>
    <mergeCell ref="MNO32:MNQ32"/>
    <mergeCell ref="MNR32:MNT32"/>
    <mergeCell ref="MNU32:MNW32"/>
    <mergeCell ref="MNX32:MNZ32"/>
    <mergeCell ref="MMW32:MMY32"/>
    <mergeCell ref="MMZ32:MNB32"/>
    <mergeCell ref="MNC32:MNE32"/>
    <mergeCell ref="MNF32:MNH32"/>
    <mergeCell ref="MNI32:MNK32"/>
    <mergeCell ref="MUJ32:MUL32"/>
    <mergeCell ref="MUM32:MUO32"/>
    <mergeCell ref="MUP32:MUR32"/>
    <mergeCell ref="MUS32:MUU32"/>
    <mergeCell ref="MUV32:MUX32"/>
    <mergeCell ref="MTU32:MTW32"/>
    <mergeCell ref="MTX32:MTZ32"/>
    <mergeCell ref="MUA32:MUC32"/>
    <mergeCell ref="MUD32:MUF32"/>
    <mergeCell ref="MUG32:MUI32"/>
    <mergeCell ref="MTF32:MTH32"/>
    <mergeCell ref="MTI32:MTK32"/>
    <mergeCell ref="MTL32:MTN32"/>
    <mergeCell ref="MTO32:MTQ32"/>
    <mergeCell ref="MTR32:MTT32"/>
    <mergeCell ref="MSQ32:MSS32"/>
    <mergeCell ref="MST32:MSV32"/>
    <mergeCell ref="MSW32:MSY32"/>
    <mergeCell ref="MSZ32:MTB32"/>
    <mergeCell ref="MTC32:MTE32"/>
    <mergeCell ref="MSB32:MSD32"/>
    <mergeCell ref="MSE32:MSG32"/>
    <mergeCell ref="MSH32:MSJ32"/>
    <mergeCell ref="MSK32:MSM32"/>
    <mergeCell ref="MSN32:MSP32"/>
    <mergeCell ref="MRM32:MRO32"/>
    <mergeCell ref="MRP32:MRR32"/>
    <mergeCell ref="MRS32:MRU32"/>
    <mergeCell ref="MRV32:MRX32"/>
    <mergeCell ref="MRY32:MSA32"/>
    <mergeCell ref="MQX32:MQZ32"/>
    <mergeCell ref="MRA32:MRC32"/>
    <mergeCell ref="MRD32:MRF32"/>
    <mergeCell ref="MRG32:MRI32"/>
    <mergeCell ref="MRJ32:MRL32"/>
    <mergeCell ref="MYK32:MYM32"/>
    <mergeCell ref="MYN32:MYP32"/>
    <mergeCell ref="MYQ32:MYS32"/>
    <mergeCell ref="MYT32:MYV32"/>
    <mergeCell ref="MYW32:MYY32"/>
    <mergeCell ref="MXV32:MXX32"/>
    <mergeCell ref="MXY32:MYA32"/>
    <mergeCell ref="MYB32:MYD32"/>
    <mergeCell ref="MYE32:MYG32"/>
    <mergeCell ref="MYH32:MYJ32"/>
    <mergeCell ref="MXG32:MXI32"/>
    <mergeCell ref="MXJ32:MXL32"/>
    <mergeCell ref="MXM32:MXO32"/>
    <mergeCell ref="MXP32:MXR32"/>
    <mergeCell ref="MXS32:MXU32"/>
    <mergeCell ref="MWR32:MWT32"/>
    <mergeCell ref="MWU32:MWW32"/>
    <mergeCell ref="MWX32:MWZ32"/>
    <mergeCell ref="MXA32:MXC32"/>
    <mergeCell ref="MXD32:MXF32"/>
    <mergeCell ref="MWC32:MWE32"/>
    <mergeCell ref="MWF32:MWH32"/>
    <mergeCell ref="MWI32:MWK32"/>
    <mergeCell ref="MWL32:MWN32"/>
    <mergeCell ref="MWO32:MWQ32"/>
    <mergeCell ref="MVN32:MVP32"/>
    <mergeCell ref="MVQ32:MVS32"/>
    <mergeCell ref="MVT32:MVV32"/>
    <mergeCell ref="MVW32:MVY32"/>
    <mergeCell ref="MVZ32:MWB32"/>
    <mergeCell ref="MUY32:MVA32"/>
    <mergeCell ref="MVB32:MVD32"/>
    <mergeCell ref="MVE32:MVG32"/>
    <mergeCell ref="MVH32:MVJ32"/>
    <mergeCell ref="MVK32:MVM32"/>
    <mergeCell ref="NCL32:NCN32"/>
    <mergeCell ref="NCO32:NCQ32"/>
    <mergeCell ref="NCR32:NCT32"/>
    <mergeCell ref="NCU32:NCW32"/>
    <mergeCell ref="NCX32:NCZ32"/>
    <mergeCell ref="NBW32:NBY32"/>
    <mergeCell ref="NBZ32:NCB32"/>
    <mergeCell ref="NCC32:NCE32"/>
    <mergeCell ref="NCF32:NCH32"/>
    <mergeCell ref="NCI32:NCK32"/>
    <mergeCell ref="NBH32:NBJ32"/>
    <mergeCell ref="NBK32:NBM32"/>
    <mergeCell ref="NBN32:NBP32"/>
    <mergeCell ref="NBQ32:NBS32"/>
    <mergeCell ref="NBT32:NBV32"/>
    <mergeCell ref="NAS32:NAU32"/>
    <mergeCell ref="NAV32:NAX32"/>
    <mergeCell ref="NAY32:NBA32"/>
    <mergeCell ref="NBB32:NBD32"/>
    <mergeCell ref="NBE32:NBG32"/>
    <mergeCell ref="NAD32:NAF32"/>
    <mergeCell ref="NAG32:NAI32"/>
    <mergeCell ref="NAJ32:NAL32"/>
    <mergeCell ref="NAM32:NAO32"/>
    <mergeCell ref="NAP32:NAR32"/>
    <mergeCell ref="MZO32:MZQ32"/>
    <mergeCell ref="MZR32:MZT32"/>
    <mergeCell ref="MZU32:MZW32"/>
    <mergeCell ref="MZX32:MZZ32"/>
    <mergeCell ref="NAA32:NAC32"/>
    <mergeCell ref="MYZ32:MZB32"/>
    <mergeCell ref="MZC32:MZE32"/>
    <mergeCell ref="MZF32:MZH32"/>
    <mergeCell ref="MZI32:MZK32"/>
    <mergeCell ref="MZL32:MZN32"/>
    <mergeCell ref="NGM32:NGO32"/>
    <mergeCell ref="NGP32:NGR32"/>
    <mergeCell ref="NGS32:NGU32"/>
    <mergeCell ref="NGV32:NGX32"/>
    <mergeCell ref="NGY32:NHA32"/>
    <mergeCell ref="NFX32:NFZ32"/>
    <mergeCell ref="NGA32:NGC32"/>
    <mergeCell ref="NGD32:NGF32"/>
    <mergeCell ref="NGG32:NGI32"/>
    <mergeCell ref="NGJ32:NGL32"/>
    <mergeCell ref="NFI32:NFK32"/>
    <mergeCell ref="NFL32:NFN32"/>
    <mergeCell ref="NFO32:NFQ32"/>
    <mergeCell ref="NFR32:NFT32"/>
    <mergeCell ref="NFU32:NFW32"/>
    <mergeCell ref="NET32:NEV32"/>
    <mergeCell ref="NEW32:NEY32"/>
    <mergeCell ref="NEZ32:NFB32"/>
    <mergeCell ref="NFC32:NFE32"/>
    <mergeCell ref="NFF32:NFH32"/>
    <mergeCell ref="NEE32:NEG32"/>
    <mergeCell ref="NEH32:NEJ32"/>
    <mergeCell ref="NEK32:NEM32"/>
    <mergeCell ref="NEN32:NEP32"/>
    <mergeCell ref="NEQ32:NES32"/>
    <mergeCell ref="NDP32:NDR32"/>
    <mergeCell ref="NDS32:NDU32"/>
    <mergeCell ref="NDV32:NDX32"/>
    <mergeCell ref="NDY32:NEA32"/>
    <mergeCell ref="NEB32:NED32"/>
    <mergeCell ref="NDA32:NDC32"/>
    <mergeCell ref="NDD32:NDF32"/>
    <mergeCell ref="NDG32:NDI32"/>
    <mergeCell ref="NDJ32:NDL32"/>
    <mergeCell ref="NDM32:NDO32"/>
    <mergeCell ref="NKN32:NKP32"/>
    <mergeCell ref="NKQ32:NKS32"/>
    <mergeCell ref="NKT32:NKV32"/>
    <mergeCell ref="NKW32:NKY32"/>
    <mergeCell ref="NKZ32:NLB32"/>
    <mergeCell ref="NJY32:NKA32"/>
    <mergeCell ref="NKB32:NKD32"/>
    <mergeCell ref="NKE32:NKG32"/>
    <mergeCell ref="NKH32:NKJ32"/>
    <mergeCell ref="NKK32:NKM32"/>
    <mergeCell ref="NJJ32:NJL32"/>
    <mergeCell ref="NJM32:NJO32"/>
    <mergeCell ref="NJP32:NJR32"/>
    <mergeCell ref="NJS32:NJU32"/>
    <mergeCell ref="NJV32:NJX32"/>
    <mergeCell ref="NIU32:NIW32"/>
    <mergeCell ref="NIX32:NIZ32"/>
    <mergeCell ref="NJA32:NJC32"/>
    <mergeCell ref="NJD32:NJF32"/>
    <mergeCell ref="NJG32:NJI32"/>
    <mergeCell ref="NIF32:NIH32"/>
    <mergeCell ref="NII32:NIK32"/>
    <mergeCell ref="NIL32:NIN32"/>
    <mergeCell ref="NIO32:NIQ32"/>
    <mergeCell ref="NIR32:NIT32"/>
    <mergeCell ref="NHQ32:NHS32"/>
    <mergeCell ref="NHT32:NHV32"/>
    <mergeCell ref="NHW32:NHY32"/>
    <mergeCell ref="NHZ32:NIB32"/>
    <mergeCell ref="NIC32:NIE32"/>
    <mergeCell ref="NHB32:NHD32"/>
    <mergeCell ref="NHE32:NHG32"/>
    <mergeCell ref="NHH32:NHJ32"/>
    <mergeCell ref="NHK32:NHM32"/>
    <mergeCell ref="NHN32:NHP32"/>
    <mergeCell ref="NOO32:NOQ32"/>
    <mergeCell ref="NOR32:NOT32"/>
    <mergeCell ref="NOU32:NOW32"/>
    <mergeCell ref="NOX32:NOZ32"/>
    <mergeCell ref="NPA32:NPC32"/>
    <mergeCell ref="NNZ32:NOB32"/>
    <mergeCell ref="NOC32:NOE32"/>
    <mergeCell ref="NOF32:NOH32"/>
    <mergeCell ref="NOI32:NOK32"/>
    <mergeCell ref="NOL32:NON32"/>
    <mergeCell ref="NNK32:NNM32"/>
    <mergeCell ref="NNN32:NNP32"/>
    <mergeCell ref="NNQ32:NNS32"/>
    <mergeCell ref="NNT32:NNV32"/>
    <mergeCell ref="NNW32:NNY32"/>
    <mergeCell ref="NMV32:NMX32"/>
    <mergeCell ref="NMY32:NNA32"/>
    <mergeCell ref="NNB32:NND32"/>
    <mergeCell ref="NNE32:NNG32"/>
    <mergeCell ref="NNH32:NNJ32"/>
    <mergeCell ref="NMG32:NMI32"/>
    <mergeCell ref="NMJ32:NML32"/>
    <mergeCell ref="NMM32:NMO32"/>
    <mergeCell ref="NMP32:NMR32"/>
    <mergeCell ref="NMS32:NMU32"/>
    <mergeCell ref="NLR32:NLT32"/>
    <mergeCell ref="NLU32:NLW32"/>
    <mergeCell ref="NLX32:NLZ32"/>
    <mergeCell ref="NMA32:NMC32"/>
    <mergeCell ref="NMD32:NMF32"/>
    <mergeCell ref="NLC32:NLE32"/>
    <mergeCell ref="NLF32:NLH32"/>
    <mergeCell ref="NLI32:NLK32"/>
    <mergeCell ref="NLL32:NLN32"/>
    <mergeCell ref="NLO32:NLQ32"/>
    <mergeCell ref="NSP32:NSR32"/>
    <mergeCell ref="NSS32:NSU32"/>
    <mergeCell ref="NSV32:NSX32"/>
    <mergeCell ref="NSY32:NTA32"/>
    <mergeCell ref="NTB32:NTD32"/>
    <mergeCell ref="NSA32:NSC32"/>
    <mergeCell ref="NSD32:NSF32"/>
    <mergeCell ref="NSG32:NSI32"/>
    <mergeCell ref="NSJ32:NSL32"/>
    <mergeCell ref="NSM32:NSO32"/>
    <mergeCell ref="NRL32:NRN32"/>
    <mergeCell ref="NRO32:NRQ32"/>
    <mergeCell ref="NRR32:NRT32"/>
    <mergeCell ref="NRU32:NRW32"/>
    <mergeCell ref="NRX32:NRZ32"/>
    <mergeCell ref="NQW32:NQY32"/>
    <mergeCell ref="NQZ32:NRB32"/>
    <mergeCell ref="NRC32:NRE32"/>
    <mergeCell ref="NRF32:NRH32"/>
    <mergeCell ref="NRI32:NRK32"/>
    <mergeCell ref="NQH32:NQJ32"/>
    <mergeCell ref="NQK32:NQM32"/>
    <mergeCell ref="NQN32:NQP32"/>
    <mergeCell ref="NQQ32:NQS32"/>
    <mergeCell ref="NQT32:NQV32"/>
    <mergeCell ref="NPS32:NPU32"/>
    <mergeCell ref="NPV32:NPX32"/>
    <mergeCell ref="NPY32:NQA32"/>
    <mergeCell ref="NQB32:NQD32"/>
    <mergeCell ref="NQE32:NQG32"/>
    <mergeCell ref="NPD32:NPF32"/>
    <mergeCell ref="NPG32:NPI32"/>
    <mergeCell ref="NPJ32:NPL32"/>
    <mergeCell ref="NPM32:NPO32"/>
    <mergeCell ref="NPP32:NPR32"/>
    <mergeCell ref="NWQ32:NWS32"/>
    <mergeCell ref="NWT32:NWV32"/>
    <mergeCell ref="NWW32:NWY32"/>
    <mergeCell ref="NWZ32:NXB32"/>
    <mergeCell ref="NXC32:NXE32"/>
    <mergeCell ref="NWB32:NWD32"/>
    <mergeCell ref="NWE32:NWG32"/>
    <mergeCell ref="NWH32:NWJ32"/>
    <mergeCell ref="NWK32:NWM32"/>
    <mergeCell ref="NWN32:NWP32"/>
    <mergeCell ref="NVM32:NVO32"/>
    <mergeCell ref="NVP32:NVR32"/>
    <mergeCell ref="NVS32:NVU32"/>
    <mergeCell ref="NVV32:NVX32"/>
    <mergeCell ref="NVY32:NWA32"/>
    <mergeCell ref="NUX32:NUZ32"/>
    <mergeCell ref="NVA32:NVC32"/>
    <mergeCell ref="NVD32:NVF32"/>
    <mergeCell ref="NVG32:NVI32"/>
    <mergeCell ref="NVJ32:NVL32"/>
    <mergeCell ref="NUI32:NUK32"/>
    <mergeCell ref="NUL32:NUN32"/>
    <mergeCell ref="NUO32:NUQ32"/>
    <mergeCell ref="NUR32:NUT32"/>
    <mergeCell ref="NUU32:NUW32"/>
    <mergeCell ref="NTT32:NTV32"/>
    <mergeCell ref="NTW32:NTY32"/>
    <mergeCell ref="NTZ32:NUB32"/>
    <mergeCell ref="NUC32:NUE32"/>
    <mergeCell ref="NUF32:NUH32"/>
    <mergeCell ref="NTE32:NTG32"/>
    <mergeCell ref="NTH32:NTJ32"/>
    <mergeCell ref="NTK32:NTM32"/>
    <mergeCell ref="NTN32:NTP32"/>
    <mergeCell ref="NTQ32:NTS32"/>
    <mergeCell ref="OAR32:OAT32"/>
    <mergeCell ref="OAU32:OAW32"/>
    <mergeCell ref="OAX32:OAZ32"/>
    <mergeCell ref="OBA32:OBC32"/>
    <mergeCell ref="OBD32:OBF32"/>
    <mergeCell ref="OAC32:OAE32"/>
    <mergeCell ref="OAF32:OAH32"/>
    <mergeCell ref="OAI32:OAK32"/>
    <mergeCell ref="OAL32:OAN32"/>
    <mergeCell ref="OAO32:OAQ32"/>
    <mergeCell ref="NZN32:NZP32"/>
    <mergeCell ref="NZQ32:NZS32"/>
    <mergeCell ref="NZT32:NZV32"/>
    <mergeCell ref="NZW32:NZY32"/>
    <mergeCell ref="NZZ32:OAB32"/>
    <mergeCell ref="NYY32:NZA32"/>
    <mergeCell ref="NZB32:NZD32"/>
    <mergeCell ref="NZE32:NZG32"/>
    <mergeCell ref="NZH32:NZJ32"/>
    <mergeCell ref="NZK32:NZM32"/>
    <mergeCell ref="NYJ32:NYL32"/>
    <mergeCell ref="NYM32:NYO32"/>
    <mergeCell ref="NYP32:NYR32"/>
    <mergeCell ref="NYS32:NYU32"/>
    <mergeCell ref="NYV32:NYX32"/>
    <mergeCell ref="NXU32:NXW32"/>
    <mergeCell ref="NXX32:NXZ32"/>
    <mergeCell ref="NYA32:NYC32"/>
    <mergeCell ref="NYD32:NYF32"/>
    <mergeCell ref="NYG32:NYI32"/>
    <mergeCell ref="NXF32:NXH32"/>
    <mergeCell ref="NXI32:NXK32"/>
    <mergeCell ref="NXL32:NXN32"/>
    <mergeCell ref="NXO32:NXQ32"/>
    <mergeCell ref="NXR32:NXT32"/>
    <mergeCell ref="OES32:OEU32"/>
    <mergeCell ref="OEV32:OEX32"/>
    <mergeCell ref="OEY32:OFA32"/>
    <mergeCell ref="OFB32:OFD32"/>
    <mergeCell ref="OFE32:OFG32"/>
    <mergeCell ref="OED32:OEF32"/>
    <mergeCell ref="OEG32:OEI32"/>
    <mergeCell ref="OEJ32:OEL32"/>
    <mergeCell ref="OEM32:OEO32"/>
    <mergeCell ref="OEP32:OER32"/>
    <mergeCell ref="ODO32:ODQ32"/>
    <mergeCell ref="ODR32:ODT32"/>
    <mergeCell ref="ODU32:ODW32"/>
    <mergeCell ref="ODX32:ODZ32"/>
    <mergeCell ref="OEA32:OEC32"/>
    <mergeCell ref="OCZ32:ODB32"/>
    <mergeCell ref="ODC32:ODE32"/>
    <mergeCell ref="ODF32:ODH32"/>
    <mergeCell ref="ODI32:ODK32"/>
    <mergeCell ref="ODL32:ODN32"/>
    <mergeCell ref="OCK32:OCM32"/>
    <mergeCell ref="OCN32:OCP32"/>
    <mergeCell ref="OCQ32:OCS32"/>
    <mergeCell ref="OCT32:OCV32"/>
    <mergeCell ref="OCW32:OCY32"/>
    <mergeCell ref="OBV32:OBX32"/>
    <mergeCell ref="OBY32:OCA32"/>
    <mergeCell ref="OCB32:OCD32"/>
    <mergeCell ref="OCE32:OCG32"/>
    <mergeCell ref="OCH32:OCJ32"/>
    <mergeCell ref="OBG32:OBI32"/>
    <mergeCell ref="OBJ32:OBL32"/>
    <mergeCell ref="OBM32:OBO32"/>
    <mergeCell ref="OBP32:OBR32"/>
    <mergeCell ref="OBS32:OBU32"/>
    <mergeCell ref="OIT32:OIV32"/>
    <mergeCell ref="OIW32:OIY32"/>
    <mergeCell ref="OIZ32:OJB32"/>
    <mergeCell ref="OJC32:OJE32"/>
    <mergeCell ref="OJF32:OJH32"/>
    <mergeCell ref="OIE32:OIG32"/>
    <mergeCell ref="OIH32:OIJ32"/>
    <mergeCell ref="OIK32:OIM32"/>
    <mergeCell ref="OIN32:OIP32"/>
    <mergeCell ref="OIQ32:OIS32"/>
    <mergeCell ref="OHP32:OHR32"/>
    <mergeCell ref="OHS32:OHU32"/>
    <mergeCell ref="OHV32:OHX32"/>
    <mergeCell ref="OHY32:OIA32"/>
    <mergeCell ref="OIB32:OID32"/>
    <mergeCell ref="OHA32:OHC32"/>
    <mergeCell ref="OHD32:OHF32"/>
    <mergeCell ref="OHG32:OHI32"/>
    <mergeCell ref="OHJ32:OHL32"/>
    <mergeCell ref="OHM32:OHO32"/>
    <mergeCell ref="OGL32:OGN32"/>
    <mergeCell ref="OGO32:OGQ32"/>
    <mergeCell ref="OGR32:OGT32"/>
    <mergeCell ref="OGU32:OGW32"/>
    <mergeCell ref="OGX32:OGZ32"/>
    <mergeCell ref="OFW32:OFY32"/>
    <mergeCell ref="OFZ32:OGB32"/>
    <mergeCell ref="OGC32:OGE32"/>
    <mergeCell ref="OGF32:OGH32"/>
    <mergeCell ref="OGI32:OGK32"/>
    <mergeCell ref="OFH32:OFJ32"/>
    <mergeCell ref="OFK32:OFM32"/>
    <mergeCell ref="OFN32:OFP32"/>
    <mergeCell ref="OFQ32:OFS32"/>
    <mergeCell ref="OFT32:OFV32"/>
    <mergeCell ref="OMU32:OMW32"/>
    <mergeCell ref="OMX32:OMZ32"/>
    <mergeCell ref="ONA32:ONC32"/>
    <mergeCell ref="OND32:ONF32"/>
    <mergeCell ref="ONG32:ONI32"/>
    <mergeCell ref="OMF32:OMH32"/>
    <mergeCell ref="OMI32:OMK32"/>
    <mergeCell ref="OML32:OMN32"/>
    <mergeCell ref="OMO32:OMQ32"/>
    <mergeCell ref="OMR32:OMT32"/>
    <mergeCell ref="OLQ32:OLS32"/>
    <mergeCell ref="OLT32:OLV32"/>
    <mergeCell ref="OLW32:OLY32"/>
    <mergeCell ref="OLZ32:OMB32"/>
    <mergeCell ref="OMC32:OME32"/>
    <mergeCell ref="OLB32:OLD32"/>
    <mergeCell ref="OLE32:OLG32"/>
    <mergeCell ref="OLH32:OLJ32"/>
    <mergeCell ref="OLK32:OLM32"/>
    <mergeCell ref="OLN32:OLP32"/>
    <mergeCell ref="OKM32:OKO32"/>
    <mergeCell ref="OKP32:OKR32"/>
    <mergeCell ref="OKS32:OKU32"/>
    <mergeCell ref="OKV32:OKX32"/>
    <mergeCell ref="OKY32:OLA32"/>
    <mergeCell ref="OJX32:OJZ32"/>
    <mergeCell ref="OKA32:OKC32"/>
    <mergeCell ref="OKD32:OKF32"/>
    <mergeCell ref="OKG32:OKI32"/>
    <mergeCell ref="OKJ32:OKL32"/>
    <mergeCell ref="OJI32:OJK32"/>
    <mergeCell ref="OJL32:OJN32"/>
    <mergeCell ref="OJO32:OJQ32"/>
    <mergeCell ref="OJR32:OJT32"/>
    <mergeCell ref="OJU32:OJW32"/>
    <mergeCell ref="OQV32:OQX32"/>
    <mergeCell ref="OQY32:ORA32"/>
    <mergeCell ref="ORB32:ORD32"/>
    <mergeCell ref="ORE32:ORG32"/>
    <mergeCell ref="ORH32:ORJ32"/>
    <mergeCell ref="OQG32:OQI32"/>
    <mergeCell ref="OQJ32:OQL32"/>
    <mergeCell ref="OQM32:OQO32"/>
    <mergeCell ref="OQP32:OQR32"/>
    <mergeCell ref="OQS32:OQU32"/>
    <mergeCell ref="OPR32:OPT32"/>
    <mergeCell ref="OPU32:OPW32"/>
    <mergeCell ref="OPX32:OPZ32"/>
    <mergeCell ref="OQA32:OQC32"/>
    <mergeCell ref="OQD32:OQF32"/>
    <mergeCell ref="OPC32:OPE32"/>
    <mergeCell ref="OPF32:OPH32"/>
    <mergeCell ref="OPI32:OPK32"/>
    <mergeCell ref="OPL32:OPN32"/>
    <mergeCell ref="OPO32:OPQ32"/>
    <mergeCell ref="OON32:OOP32"/>
    <mergeCell ref="OOQ32:OOS32"/>
    <mergeCell ref="OOT32:OOV32"/>
    <mergeCell ref="OOW32:OOY32"/>
    <mergeCell ref="OOZ32:OPB32"/>
    <mergeCell ref="ONY32:OOA32"/>
    <mergeCell ref="OOB32:OOD32"/>
    <mergeCell ref="OOE32:OOG32"/>
    <mergeCell ref="OOH32:OOJ32"/>
    <mergeCell ref="OOK32:OOM32"/>
    <mergeCell ref="ONJ32:ONL32"/>
    <mergeCell ref="ONM32:ONO32"/>
    <mergeCell ref="ONP32:ONR32"/>
    <mergeCell ref="ONS32:ONU32"/>
    <mergeCell ref="ONV32:ONX32"/>
    <mergeCell ref="OUW32:OUY32"/>
    <mergeCell ref="OUZ32:OVB32"/>
    <mergeCell ref="OVC32:OVE32"/>
    <mergeCell ref="OVF32:OVH32"/>
    <mergeCell ref="OVI32:OVK32"/>
    <mergeCell ref="OUH32:OUJ32"/>
    <mergeCell ref="OUK32:OUM32"/>
    <mergeCell ref="OUN32:OUP32"/>
    <mergeCell ref="OUQ32:OUS32"/>
    <mergeCell ref="OUT32:OUV32"/>
    <mergeCell ref="OTS32:OTU32"/>
    <mergeCell ref="OTV32:OTX32"/>
    <mergeCell ref="OTY32:OUA32"/>
    <mergeCell ref="OUB32:OUD32"/>
    <mergeCell ref="OUE32:OUG32"/>
    <mergeCell ref="OTD32:OTF32"/>
    <mergeCell ref="OTG32:OTI32"/>
    <mergeCell ref="OTJ32:OTL32"/>
    <mergeCell ref="OTM32:OTO32"/>
    <mergeCell ref="OTP32:OTR32"/>
    <mergeCell ref="OSO32:OSQ32"/>
    <mergeCell ref="OSR32:OST32"/>
    <mergeCell ref="OSU32:OSW32"/>
    <mergeCell ref="OSX32:OSZ32"/>
    <mergeCell ref="OTA32:OTC32"/>
    <mergeCell ref="ORZ32:OSB32"/>
    <mergeCell ref="OSC32:OSE32"/>
    <mergeCell ref="OSF32:OSH32"/>
    <mergeCell ref="OSI32:OSK32"/>
    <mergeCell ref="OSL32:OSN32"/>
    <mergeCell ref="ORK32:ORM32"/>
    <mergeCell ref="ORN32:ORP32"/>
    <mergeCell ref="ORQ32:ORS32"/>
    <mergeCell ref="ORT32:ORV32"/>
    <mergeCell ref="ORW32:ORY32"/>
    <mergeCell ref="OYX32:OYZ32"/>
    <mergeCell ref="OZA32:OZC32"/>
    <mergeCell ref="OZD32:OZF32"/>
    <mergeCell ref="OZG32:OZI32"/>
    <mergeCell ref="OZJ32:OZL32"/>
    <mergeCell ref="OYI32:OYK32"/>
    <mergeCell ref="OYL32:OYN32"/>
    <mergeCell ref="OYO32:OYQ32"/>
    <mergeCell ref="OYR32:OYT32"/>
    <mergeCell ref="OYU32:OYW32"/>
    <mergeCell ref="OXT32:OXV32"/>
    <mergeCell ref="OXW32:OXY32"/>
    <mergeCell ref="OXZ32:OYB32"/>
    <mergeCell ref="OYC32:OYE32"/>
    <mergeCell ref="OYF32:OYH32"/>
    <mergeCell ref="OXE32:OXG32"/>
    <mergeCell ref="OXH32:OXJ32"/>
    <mergeCell ref="OXK32:OXM32"/>
    <mergeCell ref="OXN32:OXP32"/>
    <mergeCell ref="OXQ32:OXS32"/>
    <mergeCell ref="OWP32:OWR32"/>
    <mergeCell ref="OWS32:OWU32"/>
    <mergeCell ref="OWV32:OWX32"/>
    <mergeCell ref="OWY32:OXA32"/>
    <mergeCell ref="OXB32:OXD32"/>
    <mergeCell ref="OWA32:OWC32"/>
    <mergeCell ref="OWD32:OWF32"/>
    <mergeCell ref="OWG32:OWI32"/>
    <mergeCell ref="OWJ32:OWL32"/>
    <mergeCell ref="OWM32:OWO32"/>
    <mergeCell ref="OVL32:OVN32"/>
    <mergeCell ref="OVO32:OVQ32"/>
    <mergeCell ref="OVR32:OVT32"/>
    <mergeCell ref="OVU32:OVW32"/>
    <mergeCell ref="OVX32:OVZ32"/>
    <mergeCell ref="PCY32:PDA32"/>
    <mergeCell ref="PDB32:PDD32"/>
    <mergeCell ref="PDE32:PDG32"/>
    <mergeCell ref="PDH32:PDJ32"/>
    <mergeCell ref="PDK32:PDM32"/>
    <mergeCell ref="PCJ32:PCL32"/>
    <mergeCell ref="PCM32:PCO32"/>
    <mergeCell ref="PCP32:PCR32"/>
    <mergeCell ref="PCS32:PCU32"/>
    <mergeCell ref="PCV32:PCX32"/>
    <mergeCell ref="PBU32:PBW32"/>
    <mergeCell ref="PBX32:PBZ32"/>
    <mergeCell ref="PCA32:PCC32"/>
    <mergeCell ref="PCD32:PCF32"/>
    <mergeCell ref="PCG32:PCI32"/>
    <mergeCell ref="PBF32:PBH32"/>
    <mergeCell ref="PBI32:PBK32"/>
    <mergeCell ref="PBL32:PBN32"/>
    <mergeCell ref="PBO32:PBQ32"/>
    <mergeCell ref="PBR32:PBT32"/>
    <mergeCell ref="PAQ32:PAS32"/>
    <mergeCell ref="PAT32:PAV32"/>
    <mergeCell ref="PAW32:PAY32"/>
    <mergeCell ref="PAZ32:PBB32"/>
    <mergeCell ref="PBC32:PBE32"/>
    <mergeCell ref="PAB32:PAD32"/>
    <mergeCell ref="PAE32:PAG32"/>
    <mergeCell ref="PAH32:PAJ32"/>
    <mergeCell ref="PAK32:PAM32"/>
    <mergeCell ref="PAN32:PAP32"/>
    <mergeCell ref="OZM32:OZO32"/>
    <mergeCell ref="OZP32:OZR32"/>
    <mergeCell ref="OZS32:OZU32"/>
    <mergeCell ref="OZV32:OZX32"/>
    <mergeCell ref="OZY32:PAA32"/>
    <mergeCell ref="PGZ32:PHB32"/>
    <mergeCell ref="PHC32:PHE32"/>
    <mergeCell ref="PHF32:PHH32"/>
    <mergeCell ref="PHI32:PHK32"/>
    <mergeCell ref="PHL32:PHN32"/>
    <mergeCell ref="PGK32:PGM32"/>
    <mergeCell ref="PGN32:PGP32"/>
    <mergeCell ref="PGQ32:PGS32"/>
    <mergeCell ref="PGT32:PGV32"/>
    <mergeCell ref="PGW32:PGY32"/>
    <mergeCell ref="PFV32:PFX32"/>
    <mergeCell ref="PFY32:PGA32"/>
    <mergeCell ref="PGB32:PGD32"/>
    <mergeCell ref="PGE32:PGG32"/>
    <mergeCell ref="PGH32:PGJ32"/>
    <mergeCell ref="PFG32:PFI32"/>
    <mergeCell ref="PFJ32:PFL32"/>
    <mergeCell ref="PFM32:PFO32"/>
    <mergeCell ref="PFP32:PFR32"/>
    <mergeCell ref="PFS32:PFU32"/>
    <mergeCell ref="PER32:PET32"/>
    <mergeCell ref="PEU32:PEW32"/>
    <mergeCell ref="PEX32:PEZ32"/>
    <mergeCell ref="PFA32:PFC32"/>
    <mergeCell ref="PFD32:PFF32"/>
    <mergeCell ref="PEC32:PEE32"/>
    <mergeCell ref="PEF32:PEH32"/>
    <mergeCell ref="PEI32:PEK32"/>
    <mergeCell ref="PEL32:PEN32"/>
    <mergeCell ref="PEO32:PEQ32"/>
    <mergeCell ref="PDN32:PDP32"/>
    <mergeCell ref="PDQ32:PDS32"/>
    <mergeCell ref="PDT32:PDV32"/>
    <mergeCell ref="PDW32:PDY32"/>
    <mergeCell ref="PDZ32:PEB32"/>
    <mergeCell ref="PLA32:PLC32"/>
    <mergeCell ref="PLD32:PLF32"/>
    <mergeCell ref="PLG32:PLI32"/>
    <mergeCell ref="PLJ32:PLL32"/>
    <mergeCell ref="PLM32:PLO32"/>
    <mergeCell ref="PKL32:PKN32"/>
    <mergeCell ref="PKO32:PKQ32"/>
    <mergeCell ref="PKR32:PKT32"/>
    <mergeCell ref="PKU32:PKW32"/>
    <mergeCell ref="PKX32:PKZ32"/>
    <mergeCell ref="PJW32:PJY32"/>
    <mergeCell ref="PJZ32:PKB32"/>
    <mergeCell ref="PKC32:PKE32"/>
    <mergeCell ref="PKF32:PKH32"/>
    <mergeCell ref="PKI32:PKK32"/>
    <mergeCell ref="PJH32:PJJ32"/>
    <mergeCell ref="PJK32:PJM32"/>
    <mergeCell ref="PJN32:PJP32"/>
    <mergeCell ref="PJQ32:PJS32"/>
    <mergeCell ref="PJT32:PJV32"/>
    <mergeCell ref="PIS32:PIU32"/>
    <mergeCell ref="PIV32:PIX32"/>
    <mergeCell ref="PIY32:PJA32"/>
    <mergeCell ref="PJB32:PJD32"/>
    <mergeCell ref="PJE32:PJG32"/>
    <mergeCell ref="PID32:PIF32"/>
    <mergeCell ref="PIG32:PII32"/>
    <mergeCell ref="PIJ32:PIL32"/>
    <mergeCell ref="PIM32:PIO32"/>
    <mergeCell ref="PIP32:PIR32"/>
    <mergeCell ref="PHO32:PHQ32"/>
    <mergeCell ref="PHR32:PHT32"/>
    <mergeCell ref="PHU32:PHW32"/>
    <mergeCell ref="PHX32:PHZ32"/>
    <mergeCell ref="PIA32:PIC32"/>
    <mergeCell ref="PPB32:PPD32"/>
    <mergeCell ref="PPE32:PPG32"/>
    <mergeCell ref="PPH32:PPJ32"/>
    <mergeCell ref="PPK32:PPM32"/>
    <mergeCell ref="PPN32:PPP32"/>
    <mergeCell ref="POM32:POO32"/>
    <mergeCell ref="POP32:POR32"/>
    <mergeCell ref="POS32:POU32"/>
    <mergeCell ref="POV32:POX32"/>
    <mergeCell ref="POY32:PPA32"/>
    <mergeCell ref="PNX32:PNZ32"/>
    <mergeCell ref="POA32:POC32"/>
    <mergeCell ref="POD32:POF32"/>
    <mergeCell ref="POG32:POI32"/>
    <mergeCell ref="POJ32:POL32"/>
    <mergeCell ref="PNI32:PNK32"/>
    <mergeCell ref="PNL32:PNN32"/>
    <mergeCell ref="PNO32:PNQ32"/>
    <mergeCell ref="PNR32:PNT32"/>
    <mergeCell ref="PNU32:PNW32"/>
    <mergeCell ref="PMT32:PMV32"/>
    <mergeCell ref="PMW32:PMY32"/>
    <mergeCell ref="PMZ32:PNB32"/>
    <mergeCell ref="PNC32:PNE32"/>
    <mergeCell ref="PNF32:PNH32"/>
    <mergeCell ref="PME32:PMG32"/>
    <mergeCell ref="PMH32:PMJ32"/>
    <mergeCell ref="PMK32:PMM32"/>
    <mergeCell ref="PMN32:PMP32"/>
    <mergeCell ref="PMQ32:PMS32"/>
    <mergeCell ref="PLP32:PLR32"/>
    <mergeCell ref="PLS32:PLU32"/>
    <mergeCell ref="PLV32:PLX32"/>
    <mergeCell ref="PLY32:PMA32"/>
    <mergeCell ref="PMB32:PMD32"/>
    <mergeCell ref="PTC32:PTE32"/>
    <mergeCell ref="PTF32:PTH32"/>
    <mergeCell ref="PTI32:PTK32"/>
    <mergeCell ref="PTL32:PTN32"/>
    <mergeCell ref="PTO32:PTQ32"/>
    <mergeCell ref="PSN32:PSP32"/>
    <mergeCell ref="PSQ32:PSS32"/>
    <mergeCell ref="PST32:PSV32"/>
    <mergeCell ref="PSW32:PSY32"/>
    <mergeCell ref="PSZ32:PTB32"/>
    <mergeCell ref="PRY32:PSA32"/>
    <mergeCell ref="PSB32:PSD32"/>
    <mergeCell ref="PSE32:PSG32"/>
    <mergeCell ref="PSH32:PSJ32"/>
    <mergeCell ref="PSK32:PSM32"/>
    <mergeCell ref="PRJ32:PRL32"/>
    <mergeCell ref="PRM32:PRO32"/>
    <mergeCell ref="PRP32:PRR32"/>
    <mergeCell ref="PRS32:PRU32"/>
    <mergeCell ref="PRV32:PRX32"/>
    <mergeCell ref="PQU32:PQW32"/>
    <mergeCell ref="PQX32:PQZ32"/>
    <mergeCell ref="PRA32:PRC32"/>
    <mergeCell ref="PRD32:PRF32"/>
    <mergeCell ref="PRG32:PRI32"/>
    <mergeCell ref="PQF32:PQH32"/>
    <mergeCell ref="PQI32:PQK32"/>
    <mergeCell ref="PQL32:PQN32"/>
    <mergeCell ref="PQO32:PQQ32"/>
    <mergeCell ref="PQR32:PQT32"/>
    <mergeCell ref="PPQ32:PPS32"/>
    <mergeCell ref="PPT32:PPV32"/>
    <mergeCell ref="PPW32:PPY32"/>
    <mergeCell ref="PPZ32:PQB32"/>
    <mergeCell ref="PQC32:PQE32"/>
    <mergeCell ref="PXD32:PXF32"/>
    <mergeCell ref="PXG32:PXI32"/>
    <mergeCell ref="PXJ32:PXL32"/>
    <mergeCell ref="PXM32:PXO32"/>
    <mergeCell ref="PXP32:PXR32"/>
    <mergeCell ref="PWO32:PWQ32"/>
    <mergeCell ref="PWR32:PWT32"/>
    <mergeCell ref="PWU32:PWW32"/>
    <mergeCell ref="PWX32:PWZ32"/>
    <mergeCell ref="PXA32:PXC32"/>
    <mergeCell ref="PVZ32:PWB32"/>
    <mergeCell ref="PWC32:PWE32"/>
    <mergeCell ref="PWF32:PWH32"/>
    <mergeCell ref="PWI32:PWK32"/>
    <mergeCell ref="PWL32:PWN32"/>
    <mergeCell ref="PVK32:PVM32"/>
    <mergeCell ref="PVN32:PVP32"/>
    <mergeCell ref="PVQ32:PVS32"/>
    <mergeCell ref="PVT32:PVV32"/>
    <mergeCell ref="PVW32:PVY32"/>
    <mergeCell ref="PUV32:PUX32"/>
    <mergeCell ref="PUY32:PVA32"/>
    <mergeCell ref="PVB32:PVD32"/>
    <mergeCell ref="PVE32:PVG32"/>
    <mergeCell ref="PVH32:PVJ32"/>
    <mergeCell ref="PUG32:PUI32"/>
    <mergeCell ref="PUJ32:PUL32"/>
    <mergeCell ref="PUM32:PUO32"/>
    <mergeCell ref="PUP32:PUR32"/>
    <mergeCell ref="PUS32:PUU32"/>
    <mergeCell ref="PTR32:PTT32"/>
    <mergeCell ref="PTU32:PTW32"/>
    <mergeCell ref="PTX32:PTZ32"/>
    <mergeCell ref="PUA32:PUC32"/>
    <mergeCell ref="PUD32:PUF32"/>
    <mergeCell ref="QBE32:QBG32"/>
    <mergeCell ref="QBH32:QBJ32"/>
    <mergeCell ref="QBK32:QBM32"/>
    <mergeCell ref="QBN32:QBP32"/>
    <mergeCell ref="QBQ32:QBS32"/>
    <mergeCell ref="QAP32:QAR32"/>
    <mergeCell ref="QAS32:QAU32"/>
    <mergeCell ref="QAV32:QAX32"/>
    <mergeCell ref="QAY32:QBA32"/>
    <mergeCell ref="QBB32:QBD32"/>
    <mergeCell ref="QAA32:QAC32"/>
    <mergeCell ref="QAD32:QAF32"/>
    <mergeCell ref="QAG32:QAI32"/>
    <mergeCell ref="QAJ32:QAL32"/>
    <mergeCell ref="QAM32:QAO32"/>
    <mergeCell ref="PZL32:PZN32"/>
    <mergeCell ref="PZO32:PZQ32"/>
    <mergeCell ref="PZR32:PZT32"/>
    <mergeCell ref="PZU32:PZW32"/>
    <mergeCell ref="PZX32:PZZ32"/>
    <mergeCell ref="PYW32:PYY32"/>
    <mergeCell ref="PYZ32:PZB32"/>
    <mergeCell ref="PZC32:PZE32"/>
    <mergeCell ref="PZF32:PZH32"/>
    <mergeCell ref="PZI32:PZK32"/>
    <mergeCell ref="PYH32:PYJ32"/>
    <mergeCell ref="PYK32:PYM32"/>
    <mergeCell ref="PYN32:PYP32"/>
    <mergeCell ref="PYQ32:PYS32"/>
    <mergeCell ref="PYT32:PYV32"/>
    <mergeCell ref="PXS32:PXU32"/>
    <mergeCell ref="PXV32:PXX32"/>
    <mergeCell ref="PXY32:PYA32"/>
    <mergeCell ref="PYB32:PYD32"/>
    <mergeCell ref="PYE32:PYG32"/>
    <mergeCell ref="QFF32:QFH32"/>
    <mergeCell ref="QFI32:QFK32"/>
    <mergeCell ref="QFL32:QFN32"/>
    <mergeCell ref="QFO32:QFQ32"/>
    <mergeCell ref="QFR32:QFT32"/>
    <mergeCell ref="QEQ32:QES32"/>
    <mergeCell ref="QET32:QEV32"/>
    <mergeCell ref="QEW32:QEY32"/>
    <mergeCell ref="QEZ32:QFB32"/>
    <mergeCell ref="QFC32:QFE32"/>
    <mergeCell ref="QEB32:QED32"/>
    <mergeCell ref="QEE32:QEG32"/>
    <mergeCell ref="QEH32:QEJ32"/>
    <mergeCell ref="QEK32:QEM32"/>
    <mergeCell ref="QEN32:QEP32"/>
    <mergeCell ref="QDM32:QDO32"/>
    <mergeCell ref="QDP32:QDR32"/>
    <mergeCell ref="QDS32:QDU32"/>
    <mergeCell ref="QDV32:QDX32"/>
    <mergeCell ref="QDY32:QEA32"/>
    <mergeCell ref="QCX32:QCZ32"/>
    <mergeCell ref="QDA32:QDC32"/>
    <mergeCell ref="QDD32:QDF32"/>
    <mergeCell ref="QDG32:QDI32"/>
    <mergeCell ref="QDJ32:QDL32"/>
    <mergeCell ref="QCI32:QCK32"/>
    <mergeCell ref="QCL32:QCN32"/>
    <mergeCell ref="QCO32:QCQ32"/>
    <mergeCell ref="QCR32:QCT32"/>
    <mergeCell ref="QCU32:QCW32"/>
    <mergeCell ref="QBT32:QBV32"/>
    <mergeCell ref="QBW32:QBY32"/>
    <mergeCell ref="QBZ32:QCB32"/>
    <mergeCell ref="QCC32:QCE32"/>
    <mergeCell ref="QCF32:QCH32"/>
    <mergeCell ref="QJG32:QJI32"/>
    <mergeCell ref="QJJ32:QJL32"/>
    <mergeCell ref="QJM32:QJO32"/>
    <mergeCell ref="QJP32:QJR32"/>
    <mergeCell ref="QJS32:QJU32"/>
    <mergeCell ref="QIR32:QIT32"/>
    <mergeCell ref="QIU32:QIW32"/>
    <mergeCell ref="QIX32:QIZ32"/>
    <mergeCell ref="QJA32:QJC32"/>
    <mergeCell ref="QJD32:QJF32"/>
    <mergeCell ref="QIC32:QIE32"/>
    <mergeCell ref="QIF32:QIH32"/>
    <mergeCell ref="QII32:QIK32"/>
    <mergeCell ref="QIL32:QIN32"/>
    <mergeCell ref="QIO32:QIQ32"/>
    <mergeCell ref="QHN32:QHP32"/>
    <mergeCell ref="QHQ32:QHS32"/>
    <mergeCell ref="QHT32:QHV32"/>
    <mergeCell ref="QHW32:QHY32"/>
    <mergeCell ref="QHZ32:QIB32"/>
    <mergeCell ref="QGY32:QHA32"/>
    <mergeCell ref="QHB32:QHD32"/>
    <mergeCell ref="QHE32:QHG32"/>
    <mergeCell ref="QHH32:QHJ32"/>
    <mergeCell ref="QHK32:QHM32"/>
    <mergeCell ref="QGJ32:QGL32"/>
    <mergeCell ref="QGM32:QGO32"/>
    <mergeCell ref="QGP32:QGR32"/>
    <mergeCell ref="QGS32:QGU32"/>
    <mergeCell ref="QGV32:QGX32"/>
    <mergeCell ref="QFU32:QFW32"/>
    <mergeCell ref="QFX32:QFZ32"/>
    <mergeCell ref="QGA32:QGC32"/>
    <mergeCell ref="QGD32:QGF32"/>
    <mergeCell ref="QGG32:QGI32"/>
    <mergeCell ref="QNH32:QNJ32"/>
    <mergeCell ref="QNK32:QNM32"/>
    <mergeCell ref="QNN32:QNP32"/>
    <mergeCell ref="QNQ32:QNS32"/>
    <mergeCell ref="QNT32:QNV32"/>
    <mergeCell ref="QMS32:QMU32"/>
    <mergeCell ref="QMV32:QMX32"/>
    <mergeCell ref="QMY32:QNA32"/>
    <mergeCell ref="QNB32:QND32"/>
    <mergeCell ref="QNE32:QNG32"/>
    <mergeCell ref="QMD32:QMF32"/>
    <mergeCell ref="QMG32:QMI32"/>
    <mergeCell ref="QMJ32:QML32"/>
    <mergeCell ref="QMM32:QMO32"/>
    <mergeCell ref="QMP32:QMR32"/>
    <mergeCell ref="QLO32:QLQ32"/>
    <mergeCell ref="QLR32:QLT32"/>
    <mergeCell ref="QLU32:QLW32"/>
    <mergeCell ref="QLX32:QLZ32"/>
    <mergeCell ref="QMA32:QMC32"/>
    <mergeCell ref="QKZ32:QLB32"/>
    <mergeCell ref="QLC32:QLE32"/>
    <mergeCell ref="QLF32:QLH32"/>
    <mergeCell ref="QLI32:QLK32"/>
    <mergeCell ref="QLL32:QLN32"/>
    <mergeCell ref="QKK32:QKM32"/>
    <mergeCell ref="QKN32:QKP32"/>
    <mergeCell ref="QKQ32:QKS32"/>
    <mergeCell ref="QKT32:QKV32"/>
    <mergeCell ref="QKW32:QKY32"/>
    <mergeCell ref="QJV32:QJX32"/>
    <mergeCell ref="QJY32:QKA32"/>
    <mergeCell ref="QKB32:QKD32"/>
    <mergeCell ref="QKE32:QKG32"/>
    <mergeCell ref="QKH32:QKJ32"/>
    <mergeCell ref="QRI32:QRK32"/>
    <mergeCell ref="QRL32:QRN32"/>
    <mergeCell ref="QRO32:QRQ32"/>
    <mergeCell ref="QRR32:QRT32"/>
    <mergeCell ref="QRU32:QRW32"/>
    <mergeCell ref="QQT32:QQV32"/>
    <mergeCell ref="QQW32:QQY32"/>
    <mergeCell ref="QQZ32:QRB32"/>
    <mergeCell ref="QRC32:QRE32"/>
    <mergeCell ref="QRF32:QRH32"/>
    <mergeCell ref="QQE32:QQG32"/>
    <mergeCell ref="QQH32:QQJ32"/>
    <mergeCell ref="QQK32:QQM32"/>
    <mergeCell ref="QQN32:QQP32"/>
    <mergeCell ref="QQQ32:QQS32"/>
    <mergeCell ref="QPP32:QPR32"/>
    <mergeCell ref="QPS32:QPU32"/>
    <mergeCell ref="QPV32:QPX32"/>
    <mergeCell ref="QPY32:QQA32"/>
    <mergeCell ref="QQB32:QQD32"/>
    <mergeCell ref="QPA32:QPC32"/>
    <mergeCell ref="QPD32:QPF32"/>
    <mergeCell ref="QPG32:QPI32"/>
    <mergeCell ref="QPJ32:QPL32"/>
    <mergeCell ref="QPM32:QPO32"/>
    <mergeCell ref="QOL32:QON32"/>
    <mergeCell ref="QOO32:QOQ32"/>
    <mergeCell ref="QOR32:QOT32"/>
    <mergeCell ref="QOU32:QOW32"/>
    <mergeCell ref="QOX32:QOZ32"/>
    <mergeCell ref="QNW32:QNY32"/>
    <mergeCell ref="QNZ32:QOB32"/>
    <mergeCell ref="QOC32:QOE32"/>
    <mergeCell ref="QOF32:QOH32"/>
    <mergeCell ref="QOI32:QOK32"/>
    <mergeCell ref="QVJ32:QVL32"/>
    <mergeCell ref="QVM32:QVO32"/>
    <mergeCell ref="QVP32:QVR32"/>
    <mergeCell ref="QVS32:QVU32"/>
    <mergeCell ref="QVV32:QVX32"/>
    <mergeCell ref="QUU32:QUW32"/>
    <mergeCell ref="QUX32:QUZ32"/>
    <mergeCell ref="QVA32:QVC32"/>
    <mergeCell ref="QVD32:QVF32"/>
    <mergeCell ref="QVG32:QVI32"/>
    <mergeCell ref="QUF32:QUH32"/>
    <mergeCell ref="QUI32:QUK32"/>
    <mergeCell ref="QUL32:QUN32"/>
    <mergeCell ref="QUO32:QUQ32"/>
    <mergeCell ref="QUR32:QUT32"/>
    <mergeCell ref="QTQ32:QTS32"/>
    <mergeCell ref="QTT32:QTV32"/>
    <mergeCell ref="QTW32:QTY32"/>
    <mergeCell ref="QTZ32:QUB32"/>
    <mergeCell ref="QUC32:QUE32"/>
    <mergeCell ref="QTB32:QTD32"/>
    <mergeCell ref="QTE32:QTG32"/>
    <mergeCell ref="QTH32:QTJ32"/>
    <mergeCell ref="QTK32:QTM32"/>
    <mergeCell ref="QTN32:QTP32"/>
    <mergeCell ref="QSM32:QSO32"/>
    <mergeCell ref="QSP32:QSR32"/>
    <mergeCell ref="QSS32:QSU32"/>
    <mergeCell ref="QSV32:QSX32"/>
    <mergeCell ref="QSY32:QTA32"/>
    <mergeCell ref="QRX32:QRZ32"/>
    <mergeCell ref="QSA32:QSC32"/>
    <mergeCell ref="QSD32:QSF32"/>
    <mergeCell ref="QSG32:QSI32"/>
    <mergeCell ref="QSJ32:QSL32"/>
    <mergeCell ref="QZK32:QZM32"/>
    <mergeCell ref="QZN32:QZP32"/>
    <mergeCell ref="QZQ32:QZS32"/>
    <mergeCell ref="QZT32:QZV32"/>
    <mergeCell ref="QZW32:QZY32"/>
    <mergeCell ref="QYV32:QYX32"/>
    <mergeCell ref="QYY32:QZA32"/>
    <mergeCell ref="QZB32:QZD32"/>
    <mergeCell ref="QZE32:QZG32"/>
    <mergeCell ref="QZH32:QZJ32"/>
    <mergeCell ref="QYG32:QYI32"/>
    <mergeCell ref="QYJ32:QYL32"/>
    <mergeCell ref="QYM32:QYO32"/>
    <mergeCell ref="QYP32:QYR32"/>
    <mergeCell ref="QYS32:QYU32"/>
    <mergeCell ref="QXR32:QXT32"/>
    <mergeCell ref="QXU32:QXW32"/>
    <mergeCell ref="QXX32:QXZ32"/>
    <mergeCell ref="QYA32:QYC32"/>
    <mergeCell ref="QYD32:QYF32"/>
    <mergeCell ref="QXC32:QXE32"/>
    <mergeCell ref="QXF32:QXH32"/>
    <mergeCell ref="QXI32:QXK32"/>
    <mergeCell ref="QXL32:QXN32"/>
    <mergeCell ref="QXO32:QXQ32"/>
    <mergeCell ref="QWN32:QWP32"/>
    <mergeCell ref="QWQ32:QWS32"/>
    <mergeCell ref="QWT32:QWV32"/>
    <mergeCell ref="QWW32:QWY32"/>
    <mergeCell ref="QWZ32:QXB32"/>
    <mergeCell ref="QVY32:QWA32"/>
    <mergeCell ref="QWB32:QWD32"/>
    <mergeCell ref="QWE32:QWG32"/>
    <mergeCell ref="QWH32:QWJ32"/>
    <mergeCell ref="QWK32:QWM32"/>
    <mergeCell ref="RDL32:RDN32"/>
    <mergeCell ref="RDO32:RDQ32"/>
    <mergeCell ref="RDR32:RDT32"/>
    <mergeCell ref="RDU32:RDW32"/>
    <mergeCell ref="RDX32:RDZ32"/>
    <mergeCell ref="RCW32:RCY32"/>
    <mergeCell ref="RCZ32:RDB32"/>
    <mergeCell ref="RDC32:RDE32"/>
    <mergeCell ref="RDF32:RDH32"/>
    <mergeCell ref="RDI32:RDK32"/>
    <mergeCell ref="RCH32:RCJ32"/>
    <mergeCell ref="RCK32:RCM32"/>
    <mergeCell ref="RCN32:RCP32"/>
    <mergeCell ref="RCQ32:RCS32"/>
    <mergeCell ref="RCT32:RCV32"/>
    <mergeCell ref="RBS32:RBU32"/>
    <mergeCell ref="RBV32:RBX32"/>
    <mergeCell ref="RBY32:RCA32"/>
    <mergeCell ref="RCB32:RCD32"/>
    <mergeCell ref="RCE32:RCG32"/>
    <mergeCell ref="RBD32:RBF32"/>
    <mergeCell ref="RBG32:RBI32"/>
    <mergeCell ref="RBJ32:RBL32"/>
    <mergeCell ref="RBM32:RBO32"/>
    <mergeCell ref="RBP32:RBR32"/>
    <mergeCell ref="RAO32:RAQ32"/>
    <mergeCell ref="RAR32:RAT32"/>
    <mergeCell ref="RAU32:RAW32"/>
    <mergeCell ref="RAX32:RAZ32"/>
    <mergeCell ref="RBA32:RBC32"/>
    <mergeCell ref="QZZ32:RAB32"/>
    <mergeCell ref="RAC32:RAE32"/>
    <mergeCell ref="RAF32:RAH32"/>
    <mergeCell ref="RAI32:RAK32"/>
    <mergeCell ref="RAL32:RAN32"/>
    <mergeCell ref="RHM32:RHO32"/>
    <mergeCell ref="RHP32:RHR32"/>
    <mergeCell ref="RHS32:RHU32"/>
    <mergeCell ref="RHV32:RHX32"/>
    <mergeCell ref="RHY32:RIA32"/>
    <mergeCell ref="RGX32:RGZ32"/>
    <mergeCell ref="RHA32:RHC32"/>
    <mergeCell ref="RHD32:RHF32"/>
    <mergeCell ref="RHG32:RHI32"/>
    <mergeCell ref="RHJ32:RHL32"/>
    <mergeCell ref="RGI32:RGK32"/>
    <mergeCell ref="RGL32:RGN32"/>
    <mergeCell ref="RGO32:RGQ32"/>
    <mergeCell ref="RGR32:RGT32"/>
    <mergeCell ref="RGU32:RGW32"/>
    <mergeCell ref="RFT32:RFV32"/>
    <mergeCell ref="RFW32:RFY32"/>
    <mergeCell ref="RFZ32:RGB32"/>
    <mergeCell ref="RGC32:RGE32"/>
    <mergeCell ref="RGF32:RGH32"/>
    <mergeCell ref="RFE32:RFG32"/>
    <mergeCell ref="RFH32:RFJ32"/>
    <mergeCell ref="RFK32:RFM32"/>
    <mergeCell ref="RFN32:RFP32"/>
    <mergeCell ref="RFQ32:RFS32"/>
    <mergeCell ref="REP32:RER32"/>
    <mergeCell ref="RES32:REU32"/>
    <mergeCell ref="REV32:REX32"/>
    <mergeCell ref="REY32:RFA32"/>
    <mergeCell ref="RFB32:RFD32"/>
    <mergeCell ref="REA32:REC32"/>
    <mergeCell ref="RED32:REF32"/>
    <mergeCell ref="REG32:REI32"/>
    <mergeCell ref="REJ32:REL32"/>
    <mergeCell ref="REM32:REO32"/>
    <mergeCell ref="RLN32:RLP32"/>
    <mergeCell ref="RLQ32:RLS32"/>
    <mergeCell ref="RLT32:RLV32"/>
    <mergeCell ref="RLW32:RLY32"/>
    <mergeCell ref="RLZ32:RMB32"/>
    <mergeCell ref="RKY32:RLA32"/>
    <mergeCell ref="RLB32:RLD32"/>
    <mergeCell ref="RLE32:RLG32"/>
    <mergeCell ref="RLH32:RLJ32"/>
    <mergeCell ref="RLK32:RLM32"/>
    <mergeCell ref="RKJ32:RKL32"/>
    <mergeCell ref="RKM32:RKO32"/>
    <mergeCell ref="RKP32:RKR32"/>
    <mergeCell ref="RKS32:RKU32"/>
    <mergeCell ref="RKV32:RKX32"/>
    <mergeCell ref="RJU32:RJW32"/>
    <mergeCell ref="RJX32:RJZ32"/>
    <mergeCell ref="RKA32:RKC32"/>
    <mergeCell ref="RKD32:RKF32"/>
    <mergeCell ref="RKG32:RKI32"/>
    <mergeCell ref="RJF32:RJH32"/>
    <mergeCell ref="RJI32:RJK32"/>
    <mergeCell ref="RJL32:RJN32"/>
    <mergeCell ref="RJO32:RJQ32"/>
    <mergeCell ref="RJR32:RJT32"/>
    <mergeCell ref="RIQ32:RIS32"/>
    <mergeCell ref="RIT32:RIV32"/>
    <mergeCell ref="RIW32:RIY32"/>
    <mergeCell ref="RIZ32:RJB32"/>
    <mergeCell ref="RJC32:RJE32"/>
    <mergeCell ref="RIB32:RID32"/>
    <mergeCell ref="RIE32:RIG32"/>
    <mergeCell ref="RIH32:RIJ32"/>
    <mergeCell ref="RIK32:RIM32"/>
    <mergeCell ref="RIN32:RIP32"/>
    <mergeCell ref="RPO32:RPQ32"/>
    <mergeCell ref="RPR32:RPT32"/>
    <mergeCell ref="RPU32:RPW32"/>
    <mergeCell ref="RPX32:RPZ32"/>
    <mergeCell ref="RQA32:RQC32"/>
    <mergeCell ref="ROZ32:RPB32"/>
    <mergeCell ref="RPC32:RPE32"/>
    <mergeCell ref="RPF32:RPH32"/>
    <mergeCell ref="RPI32:RPK32"/>
    <mergeCell ref="RPL32:RPN32"/>
    <mergeCell ref="ROK32:ROM32"/>
    <mergeCell ref="RON32:ROP32"/>
    <mergeCell ref="ROQ32:ROS32"/>
    <mergeCell ref="ROT32:ROV32"/>
    <mergeCell ref="ROW32:ROY32"/>
    <mergeCell ref="RNV32:RNX32"/>
    <mergeCell ref="RNY32:ROA32"/>
    <mergeCell ref="ROB32:ROD32"/>
    <mergeCell ref="ROE32:ROG32"/>
    <mergeCell ref="ROH32:ROJ32"/>
    <mergeCell ref="RNG32:RNI32"/>
    <mergeCell ref="RNJ32:RNL32"/>
    <mergeCell ref="RNM32:RNO32"/>
    <mergeCell ref="RNP32:RNR32"/>
    <mergeCell ref="RNS32:RNU32"/>
    <mergeCell ref="RMR32:RMT32"/>
    <mergeCell ref="RMU32:RMW32"/>
    <mergeCell ref="RMX32:RMZ32"/>
    <mergeCell ref="RNA32:RNC32"/>
    <mergeCell ref="RND32:RNF32"/>
    <mergeCell ref="RMC32:RME32"/>
    <mergeCell ref="RMF32:RMH32"/>
    <mergeCell ref="RMI32:RMK32"/>
    <mergeCell ref="RML32:RMN32"/>
    <mergeCell ref="RMO32:RMQ32"/>
    <mergeCell ref="RTP32:RTR32"/>
    <mergeCell ref="RTS32:RTU32"/>
    <mergeCell ref="RTV32:RTX32"/>
    <mergeCell ref="RTY32:RUA32"/>
    <mergeCell ref="RUB32:RUD32"/>
    <mergeCell ref="RTA32:RTC32"/>
    <mergeCell ref="RTD32:RTF32"/>
    <mergeCell ref="RTG32:RTI32"/>
    <mergeCell ref="RTJ32:RTL32"/>
    <mergeCell ref="RTM32:RTO32"/>
    <mergeCell ref="RSL32:RSN32"/>
    <mergeCell ref="RSO32:RSQ32"/>
    <mergeCell ref="RSR32:RST32"/>
    <mergeCell ref="RSU32:RSW32"/>
    <mergeCell ref="RSX32:RSZ32"/>
    <mergeCell ref="RRW32:RRY32"/>
    <mergeCell ref="RRZ32:RSB32"/>
    <mergeCell ref="RSC32:RSE32"/>
    <mergeCell ref="RSF32:RSH32"/>
    <mergeCell ref="RSI32:RSK32"/>
    <mergeCell ref="RRH32:RRJ32"/>
    <mergeCell ref="RRK32:RRM32"/>
    <mergeCell ref="RRN32:RRP32"/>
    <mergeCell ref="RRQ32:RRS32"/>
    <mergeCell ref="RRT32:RRV32"/>
    <mergeCell ref="RQS32:RQU32"/>
    <mergeCell ref="RQV32:RQX32"/>
    <mergeCell ref="RQY32:RRA32"/>
    <mergeCell ref="RRB32:RRD32"/>
    <mergeCell ref="RRE32:RRG32"/>
    <mergeCell ref="RQD32:RQF32"/>
    <mergeCell ref="RQG32:RQI32"/>
    <mergeCell ref="RQJ32:RQL32"/>
    <mergeCell ref="RQM32:RQO32"/>
    <mergeCell ref="RQP32:RQR32"/>
    <mergeCell ref="RXQ32:RXS32"/>
    <mergeCell ref="RXT32:RXV32"/>
    <mergeCell ref="RXW32:RXY32"/>
    <mergeCell ref="RXZ32:RYB32"/>
    <mergeCell ref="RYC32:RYE32"/>
    <mergeCell ref="RXB32:RXD32"/>
    <mergeCell ref="RXE32:RXG32"/>
    <mergeCell ref="RXH32:RXJ32"/>
    <mergeCell ref="RXK32:RXM32"/>
    <mergeCell ref="RXN32:RXP32"/>
    <mergeCell ref="RWM32:RWO32"/>
    <mergeCell ref="RWP32:RWR32"/>
    <mergeCell ref="RWS32:RWU32"/>
    <mergeCell ref="RWV32:RWX32"/>
    <mergeCell ref="RWY32:RXA32"/>
    <mergeCell ref="RVX32:RVZ32"/>
    <mergeCell ref="RWA32:RWC32"/>
    <mergeCell ref="RWD32:RWF32"/>
    <mergeCell ref="RWG32:RWI32"/>
    <mergeCell ref="RWJ32:RWL32"/>
    <mergeCell ref="RVI32:RVK32"/>
    <mergeCell ref="RVL32:RVN32"/>
    <mergeCell ref="RVO32:RVQ32"/>
    <mergeCell ref="RVR32:RVT32"/>
    <mergeCell ref="RVU32:RVW32"/>
    <mergeCell ref="RUT32:RUV32"/>
    <mergeCell ref="RUW32:RUY32"/>
    <mergeCell ref="RUZ32:RVB32"/>
    <mergeCell ref="RVC32:RVE32"/>
    <mergeCell ref="RVF32:RVH32"/>
    <mergeCell ref="RUE32:RUG32"/>
    <mergeCell ref="RUH32:RUJ32"/>
    <mergeCell ref="RUK32:RUM32"/>
    <mergeCell ref="RUN32:RUP32"/>
    <mergeCell ref="RUQ32:RUS32"/>
    <mergeCell ref="SBR32:SBT32"/>
    <mergeCell ref="SBU32:SBW32"/>
    <mergeCell ref="SBX32:SBZ32"/>
    <mergeCell ref="SCA32:SCC32"/>
    <mergeCell ref="SCD32:SCF32"/>
    <mergeCell ref="SBC32:SBE32"/>
    <mergeCell ref="SBF32:SBH32"/>
    <mergeCell ref="SBI32:SBK32"/>
    <mergeCell ref="SBL32:SBN32"/>
    <mergeCell ref="SBO32:SBQ32"/>
    <mergeCell ref="SAN32:SAP32"/>
    <mergeCell ref="SAQ32:SAS32"/>
    <mergeCell ref="SAT32:SAV32"/>
    <mergeCell ref="SAW32:SAY32"/>
    <mergeCell ref="SAZ32:SBB32"/>
    <mergeCell ref="RZY32:SAA32"/>
    <mergeCell ref="SAB32:SAD32"/>
    <mergeCell ref="SAE32:SAG32"/>
    <mergeCell ref="SAH32:SAJ32"/>
    <mergeCell ref="SAK32:SAM32"/>
    <mergeCell ref="RZJ32:RZL32"/>
    <mergeCell ref="RZM32:RZO32"/>
    <mergeCell ref="RZP32:RZR32"/>
    <mergeCell ref="RZS32:RZU32"/>
    <mergeCell ref="RZV32:RZX32"/>
    <mergeCell ref="RYU32:RYW32"/>
    <mergeCell ref="RYX32:RYZ32"/>
    <mergeCell ref="RZA32:RZC32"/>
    <mergeCell ref="RZD32:RZF32"/>
    <mergeCell ref="RZG32:RZI32"/>
    <mergeCell ref="RYF32:RYH32"/>
    <mergeCell ref="RYI32:RYK32"/>
    <mergeCell ref="RYL32:RYN32"/>
    <mergeCell ref="RYO32:RYQ32"/>
    <mergeCell ref="RYR32:RYT32"/>
    <mergeCell ref="SFS32:SFU32"/>
    <mergeCell ref="SFV32:SFX32"/>
    <mergeCell ref="SFY32:SGA32"/>
    <mergeCell ref="SGB32:SGD32"/>
    <mergeCell ref="SGE32:SGG32"/>
    <mergeCell ref="SFD32:SFF32"/>
    <mergeCell ref="SFG32:SFI32"/>
    <mergeCell ref="SFJ32:SFL32"/>
    <mergeCell ref="SFM32:SFO32"/>
    <mergeCell ref="SFP32:SFR32"/>
    <mergeCell ref="SEO32:SEQ32"/>
    <mergeCell ref="SER32:SET32"/>
    <mergeCell ref="SEU32:SEW32"/>
    <mergeCell ref="SEX32:SEZ32"/>
    <mergeCell ref="SFA32:SFC32"/>
    <mergeCell ref="SDZ32:SEB32"/>
    <mergeCell ref="SEC32:SEE32"/>
    <mergeCell ref="SEF32:SEH32"/>
    <mergeCell ref="SEI32:SEK32"/>
    <mergeCell ref="SEL32:SEN32"/>
    <mergeCell ref="SDK32:SDM32"/>
    <mergeCell ref="SDN32:SDP32"/>
    <mergeCell ref="SDQ32:SDS32"/>
    <mergeCell ref="SDT32:SDV32"/>
    <mergeCell ref="SDW32:SDY32"/>
    <mergeCell ref="SCV32:SCX32"/>
    <mergeCell ref="SCY32:SDA32"/>
    <mergeCell ref="SDB32:SDD32"/>
    <mergeCell ref="SDE32:SDG32"/>
    <mergeCell ref="SDH32:SDJ32"/>
    <mergeCell ref="SCG32:SCI32"/>
    <mergeCell ref="SCJ32:SCL32"/>
    <mergeCell ref="SCM32:SCO32"/>
    <mergeCell ref="SCP32:SCR32"/>
    <mergeCell ref="SCS32:SCU32"/>
    <mergeCell ref="SJT32:SJV32"/>
    <mergeCell ref="SJW32:SJY32"/>
    <mergeCell ref="SJZ32:SKB32"/>
    <mergeCell ref="SKC32:SKE32"/>
    <mergeCell ref="SKF32:SKH32"/>
    <mergeCell ref="SJE32:SJG32"/>
    <mergeCell ref="SJH32:SJJ32"/>
    <mergeCell ref="SJK32:SJM32"/>
    <mergeCell ref="SJN32:SJP32"/>
    <mergeCell ref="SJQ32:SJS32"/>
    <mergeCell ref="SIP32:SIR32"/>
    <mergeCell ref="SIS32:SIU32"/>
    <mergeCell ref="SIV32:SIX32"/>
    <mergeCell ref="SIY32:SJA32"/>
    <mergeCell ref="SJB32:SJD32"/>
    <mergeCell ref="SIA32:SIC32"/>
    <mergeCell ref="SID32:SIF32"/>
    <mergeCell ref="SIG32:SII32"/>
    <mergeCell ref="SIJ32:SIL32"/>
    <mergeCell ref="SIM32:SIO32"/>
    <mergeCell ref="SHL32:SHN32"/>
    <mergeCell ref="SHO32:SHQ32"/>
    <mergeCell ref="SHR32:SHT32"/>
    <mergeCell ref="SHU32:SHW32"/>
    <mergeCell ref="SHX32:SHZ32"/>
    <mergeCell ref="SGW32:SGY32"/>
    <mergeCell ref="SGZ32:SHB32"/>
    <mergeCell ref="SHC32:SHE32"/>
    <mergeCell ref="SHF32:SHH32"/>
    <mergeCell ref="SHI32:SHK32"/>
    <mergeCell ref="SGH32:SGJ32"/>
    <mergeCell ref="SGK32:SGM32"/>
    <mergeCell ref="SGN32:SGP32"/>
    <mergeCell ref="SGQ32:SGS32"/>
    <mergeCell ref="SGT32:SGV32"/>
    <mergeCell ref="SNU32:SNW32"/>
    <mergeCell ref="SNX32:SNZ32"/>
    <mergeCell ref="SOA32:SOC32"/>
    <mergeCell ref="SOD32:SOF32"/>
    <mergeCell ref="SOG32:SOI32"/>
    <mergeCell ref="SNF32:SNH32"/>
    <mergeCell ref="SNI32:SNK32"/>
    <mergeCell ref="SNL32:SNN32"/>
    <mergeCell ref="SNO32:SNQ32"/>
    <mergeCell ref="SNR32:SNT32"/>
    <mergeCell ref="SMQ32:SMS32"/>
    <mergeCell ref="SMT32:SMV32"/>
    <mergeCell ref="SMW32:SMY32"/>
    <mergeCell ref="SMZ32:SNB32"/>
    <mergeCell ref="SNC32:SNE32"/>
    <mergeCell ref="SMB32:SMD32"/>
    <mergeCell ref="SME32:SMG32"/>
    <mergeCell ref="SMH32:SMJ32"/>
    <mergeCell ref="SMK32:SMM32"/>
    <mergeCell ref="SMN32:SMP32"/>
    <mergeCell ref="SLM32:SLO32"/>
    <mergeCell ref="SLP32:SLR32"/>
    <mergeCell ref="SLS32:SLU32"/>
    <mergeCell ref="SLV32:SLX32"/>
    <mergeCell ref="SLY32:SMA32"/>
    <mergeCell ref="SKX32:SKZ32"/>
    <mergeCell ref="SLA32:SLC32"/>
    <mergeCell ref="SLD32:SLF32"/>
    <mergeCell ref="SLG32:SLI32"/>
    <mergeCell ref="SLJ32:SLL32"/>
    <mergeCell ref="SKI32:SKK32"/>
    <mergeCell ref="SKL32:SKN32"/>
    <mergeCell ref="SKO32:SKQ32"/>
    <mergeCell ref="SKR32:SKT32"/>
    <mergeCell ref="SKU32:SKW32"/>
    <mergeCell ref="SRV32:SRX32"/>
    <mergeCell ref="SRY32:SSA32"/>
    <mergeCell ref="SSB32:SSD32"/>
    <mergeCell ref="SSE32:SSG32"/>
    <mergeCell ref="SSH32:SSJ32"/>
    <mergeCell ref="SRG32:SRI32"/>
    <mergeCell ref="SRJ32:SRL32"/>
    <mergeCell ref="SRM32:SRO32"/>
    <mergeCell ref="SRP32:SRR32"/>
    <mergeCell ref="SRS32:SRU32"/>
    <mergeCell ref="SQR32:SQT32"/>
    <mergeCell ref="SQU32:SQW32"/>
    <mergeCell ref="SQX32:SQZ32"/>
    <mergeCell ref="SRA32:SRC32"/>
    <mergeCell ref="SRD32:SRF32"/>
    <mergeCell ref="SQC32:SQE32"/>
    <mergeCell ref="SQF32:SQH32"/>
    <mergeCell ref="SQI32:SQK32"/>
    <mergeCell ref="SQL32:SQN32"/>
    <mergeCell ref="SQO32:SQQ32"/>
    <mergeCell ref="SPN32:SPP32"/>
    <mergeCell ref="SPQ32:SPS32"/>
    <mergeCell ref="SPT32:SPV32"/>
    <mergeCell ref="SPW32:SPY32"/>
    <mergeCell ref="SPZ32:SQB32"/>
    <mergeCell ref="SOY32:SPA32"/>
    <mergeCell ref="SPB32:SPD32"/>
    <mergeCell ref="SPE32:SPG32"/>
    <mergeCell ref="SPH32:SPJ32"/>
    <mergeCell ref="SPK32:SPM32"/>
    <mergeCell ref="SOJ32:SOL32"/>
    <mergeCell ref="SOM32:SOO32"/>
    <mergeCell ref="SOP32:SOR32"/>
    <mergeCell ref="SOS32:SOU32"/>
    <mergeCell ref="SOV32:SOX32"/>
    <mergeCell ref="SVW32:SVY32"/>
    <mergeCell ref="SVZ32:SWB32"/>
    <mergeCell ref="SWC32:SWE32"/>
    <mergeCell ref="SWF32:SWH32"/>
    <mergeCell ref="SWI32:SWK32"/>
    <mergeCell ref="SVH32:SVJ32"/>
    <mergeCell ref="SVK32:SVM32"/>
    <mergeCell ref="SVN32:SVP32"/>
    <mergeCell ref="SVQ32:SVS32"/>
    <mergeCell ref="SVT32:SVV32"/>
    <mergeCell ref="SUS32:SUU32"/>
    <mergeCell ref="SUV32:SUX32"/>
    <mergeCell ref="SUY32:SVA32"/>
    <mergeCell ref="SVB32:SVD32"/>
    <mergeCell ref="SVE32:SVG32"/>
    <mergeCell ref="SUD32:SUF32"/>
    <mergeCell ref="SUG32:SUI32"/>
    <mergeCell ref="SUJ32:SUL32"/>
    <mergeCell ref="SUM32:SUO32"/>
    <mergeCell ref="SUP32:SUR32"/>
    <mergeCell ref="STO32:STQ32"/>
    <mergeCell ref="STR32:STT32"/>
    <mergeCell ref="STU32:STW32"/>
    <mergeCell ref="STX32:STZ32"/>
    <mergeCell ref="SUA32:SUC32"/>
    <mergeCell ref="SSZ32:STB32"/>
    <mergeCell ref="STC32:STE32"/>
    <mergeCell ref="STF32:STH32"/>
    <mergeCell ref="STI32:STK32"/>
    <mergeCell ref="STL32:STN32"/>
    <mergeCell ref="SSK32:SSM32"/>
    <mergeCell ref="SSN32:SSP32"/>
    <mergeCell ref="SSQ32:SSS32"/>
    <mergeCell ref="SST32:SSV32"/>
    <mergeCell ref="SSW32:SSY32"/>
    <mergeCell ref="SZX32:SZZ32"/>
    <mergeCell ref="TAA32:TAC32"/>
    <mergeCell ref="TAD32:TAF32"/>
    <mergeCell ref="TAG32:TAI32"/>
    <mergeCell ref="TAJ32:TAL32"/>
    <mergeCell ref="SZI32:SZK32"/>
    <mergeCell ref="SZL32:SZN32"/>
    <mergeCell ref="SZO32:SZQ32"/>
    <mergeCell ref="SZR32:SZT32"/>
    <mergeCell ref="SZU32:SZW32"/>
    <mergeCell ref="SYT32:SYV32"/>
    <mergeCell ref="SYW32:SYY32"/>
    <mergeCell ref="SYZ32:SZB32"/>
    <mergeCell ref="SZC32:SZE32"/>
    <mergeCell ref="SZF32:SZH32"/>
    <mergeCell ref="SYE32:SYG32"/>
    <mergeCell ref="SYH32:SYJ32"/>
    <mergeCell ref="SYK32:SYM32"/>
    <mergeCell ref="SYN32:SYP32"/>
    <mergeCell ref="SYQ32:SYS32"/>
    <mergeCell ref="SXP32:SXR32"/>
    <mergeCell ref="SXS32:SXU32"/>
    <mergeCell ref="SXV32:SXX32"/>
    <mergeCell ref="SXY32:SYA32"/>
    <mergeCell ref="SYB32:SYD32"/>
    <mergeCell ref="SXA32:SXC32"/>
    <mergeCell ref="SXD32:SXF32"/>
    <mergeCell ref="SXG32:SXI32"/>
    <mergeCell ref="SXJ32:SXL32"/>
    <mergeCell ref="SXM32:SXO32"/>
    <mergeCell ref="SWL32:SWN32"/>
    <mergeCell ref="SWO32:SWQ32"/>
    <mergeCell ref="SWR32:SWT32"/>
    <mergeCell ref="SWU32:SWW32"/>
    <mergeCell ref="SWX32:SWZ32"/>
    <mergeCell ref="TDY32:TEA32"/>
    <mergeCell ref="TEB32:TED32"/>
    <mergeCell ref="TEE32:TEG32"/>
    <mergeCell ref="TEH32:TEJ32"/>
    <mergeCell ref="TEK32:TEM32"/>
    <mergeCell ref="TDJ32:TDL32"/>
    <mergeCell ref="TDM32:TDO32"/>
    <mergeCell ref="TDP32:TDR32"/>
    <mergeCell ref="TDS32:TDU32"/>
    <mergeCell ref="TDV32:TDX32"/>
    <mergeCell ref="TCU32:TCW32"/>
    <mergeCell ref="TCX32:TCZ32"/>
    <mergeCell ref="TDA32:TDC32"/>
    <mergeCell ref="TDD32:TDF32"/>
    <mergeCell ref="TDG32:TDI32"/>
    <mergeCell ref="TCF32:TCH32"/>
    <mergeCell ref="TCI32:TCK32"/>
    <mergeCell ref="TCL32:TCN32"/>
    <mergeCell ref="TCO32:TCQ32"/>
    <mergeCell ref="TCR32:TCT32"/>
    <mergeCell ref="TBQ32:TBS32"/>
    <mergeCell ref="TBT32:TBV32"/>
    <mergeCell ref="TBW32:TBY32"/>
    <mergeCell ref="TBZ32:TCB32"/>
    <mergeCell ref="TCC32:TCE32"/>
    <mergeCell ref="TBB32:TBD32"/>
    <mergeCell ref="TBE32:TBG32"/>
    <mergeCell ref="TBH32:TBJ32"/>
    <mergeCell ref="TBK32:TBM32"/>
    <mergeCell ref="TBN32:TBP32"/>
    <mergeCell ref="TAM32:TAO32"/>
    <mergeCell ref="TAP32:TAR32"/>
    <mergeCell ref="TAS32:TAU32"/>
    <mergeCell ref="TAV32:TAX32"/>
    <mergeCell ref="TAY32:TBA32"/>
    <mergeCell ref="THZ32:TIB32"/>
    <mergeCell ref="TIC32:TIE32"/>
    <mergeCell ref="TIF32:TIH32"/>
    <mergeCell ref="TII32:TIK32"/>
    <mergeCell ref="TIL32:TIN32"/>
    <mergeCell ref="THK32:THM32"/>
    <mergeCell ref="THN32:THP32"/>
    <mergeCell ref="THQ32:THS32"/>
    <mergeCell ref="THT32:THV32"/>
    <mergeCell ref="THW32:THY32"/>
    <mergeCell ref="TGV32:TGX32"/>
    <mergeCell ref="TGY32:THA32"/>
    <mergeCell ref="THB32:THD32"/>
    <mergeCell ref="THE32:THG32"/>
    <mergeCell ref="THH32:THJ32"/>
    <mergeCell ref="TGG32:TGI32"/>
    <mergeCell ref="TGJ32:TGL32"/>
    <mergeCell ref="TGM32:TGO32"/>
    <mergeCell ref="TGP32:TGR32"/>
    <mergeCell ref="TGS32:TGU32"/>
    <mergeCell ref="TFR32:TFT32"/>
    <mergeCell ref="TFU32:TFW32"/>
    <mergeCell ref="TFX32:TFZ32"/>
    <mergeCell ref="TGA32:TGC32"/>
    <mergeCell ref="TGD32:TGF32"/>
    <mergeCell ref="TFC32:TFE32"/>
    <mergeCell ref="TFF32:TFH32"/>
    <mergeCell ref="TFI32:TFK32"/>
    <mergeCell ref="TFL32:TFN32"/>
    <mergeCell ref="TFO32:TFQ32"/>
    <mergeCell ref="TEN32:TEP32"/>
    <mergeCell ref="TEQ32:TES32"/>
    <mergeCell ref="TET32:TEV32"/>
    <mergeCell ref="TEW32:TEY32"/>
    <mergeCell ref="TEZ32:TFB32"/>
    <mergeCell ref="TMA32:TMC32"/>
    <mergeCell ref="TMD32:TMF32"/>
    <mergeCell ref="TMG32:TMI32"/>
    <mergeCell ref="TMJ32:TML32"/>
    <mergeCell ref="TMM32:TMO32"/>
    <mergeCell ref="TLL32:TLN32"/>
    <mergeCell ref="TLO32:TLQ32"/>
    <mergeCell ref="TLR32:TLT32"/>
    <mergeCell ref="TLU32:TLW32"/>
    <mergeCell ref="TLX32:TLZ32"/>
    <mergeCell ref="TKW32:TKY32"/>
    <mergeCell ref="TKZ32:TLB32"/>
    <mergeCell ref="TLC32:TLE32"/>
    <mergeCell ref="TLF32:TLH32"/>
    <mergeCell ref="TLI32:TLK32"/>
    <mergeCell ref="TKH32:TKJ32"/>
    <mergeCell ref="TKK32:TKM32"/>
    <mergeCell ref="TKN32:TKP32"/>
    <mergeCell ref="TKQ32:TKS32"/>
    <mergeCell ref="TKT32:TKV32"/>
    <mergeCell ref="TJS32:TJU32"/>
    <mergeCell ref="TJV32:TJX32"/>
    <mergeCell ref="TJY32:TKA32"/>
    <mergeCell ref="TKB32:TKD32"/>
    <mergeCell ref="TKE32:TKG32"/>
    <mergeCell ref="TJD32:TJF32"/>
    <mergeCell ref="TJG32:TJI32"/>
    <mergeCell ref="TJJ32:TJL32"/>
    <mergeCell ref="TJM32:TJO32"/>
    <mergeCell ref="TJP32:TJR32"/>
    <mergeCell ref="TIO32:TIQ32"/>
    <mergeCell ref="TIR32:TIT32"/>
    <mergeCell ref="TIU32:TIW32"/>
    <mergeCell ref="TIX32:TIZ32"/>
    <mergeCell ref="TJA32:TJC32"/>
    <mergeCell ref="TQB32:TQD32"/>
    <mergeCell ref="TQE32:TQG32"/>
    <mergeCell ref="TQH32:TQJ32"/>
    <mergeCell ref="TQK32:TQM32"/>
    <mergeCell ref="TQN32:TQP32"/>
    <mergeCell ref="TPM32:TPO32"/>
    <mergeCell ref="TPP32:TPR32"/>
    <mergeCell ref="TPS32:TPU32"/>
    <mergeCell ref="TPV32:TPX32"/>
    <mergeCell ref="TPY32:TQA32"/>
    <mergeCell ref="TOX32:TOZ32"/>
    <mergeCell ref="TPA32:TPC32"/>
    <mergeCell ref="TPD32:TPF32"/>
    <mergeCell ref="TPG32:TPI32"/>
    <mergeCell ref="TPJ32:TPL32"/>
    <mergeCell ref="TOI32:TOK32"/>
    <mergeCell ref="TOL32:TON32"/>
    <mergeCell ref="TOO32:TOQ32"/>
    <mergeCell ref="TOR32:TOT32"/>
    <mergeCell ref="TOU32:TOW32"/>
    <mergeCell ref="TNT32:TNV32"/>
    <mergeCell ref="TNW32:TNY32"/>
    <mergeCell ref="TNZ32:TOB32"/>
    <mergeCell ref="TOC32:TOE32"/>
    <mergeCell ref="TOF32:TOH32"/>
    <mergeCell ref="TNE32:TNG32"/>
    <mergeCell ref="TNH32:TNJ32"/>
    <mergeCell ref="TNK32:TNM32"/>
    <mergeCell ref="TNN32:TNP32"/>
    <mergeCell ref="TNQ32:TNS32"/>
    <mergeCell ref="TMP32:TMR32"/>
    <mergeCell ref="TMS32:TMU32"/>
    <mergeCell ref="TMV32:TMX32"/>
    <mergeCell ref="TMY32:TNA32"/>
    <mergeCell ref="TNB32:TND32"/>
    <mergeCell ref="TUC32:TUE32"/>
    <mergeCell ref="TUF32:TUH32"/>
    <mergeCell ref="TUI32:TUK32"/>
    <mergeCell ref="TUL32:TUN32"/>
    <mergeCell ref="TUO32:TUQ32"/>
    <mergeCell ref="TTN32:TTP32"/>
    <mergeCell ref="TTQ32:TTS32"/>
    <mergeCell ref="TTT32:TTV32"/>
    <mergeCell ref="TTW32:TTY32"/>
    <mergeCell ref="TTZ32:TUB32"/>
    <mergeCell ref="TSY32:TTA32"/>
    <mergeCell ref="TTB32:TTD32"/>
    <mergeCell ref="TTE32:TTG32"/>
    <mergeCell ref="TTH32:TTJ32"/>
    <mergeCell ref="TTK32:TTM32"/>
    <mergeCell ref="TSJ32:TSL32"/>
    <mergeCell ref="TSM32:TSO32"/>
    <mergeCell ref="TSP32:TSR32"/>
    <mergeCell ref="TSS32:TSU32"/>
    <mergeCell ref="TSV32:TSX32"/>
    <mergeCell ref="TRU32:TRW32"/>
    <mergeCell ref="TRX32:TRZ32"/>
    <mergeCell ref="TSA32:TSC32"/>
    <mergeCell ref="TSD32:TSF32"/>
    <mergeCell ref="TSG32:TSI32"/>
    <mergeCell ref="TRF32:TRH32"/>
    <mergeCell ref="TRI32:TRK32"/>
    <mergeCell ref="TRL32:TRN32"/>
    <mergeCell ref="TRO32:TRQ32"/>
    <mergeCell ref="TRR32:TRT32"/>
    <mergeCell ref="TQQ32:TQS32"/>
    <mergeCell ref="TQT32:TQV32"/>
    <mergeCell ref="TQW32:TQY32"/>
    <mergeCell ref="TQZ32:TRB32"/>
    <mergeCell ref="TRC32:TRE32"/>
    <mergeCell ref="TYD32:TYF32"/>
    <mergeCell ref="TYG32:TYI32"/>
    <mergeCell ref="TYJ32:TYL32"/>
    <mergeCell ref="TYM32:TYO32"/>
    <mergeCell ref="TYP32:TYR32"/>
    <mergeCell ref="TXO32:TXQ32"/>
    <mergeCell ref="TXR32:TXT32"/>
    <mergeCell ref="TXU32:TXW32"/>
    <mergeCell ref="TXX32:TXZ32"/>
    <mergeCell ref="TYA32:TYC32"/>
    <mergeCell ref="TWZ32:TXB32"/>
    <mergeCell ref="TXC32:TXE32"/>
    <mergeCell ref="TXF32:TXH32"/>
    <mergeCell ref="TXI32:TXK32"/>
    <mergeCell ref="TXL32:TXN32"/>
    <mergeCell ref="TWK32:TWM32"/>
    <mergeCell ref="TWN32:TWP32"/>
    <mergeCell ref="TWQ32:TWS32"/>
    <mergeCell ref="TWT32:TWV32"/>
    <mergeCell ref="TWW32:TWY32"/>
    <mergeCell ref="TVV32:TVX32"/>
    <mergeCell ref="TVY32:TWA32"/>
    <mergeCell ref="TWB32:TWD32"/>
    <mergeCell ref="TWE32:TWG32"/>
    <mergeCell ref="TWH32:TWJ32"/>
    <mergeCell ref="TVG32:TVI32"/>
    <mergeCell ref="TVJ32:TVL32"/>
    <mergeCell ref="TVM32:TVO32"/>
    <mergeCell ref="TVP32:TVR32"/>
    <mergeCell ref="TVS32:TVU32"/>
    <mergeCell ref="TUR32:TUT32"/>
    <mergeCell ref="TUU32:TUW32"/>
    <mergeCell ref="TUX32:TUZ32"/>
    <mergeCell ref="TVA32:TVC32"/>
    <mergeCell ref="TVD32:TVF32"/>
    <mergeCell ref="UCE32:UCG32"/>
    <mergeCell ref="UCH32:UCJ32"/>
    <mergeCell ref="UCK32:UCM32"/>
    <mergeCell ref="UCN32:UCP32"/>
    <mergeCell ref="UCQ32:UCS32"/>
    <mergeCell ref="UBP32:UBR32"/>
    <mergeCell ref="UBS32:UBU32"/>
    <mergeCell ref="UBV32:UBX32"/>
    <mergeCell ref="UBY32:UCA32"/>
    <mergeCell ref="UCB32:UCD32"/>
    <mergeCell ref="UBA32:UBC32"/>
    <mergeCell ref="UBD32:UBF32"/>
    <mergeCell ref="UBG32:UBI32"/>
    <mergeCell ref="UBJ32:UBL32"/>
    <mergeCell ref="UBM32:UBO32"/>
    <mergeCell ref="UAL32:UAN32"/>
    <mergeCell ref="UAO32:UAQ32"/>
    <mergeCell ref="UAR32:UAT32"/>
    <mergeCell ref="UAU32:UAW32"/>
    <mergeCell ref="UAX32:UAZ32"/>
    <mergeCell ref="TZW32:TZY32"/>
    <mergeCell ref="TZZ32:UAB32"/>
    <mergeCell ref="UAC32:UAE32"/>
    <mergeCell ref="UAF32:UAH32"/>
    <mergeCell ref="UAI32:UAK32"/>
    <mergeCell ref="TZH32:TZJ32"/>
    <mergeCell ref="TZK32:TZM32"/>
    <mergeCell ref="TZN32:TZP32"/>
    <mergeCell ref="TZQ32:TZS32"/>
    <mergeCell ref="TZT32:TZV32"/>
    <mergeCell ref="TYS32:TYU32"/>
    <mergeCell ref="TYV32:TYX32"/>
    <mergeCell ref="TYY32:TZA32"/>
    <mergeCell ref="TZB32:TZD32"/>
    <mergeCell ref="TZE32:TZG32"/>
    <mergeCell ref="UGF32:UGH32"/>
    <mergeCell ref="UGI32:UGK32"/>
    <mergeCell ref="UGL32:UGN32"/>
    <mergeCell ref="UGO32:UGQ32"/>
    <mergeCell ref="UGR32:UGT32"/>
    <mergeCell ref="UFQ32:UFS32"/>
    <mergeCell ref="UFT32:UFV32"/>
    <mergeCell ref="UFW32:UFY32"/>
    <mergeCell ref="UFZ32:UGB32"/>
    <mergeCell ref="UGC32:UGE32"/>
    <mergeCell ref="UFB32:UFD32"/>
    <mergeCell ref="UFE32:UFG32"/>
    <mergeCell ref="UFH32:UFJ32"/>
    <mergeCell ref="UFK32:UFM32"/>
    <mergeCell ref="UFN32:UFP32"/>
    <mergeCell ref="UEM32:UEO32"/>
    <mergeCell ref="UEP32:UER32"/>
    <mergeCell ref="UES32:UEU32"/>
    <mergeCell ref="UEV32:UEX32"/>
    <mergeCell ref="UEY32:UFA32"/>
    <mergeCell ref="UDX32:UDZ32"/>
    <mergeCell ref="UEA32:UEC32"/>
    <mergeCell ref="UED32:UEF32"/>
    <mergeCell ref="UEG32:UEI32"/>
    <mergeCell ref="UEJ32:UEL32"/>
    <mergeCell ref="UDI32:UDK32"/>
    <mergeCell ref="UDL32:UDN32"/>
    <mergeCell ref="UDO32:UDQ32"/>
    <mergeCell ref="UDR32:UDT32"/>
    <mergeCell ref="UDU32:UDW32"/>
    <mergeCell ref="UCT32:UCV32"/>
    <mergeCell ref="UCW32:UCY32"/>
    <mergeCell ref="UCZ32:UDB32"/>
    <mergeCell ref="UDC32:UDE32"/>
    <mergeCell ref="UDF32:UDH32"/>
    <mergeCell ref="UKG32:UKI32"/>
    <mergeCell ref="UKJ32:UKL32"/>
    <mergeCell ref="UKM32:UKO32"/>
    <mergeCell ref="UKP32:UKR32"/>
    <mergeCell ref="UKS32:UKU32"/>
    <mergeCell ref="UJR32:UJT32"/>
    <mergeCell ref="UJU32:UJW32"/>
    <mergeCell ref="UJX32:UJZ32"/>
    <mergeCell ref="UKA32:UKC32"/>
    <mergeCell ref="UKD32:UKF32"/>
    <mergeCell ref="UJC32:UJE32"/>
    <mergeCell ref="UJF32:UJH32"/>
    <mergeCell ref="UJI32:UJK32"/>
    <mergeCell ref="UJL32:UJN32"/>
    <mergeCell ref="UJO32:UJQ32"/>
    <mergeCell ref="UIN32:UIP32"/>
    <mergeCell ref="UIQ32:UIS32"/>
    <mergeCell ref="UIT32:UIV32"/>
    <mergeCell ref="UIW32:UIY32"/>
    <mergeCell ref="UIZ32:UJB32"/>
    <mergeCell ref="UHY32:UIA32"/>
    <mergeCell ref="UIB32:UID32"/>
    <mergeCell ref="UIE32:UIG32"/>
    <mergeCell ref="UIH32:UIJ32"/>
    <mergeCell ref="UIK32:UIM32"/>
    <mergeCell ref="UHJ32:UHL32"/>
    <mergeCell ref="UHM32:UHO32"/>
    <mergeCell ref="UHP32:UHR32"/>
    <mergeCell ref="UHS32:UHU32"/>
    <mergeCell ref="UHV32:UHX32"/>
    <mergeCell ref="UGU32:UGW32"/>
    <mergeCell ref="UGX32:UGZ32"/>
    <mergeCell ref="UHA32:UHC32"/>
    <mergeCell ref="UHD32:UHF32"/>
    <mergeCell ref="UHG32:UHI32"/>
    <mergeCell ref="UOH32:UOJ32"/>
    <mergeCell ref="UOK32:UOM32"/>
    <mergeCell ref="UON32:UOP32"/>
    <mergeCell ref="UOQ32:UOS32"/>
    <mergeCell ref="UOT32:UOV32"/>
    <mergeCell ref="UNS32:UNU32"/>
    <mergeCell ref="UNV32:UNX32"/>
    <mergeCell ref="UNY32:UOA32"/>
    <mergeCell ref="UOB32:UOD32"/>
    <mergeCell ref="UOE32:UOG32"/>
    <mergeCell ref="UND32:UNF32"/>
    <mergeCell ref="UNG32:UNI32"/>
    <mergeCell ref="UNJ32:UNL32"/>
    <mergeCell ref="UNM32:UNO32"/>
    <mergeCell ref="UNP32:UNR32"/>
    <mergeCell ref="UMO32:UMQ32"/>
    <mergeCell ref="UMR32:UMT32"/>
    <mergeCell ref="UMU32:UMW32"/>
    <mergeCell ref="UMX32:UMZ32"/>
    <mergeCell ref="UNA32:UNC32"/>
    <mergeCell ref="ULZ32:UMB32"/>
    <mergeCell ref="UMC32:UME32"/>
    <mergeCell ref="UMF32:UMH32"/>
    <mergeCell ref="UMI32:UMK32"/>
    <mergeCell ref="UML32:UMN32"/>
    <mergeCell ref="ULK32:ULM32"/>
    <mergeCell ref="ULN32:ULP32"/>
    <mergeCell ref="ULQ32:ULS32"/>
    <mergeCell ref="ULT32:ULV32"/>
    <mergeCell ref="ULW32:ULY32"/>
    <mergeCell ref="UKV32:UKX32"/>
    <mergeCell ref="UKY32:ULA32"/>
    <mergeCell ref="ULB32:ULD32"/>
    <mergeCell ref="ULE32:ULG32"/>
    <mergeCell ref="ULH32:ULJ32"/>
    <mergeCell ref="USI32:USK32"/>
    <mergeCell ref="USL32:USN32"/>
    <mergeCell ref="USO32:USQ32"/>
    <mergeCell ref="USR32:UST32"/>
    <mergeCell ref="USU32:USW32"/>
    <mergeCell ref="URT32:URV32"/>
    <mergeCell ref="URW32:URY32"/>
    <mergeCell ref="URZ32:USB32"/>
    <mergeCell ref="USC32:USE32"/>
    <mergeCell ref="USF32:USH32"/>
    <mergeCell ref="URE32:URG32"/>
    <mergeCell ref="URH32:URJ32"/>
    <mergeCell ref="URK32:URM32"/>
    <mergeCell ref="URN32:URP32"/>
    <mergeCell ref="URQ32:URS32"/>
    <mergeCell ref="UQP32:UQR32"/>
    <mergeCell ref="UQS32:UQU32"/>
    <mergeCell ref="UQV32:UQX32"/>
    <mergeCell ref="UQY32:URA32"/>
    <mergeCell ref="URB32:URD32"/>
    <mergeCell ref="UQA32:UQC32"/>
    <mergeCell ref="UQD32:UQF32"/>
    <mergeCell ref="UQG32:UQI32"/>
    <mergeCell ref="UQJ32:UQL32"/>
    <mergeCell ref="UQM32:UQO32"/>
    <mergeCell ref="UPL32:UPN32"/>
    <mergeCell ref="UPO32:UPQ32"/>
    <mergeCell ref="UPR32:UPT32"/>
    <mergeCell ref="UPU32:UPW32"/>
    <mergeCell ref="UPX32:UPZ32"/>
    <mergeCell ref="UOW32:UOY32"/>
    <mergeCell ref="UOZ32:UPB32"/>
    <mergeCell ref="UPC32:UPE32"/>
    <mergeCell ref="UPF32:UPH32"/>
    <mergeCell ref="UPI32:UPK32"/>
    <mergeCell ref="UWJ32:UWL32"/>
    <mergeCell ref="UWM32:UWO32"/>
    <mergeCell ref="UWP32:UWR32"/>
    <mergeCell ref="UWS32:UWU32"/>
    <mergeCell ref="UWV32:UWX32"/>
    <mergeCell ref="UVU32:UVW32"/>
    <mergeCell ref="UVX32:UVZ32"/>
    <mergeCell ref="UWA32:UWC32"/>
    <mergeCell ref="UWD32:UWF32"/>
    <mergeCell ref="UWG32:UWI32"/>
    <mergeCell ref="UVF32:UVH32"/>
    <mergeCell ref="UVI32:UVK32"/>
    <mergeCell ref="UVL32:UVN32"/>
    <mergeCell ref="UVO32:UVQ32"/>
    <mergeCell ref="UVR32:UVT32"/>
    <mergeCell ref="UUQ32:UUS32"/>
    <mergeCell ref="UUT32:UUV32"/>
    <mergeCell ref="UUW32:UUY32"/>
    <mergeCell ref="UUZ32:UVB32"/>
    <mergeCell ref="UVC32:UVE32"/>
    <mergeCell ref="UUB32:UUD32"/>
    <mergeCell ref="UUE32:UUG32"/>
    <mergeCell ref="UUH32:UUJ32"/>
    <mergeCell ref="UUK32:UUM32"/>
    <mergeCell ref="UUN32:UUP32"/>
    <mergeCell ref="UTM32:UTO32"/>
    <mergeCell ref="UTP32:UTR32"/>
    <mergeCell ref="UTS32:UTU32"/>
    <mergeCell ref="UTV32:UTX32"/>
    <mergeCell ref="UTY32:UUA32"/>
    <mergeCell ref="USX32:USZ32"/>
    <mergeCell ref="UTA32:UTC32"/>
    <mergeCell ref="UTD32:UTF32"/>
    <mergeCell ref="UTG32:UTI32"/>
    <mergeCell ref="UTJ32:UTL32"/>
    <mergeCell ref="VAK32:VAM32"/>
    <mergeCell ref="VAN32:VAP32"/>
    <mergeCell ref="VAQ32:VAS32"/>
    <mergeCell ref="VAT32:VAV32"/>
    <mergeCell ref="VAW32:VAY32"/>
    <mergeCell ref="UZV32:UZX32"/>
    <mergeCell ref="UZY32:VAA32"/>
    <mergeCell ref="VAB32:VAD32"/>
    <mergeCell ref="VAE32:VAG32"/>
    <mergeCell ref="VAH32:VAJ32"/>
    <mergeCell ref="UZG32:UZI32"/>
    <mergeCell ref="UZJ32:UZL32"/>
    <mergeCell ref="UZM32:UZO32"/>
    <mergeCell ref="UZP32:UZR32"/>
    <mergeCell ref="UZS32:UZU32"/>
    <mergeCell ref="UYR32:UYT32"/>
    <mergeCell ref="UYU32:UYW32"/>
    <mergeCell ref="UYX32:UYZ32"/>
    <mergeCell ref="UZA32:UZC32"/>
    <mergeCell ref="UZD32:UZF32"/>
    <mergeCell ref="UYC32:UYE32"/>
    <mergeCell ref="UYF32:UYH32"/>
    <mergeCell ref="UYI32:UYK32"/>
    <mergeCell ref="UYL32:UYN32"/>
    <mergeCell ref="UYO32:UYQ32"/>
    <mergeCell ref="UXN32:UXP32"/>
    <mergeCell ref="UXQ32:UXS32"/>
    <mergeCell ref="UXT32:UXV32"/>
    <mergeCell ref="UXW32:UXY32"/>
    <mergeCell ref="UXZ32:UYB32"/>
    <mergeCell ref="UWY32:UXA32"/>
    <mergeCell ref="UXB32:UXD32"/>
    <mergeCell ref="UXE32:UXG32"/>
    <mergeCell ref="UXH32:UXJ32"/>
    <mergeCell ref="UXK32:UXM32"/>
    <mergeCell ref="VEL32:VEN32"/>
    <mergeCell ref="VEO32:VEQ32"/>
    <mergeCell ref="VER32:VET32"/>
    <mergeCell ref="VEU32:VEW32"/>
    <mergeCell ref="VEX32:VEZ32"/>
    <mergeCell ref="VDW32:VDY32"/>
    <mergeCell ref="VDZ32:VEB32"/>
    <mergeCell ref="VEC32:VEE32"/>
    <mergeCell ref="VEF32:VEH32"/>
    <mergeCell ref="VEI32:VEK32"/>
    <mergeCell ref="VDH32:VDJ32"/>
    <mergeCell ref="VDK32:VDM32"/>
    <mergeCell ref="VDN32:VDP32"/>
    <mergeCell ref="VDQ32:VDS32"/>
    <mergeCell ref="VDT32:VDV32"/>
    <mergeCell ref="VCS32:VCU32"/>
    <mergeCell ref="VCV32:VCX32"/>
    <mergeCell ref="VCY32:VDA32"/>
    <mergeCell ref="VDB32:VDD32"/>
    <mergeCell ref="VDE32:VDG32"/>
    <mergeCell ref="VCD32:VCF32"/>
    <mergeCell ref="VCG32:VCI32"/>
    <mergeCell ref="VCJ32:VCL32"/>
    <mergeCell ref="VCM32:VCO32"/>
    <mergeCell ref="VCP32:VCR32"/>
    <mergeCell ref="VBO32:VBQ32"/>
    <mergeCell ref="VBR32:VBT32"/>
    <mergeCell ref="VBU32:VBW32"/>
    <mergeCell ref="VBX32:VBZ32"/>
    <mergeCell ref="VCA32:VCC32"/>
    <mergeCell ref="VAZ32:VBB32"/>
    <mergeCell ref="VBC32:VBE32"/>
    <mergeCell ref="VBF32:VBH32"/>
    <mergeCell ref="VBI32:VBK32"/>
    <mergeCell ref="VBL32:VBN32"/>
    <mergeCell ref="VIM32:VIO32"/>
    <mergeCell ref="VIP32:VIR32"/>
    <mergeCell ref="VIS32:VIU32"/>
    <mergeCell ref="VIV32:VIX32"/>
    <mergeCell ref="VIY32:VJA32"/>
    <mergeCell ref="VHX32:VHZ32"/>
    <mergeCell ref="VIA32:VIC32"/>
    <mergeCell ref="VID32:VIF32"/>
    <mergeCell ref="VIG32:VII32"/>
    <mergeCell ref="VIJ32:VIL32"/>
    <mergeCell ref="VHI32:VHK32"/>
    <mergeCell ref="VHL32:VHN32"/>
    <mergeCell ref="VHO32:VHQ32"/>
    <mergeCell ref="VHR32:VHT32"/>
    <mergeCell ref="VHU32:VHW32"/>
    <mergeCell ref="VGT32:VGV32"/>
    <mergeCell ref="VGW32:VGY32"/>
    <mergeCell ref="VGZ32:VHB32"/>
    <mergeCell ref="VHC32:VHE32"/>
    <mergeCell ref="VHF32:VHH32"/>
    <mergeCell ref="VGE32:VGG32"/>
    <mergeCell ref="VGH32:VGJ32"/>
    <mergeCell ref="VGK32:VGM32"/>
    <mergeCell ref="VGN32:VGP32"/>
    <mergeCell ref="VGQ32:VGS32"/>
    <mergeCell ref="VFP32:VFR32"/>
    <mergeCell ref="VFS32:VFU32"/>
    <mergeCell ref="VFV32:VFX32"/>
    <mergeCell ref="VFY32:VGA32"/>
    <mergeCell ref="VGB32:VGD32"/>
    <mergeCell ref="VFA32:VFC32"/>
    <mergeCell ref="VFD32:VFF32"/>
    <mergeCell ref="VFG32:VFI32"/>
    <mergeCell ref="VFJ32:VFL32"/>
    <mergeCell ref="VFM32:VFO32"/>
    <mergeCell ref="VMN32:VMP32"/>
    <mergeCell ref="VMQ32:VMS32"/>
    <mergeCell ref="VMT32:VMV32"/>
    <mergeCell ref="VMW32:VMY32"/>
    <mergeCell ref="VMZ32:VNB32"/>
    <mergeCell ref="VLY32:VMA32"/>
    <mergeCell ref="VMB32:VMD32"/>
    <mergeCell ref="VME32:VMG32"/>
    <mergeCell ref="VMH32:VMJ32"/>
    <mergeCell ref="VMK32:VMM32"/>
    <mergeCell ref="VLJ32:VLL32"/>
    <mergeCell ref="VLM32:VLO32"/>
    <mergeCell ref="VLP32:VLR32"/>
    <mergeCell ref="VLS32:VLU32"/>
    <mergeCell ref="VLV32:VLX32"/>
    <mergeCell ref="VKU32:VKW32"/>
    <mergeCell ref="VKX32:VKZ32"/>
    <mergeCell ref="VLA32:VLC32"/>
    <mergeCell ref="VLD32:VLF32"/>
    <mergeCell ref="VLG32:VLI32"/>
    <mergeCell ref="VKF32:VKH32"/>
    <mergeCell ref="VKI32:VKK32"/>
    <mergeCell ref="VKL32:VKN32"/>
    <mergeCell ref="VKO32:VKQ32"/>
    <mergeCell ref="VKR32:VKT32"/>
    <mergeCell ref="VJQ32:VJS32"/>
    <mergeCell ref="VJT32:VJV32"/>
    <mergeCell ref="VJW32:VJY32"/>
    <mergeCell ref="VJZ32:VKB32"/>
    <mergeCell ref="VKC32:VKE32"/>
    <mergeCell ref="VJB32:VJD32"/>
    <mergeCell ref="VJE32:VJG32"/>
    <mergeCell ref="VJH32:VJJ32"/>
    <mergeCell ref="VJK32:VJM32"/>
    <mergeCell ref="VJN32:VJP32"/>
    <mergeCell ref="VQO32:VQQ32"/>
    <mergeCell ref="VQR32:VQT32"/>
    <mergeCell ref="VQU32:VQW32"/>
    <mergeCell ref="VQX32:VQZ32"/>
    <mergeCell ref="VRA32:VRC32"/>
    <mergeCell ref="VPZ32:VQB32"/>
    <mergeCell ref="VQC32:VQE32"/>
    <mergeCell ref="VQF32:VQH32"/>
    <mergeCell ref="VQI32:VQK32"/>
    <mergeCell ref="VQL32:VQN32"/>
    <mergeCell ref="VPK32:VPM32"/>
    <mergeCell ref="VPN32:VPP32"/>
    <mergeCell ref="VPQ32:VPS32"/>
    <mergeCell ref="VPT32:VPV32"/>
    <mergeCell ref="VPW32:VPY32"/>
    <mergeCell ref="VOV32:VOX32"/>
    <mergeCell ref="VOY32:VPA32"/>
    <mergeCell ref="VPB32:VPD32"/>
    <mergeCell ref="VPE32:VPG32"/>
    <mergeCell ref="VPH32:VPJ32"/>
    <mergeCell ref="VOG32:VOI32"/>
    <mergeCell ref="VOJ32:VOL32"/>
    <mergeCell ref="VOM32:VOO32"/>
    <mergeCell ref="VOP32:VOR32"/>
    <mergeCell ref="VOS32:VOU32"/>
    <mergeCell ref="VNR32:VNT32"/>
    <mergeCell ref="VNU32:VNW32"/>
    <mergeCell ref="VNX32:VNZ32"/>
    <mergeCell ref="VOA32:VOC32"/>
    <mergeCell ref="VOD32:VOF32"/>
    <mergeCell ref="VNC32:VNE32"/>
    <mergeCell ref="VNF32:VNH32"/>
    <mergeCell ref="VNI32:VNK32"/>
    <mergeCell ref="VNL32:VNN32"/>
    <mergeCell ref="VNO32:VNQ32"/>
    <mergeCell ref="VUP32:VUR32"/>
    <mergeCell ref="VUS32:VUU32"/>
    <mergeCell ref="VUV32:VUX32"/>
    <mergeCell ref="VUY32:VVA32"/>
    <mergeCell ref="VVB32:VVD32"/>
    <mergeCell ref="VUA32:VUC32"/>
    <mergeCell ref="VUD32:VUF32"/>
    <mergeCell ref="VUG32:VUI32"/>
    <mergeCell ref="VUJ32:VUL32"/>
    <mergeCell ref="VUM32:VUO32"/>
    <mergeCell ref="VTL32:VTN32"/>
    <mergeCell ref="VTO32:VTQ32"/>
    <mergeCell ref="VTR32:VTT32"/>
    <mergeCell ref="VTU32:VTW32"/>
    <mergeCell ref="VTX32:VTZ32"/>
    <mergeCell ref="VSW32:VSY32"/>
    <mergeCell ref="VSZ32:VTB32"/>
    <mergeCell ref="VTC32:VTE32"/>
    <mergeCell ref="VTF32:VTH32"/>
    <mergeCell ref="VTI32:VTK32"/>
    <mergeCell ref="VSH32:VSJ32"/>
    <mergeCell ref="VSK32:VSM32"/>
    <mergeCell ref="VSN32:VSP32"/>
    <mergeCell ref="VSQ32:VSS32"/>
    <mergeCell ref="VST32:VSV32"/>
    <mergeCell ref="VRS32:VRU32"/>
    <mergeCell ref="VRV32:VRX32"/>
    <mergeCell ref="VRY32:VSA32"/>
    <mergeCell ref="VSB32:VSD32"/>
    <mergeCell ref="VSE32:VSG32"/>
    <mergeCell ref="VRD32:VRF32"/>
    <mergeCell ref="VRG32:VRI32"/>
    <mergeCell ref="VRJ32:VRL32"/>
    <mergeCell ref="VRM32:VRO32"/>
    <mergeCell ref="VRP32:VRR32"/>
    <mergeCell ref="VYQ32:VYS32"/>
    <mergeCell ref="VYT32:VYV32"/>
    <mergeCell ref="VYW32:VYY32"/>
    <mergeCell ref="VYZ32:VZB32"/>
    <mergeCell ref="VZC32:VZE32"/>
    <mergeCell ref="VYB32:VYD32"/>
    <mergeCell ref="VYE32:VYG32"/>
    <mergeCell ref="VYH32:VYJ32"/>
    <mergeCell ref="VYK32:VYM32"/>
    <mergeCell ref="VYN32:VYP32"/>
    <mergeCell ref="VXM32:VXO32"/>
    <mergeCell ref="VXP32:VXR32"/>
    <mergeCell ref="VXS32:VXU32"/>
    <mergeCell ref="VXV32:VXX32"/>
    <mergeCell ref="VXY32:VYA32"/>
    <mergeCell ref="VWX32:VWZ32"/>
    <mergeCell ref="VXA32:VXC32"/>
    <mergeCell ref="VXD32:VXF32"/>
    <mergeCell ref="VXG32:VXI32"/>
    <mergeCell ref="VXJ32:VXL32"/>
    <mergeCell ref="VWI32:VWK32"/>
    <mergeCell ref="VWL32:VWN32"/>
    <mergeCell ref="VWO32:VWQ32"/>
    <mergeCell ref="VWR32:VWT32"/>
    <mergeCell ref="VWU32:VWW32"/>
    <mergeCell ref="VVT32:VVV32"/>
    <mergeCell ref="VVW32:VVY32"/>
    <mergeCell ref="VVZ32:VWB32"/>
    <mergeCell ref="VWC32:VWE32"/>
    <mergeCell ref="VWF32:VWH32"/>
    <mergeCell ref="VVE32:VVG32"/>
    <mergeCell ref="VVH32:VVJ32"/>
    <mergeCell ref="VVK32:VVM32"/>
    <mergeCell ref="VVN32:VVP32"/>
    <mergeCell ref="VVQ32:VVS32"/>
    <mergeCell ref="WCR32:WCT32"/>
    <mergeCell ref="WCU32:WCW32"/>
    <mergeCell ref="WCX32:WCZ32"/>
    <mergeCell ref="WDA32:WDC32"/>
    <mergeCell ref="WDD32:WDF32"/>
    <mergeCell ref="WCC32:WCE32"/>
    <mergeCell ref="WCF32:WCH32"/>
    <mergeCell ref="WCI32:WCK32"/>
    <mergeCell ref="WCL32:WCN32"/>
    <mergeCell ref="WCO32:WCQ32"/>
    <mergeCell ref="WBN32:WBP32"/>
    <mergeCell ref="WBQ32:WBS32"/>
    <mergeCell ref="WBT32:WBV32"/>
    <mergeCell ref="WBW32:WBY32"/>
    <mergeCell ref="WBZ32:WCB32"/>
    <mergeCell ref="WAY32:WBA32"/>
    <mergeCell ref="WBB32:WBD32"/>
    <mergeCell ref="WBE32:WBG32"/>
    <mergeCell ref="WBH32:WBJ32"/>
    <mergeCell ref="WBK32:WBM32"/>
    <mergeCell ref="WAJ32:WAL32"/>
    <mergeCell ref="WAM32:WAO32"/>
    <mergeCell ref="WAP32:WAR32"/>
    <mergeCell ref="WAS32:WAU32"/>
    <mergeCell ref="WAV32:WAX32"/>
    <mergeCell ref="VZU32:VZW32"/>
    <mergeCell ref="VZX32:VZZ32"/>
    <mergeCell ref="WAA32:WAC32"/>
    <mergeCell ref="WAD32:WAF32"/>
    <mergeCell ref="WAG32:WAI32"/>
    <mergeCell ref="VZF32:VZH32"/>
    <mergeCell ref="VZI32:VZK32"/>
    <mergeCell ref="VZL32:VZN32"/>
    <mergeCell ref="VZO32:VZQ32"/>
    <mergeCell ref="VZR32:VZT32"/>
    <mergeCell ref="WGS32:WGU32"/>
    <mergeCell ref="WGV32:WGX32"/>
    <mergeCell ref="WGY32:WHA32"/>
    <mergeCell ref="WHB32:WHD32"/>
    <mergeCell ref="WHE32:WHG32"/>
    <mergeCell ref="WGD32:WGF32"/>
    <mergeCell ref="WGG32:WGI32"/>
    <mergeCell ref="WGJ32:WGL32"/>
    <mergeCell ref="WGM32:WGO32"/>
    <mergeCell ref="WGP32:WGR32"/>
    <mergeCell ref="WFO32:WFQ32"/>
    <mergeCell ref="WFR32:WFT32"/>
    <mergeCell ref="WFU32:WFW32"/>
    <mergeCell ref="WFX32:WFZ32"/>
    <mergeCell ref="WGA32:WGC32"/>
    <mergeCell ref="WEZ32:WFB32"/>
    <mergeCell ref="WFC32:WFE32"/>
    <mergeCell ref="WFF32:WFH32"/>
    <mergeCell ref="WFI32:WFK32"/>
    <mergeCell ref="WFL32:WFN32"/>
    <mergeCell ref="WEK32:WEM32"/>
    <mergeCell ref="WEN32:WEP32"/>
    <mergeCell ref="WEQ32:WES32"/>
    <mergeCell ref="WET32:WEV32"/>
    <mergeCell ref="WEW32:WEY32"/>
    <mergeCell ref="WDV32:WDX32"/>
    <mergeCell ref="WDY32:WEA32"/>
    <mergeCell ref="WEB32:WED32"/>
    <mergeCell ref="WEE32:WEG32"/>
    <mergeCell ref="WEH32:WEJ32"/>
    <mergeCell ref="WDG32:WDI32"/>
    <mergeCell ref="WDJ32:WDL32"/>
    <mergeCell ref="WDM32:WDO32"/>
    <mergeCell ref="WDP32:WDR32"/>
    <mergeCell ref="WDS32:WDU32"/>
    <mergeCell ref="WKT32:WKV32"/>
    <mergeCell ref="WKW32:WKY32"/>
    <mergeCell ref="WKZ32:WLB32"/>
    <mergeCell ref="WLC32:WLE32"/>
    <mergeCell ref="WLF32:WLH32"/>
    <mergeCell ref="WKE32:WKG32"/>
    <mergeCell ref="WKH32:WKJ32"/>
    <mergeCell ref="WKK32:WKM32"/>
    <mergeCell ref="WKN32:WKP32"/>
    <mergeCell ref="WKQ32:WKS32"/>
    <mergeCell ref="WJP32:WJR32"/>
    <mergeCell ref="WJS32:WJU32"/>
    <mergeCell ref="WJV32:WJX32"/>
    <mergeCell ref="WJY32:WKA32"/>
    <mergeCell ref="WKB32:WKD32"/>
    <mergeCell ref="WJA32:WJC32"/>
    <mergeCell ref="WJD32:WJF32"/>
    <mergeCell ref="WJG32:WJI32"/>
    <mergeCell ref="WJJ32:WJL32"/>
    <mergeCell ref="WJM32:WJO32"/>
    <mergeCell ref="WIL32:WIN32"/>
    <mergeCell ref="WIO32:WIQ32"/>
    <mergeCell ref="WIR32:WIT32"/>
    <mergeCell ref="WIU32:WIW32"/>
    <mergeCell ref="WIX32:WIZ32"/>
    <mergeCell ref="WHW32:WHY32"/>
    <mergeCell ref="WHZ32:WIB32"/>
    <mergeCell ref="WIC32:WIE32"/>
    <mergeCell ref="WIF32:WIH32"/>
    <mergeCell ref="WII32:WIK32"/>
    <mergeCell ref="WHH32:WHJ32"/>
    <mergeCell ref="WHK32:WHM32"/>
    <mergeCell ref="WHN32:WHP32"/>
    <mergeCell ref="WHQ32:WHS32"/>
    <mergeCell ref="WHT32:WHV32"/>
    <mergeCell ref="WOU32:WOW32"/>
    <mergeCell ref="WOX32:WOZ32"/>
    <mergeCell ref="WPA32:WPC32"/>
    <mergeCell ref="WPD32:WPF32"/>
    <mergeCell ref="WPG32:WPI32"/>
    <mergeCell ref="WOF32:WOH32"/>
    <mergeCell ref="WOI32:WOK32"/>
    <mergeCell ref="WOL32:WON32"/>
    <mergeCell ref="WOO32:WOQ32"/>
    <mergeCell ref="WOR32:WOT32"/>
    <mergeCell ref="WNQ32:WNS32"/>
    <mergeCell ref="WNT32:WNV32"/>
    <mergeCell ref="WNW32:WNY32"/>
    <mergeCell ref="WNZ32:WOB32"/>
    <mergeCell ref="WOC32:WOE32"/>
    <mergeCell ref="WNB32:WND32"/>
    <mergeCell ref="WNE32:WNG32"/>
    <mergeCell ref="WNH32:WNJ32"/>
    <mergeCell ref="WNK32:WNM32"/>
    <mergeCell ref="WNN32:WNP32"/>
    <mergeCell ref="WMM32:WMO32"/>
    <mergeCell ref="WMP32:WMR32"/>
    <mergeCell ref="WMS32:WMU32"/>
    <mergeCell ref="WMV32:WMX32"/>
    <mergeCell ref="WMY32:WNA32"/>
    <mergeCell ref="WLX32:WLZ32"/>
    <mergeCell ref="WMA32:WMC32"/>
    <mergeCell ref="WMD32:WMF32"/>
    <mergeCell ref="WMG32:WMI32"/>
    <mergeCell ref="WMJ32:WML32"/>
    <mergeCell ref="WLI32:WLK32"/>
    <mergeCell ref="WLL32:WLN32"/>
    <mergeCell ref="WLO32:WLQ32"/>
    <mergeCell ref="WLR32:WLT32"/>
    <mergeCell ref="WLU32:WLW32"/>
    <mergeCell ref="WSV32:WSX32"/>
    <mergeCell ref="WSY32:WTA32"/>
    <mergeCell ref="WTB32:WTD32"/>
    <mergeCell ref="WTE32:WTG32"/>
    <mergeCell ref="WTH32:WTJ32"/>
    <mergeCell ref="WSG32:WSI32"/>
    <mergeCell ref="WSJ32:WSL32"/>
    <mergeCell ref="WSM32:WSO32"/>
    <mergeCell ref="WSP32:WSR32"/>
    <mergeCell ref="WSS32:WSU32"/>
    <mergeCell ref="WRR32:WRT32"/>
    <mergeCell ref="WRU32:WRW32"/>
    <mergeCell ref="WRX32:WRZ32"/>
    <mergeCell ref="WSA32:WSC32"/>
    <mergeCell ref="WSD32:WSF32"/>
    <mergeCell ref="WRC32:WRE32"/>
    <mergeCell ref="WRF32:WRH32"/>
    <mergeCell ref="WRI32:WRK32"/>
    <mergeCell ref="WRL32:WRN32"/>
    <mergeCell ref="WRO32:WRQ32"/>
    <mergeCell ref="WQN32:WQP32"/>
    <mergeCell ref="WQQ32:WQS32"/>
    <mergeCell ref="WQT32:WQV32"/>
    <mergeCell ref="WQW32:WQY32"/>
    <mergeCell ref="WQZ32:WRB32"/>
    <mergeCell ref="WPY32:WQA32"/>
    <mergeCell ref="WQB32:WQD32"/>
    <mergeCell ref="WQE32:WQG32"/>
    <mergeCell ref="WQH32:WQJ32"/>
    <mergeCell ref="WQK32:WQM32"/>
    <mergeCell ref="WPJ32:WPL32"/>
    <mergeCell ref="WPM32:WPO32"/>
    <mergeCell ref="WPP32:WPR32"/>
    <mergeCell ref="WPS32:WPU32"/>
    <mergeCell ref="WPV32:WPX32"/>
    <mergeCell ref="WWW32:WWY32"/>
    <mergeCell ref="WWZ32:WXB32"/>
    <mergeCell ref="WXC32:WXE32"/>
    <mergeCell ref="WXF32:WXH32"/>
    <mergeCell ref="WXI32:WXK32"/>
    <mergeCell ref="WWH32:WWJ32"/>
    <mergeCell ref="WWK32:WWM32"/>
    <mergeCell ref="WWN32:WWP32"/>
    <mergeCell ref="WWQ32:WWS32"/>
    <mergeCell ref="WWT32:WWV32"/>
    <mergeCell ref="WVS32:WVU32"/>
    <mergeCell ref="WVV32:WVX32"/>
    <mergeCell ref="WVY32:WWA32"/>
    <mergeCell ref="WWB32:WWD32"/>
    <mergeCell ref="WWE32:WWG32"/>
    <mergeCell ref="WVD32:WVF32"/>
    <mergeCell ref="WVG32:WVI32"/>
    <mergeCell ref="WVJ32:WVL32"/>
    <mergeCell ref="WVM32:WVO32"/>
    <mergeCell ref="WVP32:WVR32"/>
    <mergeCell ref="WUO32:WUQ32"/>
    <mergeCell ref="WUR32:WUT32"/>
    <mergeCell ref="WUU32:WUW32"/>
    <mergeCell ref="WUX32:WUZ32"/>
    <mergeCell ref="WVA32:WVC32"/>
    <mergeCell ref="WTZ32:WUB32"/>
    <mergeCell ref="WUC32:WUE32"/>
    <mergeCell ref="WUF32:WUH32"/>
    <mergeCell ref="WUI32:WUK32"/>
    <mergeCell ref="WUL32:WUN32"/>
    <mergeCell ref="WTK32:WTM32"/>
    <mergeCell ref="WTN32:WTP32"/>
    <mergeCell ref="WTQ32:WTS32"/>
    <mergeCell ref="WTT32:WTV32"/>
    <mergeCell ref="WTW32:WTY32"/>
    <mergeCell ref="XBD32:XBF32"/>
    <mergeCell ref="XBG32:XBI32"/>
    <mergeCell ref="XBJ32:XBL32"/>
    <mergeCell ref="XAI32:XAK32"/>
    <mergeCell ref="XAL32:XAN32"/>
    <mergeCell ref="XAO32:XAQ32"/>
    <mergeCell ref="XAR32:XAT32"/>
    <mergeCell ref="XAU32:XAW32"/>
    <mergeCell ref="WZT32:WZV32"/>
    <mergeCell ref="WZW32:WZY32"/>
    <mergeCell ref="WZZ32:XAB32"/>
    <mergeCell ref="XAC32:XAE32"/>
    <mergeCell ref="XAF32:XAH32"/>
    <mergeCell ref="WZE32:WZG32"/>
    <mergeCell ref="WZH32:WZJ32"/>
    <mergeCell ref="WZK32:WZM32"/>
    <mergeCell ref="WZN32:WZP32"/>
    <mergeCell ref="WZQ32:WZS32"/>
    <mergeCell ref="WYP32:WYR32"/>
    <mergeCell ref="WYS32:WYU32"/>
    <mergeCell ref="WYV32:WYX32"/>
    <mergeCell ref="WYY32:WZA32"/>
    <mergeCell ref="WZB32:WZD32"/>
    <mergeCell ref="WYA32:WYC32"/>
    <mergeCell ref="WYD32:WYF32"/>
    <mergeCell ref="WYG32:WYI32"/>
    <mergeCell ref="WYJ32:WYL32"/>
    <mergeCell ref="WYM32:WYO32"/>
    <mergeCell ref="WXL32:WXN32"/>
    <mergeCell ref="WXO32:WXQ32"/>
    <mergeCell ref="WXR32:WXT32"/>
    <mergeCell ref="WXU32:WXW32"/>
    <mergeCell ref="WXX32:WXZ32"/>
    <mergeCell ref="CK33:CM33"/>
    <mergeCell ref="CN33:CP33"/>
    <mergeCell ref="CQ33:CS33"/>
    <mergeCell ref="CT33:CV33"/>
    <mergeCell ref="CW33:CY33"/>
    <mergeCell ref="BV33:BX33"/>
    <mergeCell ref="BY33:CA33"/>
    <mergeCell ref="CB33:CD33"/>
    <mergeCell ref="CE33:CG33"/>
    <mergeCell ref="CH33:CJ33"/>
    <mergeCell ref="BG33:BI33"/>
    <mergeCell ref="BJ33:BL33"/>
    <mergeCell ref="BM33:BO33"/>
    <mergeCell ref="BP33:BR33"/>
    <mergeCell ref="BS33:BU33"/>
    <mergeCell ref="AR33:AT33"/>
    <mergeCell ref="AU33:AW33"/>
    <mergeCell ref="AX33:AZ33"/>
    <mergeCell ref="BA33:BC33"/>
    <mergeCell ref="BD33:BF33"/>
    <mergeCell ref="XEY32:XFA32"/>
    <mergeCell ref="N33:P33"/>
    <mergeCell ref="Q33:S33"/>
    <mergeCell ref="T33:V33"/>
    <mergeCell ref="W33:Y33"/>
    <mergeCell ref="Z33:AB33"/>
    <mergeCell ref="AC33:AE33"/>
    <mergeCell ref="AF33:AH33"/>
    <mergeCell ref="AI33:AK33"/>
    <mergeCell ref="AL33:AN33"/>
    <mergeCell ref="AO33:AQ33"/>
    <mergeCell ref="XEJ32:XEL32"/>
    <mergeCell ref="XEM32:XEO32"/>
    <mergeCell ref="XEP32:XER32"/>
    <mergeCell ref="XES32:XEU32"/>
    <mergeCell ref="XEV32:XEX32"/>
    <mergeCell ref="XDU32:XDW32"/>
    <mergeCell ref="XDX32:XDZ32"/>
    <mergeCell ref="XEA32:XEC32"/>
    <mergeCell ref="XED32:XEF32"/>
    <mergeCell ref="XEG32:XEI32"/>
    <mergeCell ref="XDF32:XDH32"/>
    <mergeCell ref="XDI32:XDK32"/>
    <mergeCell ref="XDL32:XDN32"/>
    <mergeCell ref="XDO32:XDQ32"/>
    <mergeCell ref="XDR32:XDT32"/>
    <mergeCell ref="XCQ32:XCS32"/>
    <mergeCell ref="XCT32:XCV32"/>
    <mergeCell ref="XCW32:XCY32"/>
    <mergeCell ref="XCZ32:XDB32"/>
    <mergeCell ref="XDC32:XDE32"/>
    <mergeCell ref="XCB32:XCD32"/>
    <mergeCell ref="XCE32:XCG32"/>
    <mergeCell ref="XCH32:XCJ32"/>
    <mergeCell ref="XCK32:XCM32"/>
    <mergeCell ref="XCN32:XCP32"/>
    <mergeCell ref="XBM32:XBO32"/>
    <mergeCell ref="XBP32:XBR32"/>
    <mergeCell ref="XBS32:XBU32"/>
    <mergeCell ref="XBV32:XBX32"/>
    <mergeCell ref="XBY32:XCA32"/>
    <mergeCell ref="XAX32:XAZ32"/>
    <mergeCell ref="XBA32:XBC32"/>
    <mergeCell ref="GL33:GN33"/>
    <mergeCell ref="GO33:GQ33"/>
    <mergeCell ref="GR33:GT33"/>
    <mergeCell ref="GU33:GW33"/>
    <mergeCell ref="GX33:GZ33"/>
    <mergeCell ref="FW33:FY33"/>
    <mergeCell ref="FZ33:GB33"/>
    <mergeCell ref="GC33:GE33"/>
    <mergeCell ref="GF33:GH33"/>
    <mergeCell ref="GI33:GK33"/>
    <mergeCell ref="FH33:FJ33"/>
    <mergeCell ref="FK33:FM33"/>
    <mergeCell ref="FN33:FP33"/>
    <mergeCell ref="FQ33:FS33"/>
    <mergeCell ref="FT33:FV33"/>
    <mergeCell ref="ES33:EU33"/>
    <mergeCell ref="EV33:EX33"/>
    <mergeCell ref="EY33:FA33"/>
    <mergeCell ref="FB33:FD33"/>
    <mergeCell ref="FE33:FG33"/>
    <mergeCell ref="ED33:EF33"/>
    <mergeCell ref="EG33:EI33"/>
    <mergeCell ref="EJ33:EL33"/>
    <mergeCell ref="EM33:EO33"/>
    <mergeCell ref="EP33:ER33"/>
    <mergeCell ref="DO33:DQ33"/>
    <mergeCell ref="DR33:DT33"/>
    <mergeCell ref="DU33:DW33"/>
    <mergeCell ref="DX33:DZ33"/>
    <mergeCell ref="EA33:EC33"/>
    <mergeCell ref="CZ33:DB33"/>
    <mergeCell ref="DC33:DE33"/>
    <mergeCell ref="DF33:DH33"/>
    <mergeCell ref="DI33:DK33"/>
    <mergeCell ref="DL33:DN33"/>
    <mergeCell ref="KM33:KO33"/>
    <mergeCell ref="KP33:KR33"/>
    <mergeCell ref="KS33:KU33"/>
    <mergeCell ref="KV33:KX33"/>
    <mergeCell ref="KY33:LA33"/>
    <mergeCell ref="JX33:JZ33"/>
    <mergeCell ref="KA33:KC33"/>
    <mergeCell ref="KD33:KF33"/>
    <mergeCell ref="KG33:KI33"/>
    <mergeCell ref="KJ33:KL33"/>
    <mergeCell ref="JI33:JK33"/>
    <mergeCell ref="JL33:JN33"/>
    <mergeCell ref="JO33:JQ33"/>
    <mergeCell ref="JR33:JT33"/>
    <mergeCell ref="JU33:JW33"/>
    <mergeCell ref="IT33:IV33"/>
    <mergeCell ref="IW33:IY33"/>
    <mergeCell ref="IZ33:JB33"/>
    <mergeCell ref="JC33:JE33"/>
    <mergeCell ref="JF33:JH33"/>
    <mergeCell ref="IE33:IG33"/>
    <mergeCell ref="IH33:IJ33"/>
    <mergeCell ref="IK33:IM33"/>
    <mergeCell ref="IN33:IP33"/>
    <mergeCell ref="IQ33:IS33"/>
    <mergeCell ref="HP33:HR33"/>
    <mergeCell ref="HS33:HU33"/>
    <mergeCell ref="HV33:HX33"/>
    <mergeCell ref="HY33:IA33"/>
    <mergeCell ref="IB33:ID33"/>
    <mergeCell ref="HA33:HC33"/>
    <mergeCell ref="HD33:HF33"/>
    <mergeCell ref="HG33:HI33"/>
    <mergeCell ref="HJ33:HL33"/>
    <mergeCell ref="HM33:HO33"/>
    <mergeCell ref="ON33:OP33"/>
    <mergeCell ref="OQ33:OS33"/>
    <mergeCell ref="OT33:OV33"/>
    <mergeCell ref="OW33:OY33"/>
    <mergeCell ref="OZ33:PB33"/>
    <mergeCell ref="NY33:OA33"/>
    <mergeCell ref="OB33:OD33"/>
    <mergeCell ref="OE33:OG33"/>
    <mergeCell ref="OH33:OJ33"/>
    <mergeCell ref="OK33:OM33"/>
    <mergeCell ref="NJ33:NL33"/>
    <mergeCell ref="NM33:NO33"/>
    <mergeCell ref="NP33:NR33"/>
    <mergeCell ref="NS33:NU33"/>
    <mergeCell ref="NV33:NX33"/>
    <mergeCell ref="MU33:MW33"/>
    <mergeCell ref="MX33:MZ33"/>
    <mergeCell ref="NA33:NC33"/>
    <mergeCell ref="ND33:NF33"/>
    <mergeCell ref="NG33:NI33"/>
    <mergeCell ref="MF33:MH33"/>
    <mergeCell ref="MI33:MK33"/>
    <mergeCell ref="ML33:MN33"/>
    <mergeCell ref="MO33:MQ33"/>
    <mergeCell ref="MR33:MT33"/>
    <mergeCell ref="LQ33:LS33"/>
    <mergeCell ref="LT33:LV33"/>
    <mergeCell ref="LW33:LY33"/>
    <mergeCell ref="LZ33:MB33"/>
    <mergeCell ref="MC33:ME33"/>
    <mergeCell ref="LB33:LD33"/>
    <mergeCell ref="LE33:LG33"/>
    <mergeCell ref="LH33:LJ33"/>
    <mergeCell ref="LK33:LM33"/>
    <mergeCell ref="LN33:LP33"/>
    <mergeCell ref="SO33:SQ33"/>
    <mergeCell ref="SR33:ST33"/>
    <mergeCell ref="SU33:SW33"/>
    <mergeCell ref="SX33:SZ33"/>
    <mergeCell ref="TA33:TC33"/>
    <mergeCell ref="RZ33:SB33"/>
    <mergeCell ref="SC33:SE33"/>
    <mergeCell ref="SF33:SH33"/>
    <mergeCell ref="SI33:SK33"/>
    <mergeCell ref="SL33:SN33"/>
    <mergeCell ref="RK33:RM33"/>
    <mergeCell ref="RN33:RP33"/>
    <mergeCell ref="RQ33:RS33"/>
    <mergeCell ref="RT33:RV33"/>
    <mergeCell ref="RW33:RY33"/>
    <mergeCell ref="QV33:QX33"/>
    <mergeCell ref="QY33:RA33"/>
    <mergeCell ref="RB33:RD33"/>
    <mergeCell ref="RE33:RG33"/>
    <mergeCell ref="RH33:RJ33"/>
    <mergeCell ref="QG33:QI33"/>
    <mergeCell ref="QJ33:QL33"/>
    <mergeCell ref="QM33:QO33"/>
    <mergeCell ref="QP33:QR33"/>
    <mergeCell ref="QS33:QU33"/>
    <mergeCell ref="PR33:PT33"/>
    <mergeCell ref="PU33:PW33"/>
    <mergeCell ref="PX33:PZ33"/>
    <mergeCell ref="QA33:QC33"/>
    <mergeCell ref="QD33:QF33"/>
    <mergeCell ref="PC33:PE33"/>
    <mergeCell ref="PF33:PH33"/>
    <mergeCell ref="PI33:PK33"/>
    <mergeCell ref="PL33:PN33"/>
    <mergeCell ref="PO33:PQ33"/>
    <mergeCell ref="WP33:WR33"/>
    <mergeCell ref="WS33:WU33"/>
    <mergeCell ref="WV33:WX33"/>
    <mergeCell ref="WY33:XA33"/>
    <mergeCell ref="XB33:XD33"/>
    <mergeCell ref="WA33:WC33"/>
    <mergeCell ref="WD33:WF33"/>
    <mergeCell ref="WG33:WI33"/>
    <mergeCell ref="WJ33:WL33"/>
    <mergeCell ref="WM33:WO33"/>
    <mergeCell ref="VL33:VN33"/>
    <mergeCell ref="VO33:VQ33"/>
    <mergeCell ref="VR33:VT33"/>
    <mergeCell ref="VU33:VW33"/>
    <mergeCell ref="VX33:VZ33"/>
    <mergeCell ref="UW33:UY33"/>
    <mergeCell ref="UZ33:VB33"/>
    <mergeCell ref="VC33:VE33"/>
    <mergeCell ref="VF33:VH33"/>
    <mergeCell ref="VI33:VK33"/>
    <mergeCell ref="UH33:UJ33"/>
    <mergeCell ref="UK33:UM33"/>
    <mergeCell ref="UN33:UP33"/>
    <mergeCell ref="UQ33:US33"/>
    <mergeCell ref="UT33:UV33"/>
    <mergeCell ref="TS33:TU33"/>
    <mergeCell ref="TV33:TX33"/>
    <mergeCell ref="TY33:UA33"/>
    <mergeCell ref="UB33:UD33"/>
    <mergeCell ref="UE33:UG33"/>
    <mergeCell ref="TD33:TF33"/>
    <mergeCell ref="TG33:TI33"/>
    <mergeCell ref="TJ33:TL33"/>
    <mergeCell ref="TM33:TO33"/>
    <mergeCell ref="TP33:TR33"/>
    <mergeCell ref="AAQ33:AAS33"/>
    <mergeCell ref="AAT33:AAV33"/>
    <mergeCell ref="AAW33:AAY33"/>
    <mergeCell ref="AAZ33:ABB33"/>
    <mergeCell ref="ABC33:ABE33"/>
    <mergeCell ref="AAB33:AAD33"/>
    <mergeCell ref="AAE33:AAG33"/>
    <mergeCell ref="AAH33:AAJ33"/>
    <mergeCell ref="AAK33:AAM33"/>
    <mergeCell ref="AAN33:AAP33"/>
    <mergeCell ref="ZM33:ZO33"/>
    <mergeCell ref="ZP33:ZR33"/>
    <mergeCell ref="ZS33:ZU33"/>
    <mergeCell ref="ZV33:ZX33"/>
    <mergeCell ref="ZY33:AAA33"/>
    <mergeCell ref="YX33:YZ33"/>
    <mergeCell ref="ZA33:ZC33"/>
    <mergeCell ref="ZD33:ZF33"/>
    <mergeCell ref="ZG33:ZI33"/>
    <mergeCell ref="ZJ33:ZL33"/>
    <mergeCell ref="YI33:YK33"/>
    <mergeCell ref="YL33:YN33"/>
    <mergeCell ref="YO33:YQ33"/>
    <mergeCell ref="YR33:YT33"/>
    <mergeCell ref="YU33:YW33"/>
    <mergeCell ref="XT33:XV33"/>
    <mergeCell ref="XW33:XY33"/>
    <mergeCell ref="XZ33:YB33"/>
    <mergeCell ref="YC33:YE33"/>
    <mergeCell ref="YF33:YH33"/>
    <mergeCell ref="XE33:XG33"/>
    <mergeCell ref="XH33:XJ33"/>
    <mergeCell ref="XK33:XM33"/>
    <mergeCell ref="XN33:XP33"/>
    <mergeCell ref="XQ33:XS33"/>
    <mergeCell ref="AER33:AET33"/>
    <mergeCell ref="AEU33:AEW33"/>
    <mergeCell ref="AEX33:AEZ33"/>
    <mergeCell ref="AFA33:AFC33"/>
    <mergeCell ref="AFD33:AFF33"/>
    <mergeCell ref="AEC33:AEE33"/>
    <mergeCell ref="AEF33:AEH33"/>
    <mergeCell ref="AEI33:AEK33"/>
    <mergeCell ref="AEL33:AEN33"/>
    <mergeCell ref="AEO33:AEQ33"/>
    <mergeCell ref="ADN33:ADP33"/>
    <mergeCell ref="ADQ33:ADS33"/>
    <mergeCell ref="ADT33:ADV33"/>
    <mergeCell ref="ADW33:ADY33"/>
    <mergeCell ref="ADZ33:AEB33"/>
    <mergeCell ref="ACY33:ADA33"/>
    <mergeCell ref="ADB33:ADD33"/>
    <mergeCell ref="ADE33:ADG33"/>
    <mergeCell ref="ADH33:ADJ33"/>
    <mergeCell ref="ADK33:ADM33"/>
    <mergeCell ref="ACJ33:ACL33"/>
    <mergeCell ref="ACM33:ACO33"/>
    <mergeCell ref="ACP33:ACR33"/>
    <mergeCell ref="ACS33:ACU33"/>
    <mergeCell ref="ACV33:ACX33"/>
    <mergeCell ref="ABU33:ABW33"/>
    <mergeCell ref="ABX33:ABZ33"/>
    <mergeCell ref="ACA33:ACC33"/>
    <mergeCell ref="ACD33:ACF33"/>
    <mergeCell ref="ACG33:ACI33"/>
    <mergeCell ref="ABF33:ABH33"/>
    <mergeCell ref="ABI33:ABK33"/>
    <mergeCell ref="ABL33:ABN33"/>
    <mergeCell ref="ABO33:ABQ33"/>
    <mergeCell ref="ABR33:ABT33"/>
    <mergeCell ref="AIS33:AIU33"/>
    <mergeCell ref="AIV33:AIX33"/>
    <mergeCell ref="AIY33:AJA33"/>
    <mergeCell ref="AJB33:AJD33"/>
    <mergeCell ref="AJE33:AJG33"/>
    <mergeCell ref="AID33:AIF33"/>
    <mergeCell ref="AIG33:AII33"/>
    <mergeCell ref="AIJ33:AIL33"/>
    <mergeCell ref="AIM33:AIO33"/>
    <mergeCell ref="AIP33:AIR33"/>
    <mergeCell ref="AHO33:AHQ33"/>
    <mergeCell ref="AHR33:AHT33"/>
    <mergeCell ref="AHU33:AHW33"/>
    <mergeCell ref="AHX33:AHZ33"/>
    <mergeCell ref="AIA33:AIC33"/>
    <mergeCell ref="AGZ33:AHB33"/>
    <mergeCell ref="AHC33:AHE33"/>
    <mergeCell ref="AHF33:AHH33"/>
    <mergeCell ref="AHI33:AHK33"/>
    <mergeCell ref="AHL33:AHN33"/>
    <mergeCell ref="AGK33:AGM33"/>
    <mergeCell ref="AGN33:AGP33"/>
    <mergeCell ref="AGQ33:AGS33"/>
    <mergeCell ref="AGT33:AGV33"/>
    <mergeCell ref="AGW33:AGY33"/>
    <mergeCell ref="AFV33:AFX33"/>
    <mergeCell ref="AFY33:AGA33"/>
    <mergeCell ref="AGB33:AGD33"/>
    <mergeCell ref="AGE33:AGG33"/>
    <mergeCell ref="AGH33:AGJ33"/>
    <mergeCell ref="AFG33:AFI33"/>
    <mergeCell ref="AFJ33:AFL33"/>
    <mergeCell ref="AFM33:AFO33"/>
    <mergeCell ref="AFP33:AFR33"/>
    <mergeCell ref="AFS33:AFU33"/>
    <mergeCell ref="AMT33:AMV33"/>
    <mergeCell ref="AMW33:AMY33"/>
    <mergeCell ref="AMZ33:ANB33"/>
    <mergeCell ref="ANC33:ANE33"/>
    <mergeCell ref="ANF33:ANH33"/>
    <mergeCell ref="AME33:AMG33"/>
    <mergeCell ref="AMH33:AMJ33"/>
    <mergeCell ref="AMK33:AMM33"/>
    <mergeCell ref="AMN33:AMP33"/>
    <mergeCell ref="AMQ33:AMS33"/>
    <mergeCell ref="ALP33:ALR33"/>
    <mergeCell ref="ALS33:ALU33"/>
    <mergeCell ref="ALV33:ALX33"/>
    <mergeCell ref="ALY33:AMA33"/>
    <mergeCell ref="AMB33:AMD33"/>
    <mergeCell ref="ALA33:ALC33"/>
    <mergeCell ref="ALD33:ALF33"/>
    <mergeCell ref="ALG33:ALI33"/>
    <mergeCell ref="ALJ33:ALL33"/>
    <mergeCell ref="ALM33:ALO33"/>
    <mergeCell ref="AKL33:AKN33"/>
    <mergeCell ref="AKO33:AKQ33"/>
    <mergeCell ref="AKR33:AKT33"/>
    <mergeCell ref="AKU33:AKW33"/>
    <mergeCell ref="AKX33:AKZ33"/>
    <mergeCell ref="AJW33:AJY33"/>
    <mergeCell ref="AJZ33:AKB33"/>
    <mergeCell ref="AKC33:AKE33"/>
    <mergeCell ref="AKF33:AKH33"/>
    <mergeCell ref="AKI33:AKK33"/>
    <mergeCell ref="AJH33:AJJ33"/>
    <mergeCell ref="AJK33:AJM33"/>
    <mergeCell ref="AJN33:AJP33"/>
    <mergeCell ref="AJQ33:AJS33"/>
    <mergeCell ref="AJT33:AJV33"/>
    <mergeCell ref="AQU33:AQW33"/>
    <mergeCell ref="AQX33:AQZ33"/>
    <mergeCell ref="ARA33:ARC33"/>
    <mergeCell ref="ARD33:ARF33"/>
    <mergeCell ref="ARG33:ARI33"/>
    <mergeCell ref="AQF33:AQH33"/>
    <mergeCell ref="AQI33:AQK33"/>
    <mergeCell ref="AQL33:AQN33"/>
    <mergeCell ref="AQO33:AQQ33"/>
    <mergeCell ref="AQR33:AQT33"/>
    <mergeCell ref="APQ33:APS33"/>
    <mergeCell ref="APT33:APV33"/>
    <mergeCell ref="APW33:APY33"/>
    <mergeCell ref="APZ33:AQB33"/>
    <mergeCell ref="AQC33:AQE33"/>
    <mergeCell ref="APB33:APD33"/>
    <mergeCell ref="APE33:APG33"/>
    <mergeCell ref="APH33:APJ33"/>
    <mergeCell ref="APK33:APM33"/>
    <mergeCell ref="APN33:APP33"/>
    <mergeCell ref="AOM33:AOO33"/>
    <mergeCell ref="AOP33:AOR33"/>
    <mergeCell ref="AOS33:AOU33"/>
    <mergeCell ref="AOV33:AOX33"/>
    <mergeCell ref="AOY33:APA33"/>
    <mergeCell ref="ANX33:ANZ33"/>
    <mergeCell ref="AOA33:AOC33"/>
    <mergeCell ref="AOD33:AOF33"/>
    <mergeCell ref="AOG33:AOI33"/>
    <mergeCell ref="AOJ33:AOL33"/>
    <mergeCell ref="ANI33:ANK33"/>
    <mergeCell ref="ANL33:ANN33"/>
    <mergeCell ref="ANO33:ANQ33"/>
    <mergeCell ref="ANR33:ANT33"/>
    <mergeCell ref="ANU33:ANW33"/>
    <mergeCell ref="AUV33:AUX33"/>
    <mergeCell ref="AUY33:AVA33"/>
    <mergeCell ref="AVB33:AVD33"/>
    <mergeCell ref="AVE33:AVG33"/>
    <mergeCell ref="AVH33:AVJ33"/>
    <mergeCell ref="AUG33:AUI33"/>
    <mergeCell ref="AUJ33:AUL33"/>
    <mergeCell ref="AUM33:AUO33"/>
    <mergeCell ref="AUP33:AUR33"/>
    <mergeCell ref="AUS33:AUU33"/>
    <mergeCell ref="ATR33:ATT33"/>
    <mergeCell ref="ATU33:ATW33"/>
    <mergeCell ref="ATX33:ATZ33"/>
    <mergeCell ref="AUA33:AUC33"/>
    <mergeCell ref="AUD33:AUF33"/>
    <mergeCell ref="ATC33:ATE33"/>
    <mergeCell ref="ATF33:ATH33"/>
    <mergeCell ref="ATI33:ATK33"/>
    <mergeCell ref="ATL33:ATN33"/>
    <mergeCell ref="ATO33:ATQ33"/>
    <mergeCell ref="ASN33:ASP33"/>
    <mergeCell ref="ASQ33:ASS33"/>
    <mergeCell ref="AST33:ASV33"/>
    <mergeCell ref="ASW33:ASY33"/>
    <mergeCell ref="ASZ33:ATB33"/>
    <mergeCell ref="ARY33:ASA33"/>
    <mergeCell ref="ASB33:ASD33"/>
    <mergeCell ref="ASE33:ASG33"/>
    <mergeCell ref="ASH33:ASJ33"/>
    <mergeCell ref="ASK33:ASM33"/>
    <mergeCell ref="ARJ33:ARL33"/>
    <mergeCell ref="ARM33:ARO33"/>
    <mergeCell ref="ARP33:ARR33"/>
    <mergeCell ref="ARS33:ARU33"/>
    <mergeCell ref="ARV33:ARX33"/>
    <mergeCell ref="AYW33:AYY33"/>
    <mergeCell ref="AYZ33:AZB33"/>
    <mergeCell ref="AZC33:AZE33"/>
    <mergeCell ref="AZF33:AZH33"/>
    <mergeCell ref="AZI33:AZK33"/>
    <mergeCell ref="AYH33:AYJ33"/>
    <mergeCell ref="AYK33:AYM33"/>
    <mergeCell ref="AYN33:AYP33"/>
    <mergeCell ref="AYQ33:AYS33"/>
    <mergeCell ref="AYT33:AYV33"/>
    <mergeCell ref="AXS33:AXU33"/>
    <mergeCell ref="AXV33:AXX33"/>
    <mergeCell ref="AXY33:AYA33"/>
    <mergeCell ref="AYB33:AYD33"/>
    <mergeCell ref="AYE33:AYG33"/>
    <mergeCell ref="AXD33:AXF33"/>
    <mergeCell ref="AXG33:AXI33"/>
    <mergeCell ref="AXJ33:AXL33"/>
    <mergeCell ref="AXM33:AXO33"/>
    <mergeCell ref="AXP33:AXR33"/>
    <mergeCell ref="AWO33:AWQ33"/>
    <mergeCell ref="AWR33:AWT33"/>
    <mergeCell ref="AWU33:AWW33"/>
    <mergeCell ref="AWX33:AWZ33"/>
    <mergeCell ref="AXA33:AXC33"/>
    <mergeCell ref="AVZ33:AWB33"/>
    <mergeCell ref="AWC33:AWE33"/>
    <mergeCell ref="AWF33:AWH33"/>
    <mergeCell ref="AWI33:AWK33"/>
    <mergeCell ref="AWL33:AWN33"/>
    <mergeCell ref="AVK33:AVM33"/>
    <mergeCell ref="AVN33:AVP33"/>
    <mergeCell ref="AVQ33:AVS33"/>
    <mergeCell ref="AVT33:AVV33"/>
    <mergeCell ref="AVW33:AVY33"/>
    <mergeCell ref="BCX33:BCZ33"/>
    <mergeCell ref="BDA33:BDC33"/>
    <mergeCell ref="BDD33:BDF33"/>
    <mergeCell ref="BDG33:BDI33"/>
    <mergeCell ref="BDJ33:BDL33"/>
    <mergeCell ref="BCI33:BCK33"/>
    <mergeCell ref="BCL33:BCN33"/>
    <mergeCell ref="BCO33:BCQ33"/>
    <mergeCell ref="BCR33:BCT33"/>
    <mergeCell ref="BCU33:BCW33"/>
    <mergeCell ref="BBT33:BBV33"/>
    <mergeCell ref="BBW33:BBY33"/>
    <mergeCell ref="BBZ33:BCB33"/>
    <mergeCell ref="BCC33:BCE33"/>
    <mergeCell ref="BCF33:BCH33"/>
    <mergeCell ref="BBE33:BBG33"/>
    <mergeCell ref="BBH33:BBJ33"/>
    <mergeCell ref="BBK33:BBM33"/>
    <mergeCell ref="BBN33:BBP33"/>
    <mergeCell ref="BBQ33:BBS33"/>
    <mergeCell ref="BAP33:BAR33"/>
    <mergeCell ref="BAS33:BAU33"/>
    <mergeCell ref="BAV33:BAX33"/>
    <mergeCell ref="BAY33:BBA33"/>
    <mergeCell ref="BBB33:BBD33"/>
    <mergeCell ref="BAA33:BAC33"/>
    <mergeCell ref="BAD33:BAF33"/>
    <mergeCell ref="BAG33:BAI33"/>
    <mergeCell ref="BAJ33:BAL33"/>
    <mergeCell ref="BAM33:BAO33"/>
    <mergeCell ref="AZL33:AZN33"/>
    <mergeCell ref="AZO33:AZQ33"/>
    <mergeCell ref="AZR33:AZT33"/>
    <mergeCell ref="AZU33:AZW33"/>
    <mergeCell ref="AZX33:AZZ33"/>
    <mergeCell ref="BGY33:BHA33"/>
    <mergeCell ref="BHB33:BHD33"/>
    <mergeCell ref="BHE33:BHG33"/>
    <mergeCell ref="BHH33:BHJ33"/>
    <mergeCell ref="BHK33:BHM33"/>
    <mergeCell ref="BGJ33:BGL33"/>
    <mergeCell ref="BGM33:BGO33"/>
    <mergeCell ref="BGP33:BGR33"/>
    <mergeCell ref="BGS33:BGU33"/>
    <mergeCell ref="BGV33:BGX33"/>
    <mergeCell ref="BFU33:BFW33"/>
    <mergeCell ref="BFX33:BFZ33"/>
    <mergeCell ref="BGA33:BGC33"/>
    <mergeCell ref="BGD33:BGF33"/>
    <mergeCell ref="BGG33:BGI33"/>
    <mergeCell ref="BFF33:BFH33"/>
    <mergeCell ref="BFI33:BFK33"/>
    <mergeCell ref="BFL33:BFN33"/>
    <mergeCell ref="BFO33:BFQ33"/>
    <mergeCell ref="BFR33:BFT33"/>
    <mergeCell ref="BEQ33:BES33"/>
    <mergeCell ref="BET33:BEV33"/>
    <mergeCell ref="BEW33:BEY33"/>
    <mergeCell ref="BEZ33:BFB33"/>
    <mergeCell ref="BFC33:BFE33"/>
    <mergeCell ref="BEB33:BED33"/>
    <mergeCell ref="BEE33:BEG33"/>
    <mergeCell ref="BEH33:BEJ33"/>
    <mergeCell ref="BEK33:BEM33"/>
    <mergeCell ref="BEN33:BEP33"/>
    <mergeCell ref="BDM33:BDO33"/>
    <mergeCell ref="BDP33:BDR33"/>
    <mergeCell ref="BDS33:BDU33"/>
    <mergeCell ref="BDV33:BDX33"/>
    <mergeCell ref="BDY33:BEA33"/>
    <mergeCell ref="BKZ33:BLB33"/>
    <mergeCell ref="BLC33:BLE33"/>
    <mergeCell ref="BLF33:BLH33"/>
    <mergeCell ref="BLI33:BLK33"/>
    <mergeCell ref="BLL33:BLN33"/>
    <mergeCell ref="BKK33:BKM33"/>
    <mergeCell ref="BKN33:BKP33"/>
    <mergeCell ref="BKQ33:BKS33"/>
    <mergeCell ref="BKT33:BKV33"/>
    <mergeCell ref="BKW33:BKY33"/>
    <mergeCell ref="BJV33:BJX33"/>
    <mergeCell ref="BJY33:BKA33"/>
    <mergeCell ref="BKB33:BKD33"/>
    <mergeCell ref="BKE33:BKG33"/>
    <mergeCell ref="BKH33:BKJ33"/>
    <mergeCell ref="BJG33:BJI33"/>
    <mergeCell ref="BJJ33:BJL33"/>
    <mergeCell ref="BJM33:BJO33"/>
    <mergeCell ref="BJP33:BJR33"/>
    <mergeCell ref="BJS33:BJU33"/>
    <mergeCell ref="BIR33:BIT33"/>
    <mergeCell ref="BIU33:BIW33"/>
    <mergeCell ref="BIX33:BIZ33"/>
    <mergeCell ref="BJA33:BJC33"/>
    <mergeCell ref="BJD33:BJF33"/>
    <mergeCell ref="BIC33:BIE33"/>
    <mergeCell ref="BIF33:BIH33"/>
    <mergeCell ref="BII33:BIK33"/>
    <mergeCell ref="BIL33:BIN33"/>
    <mergeCell ref="BIO33:BIQ33"/>
    <mergeCell ref="BHN33:BHP33"/>
    <mergeCell ref="BHQ33:BHS33"/>
    <mergeCell ref="BHT33:BHV33"/>
    <mergeCell ref="BHW33:BHY33"/>
    <mergeCell ref="BHZ33:BIB33"/>
    <mergeCell ref="BPA33:BPC33"/>
    <mergeCell ref="BPD33:BPF33"/>
    <mergeCell ref="BPG33:BPI33"/>
    <mergeCell ref="BPJ33:BPL33"/>
    <mergeCell ref="BPM33:BPO33"/>
    <mergeCell ref="BOL33:BON33"/>
    <mergeCell ref="BOO33:BOQ33"/>
    <mergeCell ref="BOR33:BOT33"/>
    <mergeCell ref="BOU33:BOW33"/>
    <mergeCell ref="BOX33:BOZ33"/>
    <mergeCell ref="BNW33:BNY33"/>
    <mergeCell ref="BNZ33:BOB33"/>
    <mergeCell ref="BOC33:BOE33"/>
    <mergeCell ref="BOF33:BOH33"/>
    <mergeCell ref="BOI33:BOK33"/>
    <mergeCell ref="BNH33:BNJ33"/>
    <mergeCell ref="BNK33:BNM33"/>
    <mergeCell ref="BNN33:BNP33"/>
    <mergeCell ref="BNQ33:BNS33"/>
    <mergeCell ref="BNT33:BNV33"/>
    <mergeCell ref="BMS33:BMU33"/>
    <mergeCell ref="BMV33:BMX33"/>
    <mergeCell ref="BMY33:BNA33"/>
    <mergeCell ref="BNB33:BND33"/>
    <mergeCell ref="BNE33:BNG33"/>
    <mergeCell ref="BMD33:BMF33"/>
    <mergeCell ref="BMG33:BMI33"/>
    <mergeCell ref="BMJ33:BML33"/>
    <mergeCell ref="BMM33:BMO33"/>
    <mergeCell ref="BMP33:BMR33"/>
    <mergeCell ref="BLO33:BLQ33"/>
    <mergeCell ref="BLR33:BLT33"/>
    <mergeCell ref="BLU33:BLW33"/>
    <mergeCell ref="BLX33:BLZ33"/>
    <mergeCell ref="BMA33:BMC33"/>
    <mergeCell ref="BTB33:BTD33"/>
    <mergeCell ref="BTE33:BTG33"/>
    <mergeCell ref="BTH33:BTJ33"/>
    <mergeCell ref="BTK33:BTM33"/>
    <mergeCell ref="BTN33:BTP33"/>
    <mergeCell ref="BSM33:BSO33"/>
    <mergeCell ref="BSP33:BSR33"/>
    <mergeCell ref="BSS33:BSU33"/>
    <mergeCell ref="BSV33:BSX33"/>
    <mergeCell ref="BSY33:BTA33"/>
    <mergeCell ref="BRX33:BRZ33"/>
    <mergeCell ref="BSA33:BSC33"/>
    <mergeCell ref="BSD33:BSF33"/>
    <mergeCell ref="BSG33:BSI33"/>
    <mergeCell ref="BSJ33:BSL33"/>
    <mergeCell ref="BRI33:BRK33"/>
    <mergeCell ref="BRL33:BRN33"/>
    <mergeCell ref="BRO33:BRQ33"/>
    <mergeCell ref="BRR33:BRT33"/>
    <mergeCell ref="BRU33:BRW33"/>
    <mergeCell ref="BQT33:BQV33"/>
    <mergeCell ref="BQW33:BQY33"/>
    <mergeCell ref="BQZ33:BRB33"/>
    <mergeCell ref="BRC33:BRE33"/>
    <mergeCell ref="BRF33:BRH33"/>
    <mergeCell ref="BQE33:BQG33"/>
    <mergeCell ref="BQH33:BQJ33"/>
    <mergeCell ref="BQK33:BQM33"/>
    <mergeCell ref="BQN33:BQP33"/>
    <mergeCell ref="BQQ33:BQS33"/>
    <mergeCell ref="BPP33:BPR33"/>
    <mergeCell ref="BPS33:BPU33"/>
    <mergeCell ref="BPV33:BPX33"/>
    <mergeCell ref="BPY33:BQA33"/>
    <mergeCell ref="BQB33:BQD33"/>
    <mergeCell ref="BXC33:BXE33"/>
    <mergeCell ref="BXF33:BXH33"/>
    <mergeCell ref="BXI33:BXK33"/>
    <mergeCell ref="BXL33:BXN33"/>
    <mergeCell ref="BXO33:BXQ33"/>
    <mergeCell ref="BWN33:BWP33"/>
    <mergeCell ref="BWQ33:BWS33"/>
    <mergeCell ref="BWT33:BWV33"/>
    <mergeCell ref="BWW33:BWY33"/>
    <mergeCell ref="BWZ33:BXB33"/>
    <mergeCell ref="BVY33:BWA33"/>
    <mergeCell ref="BWB33:BWD33"/>
    <mergeCell ref="BWE33:BWG33"/>
    <mergeCell ref="BWH33:BWJ33"/>
    <mergeCell ref="BWK33:BWM33"/>
    <mergeCell ref="BVJ33:BVL33"/>
    <mergeCell ref="BVM33:BVO33"/>
    <mergeCell ref="BVP33:BVR33"/>
    <mergeCell ref="BVS33:BVU33"/>
    <mergeCell ref="BVV33:BVX33"/>
    <mergeCell ref="BUU33:BUW33"/>
    <mergeCell ref="BUX33:BUZ33"/>
    <mergeCell ref="BVA33:BVC33"/>
    <mergeCell ref="BVD33:BVF33"/>
    <mergeCell ref="BVG33:BVI33"/>
    <mergeCell ref="BUF33:BUH33"/>
    <mergeCell ref="BUI33:BUK33"/>
    <mergeCell ref="BUL33:BUN33"/>
    <mergeCell ref="BUO33:BUQ33"/>
    <mergeCell ref="BUR33:BUT33"/>
    <mergeCell ref="BTQ33:BTS33"/>
    <mergeCell ref="BTT33:BTV33"/>
    <mergeCell ref="BTW33:BTY33"/>
    <mergeCell ref="BTZ33:BUB33"/>
    <mergeCell ref="BUC33:BUE33"/>
    <mergeCell ref="CBD33:CBF33"/>
    <mergeCell ref="CBG33:CBI33"/>
    <mergeCell ref="CBJ33:CBL33"/>
    <mergeCell ref="CBM33:CBO33"/>
    <mergeCell ref="CBP33:CBR33"/>
    <mergeCell ref="CAO33:CAQ33"/>
    <mergeCell ref="CAR33:CAT33"/>
    <mergeCell ref="CAU33:CAW33"/>
    <mergeCell ref="CAX33:CAZ33"/>
    <mergeCell ref="CBA33:CBC33"/>
    <mergeCell ref="BZZ33:CAB33"/>
    <mergeCell ref="CAC33:CAE33"/>
    <mergeCell ref="CAF33:CAH33"/>
    <mergeCell ref="CAI33:CAK33"/>
    <mergeCell ref="CAL33:CAN33"/>
    <mergeCell ref="BZK33:BZM33"/>
    <mergeCell ref="BZN33:BZP33"/>
    <mergeCell ref="BZQ33:BZS33"/>
    <mergeCell ref="BZT33:BZV33"/>
    <mergeCell ref="BZW33:BZY33"/>
    <mergeCell ref="BYV33:BYX33"/>
    <mergeCell ref="BYY33:BZA33"/>
    <mergeCell ref="BZB33:BZD33"/>
    <mergeCell ref="BZE33:BZG33"/>
    <mergeCell ref="BZH33:BZJ33"/>
    <mergeCell ref="BYG33:BYI33"/>
    <mergeCell ref="BYJ33:BYL33"/>
    <mergeCell ref="BYM33:BYO33"/>
    <mergeCell ref="BYP33:BYR33"/>
    <mergeCell ref="BYS33:BYU33"/>
    <mergeCell ref="BXR33:BXT33"/>
    <mergeCell ref="BXU33:BXW33"/>
    <mergeCell ref="BXX33:BXZ33"/>
    <mergeCell ref="BYA33:BYC33"/>
    <mergeCell ref="BYD33:BYF33"/>
    <mergeCell ref="CFE33:CFG33"/>
    <mergeCell ref="CFH33:CFJ33"/>
    <mergeCell ref="CFK33:CFM33"/>
    <mergeCell ref="CFN33:CFP33"/>
    <mergeCell ref="CFQ33:CFS33"/>
    <mergeCell ref="CEP33:CER33"/>
    <mergeCell ref="CES33:CEU33"/>
    <mergeCell ref="CEV33:CEX33"/>
    <mergeCell ref="CEY33:CFA33"/>
    <mergeCell ref="CFB33:CFD33"/>
    <mergeCell ref="CEA33:CEC33"/>
    <mergeCell ref="CED33:CEF33"/>
    <mergeCell ref="CEG33:CEI33"/>
    <mergeCell ref="CEJ33:CEL33"/>
    <mergeCell ref="CEM33:CEO33"/>
    <mergeCell ref="CDL33:CDN33"/>
    <mergeCell ref="CDO33:CDQ33"/>
    <mergeCell ref="CDR33:CDT33"/>
    <mergeCell ref="CDU33:CDW33"/>
    <mergeCell ref="CDX33:CDZ33"/>
    <mergeCell ref="CCW33:CCY33"/>
    <mergeCell ref="CCZ33:CDB33"/>
    <mergeCell ref="CDC33:CDE33"/>
    <mergeCell ref="CDF33:CDH33"/>
    <mergeCell ref="CDI33:CDK33"/>
    <mergeCell ref="CCH33:CCJ33"/>
    <mergeCell ref="CCK33:CCM33"/>
    <mergeCell ref="CCN33:CCP33"/>
    <mergeCell ref="CCQ33:CCS33"/>
    <mergeCell ref="CCT33:CCV33"/>
    <mergeCell ref="CBS33:CBU33"/>
    <mergeCell ref="CBV33:CBX33"/>
    <mergeCell ref="CBY33:CCA33"/>
    <mergeCell ref="CCB33:CCD33"/>
    <mergeCell ref="CCE33:CCG33"/>
    <mergeCell ref="CJF33:CJH33"/>
    <mergeCell ref="CJI33:CJK33"/>
    <mergeCell ref="CJL33:CJN33"/>
    <mergeCell ref="CJO33:CJQ33"/>
    <mergeCell ref="CJR33:CJT33"/>
    <mergeCell ref="CIQ33:CIS33"/>
    <mergeCell ref="CIT33:CIV33"/>
    <mergeCell ref="CIW33:CIY33"/>
    <mergeCell ref="CIZ33:CJB33"/>
    <mergeCell ref="CJC33:CJE33"/>
    <mergeCell ref="CIB33:CID33"/>
    <mergeCell ref="CIE33:CIG33"/>
    <mergeCell ref="CIH33:CIJ33"/>
    <mergeCell ref="CIK33:CIM33"/>
    <mergeCell ref="CIN33:CIP33"/>
    <mergeCell ref="CHM33:CHO33"/>
    <mergeCell ref="CHP33:CHR33"/>
    <mergeCell ref="CHS33:CHU33"/>
    <mergeCell ref="CHV33:CHX33"/>
    <mergeCell ref="CHY33:CIA33"/>
    <mergeCell ref="CGX33:CGZ33"/>
    <mergeCell ref="CHA33:CHC33"/>
    <mergeCell ref="CHD33:CHF33"/>
    <mergeCell ref="CHG33:CHI33"/>
    <mergeCell ref="CHJ33:CHL33"/>
    <mergeCell ref="CGI33:CGK33"/>
    <mergeCell ref="CGL33:CGN33"/>
    <mergeCell ref="CGO33:CGQ33"/>
    <mergeCell ref="CGR33:CGT33"/>
    <mergeCell ref="CGU33:CGW33"/>
    <mergeCell ref="CFT33:CFV33"/>
    <mergeCell ref="CFW33:CFY33"/>
    <mergeCell ref="CFZ33:CGB33"/>
    <mergeCell ref="CGC33:CGE33"/>
    <mergeCell ref="CGF33:CGH33"/>
    <mergeCell ref="CNG33:CNI33"/>
    <mergeCell ref="CNJ33:CNL33"/>
    <mergeCell ref="CNM33:CNO33"/>
    <mergeCell ref="CNP33:CNR33"/>
    <mergeCell ref="CNS33:CNU33"/>
    <mergeCell ref="CMR33:CMT33"/>
    <mergeCell ref="CMU33:CMW33"/>
    <mergeCell ref="CMX33:CMZ33"/>
    <mergeCell ref="CNA33:CNC33"/>
    <mergeCell ref="CND33:CNF33"/>
    <mergeCell ref="CMC33:CME33"/>
    <mergeCell ref="CMF33:CMH33"/>
    <mergeCell ref="CMI33:CMK33"/>
    <mergeCell ref="CML33:CMN33"/>
    <mergeCell ref="CMO33:CMQ33"/>
    <mergeCell ref="CLN33:CLP33"/>
    <mergeCell ref="CLQ33:CLS33"/>
    <mergeCell ref="CLT33:CLV33"/>
    <mergeCell ref="CLW33:CLY33"/>
    <mergeCell ref="CLZ33:CMB33"/>
    <mergeCell ref="CKY33:CLA33"/>
    <mergeCell ref="CLB33:CLD33"/>
    <mergeCell ref="CLE33:CLG33"/>
    <mergeCell ref="CLH33:CLJ33"/>
    <mergeCell ref="CLK33:CLM33"/>
    <mergeCell ref="CKJ33:CKL33"/>
    <mergeCell ref="CKM33:CKO33"/>
    <mergeCell ref="CKP33:CKR33"/>
    <mergeCell ref="CKS33:CKU33"/>
    <mergeCell ref="CKV33:CKX33"/>
    <mergeCell ref="CJU33:CJW33"/>
    <mergeCell ref="CJX33:CJZ33"/>
    <mergeCell ref="CKA33:CKC33"/>
    <mergeCell ref="CKD33:CKF33"/>
    <mergeCell ref="CKG33:CKI33"/>
    <mergeCell ref="CRH33:CRJ33"/>
    <mergeCell ref="CRK33:CRM33"/>
    <mergeCell ref="CRN33:CRP33"/>
    <mergeCell ref="CRQ33:CRS33"/>
    <mergeCell ref="CRT33:CRV33"/>
    <mergeCell ref="CQS33:CQU33"/>
    <mergeCell ref="CQV33:CQX33"/>
    <mergeCell ref="CQY33:CRA33"/>
    <mergeCell ref="CRB33:CRD33"/>
    <mergeCell ref="CRE33:CRG33"/>
    <mergeCell ref="CQD33:CQF33"/>
    <mergeCell ref="CQG33:CQI33"/>
    <mergeCell ref="CQJ33:CQL33"/>
    <mergeCell ref="CQM33:CQO33"/>
    <mergeCell ref="CQP33:CQR33"/>
    <mergeCell ref="CPO33:CPQ33"/>
    <mergeCell ref="CPR33:CPT33"/>
    <mergeCell ref="CPU33:CPW33"/>
    <mergeCell ref="CPX33:CPZ33"/>
    <mergeCell ref="CQA33:CQC33"/>
    <mergeCell ref="COZ33:CPB33"/>
    <mergeCell ref="CPC33:CPE33"/>
    <mergeCell ref="CPF33:CPH33"/>
    <mergeCell ref="CPI33:CPK33"/>
    <mergeCell ref="CPL33:CPN33"/>
    <mergeCell ref="COK33:COM33"/>
    <mergeCell ref="CON33:COP33"/>
    <mergeCell ref="COQ33:COS33"/>
    <mergeCell ref="COT33:COV33"/>
    <mergeCell ref="COW33:COY33"/>
    <mergeCell ref="CNV33:CNX33"/>
    <mergeCell ref="CNY33:COA33"/>
    <mergeCell ref="COB33:COD33"/>
    <mergeCell ref="COE33:COG33"/>
    <mergeCell ref="COH33:COJ33"/>
    <mergeCell ref="CVI33:CVK33"/>
    <mergeCell ref="CVL33:CVN33"/>
    <mergeCell ref="CVO33:CVQ33"/>
    <mergeCell ref="CVR33:CVT33"/>
    <mergeCell ref="CVU33:CVW33"/>
    <mergeCell ref="CUT33:CUV33"/>
    <mergeCell ref="CUW33:CUY33"/>
    <mergeCell ref="CUZ33:CVB33"/>
    <mergeCell ref="CVC33:CVE33"/>
    <mergeCell ref="CVF33:CVH33"/>
    <mergeCell ref="CUE33:CUG33"/>
    <mergeCell ref="CUH33:CUJ33"/>
    <mergeCell ref="CUK33:CUM33"/>
    <mergeCell ref="CUN33:CUP33"/>
    <mergeCell ref="CUQ33:CUS33"/>
    <mergeCell ref="CTP33:CTR33"/>
    <mergeCell ref="CTS33:CTU33"/>
    <mergeCell ref="CTV33:CTX33"/>
    <mergeCell ref="CTY33:CUA33"/>
    <mergeCell ref="CUB33:CUD33"/>
    <mergeCell ref="CTA33:CTC33"/>
    <mergeCell ref="CTD33:CTF33"/>
    <mergeCell ref="CTG33:CTI33"/>
    <mergeCell ref="CTJ33:CTL33"/>
    <mergeCell ref="CTM33:CTO33"/>
    <mergeCell ref="CSL33:CSN33"/>
    <mergeCell ref="CSO33:CSQ33"/>
    <mergeCell ref="CSR33:CST33"/>
    <mergeCell ref="CSU33:CSW33"/>
    <mergeCell ref="CSX33:CSZ33"/>
    <mergeCell ref="CRW33:CRY33"/>
    <mergeCell ref="CRZ33:CSB33"/>
    <mergeCell ref="CSC33:CSE33"/>
    <mergeCell ref="CSF33:CSH33"/>
    <mergeCell ref="CSI33:CSK33"/>
    <mergeCell ref="CZJ33:CZL33"/>
    <mergeCell ref="CZM33:CZO33"/>
    <mergeCell ref="CZP33:CZR33"/>
    <mergeCell ref="CZS33:CZU33"/>
    <mergeCell ref="CZV33:CZX33"/>
    <mergeCell ref="CYU33:CYW33"/>
    <mergeCell ref="CYX33:CYZ33"/>
    <mergeCell ref="CZA33:CZC33"/>
    <mergeCell ref="CZD33:CZF33"/>
    <mergeCell ref="CZG33:CZI33"/>
    <mergeCell ref="CYF33:CYH33"/>
    <mergeCell ref="CYI33:CYK33"/>
    <mergeCell ref="CYL33:CYN33"/>
    <mergeCell ref="CYO33:CYQ33"/>
    <mergeCell ref="CYR33:CYT33"/>
    <mergeCell ref="CXQ33:CXS33"/>
    <mergeCell ref="CXT33:CXV33"/>
    <mergeCell ref="CXW33:CXY33"/>
    <mergeCell ref="CXZ33:CYB33"/>
    <mergeCell ref="CYC33:CYE33"/>
    <mergeCell ref="CXB33:CXD33"/>
    <mergeCell ref="CXE33:CXG33"/>
    <mergeCell ref="CXH33:CXJ33"/>
    <mergeCell ref="CXK33:CXM33"/>
    <mergeCell ref="CXN33:CXP33"/>
    <mergeCell ref="CWM33:CWO33"/>
    <mergeCell ref="CWP33:CWR33"/>
    <mergeCell ref="CWS33:CWU33"/>
    <mergeCell ref="CWV33:CWX33"/>
    <mergeCell ref="CWY33:CXA33"/>
    <mergeCell ref="CVX33:CVZ33"/>
    <mergeCell ref="CWA33:CWC33"/>
    <mergeCell ref="CWD33:CWF33"/>
    <mergeCell ref="CWG33:CWI33"/>
    <mergeCell ref="CWJ33:CWL33"/>
    <mergeCell ref="DDK33:DDM33"/>
    <mergeCell ref="DDN33:DDP33"/>
    <mergeCell ref="DDQ33:DDS33"/>
    <mergeCell ref="DDT33:DDV33"/>
    <mergeCell ref="DDW33:DDY33"/>
    <mergeCell ref="DCV33:DCX33"/>
    <mergeCell ref="DCY33:DDA33"/>
    <mergeCell ref="DDB33:DDD33"/>
    <mergeCell ref="DDE33:DDG33"/>
    <mergeCell ref="DDH33:DDJ33"/>
    <mergeCell ref="DCG33:DCI33"/>
    <mergeCell ref="DCJ33:DCL33"/>
    <mergeCell ref="DCM33:DCO33"/>
    <mergeCell ref="DCP33:DCR33"/>
    <mergeCell ref="DCS33:DCU33"/>
    <mergeCell ref="DBR33:DBT33"/>
    <mergeCell ref="DBU33:DBW33"/>
    <mergeCell ref="DBX33:DBZ33"/>
    <mergeCell ref="DCA33:DCC33"/>
    <mergeCell ref="DCD33:DCF33"/>
    <mergeCell ref="DBC33:DBE33"/>
    <mergeCell ref="DBF33:DBH33"/>
    <mergeCell ref="DBI33:DBK33"/>
    <mergeCell ref="DBL33:DBN33"/>
    <mergeCell ref="DBO33:DBQ33"/>
    <mergeCell ref="DAN33:DAP33"/>
    <mergeCell ref="DAQ33:DAS33"/>
    <mergeCell ref="DAT33:DAV33"/>
    <mergeCell ref="DAW33:DAY33"/>
    <mergeCell ref="DAZ33:DBB33"/>
    <mergeCell ref="CZY33:DAA33"/>
    <mergeCell ref="DAB33:DAD33"/>
    <mergeCell ref="DAE33:DAG33"/>
    <mergeCell ref="DAH33:DAJ33"/>
    <mergeCell ref="DAK33:DAM33"/>
    <mergeCell ref="DHL33:DHN33"/>
    <mergeCell ref="DHO33:DHQ33"/>
    <mergeCell ref="DHR33:DHT33"/>
    <mergeCell ref="DHU33:DHW33"/>
    <mergeCell ref="DHX33:DHZ33"/>
    <mergeCell ref="DGW33:DGY33"/>
    <mergeCell ref="DGZ33:DHB33"/>
    <mergeCell ref="DHC33:DHE33"/>
    <mergeCell ref="DHF33:DHH33"/>
    <mergeCell ref="DHI33:DHK33"/>
    <mergeCell ref="DGH33:DGJ33"/>
    <mergeCell ref="DGK33:DGM33"/>
    <mergeCell ref="DGN33:DGP33"/>
    <mergeCell ref="DGQ33:DGS33"/>
    <mergeCell ref="DGT33:DGV33"/>
    <mergeCell ref="DFS33:DFU33"/>
    <mergeCell ref="DFV33:DFX33"/>
    <mergeCell ref="DFY33:DGA33"/>
    <mergeCell ref="DGB33:DGD33"/>
    <mergeCell ref="DGE33:DGG33"/>
    <mergeCell ref="DFD33:DFF33"/>
    <mergeCell ref="DFG33:DFI33"/>
    <mergeCell ref="DFJ33:DFL33"/>
    <mergeCell ref="DFM33:DFO33"/>
    <mergeCell ref="DFP33:DFR33"/>
    <mergeCell ref="DEO33:DEQ33"/>
    <mergeCell ref="DER33:DET33"/>
    <mergeCell ref="DEU33:DEW33"/>
    <mergeCell ref="DEX33:DEZ33"/>
    <mergeCell ref="DFA33:DFC33"/>
    <mergeCell ref="DDZ33:DEB33"/>
    <mergeCell ref="DEC33:DEE33"/>
    <mergeCell ref="DEF33:DEH33"/>
    <mergeCell ref="DEI33:DEK33"/>
    <mergeCell ref="DEL33:DEN33"/>
    <mergeCell ref="DLM33:DLO33"/>
    <mergeCell ref="DLP33:DLR33"/>
    <mergeCell ref="DLS33:DLU33"/>
    <mergeCell ref="DLV33:DLX33"/>
    <mergeCell ref="DLY33:DMA33"/>
    <mergeCell ref="DKX33:DKZ33"/>
    <mergeCell ref="DLA33:DLC33"/>
    <mergeCell ref="DLD33:DLF33"/>
    <mergeCell ref="DLG33:DLI33"/>
    <mergeCell ref="DLJ33:DLL33"/>
    <mergeCell ref="DKI33:DKK33"/>
    <mergeCell ref="DKL33:DKN33"/>
    <mergeCell ref="DKO33:DKQ33"/>
    <mergeCell ref="DKR33:DKT33"/>
    <mergeCell ref="DKU33:DKW33"/>
    <mergeCell ref="DJT33:DJV33"/>
    <mergeCell ref="DJW33:DJY33"/>
    <mergeCell ref="DJZ33:DKB33"/>
    <mergeCell ref="DKC33:DKE33"/>
    <mergeCell ref="DKF33:DKH33"/>
    <mergeCell ref="DJE33:DJG33"/>
    <mergeCell ref="DJH33:DJJ33"/>
    <mergeCell ref="DJK33:DJM33"/>
    <mergeCell ref="DJN33:DJP33"/>
    <mergeCell ref="DJQ33:DJS33"/>
    <mergeCell ref="DIP33:DIR33"/>
    <mergeCell ref="DIS33:DIU33"/>
    <mergeCell ref="DIV33:DIX33"/>
    <mergeCell ref="DIY33:DJA33"/>
    <mergeCell ref="DJB33:DJD33"/>
    <mergeCell ref="DIA33:DIC33"/>
    <mergeCell ref="DID33:DIF33"/>
    <mergeCell ref="DIG33:DII33"/>
    <mergeCell ref="DIJ33:DIL33"/>
    <mergeCell ref="DIM33:DIO33"/>
    <mergeCell ref="DPN33:DPP33"/>
    <mergeCell ref="DPQ33:DPS33"/>
    <mergeCell ref="DPT33:DPV33"/>
    <mergeCell ref="DPW33:DPY33"/>
    <mergeCell ref="DPZ33:DQB33"/>
    <mergeCell ref="DOY33:DPA33"/>
    <mergeCell ref="DPB33:DPD33"/>
    <mergeCell ref="DPE33:DPG33"/>
    <mergeCell ref="DPH33:DPJ33"/>
    <mergeCell ref="DPK33:DPM33"/>
    <mergeCell ref="DOJ33:DOL33"/>
    <mergeCell ref="DOM33:DOO33"/>
    <mergeCell ref="DOP33:DOR33"/>
    <mergeCell ref="DOS33:DOU33"/>
    <mergeCell ref="DOV33:DOX33"/>
    <mergeCell ref="DNU33:DNW33"/>
    <mergeCell ref="DNX33:DNZ33"/>
    <mergeCell ref="DOA33:DOC33"/>
    <mergeCell ref="DOD33:DOF33"/>
    <mergeCell ref="DOG33:DOI33"/>
    <mergeCell ref="DNF33:DNH33"/>
    <mergeCell ref="DNI33:DNK33"/>
    <mergeCell ref="DNL33:DNN33"/>
    <mergeCell ref="DNO33:DNQ33"/>
    <mergeCell ref="DNR33:DNT33"/>
    <mergeCell ref="DMQ33:DMS33"/>
    <mergeCell ref="DMT33:DMV33"/>
    <mergeCell ref="DMW33:DMY33"/>
    <mergeCell ref="DMZ33:DNB33"/>
    <mergeCell ref="DNC33:DNE33"/>
    <mergeCell ref="DMB33:DMD33"/>
    <mergeCell ref="DME33:DMG33"/>
    <mergeCell ref="DMH33:DMJ33"/>
    <mergeCell ref="DMK33:DMM33"/>
    <mergeCell ref="DMN33:DMP33"/>
    <mergeCell ref="DTO33:DTQ33"/>
    <mergeCell ref="DTR33:DTT33"/>
    <mergeCell ref="DTU33:DTW33"/>
    <mergeCell ref="DTX33:DTZ33"/>
    <mergeCell ref="DUA33:DUC33"/>
    <mergeCell ref="DSZ33:DTB33"/>
    <mergeCell ref="DTC33:DTE33"/>
    <mergeCell ref="DTF33:DTH33"/>
    <mergeCell ref="DTI33:DTK33"/>
    <mergeCell ref="DTL33:DTN33"/>
    <mergeCell ref="DSK33:DSM33"/>
    <mergeCell ref="DSN33:DSP33"/>
    <mergeCell ref="DSQ33:DSS33"/>
    <mergeCell ref="DST33:DSV33"/>
    <mergeCell ref="DSW33:DSY33"/>
    <mergeCell ref="DRV33:DRX33"/>
    <mergeCell ref="DRY33:DSA33"/>
    <mergeCell ref="DSB33:DSD33"/>
    <mergeCell ref="DSE33:DSG33"/>
    <mergeCell ref="DSH33:DSJ33"/>
    <mergeCell ref="DRG33:DRI33"/>
    <mergeCell ref="DRJ33:DRL33"/>
    <mergeCell ref="DRM33:DRO33"/>
    <mergeCell ref="DRP33:DRR33"/>
    <mergeCell ref="DRS33:DRU33"/>
    <mergeCell ref="DQR33:DQT33"/>
    <mergeCell ref="DQU33:DQW33"/>
    <mergeCell ref="DQX33:DQZ33"/>
    <mergeCell ref="DRA33:DRC33"/>
    <mergeCell ref="DRD33:DRF33"/>
    <mergeCell ref="DQC33:DQE33"/>
    <mergeCell ref="DQF33:DQH33"/>
    <mergeCell ref="DQI33:DQK33"/>
    <mergeCell ref="DQL33:DQN33"/>
    <mergeCell ref="DQO33:DQQ33"/>
    <mergeCell ref="DXP33:DXR33"/>
    <mergeCell ref="DXS33:DXU33"/>
    <mergeCell ref="DXV33:DXX33"/>
    <mergeCell ref="DXY33:DYA33"/>
    <mergeCell ref="DYB33:DYD33"/>
    <mergeCell ref="DXA33:DXC33"/>
    <mergeCell ref="DXD33:DXF33"/>
    <mergeCell ref="DXG33:DXI33"/>
    <mergeCell ref="DXJ33:DXL33"/>
    <mergeCell ref="DXM33:DXO33"/>
    <mergeCell ref="DWL33:DWN33"/>
    <mergeCell ref="DWO33:DWQ33"/>
    <mergeCell ref="DWR33:DWT33"/>
    <mergeCell ref="DWU33:DWW33"/>
    <mergeCell ref="DWX33:DWZ33"/>
    <mergeCell ref="DVW33:DVY33"/>
    <mergeCell ref="DVZ33:DWB33"/>
    <mergeCell ref="DWC33:DWE33"/>
    <mergeCell ref="DWF33:DWH33"/>
    <mergeCell ref="DWI33:DWK33"/>
    <mergeCell ref="DVH33:DVJ33"/>
    <mergeCell ref="DVK33:DVM33"/>
    <mergeCell ref="DVN33:DVP33"/>
    <mergeCell ref="DVQ33:DVS33"/>
    <mergeCell ref="DVT33:DVV33"/>
    <mergeCell ref="DUS33:DUU33"/>
    <mergeCell ref="DUV33:DUX33"/>
    <mergeCell ref="DUY33:DVA33"/>
    <mergeCell ref="DVB33:DVD33"/>
    <mergeCell ref="DVE33:DVG33"/>
    <mergeCell ref="DUD33:DUF33"/>
    <mergeCell ref="DUG33:DUI33"/>
    <mergeCell ref="DUJ33:DUL33"/>
    <mergeCell ref="DUM33:DUO33"/>
    <mergeCell ref="DUP33:DUR33"/>
    <mergeCell ref="EBQ33:EBS33"/>
    <mergeCell ref="EBT33:EBV33"/>
    <mergeCell ref="EBW33:EBY33"/>
    <mergeCell ref="EBZ33:ECB33"/>
    <mergeCell ref="ECC33:ECE33"/>
    <mergeCell ref="EBB33:EBD33"/>
    <mergeCell ref="EBE33:EBG33"/>
    <mergeCell ref="EBH33:EBJ33"/>
    <mergeCell ref="EBK33:EBM33"/>
    <mergeCell ref="EBN33:EBP33"/>
    <mergeCell ref="EAM33:EAO33"/>
    <mergeCell ref="EAP33:EAR33"/>
    <mergeCell ref="EAS33:EAU33"/>
    <mergeCell ref="EAV33:EAX33"/>
    <mergeCell ref="EAY33:EBA33"/>
    <mergeCell ref="DZX33:DZZ33"/>
    <mergeCell ref="EAA33:EAC33"/>
    <mergeCell ref="EAD33:EAF33"/>
    <mergeCell ref="EAG33:EAI33"/>
    <mergeCell ref="EAJ33:EAL33"/>
    <mergeCell ref="DZI33:DZK33"/>
    <mergeCell ref="DZL33:DZN33"/>
    <mergeCell ref="DZO33:DZQ33"/>
    <mergeCell ref="DZR33:DZT33"/>
    <mergeCell ref="DZU33:DZW33"/>
    <mergeCell ref="DYT33:DYV33"/>
    <mergeCell ref="DYW33:DYY33"/>
    <mergeCell ref="DYZ33:DZB33"/>
    <mergeCell ref="DZC33:DZE33"/>
    <mergeCell ref="DZF33:DZH33"/>
    <mergeCell ref="DYE33:DYG33"/>
    <mergeCell ref="DYH33:DYJ33"/>
    <mergeCell ref="DYK33:DYM33"/>
    <mergeCell ref="DYN33:DYP33"/>
    <mergeCell ref="DYQ33:DYS33"/>
    <mergeCell ref="EFR33:EFT33"/>
    <mergeCell ref="EFU33:EFW33"/>
    <mergeCell ref="EFX33:EFZ33"/>
    <mergeCell ref="EGA33:EGC33"/>
    <mergeCell ref="EGD33:EGF33"/>
    <mergeCell ref="EFC33:EFE33"/>
    <mergeCell ref="EFF33:EFH33"/>
    <mergeCell ref="EFI33:EFK33"/>
    <mergeCell ref="EFL33:EFN33"/>
    <mergeCell ref="EFO33:EFQ33"/>
    <mergeCell ref="EEN33:EEP33"/>
    <mergeCell ref="EEQ33:EES33"/>
    <mergeCell ref="EET33:EEV33"/>
    <mergeCell ref="EEW33:EEY33"/>
    <mergeCell ref="EEZ33:EFB33"/>
    <mergeCell ref="EDY33:EEA33"/>
    <mergeCell ref="EEB33:EED33"/>
    <mergeCell ref="EEE33:EEG33"/>
    <mergeCell ref="EEH33:EEJ33"/>
    <mergeCell ref="EEK33:EEM33"/>
    <mergeCell ref="EDJ33:EDL33"/>
    <mergeCell ref="EDM33:EDO33"/>
    <mergeCell ref="EDP33:EDR33"/>
    <mergeCell ref="EDS33:EDU33"/>
    <mergeCell ref="EDV33:EDX33"/>
    <mergeCell ref="ECU33:ECW33"/>
    <mergeCell ref="ECX33:ECZ33"/>
    <mergeCell ref="EDA33:EDC33"/>
    <mergeCell ref="EDD33:EDF33"/>
    <mergeCell ref="EDG33:EDI33"/>
    <mergeCell ref="ECF33:ECH33"/>
    <mergeCell ref="ECI33:ECK33"/>
    <mergeCell ref="ECL33:ECN33"/>
    <mergeCell ref="ECO33:ECQ33"/>
    <mergeCell ref="ECR33:ECT33"/>
    <mergeCell ref="EJS33:EJU33"/>
    <mergeCell ref="EJV33:EJX33"/>
    <mergeCell ref="EJY33:EKA33"/>
    <mergeCell ref="EKB33:EKD33"/>
    <mergeCell ref="EKE33:EKG33"/>
    <mergeCell ref="EJD33:EJF33"/>
    <mergeCell ref="EJG33:EJI33"/>
    <mergeCell ref="EJJ33:EJL33"/>
    <mergeCell ref="EJM33:EJO33"/>
    <mergeCell ref="EJP33:EJR33"/>
    <mergeCell ref="EIO33:EIQ33"/>
    <mergeCell ref="EIR33:EIT33"/>
    <mergeCell ref="EIU33:EIW33"/>
    <mergeCell ref="EIX33:EIZ33"/>
    <mergeCell ref="EJA33:EJC33"/>
    <mergeCell ref="EHZ33:EIB33"/>
    <mergeCell ref="EIC33:EIE33"/>
    <mergeCell ref="EIF33:EIH33"/>
    <mergeCell ref="EII33:EIK33"/>
    <mergeCell ref="EIL33:EIN33"/>
    <mergeCell ref="EHK33:EHM33"/>
    <mergeCell ref="EHN33:EHP33"/>
    <mergeCell ref="EHQ33:EHS33"/>
    <mergeCell ref="EHT33:EHV33"/>
    <mergeCell ref="EHW33:EHY33"/>
    <mergeCell ref="EGV33:EGX33"/>
    <mergeCell ref="EGY33:EHA33"/>
    <mergeCell ref="EHB33:EHD33"/>
    <mergeCell ref="EHE33:EHG33"/>
    <mergeCell ref="EHH33:EHJ33"/>
    <mergeCell ref="EGG33:EGI33"/>
    <mergeCell ref="EGJ33:EGL33"/>
    <mergeCell ref="EGM33:EGO33"/>
    <mergeCell ref="EGP33:EGR33"/>
    <mergeCell ref="EGS33:EGU33"/>
    <mergeCell ref="ENT33:ENV33"/>
    <mergeCell ref="ENW33:ENY33"/>
    <mergeCell ref="ENZ33:EOB33"/>
    <mergeCell ref="EOC33:EOE33"/>
    <mergeCell ref="EOF33:EOH33"/>
    <mergeCell ref="ENE33:ENG33"/>
    <mergeCell ref="ENH33:ENJ33"/>
    <mergeCell ref="ENK33:ENM33"/>
    <mergeCell ref="ENN33:ENP33"/>
    <mergeCell ref="ENQ33:ENS33"/>
    <mergeCell ref="EMP33:EMR33"/>
    <mergeCell ref="EMS33:EMU33"/>
    <mergeCell ref="EMV33:EMX33"/>
    <mergeCell ref="EMY33:ENA33"/>
    <mergeCell ref="ENB33:END33"/>
    <mergeCell ref="EMA33:EMC33"/>
    <mergeCell ref="EMD33:EMF33"/>
    <mergeCell ref="EMG33:EMI33"/>
    <mergeCell ref="EMJ33:EML33"/>
    <mergeCell ref="EMM33:EMO33"/>
    <mergeCell ref="ELL33:ELN33"/>
    <mergeCell ref="ELO33:ELQ33"/>
    <mergeCell ref="ELR33:ELT33"/>
    <mergeCell ref="ELU33:ELW33"/>
    <mergeCell ref="ELX33:ELZ33"/>
    <mergeCell ref="EKW33:EKY33"/>
    <mergeCell ref="EKZ33:ELB33"/>
    <mergeCell ref="ELC33:ELE33"/>
    <mergeCell ref="ELF33:ELH33"/>
    <mergeCell ref="ELI33:ELK33"/>
    <mergeCell ref="EKH33:EKJ33"/>
    <mergeCell ref="EKK33:EKM33"/>
    <mergeCell ref="EKN33:EKP33"/>
    <mergeCell ref="EKQ33:EKS33"/>
    <mergeCell ref="EKT33:EKV33"/>
    <mergeCell ref="ERU33:ERW33"/>
    <mergeCell ref="ERX33:ERZ33"/>
    <mergeCell ref="ESA33:ESC33"/>
    <mergeCell ref="ESD33:ESF33"/>
    <mergeCell ref="ESG33:ESI33"/>
    <mergeCell ref="ERF33:ERH33"/>
    <mergeCell ref="ERI33:ERK33"/>
    <mergeCell ref="ERL33:ERN33"/>
    <mergeCell ref="ERO33:ERQ33"/>
    <mergeCell ref="ERR33:ERT33"/>
    <mergeCell ref="EQQ33:EQS33"/>
    <mergeCell ref="EQT33:EQV33"/>
    <mergeCell ref="EQW33:EQY33"/>
    <mergeCell ref="EQZ33:ERB33"/>
    <mergeCell ref="ERC33:ERE33"/>
    <mergeCell ref="EQB33:EQD33"/>
    <mergeCell ref="EQE33:EQG33"/>
    <mergeCell ref="EQH33:EQJ33"/>
    <mergeCell ref="EQK33:EQM33"/>
    <mergeCell ref="EQN33:EQP33"/>
    <mergeCell ref="EPM33:EPO33"/>
    <mergeCell ref="EPP33:EPR33"/>
    <mergeCell ref="EPS33:EPU33"/>
    <mergeCell ref="EPV33:EPX33"/>
    <mergeCell ref="EPY33:EQA33"/>
    <mergeCell ref="EOX33:EOZ33"/>
    <mergeCell ref="EPA33:EPC33"/>
    <mergeCell ref="EPD33:EPF33"/>
    <mergeCell ref="EPG33:EPI33"/>
    <mergeCell ref="EPJ33:EPL33"/>
    <mergeCell ref="EOI33:EOK33"/>
    <mergeCell ref="EOL33:EON33"/>
    <mergeCell ref="EOO33:EOQ33"/>
    <mergeCell ref="EOR33:EOT33"/>
    <mergeCell ref="EOU33:EOW33"/>
    <mergeCell ref="EVV33:EVX33"/>
    <mergeCell ref="EVY33:EWA33"/>
    <mergeCell ref="EWB33:EWD33"/>
    <mergeCell ref="EWE33:EWG33"/>
    <mergeCell ref="EWH33:EWJ33"/>
    <mergeCell ref="EVG33:EVI33"/>
    <mergeCell ref="EVJ33:EVL33"/>
    <mergeCell ref="EVM33:EVO33"/>
    <mergeCell ref="EVP33:EVR33"/>
    <mergeCell ref="EVS33:EVU33"/>
    <mergeCell ref="EUR33:EUT33"/>
    <mergeCell ref="EUU33:EUW33"/>
    <mergeCell ref="EUX33:EUZ33"/>
    <mergeCell ref="EVA33:EVC33"/>
    <mergeCell ref="EVD33:EVF33"/>
    <mergeCell ref="EUC33:EUE33"/>
    <mergeCell ref="EUF33:EUH33"/>
    <mergeCell ref="EUI33:EUK33"/>
    <mergeCell ref="EUL33:EUN33"/>
    <mergeCell ref="EUO33:EUQ33"/>
    <mergeCell ref="ETN33:ETP33"/>
    <mergeCell ref="ETQ33:ETS33"/>
    <mergeCell ref="ETT33:ETV33"/>
    <mergeCell ref="ETW33:ETY33"/>
    <mergeCell ref="ETZ33:EUB33"/>
    <mergeCell ref="ESY33:ETA33"/>
    <mergeCell ref="ETB33:ETD33"/>
    <mergeCell ref="ETE33:ETG33"/>
    <mergeCell ref="ETH33:ETJ33"/>
    <mergeCell ref="ETK33:ETM33"/>
    <mergeCell ref="ESJ33:ESL33"/>
    <mergeCell ref="ESM33:ESO33"/>
    <mergeCell ref="ESP33:ESR33"/>
    <mergeCell ref="ESS33:ESU33"/>
    <mergeCell ref="ESV33:ESX33"/>
    <mergeCell ref="EZW33:EZY33"/>
    <mergeCell ref="EZZ33:FAB33"/>
    <mergeCell ref="FAC33:FAE33"/>
    <mergeCell ref="FAF33:FAH33"/>
    <mergeCell ref="FAI33:FAK33"/>
    <mergeCell ref="EZH33:EZJ33"/>
    <mergeCell ref="EZK33:EZM33"/>
    <mergeCell ref="EZN33:EZP33"/>
    <mergeCell ref="EZQ33:EZS33"/>
    <mergeCell ref="EZT33:EZV33"/>
    <mergeCell ref="EYS33:EYU33"/>
    <mergeCell ref="EYV33:EYX33"/>
    <mergeCell ref="EYY33:EZA33"/>
    <mergeCell ref="EZB33:EZD33"/>
    <mergeCell ref="EZE33:EZG33"/>
    <mergeCell ref="EYD33:EYF33"/>
    <mergeCell ref="EYG33:EYI33"/>
    <mergeCell ref="EYJ33:EYL33"/>
    <mergeCell ref="EYM33:EYO33"/>
    <mergeCell ref="EYP33:EYR33"/>
    <mergeCell ref="EXO33:EXQ33"/>
    <mergeCell ref="EXR33:EXT33"/>
    <mergeCell ref="EXU33:EXW33"/>
    <mergeCell ref="EXX33:EXZ33"/>
    <mergeCell ref="EYA33:EYC33"/>
    <mergeCell ref="EWZ33:EXB33"/>
    <mergeCell ref="EXC33:EXE33"/>
    <mergeCell ref="EXF33:EXH33"/>
    <mergeCell ref="EXI33:EXK33"/>
    <mergeCell ref="EXL33:EXN33"/>
    <mergeCell ref="EWK33:EWM33"/>
    <mergeCell ref="EWN33:EWP33"/>
    <mergeCell ref="EWQ33:EWS33"/>
    <mergeCell ref="EWT33:EWV33"/>
    <mergeCell ref="EWW33:EWY33"/>
    <mergeCell ref="FDX33:FDZ33"/>
    <mergeCell ref="FEA33:FEC33"/>
    <mergeCell ref="FED33:FEF33"/>
    <mergeCell ref="FEG33:FEI33"/>
    <mergeCell ref="FEJ33:FEL33"/>
    <mergeCell ref="FDI33:FDK33"/>
    <mergeCell ref="FDL33:FDN33"/>
    <mergeCell ref="FDO33:FDQ33"/>
    <mergeCell ref="FDR33:FDT33"/>
    <mergeCell ref="FDU33:FDW33"/>
    <mergeCell ref="FCT33:FCV33"/>
    <mergeCell ref="FCW33:FCY33"/>
    <mergeCell ref="FCZ33:FDB33"/>
    <mergeCell ref="FDC33:FDE33"/>
    <mergeCell ref="FDF33:FDH33"/>
    <mergeCell ref="FCE33:FCG33"/>
    <mergeCell ref="FCH33:FCJ33"/>
    <mergeCell ref="FCK33:FCM33"/>
    <mergeCell ref="FCN33:FCP33"/>
    <mergeCell ref="FCQ33:FCS33"/>
    <mergeCell ref="FBP33:FBR33"/>
    <mergeCell ref="FBS33:FBU33"/>
    <mergeCell ref="FBV33:FBX33"/>
    <mergeCell ref="FBY33:FCA33"/>
    <mergeCell ref="FCB33:FCD33"/>
    <mergeCell ref="FBA33:FBC33"/>
    <mergeCell ref="FBD33:FBF33"/>
    <mergeCell ref="FBG33:FBI33"/>
    <mergeCell ref="FBJ33:FBL33"/>
    <mergeCell ref="FBM33:FBO33"/>
    <mergeCell ref="FAL33:FAN33"/>
    <mergeCell ref="FAO33:FAQ33"/>
    <mergeCell ref="FAR33:FAT33"/>
    <mergeCell ref="FAU33:FAW33"/>
    <mergeCell ref="FAX33:FAZ33"/>
    <mergeCell ref="FHY33:FIA33"/>
    <mergeCell ref="FIB33:FID33"/>
    <mergeCell ref="FIE33:FIG33"/>
    <mergeCell ref="FIH33:FIJ33"/>
    <mergeCell ref="FIK33:FIM33"/>
    <mergeCell ref="FHJ33:FHL33"/>
    <mergeCell ref="FHM33:FHO33"/>
    <mergeCell ref="FHP33:FHR33"/>
    <mergeCell ref="FHS33:FHU33"/>
    <mergeCell ref="FHV33:FHX33"/>
    <mergeCell ref="FGU33:FGW33"/>
    <mergeCell ref="FGX33:FGZ33"/>
    <mergeCell ref="FHA33:FHC33"/>
    <mergeCell ref="FHD33:FHF33"/>
    <mergeCell ref="FHG33:FHI33"/>
    <mergeCell ref="FGF33:FGH33"/>
    <mergeCell ref="FGI33:FGK33"/>
    <mergeCell ref="FGL33:FGN33"/>
    <mergeCell ref="FGO33:FGQ33"/>
    <mergeCell ref="FGR33:FGT33"/>
    <mergeCell ref="FFQ33:FFS33"/>
    <mergeCell ref="FFT33:FFV33"/>
    <mergeCell ref="FFW33:FFY33"/>
    <mergeCell ref="FFZ33:FGB33"/>
    <mergeCell ref="FGC33:FGE33"/>
    <mergeCell ref="FFB33:FFD33"/>
    <mergeCell ref="FFE33:FFG33"/>
    <mergeCell ref="FFH33:FFJ33"/>
    <mergeCell ref="FFK33:FFM33"/>
    <mergeCell ref="FFN33:FFP33"/>
    <mergeCell ref="FEM33:FEO33"/>
    <mergeCell ref="FEP33:FER33"/>
    <mergeCell ref="FES33:FEU33"/>
    <mergeCell ref="FEV33:FEX33"/>
    <mergeCell ref="FEY33:FFA33"/>
    <mergeCell ref="FLZ33:FMB33"/>
    <mergeCell ref="FMC33:FME33"/>
    <mergeCell ref="FMF33:FMH33"/>
    <mergeCell ref="FMI33:FMK33"/>
    <mergeCell ref="FML33:FMN33"/>
    <mergeCell ref="FLK33:FLM33"/>
    <mergeCell ref="FLN33:FLP33"/>
    <mergeCell ref="FLQ33:FLS33"/>
    <mergeCell ref="FLT33:FLV33"/>
    <mergeCell ref="FLW33:FLY33"/>
    <mergeCell ref="FKV33:FKX33"/>
    <mergeCell ref="FKY33:FLA33"/>
    <mergeCell ref="FLB33:FLD33"/>
    <mergeCell ref="FLE33:FLG33"/>
    <mergeCell ref="FLH33:FLJ33"/>
    <mergeCell ref="FKG33:FKI33"/>
    <mergeCell ref="FKJ33:FKL33"/>
    <mergeCell ref="FKM33:FKO33"/>
    <mergeCell ref="FKP33:FKR33"/>
    <mergeCell ref="FKS33:FKU33"/>
    <mergeCell ref="FJR33:FJT33"/>
    <mergeCell ref="FJU33:FJW33"/>
    <mergeCell ref="FJX33:FJZ33"/>
    <mergeCell ref="FKA33:FKC33"/>
    <mergeCell ref="FKD33:FKF33"/>
    <mergeCell ref="FJC33:FJE33"/>
    <mergeCell ref="FJF33:FJH33"/>
    <mergeCell ref="FJI33:FJK33"/>
    <mergeCell ref="FJL33:FJN33"/>
    <mergeCell ref="FJO33:FJQ33"/>
    <mergeCell ref="FIN33:FIP33"/>
    <mergeCell ref="FIQ33:FIS33"/>
    <mergeCell ref="FIT33:FIV33"/>
    <mergeCell ref="FIW33:FIY33"/>
    <mergeCell ref="FIZ33:FJB33"/>
    <mergeCell ref="FQA33:FQC33"/>
    <mergeCell ref="FQD33:FQF33"/>
    <mergeCell ref="FQG33:FQI33"/>
    <mergeCell ref="FQJ33:FQL33"/>
    <mergeCell ref="FQM33:FQO33"/>
    <mergeCell ref="FPL33:FPN33"/>
    <mergeCell ref="FPO33:FPQ33"/>
    <mergeCell ref="FPR33:FPT33"/>
    <mergeCell ref="FPU33:FPW33"/>
    <mergeCell ref="FPX33:FPZ33"/>
    <mergeCell ref="FOW33:FOY33"/>
    <mergeCell ref="FOZ33:FPB33"/>
    <mergeCell ref="FPC33:FPE33"/>
    <mergeCell ref="FPF33:FPH33"/>
    <mergeCell ref="FPI33:FPK33"/>
    <mergeCell ref="FOH33:FOJ33"/>
    <mergeCell ref="FOK33:FOM33"/>
    <mergeCell ref="FON33:FOP33"/>
    <mergeCell ref="FOQ33:FOS33"/>
    <mergeCell ref="FOT33:FOV33"/>
    <mergeCell ref="FNS33:FNU33"/>
    <mergeCell ref="FNV33:FNX33"/>
    <mergeCell ref="FNY33:FOA33"/>
    <mergeCell ref="FOB33:FOD33"/>
    <mergeCell ref="FOE33:FOG33"/>
    <mergeCell ref="FND33:FNF33"/>
    <mergeCell ref="FNG33:FNI33"/>
    <mergeCell ref="FNJ33:FNL33"/>
    <mergeCell ref="FNM33:FNO33"/>
    <mergeCell ref="FNP33:FNR33"/>
    <mergeCell ref="FMO33:FMQ33"/>
    <mergeCell ref="FMR33:FMT33"/>
    <mergeCell ref="FMU33:FMW33"/>
    <mergeCell ref="FMX33:FMZ33"/>
    <mergeCell ref="FNA33:FNC33"/>
    <mergeCell ref="FUB33:FUD33"/>
    <mergeCell ref="FUE33:FUG33"/>
    <mergeCell ref="FUH33:FUJ33"/>
    <mergeCell ref="FUK33:FUM33"/>
    <mergeCell ref="FUN33:FUP33"/>
    <mergeCell ref="FTM33:FTO33"/>
    <mergeCell ref="FTP33:FTR33"/>
    <mergeCell ref="FTS33:FTU33"/>
    <mergeCell ref="FTV33:FTX33"/>
    <mergeCell ref="FTY33:FUA33"/>
    <mergeCell ref="FSX33:FSZ33"/>
    <mergeCell ref="FTA33:FTC33"/>
    <mergeCell ref="FTD33:FTF33"/>
    <mergeCell ref="FTG33:FTI33"/>
    <mergeCell ref="FTJ33:FTL33"/>
    <mergeCell ref="FSI33:FSK33"/>
    <mergeCell ref="FSL33:FSN33"/>
    <mergeCell ref="FSO33:FSQ33"/>
    <mergeCell ref="FSR33:FST33"/>
    <mergeCell ref="FSU33:FSW33"/>
    <mergeCell ref="FRT33:FRV33"/>
    <mergeCell ref="FRW33:FRY33"/>
    <mergeCell ref="FRZ33:FSB33"/>
    <mergeCell ref="FSC33:FSE33"/>
    <mergeCell ref="FSF33:FSH33"/>
    <mergeCell ref="FRE33:FRG33"/>
    <mergeCell ref="FRH33:FRJ33"/>
    <mergeCell ref="FRK33:FRM33"/>
    <mergeCell ref="FRN33:FRP33"/>
    <mergeCell ref="FRQ33:FRS33"/>
    <mergeCell ref="FQP33:FQR33"/>
    <mergeCell ref="FQS33:FQU33"/>
    <mergeCell ref="FQV33:FQX33"/>
    <mergeCell ref="FQY33:FRA33"/>
    <mergeCell ref="FRB33:FRD33"/>
    <mergeCell ref="FYC33:FYE33"/>
    <mergeCell ref="FYF33:FYH33"/>
    <mergeCell ref="FYI33:FYK33"/>
    <mergeCell ref="FYL33:FYN33"/>
    <mergeCell ref="FYO33:FYQ33"/>
    <mergeCell ref="FXN33:FXP33"/>
    <mergeCell ref="FXQ33:FXS33"/>
    <mergeCell ref="FXT33:FXV33"/>
    <mergeCell ref="FXW33:FXY33"/>
    <mergeCell ref="FXZ33:FYB33"/>
    <mergeCell ref="FWY33:FXA33"/>
    <mergeCell ref="FXB33:FXD33"/>
    <mergeCell ref="FXE33:FXG33"/>
    <mergeCell ref="FXH33:FXJ33"/>
    <mergeCell ref="FXK33:FXM33"/>
    <mergeCell ref="FWJ33:FWL33"/>
    <mergeCell ref="FWM33:FWO33"/>
    <mergeCell ref="FWP33:FWR33"/>
    <mergeCell ref="FWS33:FWU33"/>
    <mergeCell ref="FWV33:FWX33"/>
    <mergeCell ref="FVU33:FVW33"/>
    <mergeCell ref="FVX33:FVZ33"/>
    <mergeCell ref="FWA33:FWC33"/>
    <mergeCell ref="FWD33:FWF33"/>
    <mergeCell ref="FWG33:FWI33"/>
    <mergeCell ref="FVF33:FVH33"/>
    <mergeCell ref="FVI33:FVK33"/>
    <mergeCell ref="FVL33:FVN33"/>
    <mergeCell ref="FVO33:FVQ33"/>
    <mergeCell ref="FVR33:FVT33"/>
    <mergeCell ref="FUQ33:FUS33"/>
    <mergeCell ref="FUT33:FUV33"/>
    <mergeCell ref="FUW33:FUY33"/>
    <mergeCell ref="FUZ33:FVB33"/>
    <mergeCell ref="FVC33:FVE33"/>
    <mergeCell ref="GCD33:GCF33"/>
    <mergeCell ref="GCG33:GCI33"/>
    <mergeCell ref="GCJ33:GCL33"/>
    <mergeCell ref="GCM33:GCO33"/>
    <mergeCell ref="GCP33:GCR33"/>
    <mergeCell ref="GBO33:GBQ33"/>
    <mergeCell ref="GBR33:GBT33"/>
    <mergeCell ref="GBU33:GBW33"/>
    <mergeCell ref="GBX33:GBZ33"/>
    <mergeCell ref="GCA33:GCC33"/>
    <mergeCell ref="GAZ33:GBB33"/>
    <mergeCell ref="GBC33:GBE33"/>
    <mergeCell ref="GBF33:GBH33"/>
    <mergeCell ref="GBI33:GBK33"/>
    <mergeCell ref="GBL33:GBN33"/>
    <mergeCell ref="GAK33:GAM33"/>
    <mergeCell ref="GAN33:GAP33"/>
    <mergeCell ref="GAQ33:GAS33"/>
    <mergeCell ref="GAT33:GAV33"/>
    <mergeCell ref="GAW33:GAY33"/>
    <mergeCell ref="FZV33:FZX33"/>
    <mergeCell ref="FZY33:GAA33"/>
    <mergeCell ref="GAB33:GAD33"/>
    <mergeCell ref="GAE33:GAG33"/>
    <mergeCell ref="GAH33:GAJ33"/>
    <mergeCell ref="FZG33:FZI33"/>
    <mergeCell ref="FZJ33:FZL33"/>
    <mergeCell ref="FZM33:FZO33"/>
    <mergeCell ref="FZP33:FZR33"/>
    <mergeCell ref="FZS33:FZU33"/>
    <mergeCell ref="FYR33:FYT33"/>
    <mergeCell ref="FYU33:FYW33"/>
    <mergeCell ref="FYX33:FYZ33"/>
    <mergeCell ref="FZA33:FZC33"/>
    <mergeCell ref="FZD33:FZF33"/>
    <mergeCell ref="GGE33:GGG33"/>
    <mergeCell ref="GGH33:GGJ33"/>
    <mergeCell ref="GGK33:GGM33"/>
    <mergeCell ref="GGN33:GGP33"/>
    <mergeCell ref="GGQ33:GGS33"/>
    <mergeCell ref="GFP33:GFR33"/>
    <mergeCell ref="GFS33:GFU33"/>
    <mergeCell ref="GFV33:GFX33"/>
    <mergeCell ref="GFY33:GGA33"/>
    <mergeCell ref="GGB33:GGD33"/>
    <mergeCell ref="GFA33:GFC33"/>
    <mergeCell ref="GFD33:GFF33"/>
    <mergeCell ref="GFG33:GFI33"/>
    <mergeCell ref="GFJ33:GFL33"/>
    <mergeCell ref="GFM33:GFO33"/>
    <mergeCell ref="GEL33:GEN33"/>
    <mergeCell ref="GEO33:GEQ33"/>
    <mergeCell ref="GER33:GET33"/>
    <mergeCell ref="GEU33:GEW33"/>
    <mergeCell ref="GEX33:GEZ33"/>
    <mergeCell ref="GDW33:GDY33"/>
    <mergeCell ref="GDZ33:GEB33"/>
    <mergeCell ref="GEC33:GEE33"/>
    <mergeCell ref="GEF33:GEH33"/>
    <mergeCell ref="GEI33:GEK33"/>
    <mergeCell ref="GDH33:GDJ33"/>
    <mergeCell ref="GDK33:GDM33"/>
    <mergeCell ref="GDN33:GDP33"/>
    <mergeCell ref="GDQ33:GDS33"/>
    <mergeCell ref="GDT33:GDV33"/>
    <mergeCell ref="GCS33:GCU33"/>
    <mergeCell ref="GCV33:GCX33"/>
    <mergeCell ref="GCY33:GDA33"/>
    <mergeCell ref="GDB33:GDD33"/>
    <mergeCell ref="GDE33:GDG33"/>
    <mergeCell ref="GKF33:GKH33"/>
    <mergeCell ref="GKI33:GKK33"/>
    <mergeCell ref="GKL33:GKN33"/>
    <mergeCell ref="GKO33:GKQ33"/>
    <mergeCell ref="GKR33:GKT33"/>
    <mergeCell ref="GJQ33:GJS33"/>
    <mergeCell ref="GJT33:GJV33"/>
    <mergeCell ref="GJW33:GJY33"/>
    <mergeCell ref="GJZ33:GKB33"/>
    <mergeCell ref="GKC33:GKE33"/>
    <mergeCell ref="GJB33:GJD33"/>
    <mergeCell ref="GJE33:GJG33"/>
    <mergeCell ref="GJH33:GJJ33"/>
    <mergeCell ref="GJK33:GJM33"/>
    <mergeCell ref="GJN33:GJP33"/>
    <mergeCell ref="GIM33:GIO33"/>
    <mergeCell ref="GIP33:GIR33"/>
    <mergeCell ref="GIS33:GIU33"/>
    <mergeCell ref="GIV33:GIX33"/>
    <mergeCell ref="GIY33:GJA33"/>
    <mergeCell ref="GHX33:GHZ33"/>
    <mergeCell ref="GIA33:GIC33"/>
    <mergeCell ref="GID33:GIF33"/>
    <mergeCell ref="GIG33:GII33"/>
    <mergeCell ref="GIJ33:GIL33"/>
    <mergeCell ref="GHI33:GHK33"/>
    <mergeCell ref="GHL33:GHN33"/>
    <mergeCell ref="GHO33:GHQ33"/>
    <mergeCell ref="GHR33:GHT33"/>
    <mergeCell ref="GHU33:GHW33"/>
    <mergeCell ref="GGT33:GGV33"/>
    <mergeCell ref="GGW33:GGY33"/>
    <mergeCell ref="GGZ33:GHB33"/>
    <mergeCell ref="GHC33:GHE33"/>
    <mergeCell ref="GHF33:GHH33"/>
    <mergeCell ref="GOG33:GOI33"/>
    <mergeCell ref="GOJ33:GOL33"/>
    <mergeCell ref="GOM33:GOO33"/>
    <mergeCell ref="GOP33:GOR33"/>
    <mergeCell ref="GOS33:GOU33"/>
    <mergeCell ref="GNR33:GNT33"/>
    <mergeCell ref="GNU33:GNW33"/>
    <mergeCell ref="GNX33:GNZ33"/>
    <mergeCell ref="GOA33:GOC33"/>
    <mergeCell ref="GOD33:GOF33"/>
    <mergeCell ref="GNC33:GNE33"/>
    <mergeCell ref="GNF33:GNH33"/>
    <mergeCell ref="GNI33:GNK33"/>
    <mergeCell ref="GNL33:GNN33"/>
    <mergeCell ref="GNO33:GNQ33"/>
    <mergeCell ref="GMN33:GMP33"/>
    <mergeCell ref="GMQ33:GMS33"/>
    <mergeCell ref="GMT33:GMV33"/>
    <mergeCell ref="GMW33:GMY33"/>
    <mergeCell ref="GMZ33:GNB33"/>
    <mergeCell ref="GLY33:GMA33"/>
    <mergeCell ref="GMB33:GMD33"/>
    <mergeCell ref="GME33:GMG33"/>
    <mergeCell ref="GMH33:GMJ33"/>
    <mergeCell ref="GMK33:GMM33"/>
    <mergeCell ref="GLJ33:GLL33"/>
    <mergeCell ref="GLM33:GLO33"/>
    <mergeCell ref="GLP33:GLR33"/>
    <mergeCell ref="GLS33:GLU33"/>
    <mergeCell ref="GLV33:GLX33"/>
    <mergeCell ref="GKU33:GKW33"/>
    <mergeCell ref="GKX33:GKZ33"/>
    <mergeCell ref="GLA33:GLC33"/>
    <mergeCell ref="GLD33:GLF33"/>
    <mergeCell ref="GLG33:GLI33"/>
    <mergeCell ref="GSH33:GSJ33"/>
    <mergeCell ref="GSK33:GSM33"/>
    <mergeCell ref="GSN33:GSP33"/>
    <mergeCell ref="GSQ33:GSS33"/>
    <mergeCell ref="GST33:GSV33"/>
    <mergeCell ref="GRS33:GRU33"/>
    <mergeCell ref="GRV33:GRX33"/>
    <mergeCell ref="GRY33:GSA33"/>
    <mergeCell ref="GSB33:GSD33"/>
    <mergeCell ref="GSE33:GSG33"/>
    <mergeCell ref="GRD33:GRF33"/>
    <mergeCell ref="GRG33:GRI33"/>
    <mergeCell ref="GRJ33:GRL33"/>
    <mergeCell ref="GRM33:GRO33"/>
    <mergeCell ref="GRP33:GRR33"/>
    <mergeCell ref="GQO33:GQQ33"/>
    <mergeCell ref="GQR33:GQT33"/>
    <mergeCell ref="GQU33:GQW33"/>
    <mergeCell ref="GQX33:GQZ33"/>
    <mergeCell ref="GRA33:GRC33"/>
    <mergeCell ref="GPZ33:GQB33"/>
    <mergeCell ref="GQC33:GQE33"/>
    <mergeCell ref="GQF33:GQH33"/>
    <mergeCell ref="GQI33:GQK33"/>
    <mergeCell ref="GQL33:GQN33"/>
    <mergeCell ref="GPK33:GPM33"/>
    <mergeCell ref="GPN33:GPP33"/>
    <mergeCell ref="GPQ33:GPS33"/>
    <mergeCell ref="GPT33:GPV33"/>
    <mergeCell ref="GPW33:GPY33"/>
    <mergeCell ref="GOV33:GOX33"/>
    <mergeCell ref="GOY33:GPA33"/>
    <mergeCell ref="GPB33:GPD33"/>
    <mergeCell ref="GPE33:GPG33"/>
    <mergeCell ref="GPH33:GPJ33"/>
    <mergeCell ref="GWI33:GWK33"/>
    <mergeCell ref="GWL33:GWN33"/>
    <mergeCell ref="GWO33:GWQ33"/>
    <mergeCell ref="GWR33:GWT33"/>
    <mergeCell ref="GWU33:GWW33"/>
    <mergeCell ref="GVT33:GVV33"/>
    <mergeCell ref="GVW33:GVY33"/>
    <mergeCell ref="GVZ33:GWB33"/>
    <mergeCell ref="GWC33:GWE33"/>
    <mergeCell ref="GWF33:GWH33"/>
    <mergeCell ref="GVE33:GVG33"/>
    <mergeCell ref="GVH33:GVJ33"/>
    <mergeCell ref="GVK33:GVM33"/>
    <mergeCell ref="GVN33:GVP33"/>
    <mergeCell ref="GVQ33:GVS33"/>
    <mergeCell ref="GUP33:GUR33"/>
    <mergeCell ref="GUS33:GUU33"/>
    <mergeCell ref="GUV33:GUX33"/>
    <mergeCell ref="GUY33:GVA33"/>
    <mergeCell ref="GVB33:GVD33"/>
    <mergeCell ref="GUA33:GUC33"/>
    <mergeCell ref="GUD33:GUF33"/>
    <mergeCell ref="GUG33:GUI33"/>
    <mergeCell ref="GUJ33:GUL33"/>
    <mergeCell ref="GUM33:GUO33"/>
    <mergeCell ref="GTL33:GTN33"/>
    <mergeCell ref="GTO33:GTQ33"/>
    <mergeCell ref="GTR33:GTT33"/>
    <mergeCell ref="GTU33:GTW33"/>
    <mergeCell ref="GTX33:GTZ33"/>
    <mergeCell ref="GSW33:GSY33"/>
    <mergeCell ref="GSZ33:GTB33"/>
    <mergeCell ref="GTC33:GTE33"/>
    <mergeCell ref="GTF33:GTH33"/>
    <mergeCell ref="GTI33:GTK33"/>
    <mergeCell ref="HAJ33:HAL33"/>
    <mergeCell ref="HAM33:HAO33"/>
    <mergeCell ref="HAP33:HAR33"/>
    <mergeCell ref="HAS33:HAU33"/>
    <mergeCell ref="HAV33:HAX33"/>
    <mergeCell ref="GZU33:GZW33"/>
    <mergeCell ref="GZX33:GZZ33"/>
    <mergeCell ref="HAA33:HAC33"/>
    <mergeCell ref="HAD33:HAF33"/>
    <mergeCell ref="HAG33:HAI33"/>
    <mergeCell ref="GZF33:GZH33"/>
    <mergeCell ref="GZI33:GZK33"/>
    <mergeCell ref="GZL33:GZN33"/>
    <mergeCell ref="GZO33:GZQ33"/>
    <mergeCell ref="GZR33:GZT33"/>
    <mergeCell ref="GYQ33:GYS33"/>
    <mergeCell ref="GYT33:GYV33"/>
    <mergeCell ref="GYW33:GYY33"/>
    <mergeCell ref="GYZ33:GZB33"/>
    <mergeCell ref="GZC33:GZE33"/>
    <mergeCell ref="GYB33:GYD33"/>
    <mergeCell ref="GYE33:GYG33"/>
    <mergeCell ref="GYH33:GYJ33"/>
    <mergeCell ref="GYK33:GYM33"/>
    <mergeCell ref="GYN33:GYP33"/>
    <mergeCell ref="GXM33:GXO33"/>
    <mergeCell ref="GXP33:GXR33"/>
    <mergeCell ref="GXS33:GXU33"/>
    <mergeCell ref="GXV33:GXX33"/>
    <mergeCell ref="GXY33:GYA33"/>
    <mergeCell ref="GWX33:GWZ33"/>
    <mergeCell ref="GXA33:GXC33"/>
    <mergeCell ref="GXD33:GXF33"/>
    <mergeCell ref="GXG33:GXI33"/>
    <mergeCell ref="GXJ33:GXL33"/>
    <mergeCell ref="HEK33:HEM33"/>
    <mergeCell ref="HEN33:HEP33"/>
    <mergeCell ref="HEQ33:HES33"/>
    <mergeCell ref="HET33:HEV33"/>
    <mergeCell ref="HEW33:HEY33"/>
    <mergeCell ref="HDV33:HDX33"/>
    <mergeCell ref="HDY33:HEA33"/>
    <mergeCell ref="HEB33:HED33"/>
    <mergeCell ref="HEE33:HEG33"/>
    <mergeCell ref="HEH33:HEJ33"/>
    <mergeCell ref="HDG33:HDI33"/>
    <mergeCell ref="HDJ33:HDL33"/>
    <mergeCell ref="HDM33:HDO33"/>
    <mergeCell ref="HDP33:HDR33"/>
    <mergeCell ref="HDS33:HDU33"/>
    <mergeCell ref="HCR33:HCT33"/>
    <mergeCell ref="HCU33:HCW33"/>
    <mergeCell ref="HCX33:HCZ33"/>
    <mergeCell ref="HDA33:HDC33"/>
    <mergeCell ref="HDD33:HDF33"/>
    <mergeCell ref="HCC33:HCE33"/>
    <mergeCell ref="HCF33:HCH33"/>
    <mergeCell ref="HCI33:HCK33"/>
    <mergeCell ref="HCL33:HCN33"/>
    <mergeCell ref="HCO33:HCQ33"/>
    <mergeCell ref="HBN33:HBP33"/>
    <mergeCell ref="HBQ33:HBS33"/>
    <mergeCell ref="HBT33:HBV33"/>
    <mergeCell ref="HBW33:HBY33"/>
    <mergeCell ref="HBZ33:HCB33"/>
    <mergeCell ref="HAY33:HBA33"/>
    <mergeCell ref="HBB33:HBD33"/>
    <mergeCell ref="HBE33:HBG33"/>
    <mergeCell ref="HBH33:HBJ33"/>
    <mergeCell ref="HBK33:HBM33"/>
    <mergeCell ref="HIL33:HIN33"/>
    <mergeCell ref="HIO33:HIQ33"/>
    <mergeCell ref="HIR33:HIT33"/>
    <mergeCell ref="HIU33:HIW33"/>
    <mergeCell ref="HIX33:HIZ33"/>
    <mergeCell ref="HHW33:HHY33"/>
    <mergeCell ref="HHZ33:HIB33"/>
    <mergeCell ref="HIC33:HIE33"/>
    <mergeCell ref="HIF33:HIH33"/>
    <mergeCell ref="HII33:HIK33"/>
    <mergeCell ref="HHH33:HHJ33"/>
    <mergeCell ref="HHK33:HHM33"/>
    <mergeCell ref="HHN33:HHP33"/>
    <mergeCell ref="HHQ33:HHS33"/>
    <mergeCell ref="HHT33:HHV33"/>
    <mergeCell ref="HGS33:HGU33"/>
    <mergeCell ref="HGV33:HGX33"/>
    <mergeCell ref="HGY33:HHA33"/>
    <mergeCell ref="HHB33:HHD33"/>
    <mergeCell ref="HHE33:HHG33"/>
    <mergeCell ref="HGD33:HGF33"/>
    <mergeCell ref="HGG33:HGI33"/>
    <mergeCell ref="HGJ33:HGL33"/>
    <mergeCell ref="HGM33:HGO33"/>
    <mergeCell ref="HGP33:HGR33"/>
    <mergeCell ref="HFO33:HFQ33"/>
    <mergeCell ref="HFR33:HFT33"/>
    <mergeCell ref="HFU33:HFW33"/>
    <mergeCell ref="HFX33:HFZ33"/>
    <mergeCell ref="HGA33:HGC33"/>
    <mergeCell ref="HEZ33:HFB33"/>
    <mergeCell ref="HFC33:HFE33"/>
    <mergeCell ref="HFF33:HFH33"/>
    <mergeCell ref="HFI33:HFK33"/>
    <mergeCell ref="HFL33:HFN33"/>
    <mergeCell ref="HMM33:HMO33"/>
    <mergeCell ref="HMP33:HMR33"/>
    <mergeCell ref="HMS33:HMU33"/>
    <mergeCell ref="HMV33:HMX33"/>
    <mergeCell ref="HMY33:HNA33"/>
    <mergeCell ref="HLX33:HLZ33"/>
    <mergeCell ref="HMA33:HMC33"/>
    <mergeCell ref="HMD33:HMF33"/>
    <mergeCell ref="HMG33:HMI33"/>
    <mergeCell ref="HMJ33:HML33"/>
    <mergeCell ref="HLI33:HLK33"/>
    <mergeCell ref="HLL33:HLN33"/>
    <mergeCell ref="HLO33:HLQ33"/>
    <mergeCell ref="HLR33:HLT33"/>
    <mergeCell ref="HLU33:HLW33"/>
    <mergeCell ref="HKT33:HKV33"/>
    <mergeCell ref="HKW33:HKY33"/>
    <mergeCell ref="HKZ33:HLB33"/>
    <mergeCell ref="HLC33:HLE33"/>
    <mergeCell ref="HLF33:HLH33"/>
    <mergeCell ref="HKE33:HKG33"/>
    <mergeCell ref="HKH33:HKJ33"/>
    <mergeCell ref="HKK33:HKM33"/>
    <mergeCell ref="HKN33:HKP33"/>
    <mergeCell ref="HKQ33:HKS33"/>
    <mergeCell ref="HJP33:HJR33"/>
    <mergeCell ref="HJS33:HJU33"/>
    <mergeCell ref="HJV33:HJX33"/>
    <mergeCell ref="HJY33:HKA33"/>
    <mergeCell ref="HKB33:HKD33"/>
    <mergeCell ref="HJA33:HJC33"/>
    <mergeCell ref="HJD33:HJF33"/>
    <mergeCell ref="HJG33:HJI33"/>
    <mergeCell ref="HJJ33:HJL33"/>
    <mergeCell ref="HJM33:HJO33"/>
    <mergeCell ref="HQN33:HQP33"/>
    <mergeCell ref="HQQ33:HQS33"/>
    <mergeCell ref="HQT33:HQV33"/>
    <mergeCell ref="HQW33:HQY33"/>
    <mergeCell ref="HQZ33:HRB33"/>
    <mergeCell ref="HPY33:HQA33"/>
    <mergeCell ref="HQB33:HQD33"/>
    <mergeCell ref="HQE33:HQG33"/>
    <mergeCell ref="HQH33:HQJ33"/>
    <mergeCell ref="HQK33:HQM33"/>
    <mergeCell ref="HPJ33:HPL33"/>
    <mergeCell ref="HPM33:HPO33"/>
    <mergeCell ref="HPP33:HPR33"/>
    <mergeCell ref="HPS33:HPU33"/>
    <mergeCell ref="HPV33:HPX33"/>
    <mergeCell ref="HOU33:HOW33"/>
    <mergeCell ref="HOX33:HOZ33"/>
    <mergeCell ref="HPA33:HPC33"/>
    <mergeCell ref="HPD33:HPF33"/>
    <mergeCell ref="HPG33:HPI33"/>
    <mergeCell ref="HOF33:HOH33"/>
    <mergeCell ref="HOI33:HOK33"/>
    <mergeCell ref="HOL33:HON33"/>
    <mergeCell ref="HOO33:HOQ33"/>
    <mergeCell ref="HOR33:HOT33"/>
    <mergeCell ref="HNQ33:HNS33"/>
    <mergeCell ref="HNT33:HNV33"/>
    <mergeCell ref="HNW33:HNY33"/>
    <mergeCell ref="HNZ33:HOB33"/>
    <mergeCell ref="HOC33:HOE33"/>
    <mergeCell ref="HNB33:HND33"/>
    <mergeCell ref="HNE33:HNG33"/>
    <mergeCell ref="HNH33:HNJ33"/>
    <mergeCell ref="HNK33:HNM33"/>
    <mergeCell ref="HNN33:HNP33"/>
    <mergeCell ref="HUO33:HUQ33"/>
    <mergeCell ref="HUR33:HUT33"/>
    <mergeCell ref="HUU33:HUW33"/>
    <mergeCell ref="HUX33:HUZ33"/>
    <mergeCell ref="HVA33:HVC33"/>
    <mergeCell ref="HTZ33:HUB33"/>
    <mergeCell ref="HUC33:HUE33"/>
    <mergeCell ref="HUF33:HUH33"/>
    <mergeCell ref="HUI33:HUK33"/>
    <mergeCell ref="HUL33:HUN33"/>
    <mergeCell ref="HTK33:HTM33"/>
    <mergeCell ref="HTN33:HTP33"/>
    <mergeCell ref="HTQ33:HTS33"/>
    <mergeCell ref="HTT33:HTV33"/>
    <mergeCell ref="HTW33:HTY33"/>
    <mergeCell ref="HSV33:HSX33"/>
    <mergeCell ref="HSY33:HTA33"/>
    <mergeCell ref="HTB33:HTD33"/>
    <mergeCell ref="HTE33:HTG33"/>
    <mergeCell ref="HTH33:HTJ33"/>
    <mergeCell ref="HSG33:HSI33"/>
    <mergeCell ref="HSJ33:HSL33"/>
    <mergeCell ref="HSM33:HSO33"/>
    <mergeCell ref="HSP33:HSR33"/>
    <mergeCell ref="HSS33:HSU33"/>
    <mergeCell ref="HRR33:HRT33"/>
    <mergeCell ref="HRU33:HRW33"/>
    <mergeCell ref="HRX33:HRZ33"/>
    <mergeCell ref="HSA33:HSC33"/>
    <mergeCell ref="HSD33:HSF33"/>
    <mergeCell ref="HRC33:HRE33"/>
    <mergeCell ref="HRF33:HRH33"/>
    <mergeCell ref="HRI33:HRK33"/>
    <mergeCell ref="HRL33:HRN33"/>
    <mergeCell ref="HRO33:HRQ33"/>
    <mergeCell ref="HYP33:HYR33"/>
    <mergeCell ref="HYS33:HYU33"/>
    <mergeCell ref="HYV33:HYX33"/>
    <mergeCell ref="HYY33:HZA33"/>
    <mergeCell ref="HZB33:HZD33"/>
    <mergeCell ref="HYA33:HYC33"/>
    <mergeCell ref="HYD33:HYF33"/>
    <mergeCell ref="HYG33:HYI33"/>
    <mergeCell ref="HYJ33:HYL33"/>
    <mergeCell ref="HYM33:HYO33"/>
    <mergeCell ref="HXL33:HXN33"/>
    <mergeCell ref="HXO33:HXQ33"/>
    <mergeCell ref="HXR33:HXT33"/>
    <mergeCell ref="HXU33:HXW33"/>
    <mergeCell ref="HXX33:HXZ33"/>
    <mergeCell ref="HWW33:HWY33"/>
    <mergeCell ref="HWZ33:HXB33"/>
    <mergeCell ref="HXC33:HXE33"/>
    <mergeCell ref="HXF33:HXH33"/>
    <mergeCell ref="HXI33:HXK33"/>
    <mergeCell ref="HWH33:HWJ33"/>
    <mergeCell ref="HWK33:HWM33"/>
    <mergeCell ref="HWN33:HWP33"/>
    <mergeCell ref="HWQ33:HWS33"/>
    <mergeCell ref="HWT33:HWV33"/>
    <mergeCell ref="HVS33:HVU33"/>
    <mergeCell ref="HVV33:HVX33"/>
    <mergeCell ref="HVY33:HWA33"/>
    <mergeCell ref="HWB33:HWD33"/>
    <mergeCell ref="HWE33:HWG33"/>
    <mergeCell ref="HVD33:HVF33"/>
    <mergeCell ref="HVG33:HVI33"/>
    <mergeCell ref="HVJ33:HVL33"/>
    <mergeCell ref="HVM33:HVO33"/>
    <mergeCell ref="HVP33:HVR33"/>
    <mergeCell ref="ICQ33:ICS33"/>
    <mergeCell ref="ICT33:ICV33"/>
    <mergeCell ref="ICW33:ICY33"/>
    <mergeCell ref="ICZ33:IDB33"/>
    <mergeCell ref="IDC33:IDE33"/>
    <mergeCell ref="ICB33:ICD33"/>
    <mergeCell ref="ICE33:ICG33"/>
    <mergeCell ref="ICH33:ICJ33"/>
    <mergeCell ref="ICK33:ICM33"/>
    <mergeCell ref="ICN33:ICP33"/>
    <mergeCell ref="IBM33:IBO33"/>
    <mergeCell ref="IBP33:IBR33"/>
    <mergeCell ref="IBS33:IBU33"/>
    <mergeCell ref="IBV33:IBX33"/>
    <mergeCell ref="IBY33:ICA33"/>
    <mergeCell ref="IAX33:IAZ33"/>
    <mergeCell ref="IBA33:IBC33"/>
    <mergeCell ref="IBD33:IBF33"/>
    <mergeCell ref="IBG33:IBI33"/>
    <mergeCell ref="IBJ33:IBL33"/>
    <mergeCell ref="IAI33:IAK33"/>
    <mergeCell ref="IAL33:IAN33"/>
    <mergeCell ref="IAO33:IAQ33"/>
    <mergeCell ref="IAR33:IAT33"/>
    <mergeCell ref="IAU33:IAW33"/>
    <mergeCell ref="HZT33:HZV33"/>
    <mergeCell ref="HZW33:HZY33"/>
    <mergeCell ref="HZZ33:IAB33"/>
    <mergeCell ref="IAC33:IAE33"/>
    <mergeCell ref="IAF33:IAH33"/>
    <mergeCell ref="HZE33:HZG33"/>
    <mergeCell ref="HZH33:HZJ33"/>
    <mergeCell ref="HZK33:HZM33"/>
    <mergeCell ref="HZN33:HZP33"/>
    <mergeCell ref="HZQ33:HZS33"/>
    <mergeCell ref="IGR33:IGT33"/>
    <mergeCell ref="IGU33:IGW33"/>
    <mergeCell ref="IGX33:IGZ33"/>
    <mergeCell ref="IHA33:IHC33"/>
    <mergeCell ref="IHD33:IHF33"/>
    <mergeCell ref="IGC33:IGE33"/>
    <mergeCell ref="IGF33:IGH33"/>
    <mergeCell ref="IGI33:IGK33"/>
    <mergeCell ref="IGL33:IGN33"/>
    <mergeCell ref="IGO33:IGQ33"/>
    <mergeCell ref="IFN33:IFP33"/>
    <mergeCell ref="IFQ33:IFS33"/>
    <mergeCell ref="IFT33:IFV33"/>
    <mergeCell ref="IFW33:IFY33"/>
    <mergeCell ref="IFZ33:IGB33"/>
    <mergeCell ref="IEY33:IFA33"/>
    <mergeCell ref="IFB33:IFD33"/>
    <mergeCell ref="IFE33:IFG33"/>
    <mergeCell ref="IFH33:IFJ33"/>
    <mergeCell ref="IFK33:IFM33"/>
    <mergeCell ref="IEJ33:IEL33"/>
    <mergeCell ref="IEM33:IEO33"/>
    <mergeCell ref="IEP33:IER33"/>
    <mergeCell ref="IES33:IEU33"/>
    <mergeCell ref="IEV33:IEX33"/>
    <mergeCell ref="IDU33:IDW33"/>
    <mergeCell ref="IDX33:IDZ33"/>
    <mergeCell ref="IEA33:IEC33"/>
    <mergeCell ref="IED33:IEF33"/>
    <mergeCell ref="IEG33:IEI33"/>
    <mergeCell ref="IDF33:IDH33"/>
    <mergeCell ref="IDI33:IDK33"/>
    <mergeCell ref="IDL33:IDN33"/>
    <mergeCell ref="IDO33:IDQ33"/>
    <mergeCell ref="IDR33:IDT33"/>
    <mergeCell ref="IKS33:IKU33"/>
    <mergeCell ref="IKV33:IKX33"/>
    <mergeCell ref="IKY33:ILA33"/>
    <mergeCell ref="ILB33:ILD33"/>
    <mergeCell ref="ILE33:ILG33"/>
    <mergeCell ref="IKD33:IKF33"/>
    <mergeCell ref="IKG33:IKI33"/>
    <mergeCell ref="IKJ33:IKL33"/>
    <mergeCell ref="IKM33:IKO33"/>
    <mergeCell ref="IKP33:IKR33"/>
    <mergeCell ref="IJO33:IJQ33"/>
    <mergeCell ref="IJR33:IJT33"/>
    <mergeCell ref="IJU33:IJW33"/>
    <mergeCell ref="IJX33:IJZ33"/>
    <mergeCell ref="IKA33:IKC33"/>
    <mergeCell ref="IIZ33:IJB33"/>
    <mergeCell ref="IJC33:IJE33"/>
    <mergeCell ref="IJF33:IJH33"/>
    <mergeCell ref="IJI33:IJK33"/>
    <mergeCell ref="IJL33:IJN33"/>
    <mergeCell ref="IIK33:IIM33"/>
    <mergeCell ref="IIN33:IIP33"/>
    <mergeCell ref="IIQ33:IIS33"/>
    <mergeCell ref="IIT33:IIV33"/>
    <mergeCell ref="IIW33:IIY33"/>
    <mergeCell ref="IHV33:IHX33"/>
    <mergeCell ref="IHY33:IIA33"/>
    <mergeCell ref="IIB33:IID33"/>
    <mergeCell ref="IIE33:IIG33"/>
    <mergeCell ref="IIH33:IIJ33"/>
    <mergeCell ref="IHG33:IHI33"/>
    <mergeCell ref="IHJ33:IHL33"/>
    <mergeCell ref="IHM33:IHO33"/>
    <mergeCell ref="IHP33:IHR33"/>
    <mergeCell ref="IHS33:IHU33"/>
    <mergeCell ref="IOT33:IOV33"/>
    <mergeCell ref="IOW33:IOY33"/>
    <mergeCell ref="IOZ33:IPB33"/>
    <mergeCell ref="IPC33:IPE33"/>
    <mergeCell ref="IPF33:IPH33"/>
    <mergeCell ref="IOE33:IOG33"/>
    <mergeCell ref="IOH33:IOJ33"/>
    <mergeCell ref="IOK33:IOM33"/>
    <mergeCell ref="ION33:IOP33"/>
    <mergeCell ref="IOQ33:IOS33"/>
    <mergeCell ref="INP33:INR33"/>
    <mergeCell ref="INS33:INU33"/>
    <mergeCell ref="INV33:INX33"/>
    <mergeCell ref="INY33:IOA33"/>
    <mergeCell ref="IOB33:IOD33"/>
    <mergeCell ref="INA33:INC33"/>
    <mergeCell ref="IND33:INF33"/>
    <mergeCell ref="ING33:INI33"/>
    <mergeCell ref="INJ33:INL33"/>
    <mergeCell ref="INM33:INO33"/>
    <mergeCell ref="IML33:IMN33"/>
    <mergeCell ref="IMO33:IMQ33"/>
    <mergeCell ref="IMR33:IMT33"/>
    <mergeCell ref="IMU33:IMW33"/>
    <mergeCell ref="IMX33:IMZ33"/>
    <mergeCell ref="ILW33:ILY33"/>
    <mergeCell ref="ILZ33:IMB33"/>
    <mergeCell ref="IMC33:IME33"/>
    <mergeCell ref="IMF33:IMH33"/>
    <mergeCell ref="IMI33:IMK33"/>
    <mergeCell ref="ILH33:ILJ33"/>
    <mergeCell ref="ILK33:ILM33"/>
    <mergeCell ref="ILN33:ILP33"/>
    <mergeCell ref="ILQ33:ILS33"/>
    <mergeCell ref="ILT33:ILV33"/>
    <mergeCell ref="ISU33:ISW33"/>
    <mergeCell ref="ISX33:ISZ33"/>
    <mergeCell ref="ITA33:ITC33"/>
    <mergeCell ref="ITD33:ITF33"/>
    <mergeCell ref="ITG33:ITI33"/>
    <mergeCell ref="ISF33:ISH33"/>
    <mergeCell ref="ISI33:ISK33"/>
    <mergeCell ref="ISL33:ISN33"/>
    <mergeCell ref="ISO33:ISQ33"/>
    <mergeCell ref="ISR33:IST33"/>
    <mergeCell ref="IRQ33:IRS33"/>
    <mergeCell ref="IRT33:IRV33"/>
    <mergeCell ref="IRW33:IRY33"/>
    <mergeCell ref="IRZ33:ISB33"/>
    <mergeCell ref="ISC33:ISE33"/>
    <mergeCell ref="IRB33:IRD33"/>
    <mergeCell ref="IRE33:IRG33"/>
    <mergeCell ref="IRH33:IRJ33"/>
    <mergeCell ref="IRK33:IRM33"/>
    <mergeCell ref="IRN33:IRP33"/>
    <mergeCell ref="IQM33:IQO33"/>
    <mergeCell ref="IQP33:IQR33"/>
    <mergeCell ref="IQS33:IQU33"/>
    <mergeCell ref="IQV33:IQX33"/>
    <mergeCell ref="IQY33:IRA33"/>
    <mergeCell ref="IPX33:IPZ33"/>
    <mergeCell ref="IQA33:IQC33"/>
    <mergeCell ref="IQD33:IQF33"/>
    <mergeCell ref="IQG33:IQI33"/>
    <mergeCell ref="IQJ33:IQL33"/>
    <mergeCell ref="IPI33:IPK33"/>
    <mergeCell ref="IPL33:IPN33"/>
    <mergeCell ref="IPO33:IPQ33"/>
    <mergeCell ref="IPR33:IPT33"/>
    <mergeCell ref="IPU33:IPW33"/>
    <mergeCell ref="IWV33:IWX33"/>
    <mergeCell ref="IWY33:IXA33"/>
    <mergeCell ref="IXB33:IXD33"/>
    <mergeCell ref="IXE33:IXG33"/>
    <mergeCell ref="IXH33:IXJ33"/>
    <mergeCell ref="IWG33:IWI33"/>
    <mergeCell ref="IWJ33:IWL33"/>
    <mergeCell ref="IWM33:IWO33"/>
    <mergeCell ref="IWP33:IWR33"/>
    <mergeCell ref="IWS33:IWU33"/>
    <mergeCell ref="IVR33:IVT33"/>
    <mergeCell ref="IVU33:IVW33"/>
    <mergeCell ref="IVX33:IVZ33"/>
    <mergeCell ref="IWA33:IWC33"/>
    <mergeCell ref="IWD33:IWF33"/>
    <mergeCell ref="IVC33:IVE33"/>
    <mergeCell ref="IVF33:IVH33"/>
    <mergeCell ref="IVI33:IVK33"/>
    <mergeCell ref="IVL33:IVN33"/>
    <mergeCell ref="IVO33:IVQ33"/>
    <mergeCell ref="IUN33:IUP33"/>
    <mergeCell ref="IUQ33:IUS33"/>
    <mergeCell ref="IUT33:IUV33"/>
    <mergeCell ref="IUW33:IUY33"/>
    <mergeCell ref="IUZ33:IVB33"/>
    <mergeCell ref="ITY33:IUA33"/>
    <mergeCell ref="IUB33:IUD33"/>
    <mergeCell ref="IUE33:IUG33"/>
    <mergeCell ref="IUH33:IUJ33"/>
    <mergeCell ref="IUK33:IUM33"/>
    <mergeCell ref="ITJ33:ITL33"/>
    <mergeCell ref="ITM33:ITO33"/>
    <mergeCell ref="ITP33:ITR33"/>
    <mergeCell ref="ITS33:ITU33"/>
    <mergeCell ref="ITV33:ITX33"/>
    <mergeCell ref="JAW33:JAY33"/>
    <mergeCell ref="JAZ33:JBB33"/>
    <mergeCell ref="JBC33:JBE33"/>
    <mergeCell ref="JBF33:JBH33"/>
    <mergeCell ref="JBI33:JBK33"/>
    <mergeCell ref="JAH33:JAJ33"/>
    <mergeCell ref="JAK33:JAM33"/>
    <mergeCell ref="JAN33:JAP33"/>
    <mergeCell ref="JAQ33:JAS33"/>
    <mergeCell ref="JAT33:JAV33"/>
    <mergeCell ref="IZS33:IZU33"/>
    <mergeCell ref="IZV33:IZX33"/>
    <mergeCell ref="IZY33:JAA33"/>
    <mergeCell ref="JAB33:JAD33"/>
    <mergeCell ref="JAE33:JAG33"/>
    <mergeCell ref="IZD33:IZF33"/>
    <mergeCell ref="IZG33:IZI33"/>
    <mergeCell ref="IZJ33:IZL33"/>
    <mergeCell ref="IZM33:IZO33"/>
    <mergeCell ref="IZP33:IZR33"/>
    <mergeCell ref="IYO33:IYQ33"/>
    <mergeCell ref="IYR33:IYT33"/>
    <mergeCell ref="IYU33:IYW33"/>
    <mergeCell ref="IYX33:IYZ33"/>
    <mergeCell ref="IZA33:IZC33"/>
    <mergeCell ref="IXZ33:IYB33"/>
    <mergeCell ref="IYC33:IYE33"/>
    <mergeCell ref="IYF33:IYH33"/>
    <mergeCell ref="IYI33:IYK33"/>
    <mergeCell ref="IYL33:IYN33"/>
    <mergeCell ref="IXK33:IXM33"/>
    <mergeCell ref="IXN33:IXP33"/>
    <mergeCell ref="IXQ33:IXS33"/>
    <mergeCell ref="IXT33:IXV33"/>
    <mergeCell ref="IXW33:IXY33"/>
    <mergeCell ref="JEX33:JEZ33"/>
    <mergeCell ref="JFA33:JFC33"/>
    <mergeCell ref="JFD33:JFF33"/>
    <mergeCell ref="JFG33:JFI33"/>
    <mergeCell ref="JFJ33:JFL33"/>
    <mergeCell ref="JEI33:JEK33"/>
    <mergeCell ref="JEL33:JEN33"/>
    <mergeCell ref="JEO33:JEQ33"/>
    <mergeCell ref="JER33:JET33"/>
    <mergeCell ref="JEU33:JEW33"/>
    <mergeCell ref="JDT33:JDV33"/>
    <mergeCell ref="JDW33:JDY33"/>
    <mergeCell ref="JDZ33:JEB33"/>
    <mergeCell ref="JEC33:JEE33"/>
    <mergeCell ref="JEF33:JEH33"/>
    <mergeCell ref="JDE33:JDG33"/>
    <mergeCell ref="JDH33:JDJ33"/>
    <mergeCell ref="JDK33:JDM33"/>
    <mergeCell ref="JDN33:JDP33"/>
    <mergeCell ref="JDQ33:JDS33"/>
    <mergeCell ref="JCP33:JCR33"/>
    <mergeCell ref="JCS33:JCU33"/>
    <mergeCell ref="JCV33:JCX33"/>
    <mergeCell ref="JCY33:JDA33"/>
    <mergeCell ref="JDB33:JDD33"/>
    <mergeCell ref="JCA33:JCC33"/>
    <mergeCell ref="JCD33:JCF33"/>
    <mergeCell ref="JCG33:JCI33"/>
    <mergeCell ref="JCJ33:JCL33"/>
    <mergeCell ref="JCM33:JCO33"/>
    <mergeCell ref="JBL33:JBN33"/>
    <mergeCell ref="JBO33:JBQ33"/>
    <mergeCell ref="JBR33:JBT33"/>
    <mergeCell ref="JBU33:JBW33"/>
    <mergeCell ref="JBX33:JBZ33"/>
    <mergeCell ref="JIY33:JJA33"/>
    <mergeCell ref="JJB33:JJD33"/>
    <mergeCell ref="JJE33:JJG33"/>
    <mergeCell ref="JJH33:JJJ33"/>
    <mergeCell ref="JJK33:JJM33"/>
    <mergeCell ref="JIJ33:JIL33"/>
    <mergeCell ref="JIM33:JIO33"/>
    <mergeCell ref="JIP33:JIR33"/>
    <mergeCell ref="JIS33:JIU33"/>
    <mergeCell ref="JIV33:JIX33"/>
    <mergeCell ref="JHU33:JHW33"/>
    <mergeCell ref="JHX33:JHZ33"/>
    <mergeCell ref="JIA33:JIC33"/>
    <mergeCell ref="JID33:JIF33"/>
    <mergeCell ref="JIG33:JII33"/>
    <mergeCell ref="JHF33:JHH33"/>
    <mergeCell ref="JHI33:JHK33"/>
    <mergeCell ref="JHL33:JHN33"/>
    <mergeCell ref="JHO33:JHQ33"/>
    <mergeCell ref="JHR33:JHT33"/>
    <mergeCell ref="JGQ33:JGS33"/>
    <mergeCell ref="JGT33:JGV33"/>
    <mergeCell ref="JGW33:JGY33"/>
    <mergeCell ref="JGZ33:JHB33"/>
    <mergeCell ref="JHC33:JHE33"/>
    <mergeCell ref="JGB33:JGD33"/>
    <mergeCell ref="JGE33:JGG33"/>
    <mergeCell ref="JGH33:JGJ33"/>
    <mergeCell ref="JGK33:JGM33"/>
    <mergeCell ref="JGN33:JGP33"/>
    <mergeCell ref="JFM33:JFO33"/>
    <mergeCell ref="JFP33:JFR33"/>
    <mergeCell ref="JFS33:JFU33"/>
    <mergeCell ref="JFV33:JFX33"/>
    <mergeCell ref="JFY33:JGA33"/>
    <mergeCell ref="JMZ33:JNB33"/>
    <mergeCell ref="JNC33:JNE33"/>
    <mergeCell ref="JNF33:JNH33"/>
    <mergeCell ref="JNI33:JNK33"/>
    <mergeCell ref="JNL33:JNN33"/>
    <mergeCell ref="JMK33:JMM33"/>
    <mergeCell ref="JMN33:JMP33"/>
    <mergeCell ref="JMQ33:JMS33"/>
    <mergeCell ref="JMT33:JMV33"/>
    <mergeCell ref="JMW33:JMY33"/>
    <mergeCell ref="JLV33:JLX33"/>
    <mergeCell ref="JLY33:JMA33"/>
    <mergeCell ref="JMB33:JMD33"/>
    <mergeCell ref="JME33:JMG33"/>
    <mergeCell ref="JMH33:JMJ33"/>
    <mergeCell ref="JLG33:JLI33"/>
    <mergeCell ref="JLJ33:JLL33"/>
    <mergeCell ref="JLM33:JLO33"/>
    <mergeCell ref="JLP33:JLR33"/>
    <mergeCell ref="JLS33:JLU33"/>
    <mergeCell ref="JKR33:JKT33"/>
    <mergeCell ref="JKU33:JKW33"/>
    <mergeCell ref="JKX33:JKZ33"/>
    <mergeCell ref="JLA33:JLC33"/>
    <mergeCell ref="JLD33:JLF33"/>
    <mergeCell ref="JKC33:JKE33"/>
    <mergeCell ref="JKF33:JKH33"/>
    <mergeCell ref="JKI33:JKK33"/>
    <mergeCell ref="JKL33:JKN33"/>
    <mergeCell ref="JKO33:JKQ33"/>
    <mergeCell ref="JJN33:JJP33"/>
    <mergeCell ref="JJQ33:JJS33"/>
    <mergeCell ref="JJT33:JJV33"/>
    <mergeCell ref="JJW33:JJY33"/>
    <mergeCell ref="JJZ33:JKB33"/>
    <mergeCell ref="JRA33:JRC33"/>
    <mergeCell ref="JRD33:JRF33"/>
    <mergeCell ref="JRG33:JRI33"/>
    <mergeCell ref="JRJ33:JRL33"/>
    <mergeCell ref="JRM33:JRO33"/>
    <mergeCell ref="JQL33:JQN33"/>
    <mergeCell ref="JQO33:JQQ33"/>
    <mergeCell ref="JQR33:JQT33"/>
    <mergeCell ref="JQU33:JQW33"/>
    <mergeCell ref="JQX33:JQZ33"/>
    <mergeCell ref="JPW33:JPY33"/>
    <mergeCell ref="JPZ33:JQB33"/>
    <mergeCell ref="JQC33:JQE33"/>
    <mergeCell ref="JQF33:JQH33"/>
    <mergeCell ref="JQI33:JQK33"/>
    <mergeCell ref="JPH33:JPJ33"/>
    <mergeCell ref="JPK33:JPM33"/>
    <mergeCell ref="JPN33:JPP33"/>
    <mergeCell ref="JPQ33:JPS33"/>
    <mergeCell ref="JPT33:JPV33"/>
    <mergeCell ref="JOS33:JOU33"/>
    <mergeCell ref="JOV33:JOX33"/>
    <mergeCell ref="JOY33:JPA33"/>
    <mergeCell ref="JPB33:JPD33"/>
    <mergeCell ref="JPE33:JPG33"/>
    <mergeCell ref="JOD33:JOF33"/>
    <mergeCell ref="JOG33:JOI33"/>
    <mergeCell ref="JOJ33:JOL33"/>
    <mergeCell ref="JOM33:JOO33"/>
    <mergeCell ref="JOP33:JOR33"/>
    <mergeCell ref="JNO33:JNQ33"/>
    <mergeCell ref="JNR33:JNT33"/>
    <mergeCell ref="JNU33:JNW33"/>
    <mergeCell ref="JNX33:JNZ33"/>
    <mergeCell ref="JOA33:JOC33"/>
    <mergeCell ref="JVB33:JVD33"/>
    <mergeCell ref="JVE33:JVG33"/>
    <mergeCell ref="JVH33:JVJ33"/>
    <mergeCell ref="JVK33:JVM33"/>
    <mergeCell ref="JVN33:JVP33"/>
    <mergeCell ref="JUM33:JUO33"/>
    <mergeCell ref="JUP33:JUR33"/>
    <mergeCell ref="JUS33:JUU33"/>
    <mergeCell ref="JUV33:JUX33"/>
    <mergeCell ref="JUY33:JVA33"/>
    <mergeCell ref="JTX33:JTZ33"/>
    <mergeCell ref="JUA33:JUC33"/>
    <mergeCell ref="JUD33:JUF33"/>
    <mergeCell ref="JUG33:JUI33"/>
    <mergeCell ref="JUJ33:JUL33"/>
    <mergeCell ref="JTI33:JTK33"/>
    <mergeCell ref="JTL33:JTN33"/>
    <mergeCell ref="JTO33:JTQ33"/>
    <mergeCell ref="JTR33:JTT33"/>
    <mergeCell ref="JTU33:JTW33"/>
    <mergeCell ref="JST33:JSV33"/>
    <mergeCell ref="JSW33:JSY33"/>
    <mergeCell ref="JSZ33:JTB33"/>
    <mergeCell ref="JTC33:JTE33"/>
    <mergeCell ref="JTF33:JTH33"/>
    <mergeCell ref="JSE33:JSG33"/>
    <mergeCell ref="JSH33:JSJ33"/>
    <mergeCell ref="JSK33:JSM33"/>
    <mergeCell ref="JSN33:JSP33"/>
    <mergeCell ref="JSQ33:JSS33"/>
    <mergeCell ref="JRP33:JRR33"/>
    <mergeCell ref="JRS33:JRU33"/>
    <mergeCell ref="JRV33:JRX33"/>
    <mergeCell ref="JRY33:JSA33"/>
    <mergeCell ref="JSB33:JSD33"/>
    <mergeCell ref="JZC33:JZE33"/>
    <mergeCell ref="JZF33:JZH33"/>
    <mergeCell ref="JZI33:JZK33"/>
    <mergeCell ref="JZL33:JZN33"/>
    <mergeCell ref="JZO33:JZQ33"/>
    <mergeCell ref="JYN33:JYP33"/>
    <mergeCell ref="JYQ33:JYS33"/>
    <mergeCell ref="JYT33:JYV33"/>
    <mergeCell ref="JYW33:JYY33"/>
    <mergeCell ref="JYZ33:JZB33"/>
    <mergeCell ref="JXY33:JYA33"/>
    <mergeCell ref="JYB33:JYD33"/>
    <mergeCell ref="JYE33:JYG33"/>
    <mergeCell ref="JYH33:JYJ33"/>
    <mergeCell ref="JYK33:JYM33"/>
    <mergeCell ref="JXJ33:JXL33"/>
    <mergeCell ref="JXM33:JXO33"/>
    <mergeCell ref="JXP33:JXR33"/>
    <mergeCell ref="JXS33:JXU33"/>
    <mergeCell ref="JXV33:JXX33"/>
    <mergeCell ref="JWU33:JWW33"/>
    <mergeCell ref="JWX33:JWZ33"/>
    <mergeCell ref="JXA33:JXC33"/>
    <mergeCell ref="JXD33:JXF33"/>
    <mergeCell ref="JXG33:JXI33"/>
    <mergeCell ref="JWF33:JWH33"/>
    <mergeCell ref="JWI33:JWK33"/>
    <mergeCell ref="JWL33:JWN33"/>
    <mergeCell ref="JWO33:JWQ33"/>
    <mergeCell ref="JWR33:JWT33"/>
    <mergeCell ref="JVQ33:JVS33"/>
    <mergeCell ref="JVT33:JVV33"/>
    <mergeCell ref="JVW33:JVY33"/>
    <mergeCell ref="JVZ33:JWB33"/>
    <mergeCell ref="JWC33:JWE33"/>
    <mergeCell ref="KDD33:KDF33"/>
    <mergeCell ref="KDG33:KDI33"/>
    <mergeCell ref="KDJ33:KDL33"/>
    <mergeCell ref="KDM33:KDO33"/>
    <mergeCell ref="KDP33:KDR33"/>
    <mergeCell ref="KCO33:KCQ33"/>
    <mergeCell ref="KCR33:KCT33"/>
    <mergeCell ref="KCU33:KCW33"/>
    <mergeCell ref="KCX33:KCZ33"/>
    <mergeCell ref="KDA33:KDC33"/>
    <mergeCell ref="KBZ33:KCB33"/>
    <mergeCell ref="KCC33:KCE33"/>
    <mergeCell ref="KCF33:KCH33"/>
    <mergeCell ref="KCI33:KCK33"/>
    <mergeCell ref="KCL33:KCN33"/>
    <mergeCell ref="KBK33:KBM33"/>
    <mergeCell ref="KBN33:KBP33"/>
    <mergeCell ref="KBQ33:KBS33"/>
    <mergeCell ref="KBT33:KBV33"/>
    <mergeCell ref="KBW33:KBY33"/>
    <mergeCell ref="KAV33:KAX33"/>
    <mergeCell ref="KAY33:KBA33"/>
    <mergeCell ref="KBB33:KBD33"/>
    <mergeCell ref="KBE33:KBG33"/>
    <mergeCell ref="KBH33:KBJ33"/>
    <mergeCell ref="KAG33:KAI33"/>
    <mergeCell ref="KAJ33:KAL33"/>
    <mergeCell ref="KAM33:KAO33"/>
    <mergeCell ref="KAP33:KAR33"/>
    <mergeCell ref="KAS33:KAU33"/>
    <mergeCell ref="JZR33:JZT33"/>
    <mergeCell ref="JZU33:JZW33"/>
    <mergeCell ref="JZX33:JZZ33"/>
    <mergeCell ref="KAA33:KAC33"/>
    <mergeCell ref="KAD33:KAF33"/>
    <mergeCell ref="KHE33:KHG33"/>
    <mergeCell ref="KHH33:KHJ33"/>
    <mergeCell ref="KHK33:KHM33"/>
    <mergeCell ref="KHN33:KHP33"/>
    <mergeCell ref="KHQ33:KHS33"/>
    <mergeCell ref="KGP33:KGR33"/>
    <mergeCell ref="KGS33:KGU33"/>
    <mergeCell ref="KGV33:KGX33"/>
    <mergeCell ref="KGY33:KHA33"/>
    <mergeCell ref="KHB33:KHD33"/>
    <mergeCell ref="KGA33:KGC33"/>
    <mergeCell ref="KGD33:KGF33"/>
    <mergeCell ref="KGG33:KGI33"/>
    <mergeCell ref="KGJ33:KGL33"/>
    <mergeCell ref="KGM33:KGO33"/>
    <mergeCell ref="KFL33:KFN33"/>
    <mergeCell ref="KFO33:KFQ33"/>
    <mergeCell ref="KFR33:KFT33"/>
    <mergeCell ref="KFU33:KFW33"/>
    <mergeCell ref="KFX33:KFZ33"/>
    <mergeCell ref="KEW33:KEY33"/>
    <mergeCell ref="KEZ33:KFB33"/>
    <mergeCell ref="KFC33:KFE33"/>
    <mergeCell ref="KFF33:KFH33"/>
    <mergeCell ref="KFI33:KFK33"/>
    <mergeCell ref="KEH33:KEJ33"/>
    <mergeCell ref="KEK33:KEM33"/>
    <mergeCell ref="KEN33:KEP33"/>
    <mergeCell ref="KEQ33:KES33"/>
    <mergeCell ref="KET33:KEV33"/>
    <mergeCell ref="KDS33:KDU33"/>
    <mergeCell ref="KDV33:KDX33"/>
    <mergeCell ref="KDY33:KEA33"/>
    <mergeCell ref="KEB33:KED33"/>
    <mergeCell ref="KEE33:KEG33"/>
    <mergeCell ref="KLF33:KLH33"/>
    <mergeCell ref="KLI33:KLK33"/>
    <mergeCell ref="KLL33:KLN33"/>
    <mergeCell ref="KLO33:KLQ33"/>
    <mergeCell ref="KLR33:KLT33"/>
    <mergeCell ref="KKQ33:KKS33"/>
    <mergeCell ref="KKT33:KKV33"/>
    <mergeCell ref="KKW33:KKY33"/>
    <mergeCell ref="KKZ33:KLB33"/>
    <mergeCell ref="KLC33:KLE33"/>
    <mergeCell ref="KKB33:KKD33"/>
    <mergeCell ref="KKE33:KKG33"/>
    <mergeCell ref="KKH33:KKJ33"/>
    <mergeCell ref="KKK33:KKM33"/>
    <mergeCell ref="KKN33:KKP33"/>
    <mergeCell ref="KJM33:KJO33"/>
    <mergeCell ref="KJP33:KJR33"/>
    <mergeCell ref="KJS33:KJU33"/>
    <mergeCell ref="KJV33:KJX33"/>
    <mergeCell ref="KJY33:KKA33"/>
    <mergeCell ref="KIX33:KIZ33"/>
    <mergeCell ref="KJA33:KJC33"/>
    <mergeCell ref="KJD33:KJF33"/>
    <mergeCell ref="KJG33:KJI33"/>
    <mergeCell ref="KJJ33:KJL33"/>
    <mergeCell ref="KII33:KIK33"/>
    <mergeCell ref="KIL33:KIN33"/>
    <mergeCell ref="KIO33:KIQ33"/>
    <mergeCell ref="KIR33:KIT33"/>
    <mergeCell ref="KIU33:KIW33"/>
    <mergeCell ref="KHT33:KHV33"/>
    <mergeCell ref="KHW33:KHY33"/>
    <mergeCell ref="KHZ33:KIB33"/>
    <mergeCell ref="KIC33:KIE33"/>
    <mergeCell ref="KIF33:KIH33"/>
    <mergeCell ref="KPG33:KPI33"/>
    <mergeCell ref="KPJ33:KPL33"/>
    <mergeCell ref="KPM33:KPO33"/>
    <mergeCell ref="KPP33:KPR33"/>
    <mergeCell ref="KPS33:KPU33"/>
    <mergeCell ref="KOR33:KOT33"/>
    <mergeCell ref="KOU33:KOW33"/>
    <mergeCell ref="KOX33:KOZ33"/>
    <mergeCell ref="KPA33:KPC33"/>
    <mergeCell ref="KPD33:KPF33"/>
    <mergeCell ref="KOC33:KOE33"/>
    <mergeCell ref="KOF33:KOH33"/>
    <mergeCell ref="KOI33:KOK33"/>
    <mergeCell ref="KOL33:KON33"/>
    <mergeCell ref="KOO33:KOQ33"/>
    <mergeCell ref="KNN33:KNP33"/>
    <mergeCell ref="KNQ33:KNS33"/>
    <mergeCell ref="KNT33:KNV33"/>
    <mergeCell ref="KNW33:KNY33"/>
    <mergeCell ref="KNZ33:KOB33"/>
    <mergeCell ref="KMY33:KNA33"/>
    <mergeCell ref="KNB33:KND33"/>
    <mergeCell ref="KNE33:KNG33"/>
    <mergeCell ref="KNH33:KNJ33"/>
    <mergeCell ref="KNK33:KNM33"/>
    <mergeCell ref="KMJ33:KML33"/>
    <mergeCell ref="KMM33:KMO33"/>
    <mergeCell ref="KMP33:KMR33"/>
    <mergeCell ref="KMS33:KMU33"/>
    <mergeCell ref="KMV33:KMX33"/>
    <mergeCell ref="KLU33:KLW33"/>
    <mergeCell ref="KLX33:KLZ33"/>
    <mergeCell ref="KMA33:KMC33"/>
    <mergeCell ref="KMD33:KMF33"/>
    <mergeCell ref="KMG33:KMI33"/>
    <mergeCell ref="KTH33:KTJ33"/>
    <mergeCell ref="KTK33:KTM33"/>
    <mergeCell ref="KTN33:KTP33"/>
    <mergeCell ref="KTQ33:KTS33"/>
    <mergeCell ref="KTT33:KTV33"/>
    <mergeCell ref="KSS33:KSU33"/>
    <mergeCell ref="KSV33:KSX33"/>
    <mergeCell ref="KSY33:KTA33"/>
    <mergeCell ref="KTB33:KTD33"/>
    <mergeCell ref="KTE33:KTG33"/>
    <mergeCell ref="KSD33:KSF33"/>
    <mergeCell ref="KSG33:KSI33"/>
    <mergeCell ref="KSJ33:KSL33"/>
    <mergeCell ref="KSM33:KSO33"/>
    <mergeCell ref="KSP33:KSR33"/>
    <mergeCell ref="KRO33:KRQ33"/>
    <mergeCell ref="KRR33:KRT33"/>
    <mergeCell ref="KRU33:KRW33"/>
    <mergeCell ref="KRX33:KRZ33"/>
    <mergeCell ref="KSA33:KSC33"/>
    <mergeCell ref="KQZ33:KRB33"/>
    <mergeCell ref="KRC33:KRE33"/>
    <mergeCell ref="KRF33:KRH33"/>
    <mergeCell ref="KRI33:KRK33"/>
    <mergeCell ref="KRL33:KRN33"/>
    <mergeCell ref="KQK33:KQM33"/>
    <mergeCell ref="KQN33:KQP33"/>
    <mergeCell ref="KQQ33:KQS33"/>
    <mergeCell ref="KQT33:KQV33"/>
    <mergeCell ref="KQW33:KQY33"/>
    <mergeCell ref="KPV33:KPX33"/>
    <mergeCell ref="KPY33:KQA33"/>
    <mergeCell ref="KQB33:KQD33"/>
    <mergeCell ref="KQE33:KQG33"/>
    <mergeCell ref="KQH33:KQJ33"/>
    <mergeCell ref="KXI33:KXK33"/>
    <mergeCell ref="KXL33:KXN33"/>
    <mergeCell ref="KXO33:KXQ33"/>
    <mergeCell ref="KXR33:KXT33"/>
    <mergeCell ref="KXU33:KXW33"/>
    <mergeCell ref="KWT33:KWV33"/>
    <mergeCell ref="KWW33:KWY33"/>
    <mergeCell ref="KWZ33:KXB33"/>
    <mergeCell ref="KXC33:KXE33"/>
    <mergeCell ref="KXF33:KXH33"/>
    <mergeCell ref="KWE33:KWG33"/>
    <mergeCell ref="KWH33:KWJ33"/>
    <mergeCell ref="KWK33:KWM33"/>
    <mergeCell ref="KWN33:KWP33"/>
    <mergeCell ref="KWQ33:KWS33"/>
    <mergeCell ref="KVP33:KVR33"/>
    <mergeCell ref="KVS33:KVU33"/>
    <mergeCell ref="KVV33:KVX33"/>
    <mergeCell ref="KVY33:KWA33"/>
    <mergeCell ref="KWB33:KWD33"/>
    <mergeCell ref="KVA33:KVC33"/>
    <mergeCell ref="KVD33:KVF33"/>
    <mergeCell ref="KVG33:KVI33"/>
    <mergeCell ref="KVJ33:KVL33"/>
    <mergeCell ref="KVM33:KVO33"/>
    <mergeCell ref="KUL33:KUN33"/>
    <mergeCell ref="KUO33:KUQ33"/>
    <mergeCell ref="KUR33:KUT33"/>
    <mergeCell ref="KUU33:KUW33"/>
    <mergeCell ref="KUX33:KUZ33"/>
    <mergeCell ref="KTW33:KTY33"/>
    <mergeCell ref="KTZ33:KUB33"/>
    <mergeCell ref="KUC33:KUE33"/>
    <mergeCell ref="KUF33:KUH33"/>
    <mergeCell ref="KUI33:KUK33"/>
    <mergeCell ref="LBJ33:LBL33"/>
    <mergeCell ref="LBM33:LBO33"/>
    <mergeCell ref="LBP33:LBR33"/>
    <mergeCell ref="LBS33:LBU33"/>
    <mergeCell ref="LBV33:LBX33"/>
    <mergeCell ref="LAU33:LAW33"/>
    <mergeCell ref="LAX33:LAZ33"/>
    <mergeCell ref="LBA33:LBC33"/>
    <mergeCell ref="LBD33:LBF33"/>
    <mergeCell ref="LBG33:LBI33"/>
    <mergeCell ref="LAF33:LAH33"/>
    <mergeCell ref="LAI33:LAK33"/>
    <mergeCell ref="LAL33:LAN33"/>
    <mergeCell ref="LAO33:LAQ33"/>
    <mergeCell ref="LAR33:LAT33"/>
    <mergeCell ref="KZQ33:KZS33"/>
    <mergeCell ref="KZT33:KZV33"/>
    <mergeCell ref="KZW33:KZY33"/>
    <mergeCell ref="KZZ33:LAB33"/>
    <mergeCell ref="LAC33:LAE33"/>
    <mergeCell ref="KZB33:KZD33"/>
    <mergeCell ref="KZE33:KZG33"/>
    <mergeCell ref="KZH33:KZJ33"/>
    <mergeCell ref="KZK33:KZM33"/>
    <mergeCell ref="KZN33:KZP33"/>
    <mergeCell ref="KYM33:KYO33"/>
    <mergeCell ref="KYP33:KYR33"/>
    <mergeCell ref="KYS33:KYU33"/>
    <mergeCell ref="KYV33:KYX33"/>
    <mergeCell ref="KYY33:KZA33"/>
    <mergeCell ref="KXX33:KXZ33"/>
    <mergeCell ref="KYA33:KYC33"/>
    <mergeCell ref="KYD33:KYF33"/>
    <mergeCell ref="KYG33:KYI33"/>
    <mergeCell ref="KYJ33:KYL33"/>
    <mergeCell ref="LFK33:LFM33"/>
    <mergeCell ref="LFN33:LFP33"/>
    <mergeCell ref="LFQ33:LFS33"/>
    <mergeCell ref="LFT33:LFV33"/>
    <mergeCell ref="LFW33:LFY33"/>
    <mergeCell ref="LEV33:LEX33"/>
    <mergeCell ref="LEY33:LFA33"/>
    <mergeCell ref="LFB33:LFD33"/>
    <mergeCell ref="LFE33:LFG33"/>
    <mergeCell ref="LFH33:LFJ33"/>
    <mergeCell ref="LEG33:LEI33"/>
    <mergeCell ref="LEJ33:LEL33"/>
    <mergeCell ref="LEM33:LEO33"/>
    <mergeCell ref="LEP33:LER33"/>
    <mergeCell ref="LES33:LEU33"/>
    <mergeCell ref="LDR33:LDT33"/>
    <mergeCell ref="LDU33:LDW33"/>
    <mergeCell ref="LDX33:LDZ33"/>
    <mergeCell ref="LEA33:LEC33"/>
    <mergeCell ref="LED33:LEF33"/>
    <mergeCell ref="LDC33:LDE33"/>
    <mergeCell ref="LDF33:LDH33"/>
    <mergeCell ref="LDI33:LDK33"/>
    <mergeCell ref="LDL33:LDN33"/>
    <mergeCell ref="LDO33:LDQ33"/>
    <mergeCell ref="LCN33:LCP33"/>
    <mergeCell ref="LCQ33:LCS33"/>
    <mergeCell ref="LCT33:LCV33"/>
    <mergeCell ref="LCW33:LCY33"/>
    <mergeCell ref="LCZ33:LDB33"/>
    <mergeCell ref="LBY33:LCA33"/>
    <mergeCell ref="LCB33:LCD33"/>
    <mergeCell ref="LCE33:LCG33"/>
    <mergeCell ref="LCH33:LCJ33"/>
    <mergeCell ref="LCK33:LCM33"/>
    <mergeCell ref="LJL33:LJN33"/>
    <mergeCell ref="LJO33:LJQ33"/>
    <mergeCell ref="LJR33:LJT33"/>
    <mergeCell ref="LJU33:LJW33"/>
    <mergeCell ref="LJX33:LJZ33"/>
    <mergeCell ref="LIW33:LIY33"/>
    <mergeCell ref="LIZ33:LJB33"/>
    <mergeCell ref="LJC33:LJE33"/>
    <mergeCell ref="LJF33:LJH33"/>
    <mergeCell ref="LJI33:LJK33"/>
    <mergeCell ref="LIH33:LIJ33"/>
    <mergeCell ref="LIK33:LIM33"/>
    <mergeCell ref="LIN33:LIP33"/>
    <mergeCell ref="LIQ33:LIS33"/>
    <mergeCell ref="LIT33:LIV33"/>
    <mergeCell ref="LHS33:LHU33"/>
    <mergeCell ref="LHV33:LHX33"/>
    <mergeCell ref="LHY33:LIA33"/>
    <mergeCell ref="LIB33:LID33"/>
    <mergeCell ref="LIE33:LIG33"/>
    <mergeCell ref="LHD33:LHF33"/>
    <mergeCell ref="LHG33:LHI33"/>
    <mergeCell ref="LHJ33:LHL33"/>
    <mergeCell ref="LHM33:LHO33"/>
    <mergeCell ref="LHP33:LHR33"/>
    <mergeCell ref="LGO33:LGQ33"/>
    <mergeCell ref="LGR33:LGT33"/>
    <mergeCell ref="LGU33:LGW33"/>
    <mergeCell ref="LGX33:LGZ33"/>
    <mergeCell ref="LHA33:LHC33"/>
    <mergeCell ref="LFZ33:LGB33"/>
    <mergeCell ref="LGC33:LGE33"/>
    <mergeCell ref="LGF33:LGH33"/>
    <mergeCell ref="LGI33:LGK33"/>
    <mergeCell ref="LGL33:LGN33"/>
    <mergeCell ref="LNM33:LNO33"/>
    <mergeCell ref="LNP33:LNR33"/>
    <mergeCell ref="LNS33:LNU33"/>
    <mergeCell ref="LNV33:LNX33"/>
    <mergeCell ref="LNY33:LOA33"/>
    <mergeCell ref="LMX33:LMZ33"/>
    <mergeCell ref="LNA33:LNC33"/>
    <mergeCell ref="LND33:LNF33"/>
    <mergeCell ref="LNG33:LNI33"/>
    <mergeCell ref="LNJ33:LNL33"/>
    <mergeCell ref="LMI33:LMK33"/>
    <mergeCell ref="LML33:LMN33"/>
    <mergeCell ref="LMO33:LMQ33"/>
    <mergeCell ref="LMR33:LMT33"/>
    <mergeCell ref="LMU33:LMW33"/>
    <mergeCell ref="LLT33:LLV33"/>
    <mergeCell ref="LLW33:LLY33"/>
    <mergeCell ref="LLZ33:LMB33"/>
    <mergeCell ref="LMC33:LME33"/>
    <mergeCell ref="LMF33:LMH33"/>
    <mergeCell ref="LLE33:LLG33"/>
    <mergeCell ref="LLH33:LLJ33"/>
    <mergeCell ref="LLK33:LLM33"/>
    <mergeCell ref="LLN33:LLP33"/>
    <mergeCell ref="LLQ33:LLS33"/>
    <mergeCell ref="LKP33:LKR33"/>
    <mergeCell ref="LKS33:LKU33"/>
    <mergeCell ref="LKV33:LKX33"/>
    <mergeCell ref="LKY33:LLA33"/>
    <mergeCell ref="LLB33:LLD33"/>
    <mergeCell ref="LKA33:LKC33"/>
    <mergeCell ref="LKD33:LKF33"/>
    <mergeCell ref="LKG33:LKI33"/>
    <mergeCell ref="LKJ33:LKL33"/>
    <mergeCell ref="LKM33:LKO33"/>
    <mergeCell ref="LRN33:LRP33"/>
    <mergeCell ref="LRQ33:LRS33"/>
    <mergeCell ref="LRT33:LRV33"/>
    <mergeCell ref="LRW33:LRY33"/>
    <mergeCell ref="LRZ33:LSB33"/>
    <mergeCell ref="LQY33:LRA33"/>
    <mergeCell ref="LRB33:LRD33"/>
    <mergeCell ref="LRE33:LRG33"/>
    <mergeCell ref="LRH33:LRJ33"/>
    <mergeCell ref="LRK33:LRM33"/>
    <mergeCell ref="LQJ33:LQL33"/>
    <mergeCell ref="LQM33:LQO33"/>
    <mergeCell ref="LQP33:LQR33"/>
    <mergeCell ref="LQS33:LQU33"/>
    <mergeCell ref="LQV33:LQX33"/>
    <mergeCell ref="LPU33:LPW33"/>
    <mergeCell ref="LPX33:LPZ33"/>
    <mergeCell ref="LQA33:LQC33"/>
    <mergeCell ref="LQD33:LQF33"/>
    <mergeCell ref="LQG33:LQI33"/>
    <mergeCell ref="LPF33:LPH33"/>
    <mergeCell ref="LPI33:LPK33"/>
    <mergeCell ref="LPL33:LPN33"/>
    <mergeCell ref="LPO33:LPQ33"/>
    <mergeCell ref="LPR33:LPT33"/>
    <mergeCell ref="LOQ33:LOS33"/>
    <mergeCell ref="LOT33:LOV33"/>
    <mergeCell ref="LOW33:LOY33"/>
    <mergeCell ref="LOZ33:LPB33"/>
    <mergeCell ref="LPC33:LPE33"/>
    <mergeCell ref="LOB33:LOD33"/>
    <mergeCell ref="LOE33:LOG33"/>
    <mergeCell ref="LOH33:LOJ33"/>
    <mergeCell ref="LOK33:LOM33"/>
    <mergeCell ref="LON33:LOP33"/>
    <mergeCell ref="LVO33:LVQ33"/>
    <mergeCell ref="LVR33:LVT33"/>
    <mergeCell ref="LVU33:LVW33"/>
    <mergeCell ref="LVX33:LVZ33"/>
    <mergeCell ref="LWA33:LWC33"/>
    <mergeCell ref="LUZ33:LVB33"/>
    <mergeCell ref="LVC33:LVE33"/>
    <mergeCell ref="LVF33:LVH33"/>
    <mergeCell ref="LVI33:LVK33"/>
    <mergeCell ref="LVL33:LVN33"/>
    <mergeCell ref="LUK33:LUM33"/>
    <mergeCell ref="LUN33:LUP33"/>
    <mergeCell ref="LUQ33:LUS33"/>
    <mergeCell ref="LUT33:LUV33"/>
    <mergeCell ref="LUW33:LUY33"/>
    <mergeCell ref="LTV33:LTX33"/>
    <mergeCell ref="LTY33:LUA33"/>
    <mergeCell ref="LUB33:LUD33"/>
    <mergeCell ref="LUE33:LUG33"/>
    <mergeCell ref="LUH33:LUJ33"/>
    <mergeCell ref="LTG33:LTI33"/>
    <mergeCell ref="LTJ33:LTL33"/>
    <mergeCell ref="LTM33:LTO33"/>
    <mergeCell ref="LTP33:LTR33"/>
    <mergeCell ref="LTS33:LTU33"/>
    <mergeCell ref="LSR33:LST33"/>
    <mergeCell ref="LSU33:LSW33"/>
    <mergeCell ref="LSX33:LSZ33"/>
    <mergeCell ref="LTA33:LTC33"/>
    <mergeCell ref="LTD33:LTF33"/>
    <mergeCell ref="LSC33:LSE33"/>
    <mergeCell ref="LSF33:LSH33"/>
    <mergeCell ref="LSI33:LSK33"/>
    <mergeCell ref="LSL33:LSN33"/>
    <mergeCell ref="LSO33:LSQ33"/>
    <mergeCell ref="LZP33:LZR33"/>
    <mergeCell ref="LZS33:LZU33"/>
    <mergeCell ref="LZV33:LZX33"/>
    <mergeCell ref="LZY33:MAA33"/>
    <mergeCell ref="MAB33:MAD33"/>
    <mergeCell ref="LZA33:LZC33"/>
    <mergeCell ref="LZD33:LZF33"/>
    <mergeCell ref="LZG33:LZI33"/>
    <mergeCell ref="LZJ33:LZL33"/>
    <mergeCell ref="LZM33:LZO33"/>
    <mergeCell ref="LYL33:LYN33"/>
    <mergeCell ref="LYO33:LYQ33"/>
    <mergeCell ref="LYR33:LYT33"/>
    <mergeCell ref="LYU33:LYW33"/>
    <mergeCell ref="LYX33:LYZ33"/>
    <mergeCell ref="LXW33:LXY33"/>
    <mergeCell ref="LXZ33:LYB33"/>
    <mergeCell ref="LYC33:LYE33"/>
    <mergeCell ref="LYF33:LYH33"/>
    <mergeCell ref="LYI33:LYK33"/>
    <mergeCell ref="LXH33:LXJ33"/>
    <mergeCell ref="LXK33:LXM33"/>
    <mergeCell ref="LXN33:LXP33"/>
    <mergeCell ref="LXQ33:LXS33"/>
    <mergeCell ref="LXT33:LXV33"/>
    <mergeCell ref="LWS33:LWU33"/>
    <mergeCell ref="LWV33:LWX33"/>
    <mergeCell ref="LWY33:LXA33"/>
    <mergeCell ref="LXB33:LXD33"/>
    <mergeCell ref="LXE33:LXG33"/>
    <mergeCell ref="LWD33:LWF33"/>
    <mergeCell ref="LWG33:LWI33"/>
    <mergeCell ref="LWJ33:LWL33"/>
    <mergeCell ref="LWM33:LWO33"/>
    <mergeCell ref="LWP33:LWR33"/>
    <mergeCell ref="MDQ33:MDS33"/>
    <mergeCell ref="MDT33:MDV33"/>
    <mergeCell ref="MDW33:MDY33"/>
    <mergeCell ref="MDZ33:MEB33"/>
    <mergeCell ref="MEC33:MEE33"/>
    <mergeCell ref="MDB33:MDD33"/>
    <mergeCell ref="MDE33:MDG33"/>
    <mergeCell ref="MDH33:MDJ33"/>
    <mergeCell ref="MDK33:MDM33"/>
    <mergeCell ref="MDN33:MDP33"/>
    <mergeCell ref="MCM33:MCO33"/>
    <mergeCell ref="MCP33:MCR33"/>
    <mergeCell ref="MCS33:MCU33"/>
    <mergeCell ref="MCV33:MCX33"/>
    <mergeCell ref="MCY33:MDA33"/>
    <mergeCell ref="MBX33:MBZ33"/>
    <mergeCell ref="MCA33:MCC33"/>
    <mergeCell ref="MCD33:MCF33"/>
    <mergeCell ref="MCG33:MCI33"/>
    <mergeCell ref="MCJ33:MCL33"/>
    <mergeCell ref="MBI33:MBK33"/>
    <mergeCell ref="MBL33:MBN33"/>
    <mergeCell ref="MBO33:MBQ33"/>
    <mergeCell ref="MBR33:MBT33"/>
    <mergeCell ref="MBU33:MBW33"/>
    <mergeCell ref="MAT33:MAV33"/>
    <mergeCell ref="MAW33:MAY33"/>
    <mergeCell ref="MAZ33:MBB33"/>
    <mergeCell ref="MBC33:MBE33"/>
    <mergeCell ref="MBF33:MBH33"/>
    <mergeCell ref="MAE33:MAG33"/>
    <mergeCell ref="MAH33:MAJ33"/>
    <mergeCell ref="MAK33:MAM33"/>
    <mergeCell ref="MAN33:MAP33"/>
    <mergeCell ref="MAQ33:MAS33"/>
    <mergeCell ref="MHR33:MHT33"/>
    <mergeCell ref="MHU33:MHW33"/>
    <mergeCell ref="MHX33:MHZ33"/>
    <mergeCell ref="MIA33:MIC33"/>
    <mergeCell ref="MID33:MIF33"/>
    <mergeCell ref="MHC33:MHE33"/>
    <mergeCell ref="MHF33:MHH33"/>
    <mergeCell ref="MHI33:MHK33"/>
    <mergeCell ref="MHL33:MHN33"/>
    <mergeCell ref="MHO33:MHQ33"/>
    <mergeCell ref="MGN33:MGP33"/>
    <mergeCell ref="MGQ33:MGS33"/>
    <mergeCell ref="MGT33:MGV33"/>
    <mergeCell ref="MGW33:MGY33"/>
    <mergeCell ref="MGZ33:MHB33"/>
    <mergeCell ref="MFY33:MGA33"/>
    <mergeCell ref="MGB33:MGD33"/>
    <mergeCell ref="MGE33:MGG33"/>
    <mergeCell ref="MGH33:MGJ33"/>
    <mergeCell ref="MGK33:MGM33"/>
    <mergeCell ref="MFJ33:MFL33"/>
    <mergeCell ref="MFM33:MFO33"/>
    <mergeCell ref="MFP33:MFR33"/>
    <mergeCell ref="MFS33:MFU33"/>
    <mergeCell ref="MFV33:MFX33"/>
    <mergeCell ref="MEU33:MEW33"/>
    <mergeCell ref="MEX33:MEZ33"/>
    <mergeCell ref="MFA33:MFC33"/>
    <mergeCell ref="MFD33:MFF33"/>
    <mergeCell ref="MFG33:MFI33"/>
    <mergeCell ref="MEF33:MEH33"/>
    <mergeCell ref="MEI33:MEK33"/>
    <mergeCell ref="MEL33:MEN33"/>
    <mergeCell ref="MEO33:MEQ33"/>
    <mergeCell ref="MER33:MET33"/>
    <mergeCell ref="MLS33:MLU33"/>
    <mergeCell ref="MLV33:MLX33"/>
    <mergeCell ref="MLY33:MMA33"/>
    <mergeCell ref="MMB33:MMD33"/>
    <mergeCell ref="MME33:MMG33"/>
    <mergeCell ref="MLD33:MLF33"/>
    <mergeCell ref="MLG33:MLI33"/>
    <mergeCell ref="MLJ33:MLL33"/>
    <mergeCell ref="MLM33:MLO33"/>
    <mergeCell ref="MLP33:MLR33"/>
    <mergeCell ref="MKO33:MKQ33"/>
    <mergeCell ref="MKR33:MKT33"/>
    <mergeCell ref="MKU33:MKW33"/>
    <mergeCell ref="MKX33:MKZ33"/>
    <mergeCell ref="MLA33:MLC33"/>
    <mergeCell ref="MJZ33:MKB33"/>
    <mergeCell ref="MKC33:MKE33"/>
    <mergeCell ref="MKF33:MKH33"/>
    <mergeCell ref="MKI33:MKK33"/>
    <mergeCell ref="MKL33:MKN33"/>
    <mergeCell ref="MJK33:MJM33"/>
    <mergeCell ref="MJN33:MJP33"/>
    <mergeCell ref="MJQ33:MJS33"/>
    <mergeCell ref="MJT33:MJV33"/>
    <mergeCell ref="MJW33:MJY33"/>
    <mergeCell ref="MIV33:MIX33"/>
    <mergeCell ref="MIY33:MJA33"/>
    <mergeCell ref="MJB33:MJD33"/>
    <mergeCell ref="MJE33:MJG33"/>
    <mergeCell ref="MJH33:MJJ33"/>
    <mergeCell ref="MIG33:MII33"/>
    <mergeCell ref="MIJ33:MIL33"/>
    <mergeCell ref="MIM33:MIO33"/>
    <mergeCell ref="MIP33:MIR33"/>
    <mergeCell ref="MIS33:MIU33"/>
    <mergeCell ref="MPT33:MPV33"/>
    <mergeCell ref="MPW33:MPY33"/>
    <mergeCell ref="MPZ33:MQB33"/>
    <mergeCell ref="MQC33:MQE33"/>
    <mergeCell ref="MQF33:MQH33"/>
    <mergeCell ref="MPE33:MPG33"/>
    <mergeCell ref="MPH33:MPJ33"/>
    <mergeCell ref="MPK33:MPM33"/>
    <mergeCell ref="MPN33:MPP33"/>
    <mergeCell ref="MPQ33:MPS33"/>
    <mergeCell ref="MOP33:MOR33"/>
    <mergeCell ref="MOS33:MOU33"/>
    <mergeCell ref="MOV33:MOX33"/>
    <mergeCell ref="MOY33:MPA33"/>
    <mergeCell ref="MPB33:MPD33"/>
    <mergeCell ref="MOA33:MOC33"/>
    <mergeCell ref="MOD33:MOF33"/>
    <mergeCell ref="MOG33:MOI33"/>
    <mergeCell ref="MOJ33:MOL33"/>
    <mergeCell ref="MOM33:MOO33"/>
    <mergeCell ref="MNL33:MNN33"/>
    <mergeCell ref="MNO33:MNQ33"/>
    <mergeCell ref="MNR33:MNT33"/>
    <mergeCell ref="MNU33:MNW33"/>
    <mergeCell ref="MNX33:MNZ33"/>
    <mergeCell ref="MMW33:MMY33"/>
    <mergeCell ref="MMZ33:MNB33"/>
    <mergeCell ref="MNC33:MNE33"/>
    <mergeCell ref="MNF33:MNH33"/>
    <mergeCell ref="MNI33:MNK33"/>
    <mergeCell ref="MMH33:MMJ33"/>
    <mergeCell ref="MMK33:MMM33"/>
    <mergeCell ref="MMN33:MMP33"/>
    <mergeCell ref="MMQ33:MMS33"/>
    <mergeCell ref="MMT33:MMV33"/>
    <mergeCell ref="MTU33:MTW33"/>
    <mergeCell ref="MTX33:MTZ33"/>
    <mergeCell ref="MUA33:MUC33"/>
    <mergeCell ref="MUD33:MUF33"/>
    <mergeCell ref="MUG33:MUI33"/>
    <mergeCell ref="MTF33:MTH33"/>
    <mergeCell ref="MTI33:MTK33"/>
    <mergeCell ref="MTL33:MTN33"/>
    <mergeCell ref="MTO33:MTQ33"/>
    <mergeCell ref="MTR33:MTT33"/>
    <mergeCell ref="MSQ33:MSS33"/>
    <mergeCell ref="MST33:MSV33"/>
    <mergeCell ref="MSW33:MSY33"/>
    <mergeCell ref="MSZ33:MTB33"/>
    <mergeCell ref="MTC33:MTE33"/>
    <mergeCell ref="MSB33:MSD33"/>
    <mergeCell ref="MSE33:MSG33"/>
    <mergeCell ref="MSH33:MSJ33"/>
    <mergeCell ref="MSK33:MSM33"/>
    <mergeCell ref="MSN33:MSP33"/>
    <mergeCell ref="MRM33:MRO33"/>
    <mergeCell ref="MRP33:MRR33"/>
    <mergeCell ref="MRS33:MRU33"/>
    <mergeCell ref="MRV33:MRX33"/>
    <mergeCell ref="MRY33:MSA33"/>
    <mergeCell ref="MQX33:MQZ33"/>
    <mergeCell ref="MRA33:MRC33"/>
    <mergeCell ref="MRD33:MRF33"/>
    <mergeCell ref="MRG33:MRI33"/>
    <mergeCell ref="MRJ33:MRL33"/>
    <mergeCell ref="MQI33:MQK33"/>
    <mergeCell ref="MQL33:MQN33"/>
    <mergeCell ref="MQO33:MQQ33"/>
    <mergeCell ref="MQR33:MQT33"/>
    <mergeCell ref="MQU33:MQW33"/>
    <mergeCell ref="MXV33:MXX33"/>
    <mergeCell ref="MXY33:MYA33"/>
    <mergeCell ref="MYB33:MYD33"/>
    <mergeCell ref="MYE33:MYG33"/>
    <mergeCell ref="MYH33:MYJ33"/>
    <mergeCell ref="MXG33:MXI33"/>
    <mergeCell ref="MXJ33:MXL33"/>
    <mergeCell ref="MXM33:MXO33"/>
    <mergeCell ref="MXP33:MXR33"/>
    <mergeCell ref="MXS33:MXU33"/>
    <mergeCell ref="MWR33:MWT33"/>
    <mergeCell ref="MWU33:MWW33"/>
    <mergeCell ref="MWX33:MWZ33"/>
    <mergeCell ref="MXA33:MXC33"/>
    <mergeCell ref="MXD33:MXF33"/>
    <mergeCell ref="MWC33:MWE33"/>
    <mergeCell ref="MWF33:MWH33"/>
    <mergeCell ref="MWI33:MWK33"/>
    <mergeCell ref="MWL33:MWN33"/>
    <mergeCell ref="MWO33:MWQ33"/>
    <mergeCell ref="MVN33:MVP33"/>
    <mergeCell ref="MVQ33:MVS33"/>
    <mergeCell ref="MVT33:MVV33"/>
    <mergeCell ref="MVW33:MVY33"/>
    <mergeCell ref="MVZ33:MWB33"/>
    <mergeCell ref="MUY33:MVA33"/>
    <mergeCell ref="MVB33:MVD33"/>
    <mergeCell ref="MVE33:MVG33"/>
    <mergeCell ref="MVH33:MVJ33"/>
    <mergeCell ref="MVK33:MVM33"/>
    <mergeCell ref="MUJ33:MUL33"/>
    <mergeCell ref="MUM33:MUO33"/>
    <mergeCell ref="MUP33:MUR33"/>
    <mergeCell ref="MUS33:MUU33"/>
    <mergeCell ref="MUV33:MUX33"/>
    <mergeCell ref="NBW33:NBY33"/>
    <mergeCell ref="NBZ33:NCB33"/>
    <mergeCell ref="NCC33:NCE33"/>
    <mergeCell ref="NCF33:NCH33"/>
    <mergeCell ref="NCI33:NCK33"/>
    <mergeCell ref="NBH33:NBJ33"/>
    <mergeCell ref="NBK33:NBM33"/>
    <mergeCell ref="NBN33:NBP33"/>
    <mergeCell ref="NBQ33:NBS33"/>
    <mergeCell ref="NBT33:NBV33"/>
    <mergeCell ref="NAS33:NAU33"/>
    <mergeCell ref="NAV33:NAX33"/>
    <mergeCell ref="NAY33:NBA33"/>
    <mergeCell ref="NBB33:NBD33"/>
    <mergeCell ref="NBE33:NBG33"/>
    <mergeCell ref="NAD33:NAF33"/>
    <mergeCell ref="NAG33:NAI33"/>
    <mergeCell ref="NAJ33:NAL33"/>
    <mergeCell ref="NAM33:NAO33"/>
    <mergeCell ref="NAP33:NAR33"/>
    <mergeCell ref="MZO33:MZQ33"/>
    <mergeCell ref="MZR33:MZT33"/>
    <mergeCell ref="MZU33:MZW33"/>
    <mergeCell ref="MZX33:MZZ33"/>
    <mergeCell ref="NAA33:NAC33"/>
    <mergeCell ref="MYZ33:MZB33"/>
    <mergeCell ref="MZC33:MZE33"/>
    <mergeCell ref="MZF33:MZH33"/>
    <mergeCell ref="MZI33:MZK33"/>
    <mergeCell ref="MZL33:MZN33"/>
    <mergeCell ref="MYK33:MYM33"/>
    <mergeCell ref="MYN33:MYP33"/>
    <mergeCell ref="MYQ33:MYS33"/>
    <mergeCell ref="MYT33:MYV33"/>
    <mergeCell ref="MYW33:MYY33"/>
    <mergeCell ref="NFX33:NFZ33"/>
    <mergeCell ref="NGA33:NGC33"/>
    <mergeCell ref="NGD33:NGF33"/>
    <mergeCell ref="NGG33:NGI33"/>
    <mergeCell ref="NGJ33:NGL33"/>
    <mergeCell ref="NFI33:NFK33"/>
    <mergeCell ref="NFL33:NFN33"/>
    <mergeCell ref="NFO33:NFQ33"/>
    <mergeCell ref="NFR33:NFT33"/>
    <mergeCell ref="NFU33:NFW33"/>
    <mergeCell ref="NET33:NEV33"/>
    <mergeCell ref="NEW33:NEY33"/>
    <mergeCell ref="NEZ33:NFB33"/>
    <mergeCell ref="NFC33:NFE33"/>
    <mergeCell ref="NFF33:NFH33"/>
    <mergeCell ref="NEE33:NEG33"/>
    <mergeCell ref="NEH33:NEJ33"/>
    <mergeCell ref="NEK33:NEM33"/>
    <mergeCell ref="NEN33:NEP33"/>
    <mergeCell ref="NEQ33:NES33"/>
    <mergeCell ref="NDP33:NDR33"/>
    <mergeCell ref="NDS33:NDU33"/>
    <mergeCell ref="NDV33:NDX33"/>
    <mergeCell ref="NDY33:NEA33"/>
    <mergeCell ref="NEB33:NED33"/>
    <mergeCell ref="NDA33:NDC33"/>
    <mergeCell ref="NDD33:NDF33"/>
    <mergeCell ref="NDG33:NDI33"/>
    <mergeCell ref="NDJ33:NDL33"/>
    <mergeCell ref="NDM33:NDO33"/>
    <mergeCell ref="NCL33:NCN33"/>
    <mergeCell ref="NCO33:NCQ33"/>
    <mergeCell ref="NCR33:NCT33"/>
    <mergeCell ref="NCU33:NCW33"/>
    <mergeCell ref="NCX33:NCZ33"/>
    <mergeCell ref="NJY33:NKA33"/>
    <mergeCell ref="NKB33:NKD33"/>
    <mergeCell ref="NKE33:NKG33"/>
    <mergeCell ref="NKH33:NKJ33"/>
    <mergeCell ref="NKK33:NKM33"/>
    <mergeCell ref="NJJ33:NJL33"/>
    <mergeCell ref="NJM33:NJO33"/>
    <mergeCell ref="NJP33:NJR33"/>
    <mergeCell ref="NJS33:NJU33"/>
    <mergeCell ref="NJV33:NJX33"/>
    <mergeCell ref="NIU33:NIW33"/>
    <mergeCell ref="NIX33:NIZ33"/>
    <mergeCell ref="NJA33:NJC33"/>
    <mergeCell ref="NJD33:NJF33"/>
    <mergeCell ref="NJG33:NJI33"/>
    <mergeCell ref="NIF33:NIH33"/>
    <mergeCell ref="NII33:NIK33"/>
    <mergeCell ref="NIL33:NIN33"/>
    <mergeCell ref="NIO33:NIQ33"/>
    <mergeCell ref="NIR33:NIT33"/>
    <mergeCell ref="NHQ33:NHS33"/>
    <mergeCell ref="NHT33:NHV33"/>
    <mergeCell ref="NHW33:NHY33"/>
    <mergeCell ref="NHZ33:NIB33"/>
    <mergeCell ref="NIC33:NIE33"/>
    <mergeCell ref="NHB33:NHD33"/>
    <mergeCell ref="NHE33:NHG33"/>
    <mergeCell ref="NHH33:NHJ33"/>
    <mergeCell ref="NHK33:NHM33"/>
    <mergeCell ref="NHN33:NHP33"/>
    <mergeCell ref="NGM33:NGO33"/>
    <mergeCell ref="NGP33:NGR33"/>
    <mergeCell ref="NGS33:NGU33"/>
    <mergeCell ref="NGV33:NGX33"/>
    <mergeCell ref="NGY33:NHA33"/>
    <mergeCell ref="NNZ33:NOB33"/>
    <mergeCell ref="NOC33:NOE33"/>
    <mergeCell ref="NOF33:NOH33"/>
    <mergeCell ref="NOI33:NOK33"/>
    <mergeCell ref="NOL33:NON33"/>
    <mergeCell ref="NNK33:NNM33"/>
    <mergeCell ref="NNN33:NNP33"/>
    <mergeCell ref="NNQ33:NNS33"/>
    <mergeCell ref="NNT33:NNV33"/>
    <mergeCell ref="NNW33:NNY33"/>
    <mergeCell ref="NMV33:NMX33"/>
    <mergeCell ref="NMY33:NNA33"/>
    <mergeCell ref="NNB33:NND33"/>
    <mergeCell ref="NNE33:NNG33"/>
    <mergeCell ref="NNH33:NNJ33"/>
    <mergeCell ref="NMG33:NMI33"/>
    <mergeCell ref="NMJ33:NML33"/>
    <mergeCell ref="NMM33:NMO33"/>
    <mergeCell ref="NMP33:NMR33"/>
    <mergeCell ref="NMS33:NMU33"/>
    <mergeCell ref="NLR33:NLT33"/>
    <mergeCell ref="NLU33:NLW33"/>
    <mergeCell ref="NLX33:NLZ33"/>
    <mergeCell ref="NMA33:NMC33"/>
    <mergeCell ref="NMD33:NMF33"/>
    <mergeCell ref="NLC33:NLE33"/>
    <mergeCell ref="NLF33:NLH33"/>
    <mergeCell ref="NLI33:NLK33"/>
    <mergeCell ref="NLL33:NLN33"/>
    <mergeCell ref="NLO33:NLQ33"/>
    <mergeCell ref="NKN33:NKP33"/>
    <mergeCell ref="NKQ33:NKS33"/>
    <mergeCell ref="NKT33:NKV33"/>
    <mergeCell ref="NKW33:NKY33"/>
    <mergeCell ref="NKZ33:NLB33"/>
    <mergeCell ref="NSA33:NSC33"/>
    <mergeCell ref="NSD33:NSF33"/>
    <mergeCell ref="NSG33:NSI33"/>
    <mergeCell ref="NSJ33:NSL33"/>
    <mergeCell ref="NSM33:NSO33"/>
    <mergeCell ref="NRL33:NRN33"/>
    <mergeCell ref="NRO33:NRQ33"/>
    <mergeCell ref="NRR33:NRT33"/>
    <mergeCell ref="NRU33:NRW33"/>
    <mergeCell ref="NRX33:NRZ33"/>
    <mergeCell ref="NQW33:NQY33"/>
    <mergeCell ref="NQZ33:NRB33"/>
    <mergeCell ref="NRC33:NRE33"/>
    <mergeCell ref="NRF33:NRH33"/>
    <mergeCell ref="NRI33:NRK33"/>
    <mergeCell ref="NQH33:NQJ33"/>
    <mergeCell ref="NQK33:NQM33"/>
    <mergeCell ref="NQN33:NQP33"/>
    <mergeCell ref="NQQ33:NQS33"/>
    <mergeCell ref="NQT33:NQV33"/>
    <mergeCell ref="NPS33:NPU33"/>
    <mergeCell ref="NPV33:NPX33"/>
    <mergeCell ref="NPY33:NQA33"/>
    <mergeCell ref="NQB33:NQD33"/>
    <mergeCell ref="NQE33:NQG33"/>
    <mergeCell ref="NPD33:NPF33"/>
    <mergeCell ref="NPG33:NPI33"/>
    <mergeCell ref="NPJ33:NPL33"/>
    <mergeCell ref="NPM33:NPO33"/>
    <mergeCell ref="NPP33:NPR33"/>
    <mergeCell ref="NOO33:NOQ33"/>
    <mergeCell ref="NOR33:NOT33"/>
    <mergeCell ref="NOU33:NOW33"/>
    <mergeCell ref="NOX33:NOZ33"/>
    <mergeCell ref="NPA33:NPC33"/>
    <mergeCell ref="NWB33:NWD33"/>
    <mergeCell ref="NWE33:NWG33"/>
    <mergeCell ref="NWH33:NWJ33"/>
    <mergeCell ref="NWK33:NWM33"/>
    <mergeCell ref="NWN33:NWP33"/>
    <mergeCell ref="NVM33:NVO33"/>
    <mergeCell ref="NVP33:NVR33"/>
    <mergeCell ref="NVS33:NVU33"/>
    <mergeCell ref="NVV33:NVX33"/>
    <mergeCell ref="NVY33:NWA33"/>
    <mergeCell ref="NUX33:NUZ33"/>
    <mergeCell ref="NVA33:NVC33"/>
    <mergeCell ref="NVD33:NVF33"/>
    <mergeCell ref="NVG33:NVI33"/>
    <mergeCell ref="NVJ33:NVL33"/>
    <mergeCell ref="NUI33:NUK33"/>
    <mergeCell ref="NUL33:NUN33"/>
    <mergeCell ref="NUO33:NUQ33"/>
    <mergeCell ref="NUR33:NUT33"/>
    <mergeCell ref="NUU33:NUW33"/>
    <mergeCell ref="NTT33:NTV33"/>
    <mergeCell ref="NTW33:NTY33"/>
    <mergeCell ref="NTZ33:NUB33"/>
    <mergeCell ref="NUC33:NUE33"/>
    <mergeCell ref="NUF33:NUH33"/>
    <mergeCell ref="NTE33:NTG33"/>
    <mergeCell ref="NTH33:NTJ33"/>
    <mergeCell ref="NTK33:NTM33"/>
    <mergeCell ref="NTN33:NTP33"/>
    <mergeCell ref="NTQ33:NTS33"/>
    <mergeCell ref="NSP33:NSR33"/>
    <mergeCell ref="NSS33:NSU33"/>
    <mergeCell ref="NSV33:NSX33"/>
    <mergeCell ref="NSY33:NTA33"/>
    <mergeCell ref="NTB33:NTD33"/>
    <mergeCell ref="OAC33:OAE33"/>
    <mergeCell ref="OAF33:OAH33"/>
    <mergeCell ref="OAI33:OAK33"/>
    <mergeCell ref="OAL33:OAN33"/>
    <mergeCell ref="OAO33:OAQ33"/>
    <mergeCell ref="NZN33:NZP33"/>
    <mergeCell ref="NZQ33:NZS33"/>
    <mergeCell ref="NZT33:NZV33"/>
    <mergeCell ref="NZW33:NZY33"/>
    <mergeCell ref="NZZ33:OAB33"/>
    <mergeCell ref="NYY33:NZA33"/>
    <mergeCell ref="NZB33:NZD33"/>
    <mergeCell ref="NZE33:NZG33"/>
    <mergeCell ref="NZH33:NZJ33"/>
    <mergeCell ref="NZK33:NZM33"/>
    <mergeCell ref="NYJ33:NYL33"/>
    <mergeCell ref="NYM33:NYO33"/>
    <mergeCell ref="NYP33:NYR33"/>
    <mergeCell ref="NYS33:NYU33"/>
    <mergeCell ref="NYV33:NYX33"/>
    <mergeCell ref="NXU33:NXW33"/>
    <mergeCell ref="NXX33:NXZ33"/>
    <mergeCell ref="NYA33:NYC33"/>
    <mergeCell ref="NYD33:NYF33"/>
    <mergeCell ref="NYG33:NYI33"/>
    <mergeCell ref="NXF33:NXH33"/>
    <mergeCell ref="NXI33:NXK33"/>
    <mergeCell ref="NXL33:NXN33"/>
    <mergeCell ref="NXO33:NXQ33"/>
    <mergeCell ref="NXR33:NXT33"/>
    <mergeCell ref="NWQ33:NWS33"/>
    <mergeCell ref="NWT33:NWV33"/>
    <mergeCell ref="NWW33:NWY33"/>
    <mergeCell ref="NWZ33:NXB33"/>
    <mergeCell ref="NXC33:NXE33"/>
    <mergeCell ref="OED33:OEF33"/>
    <mergeCell ref="OEG33:OEI33"/>
    <mergeCell ref="OEJ33:OEL33"/>
    <mergeCell ref="OEM33:OEO33"/>
    <mergeCell ref="OEP33:OER33"/>
    <mergeCell ref="ODO33:ODQ33"/>
    <mergeCell ref="ODR33:ODT33"/>
    <mergeCell ref="ODU33:ODW33"/>
    <mergeCell ref="ODX33:ODZ33"/>
    <mergeCell ref="OEA33:OEC33"/>
    <mergeCell ref="OCZ33:ODB33"/>
    <mergeCell ref="ODC33:ODE33"/>
    <mergeCell ref="ODF33:ODH33"/>
    <mergeCell ref="ODI33:ODK33"/>
    <mergeCell ref="ODL33:ODN33"/>
    <mergeCell ref="OCK33:OCM33"/>
    <mergeCell ref="OCN33:OCP33"/>
    <mergeCell ref="OCQ33:OCS33"/>
    <mergeCell ref="OCT33:OCV33"/>
    <mergeCell ref="OCW33:OCY33"/>
    <mergeCell ref="OBV33:OBX33"/>
    <mergeCell ref="OBY33:OCA33"/>
    <mergeCell ref="OCB33:OCD33"/>
    <mergeCell ref="OCE33:OCG33"/>
    <mergeCell ref="OCH33:OCJ33"/>
    <mergeCell ref="OBG33:OBI33"/>
    <mergeCell ref="OBJ33:OBL33"/>
    <mergeCell ref="OBM33:OBO33"/>
    <mergeCell ref="OBP33:OBR33"/>
    <mergeCell ref="OBS33:OBU33"/>
    <mergeCell ref="OAR33:OAT33"/>
    <mergeCell ref="OAU33:OAW33"/>
    <mergeCell ref="OAX33:OAZ33"/>
    <mergeCell ref="OBA33:OBC33"/>
    <mergeCell ref="OBD33:OBF33"/>
    <mergeCell ref="OIE33:OIG33"/>
    <mergeCell ref="OIH33:OIJ33"/>
    <mergeCell ref="OIK33:OIM33"/>
    <mergeCell ref="OIN33:OIP33"/>
    <mergeCell ref="OIQ33:OIS33"/>
    <mergeCell ref="OHP33:OHR33"/>
    <mergeCell ref="OHS33:OHU33"/>
    <mergeCell ref="OHV33:OHX33"/>
    <mergeCell ref="OHY33:OIA33"/>
    <mergeCell ref="OIB33:OID33"/>
    <mergeCell ref="OHA33:OHC33"/>
    <mergeCell ref="OHD33:OHF33"/>
    <mergeCell ref="OHG33:OHI33"/>
    <mergeCell ref="OHJ33:OHL33"/>
    <mergeCell ref="OHM33:OHO33"/>
    <mergeCell ref="OGL33:OGN33"/>
    <mergeCell ref="OGO33:OGQ33"/>
    <mergeCell ref="OGR33:OGT33"/>
    <mergeCell ref="OGU33:OGW33"/>
    <mergeCell ref="OGX33:OGZ33"/>
    <mergeCell ref="OFW33:OFY33"/>
    <mergeCell ref="OFZ33:OGB33"/>
    <mergeCell ref="OGC33:OGE33"/>
    <mergeCell ref="OGF33:OGH33"/>
    <mergeCell ref="OGI33:OGK33"/>
    <mergeCell ref="OFH33:OFJ33"/>
    <mergeCell ref="OFK33:OFM33"/>
    <mergeCell ref="OFN33:OFP33"/>
    <mergeCell ref="OFQ33:OFS33"/>
    <mergeCell ref="OFT33:OFV33"/>
    <mergeCell ref="OES33:OEU33"/>
    <mergeCell ref="OEV33:OEX33"/>
    <mergeCell ref="OEY33:OFA33"/>
    <mergeCell ref="OFB33:OFD33"/>
    <mergeCell ref="OFE33:OFG33"/>
    <mergeCell ref="OMF33:OMH33"/>
    <mergeCell ref="OMI33:OMK33"/>
    <mergeCell ref="OML33:OMN33"/>
    <mergeCell ref="OMO33:OMQ33"/>
    <mergeCell ref="OMR33:OMT33"/>
    <mergeCell ref="OLQ33:OLS33"/>
    <mergeCell ref="OLT33:OLV33"/>
    <mergeCell ref="OLW33:OLY33"/>
    <mergeCell ref="OLZ33:OMB33"/>
    <mergeCell ref="OMC33:OME33"/>
    <mergeCell ref="OLB33:OLD33"/>
    <mergeCell ref="OLE33:OLG33"/>
    <mergeCell ref="OLH33:OLJ33"/>
    <mergeCell ref="OLK33:OLM33"/>
    <mergeCell ref="OLN33:OLP33"/>
    <mergeCell ref="OKM33:OKO33"/>
    <mergeCell ref="OKP33:OKR33"/>
    <mergeCell ref="OKS33:OKU33"/>
    <mergeCell ref="OKV33:OKX33"/>
    <mergeCell ref="OKY33:OLA33"/>
    <mergeCell ref="OJX33:OJZ33"/>
    <mergeCell ref="OKA33:OKC33"/>
    <mergeCell ref="OKD33:OKF33"/>
    <mergeCell ref="OKG33:OKI33"/>
    <mergeCell ref="OKJ33:OKL33"/>
    <mergeCell ref="OJI33:OJK33"/>
    <mergeCell ref="OJL33:OJN33"/>
    <mergeCell ref="OJO33:OJQ33"/>
    <mergeCell ref="OJR33:OJT33"/>
    <mergeCell ref="OJU33:OJW33"/>
    <mergeCell ref="OIT33:OIV33"/>
    <mergeCell ref="OIW33:OIY33"/>
    <mergeCell ref="OIZ33:OJB33"/>
    <mergeCell ref="OJC33:OJE33"/>
    <mergeCell ref="OJF33:OJH33"/>
    <mergeCell ref="OQG33:OQI33"/>
    <mergeCell ref="OQJ33:OQL33"/>
    <mergeCell ref="OQM33:OQO33"/>
    <mergeCell ref="OQP33:OQR33"/>
    <mergeCell ref="OQS33:OQU33"/>
    <mergeCell ref="OPR33:OPT33"/>
    <mergeCell ref="OPU33:OPW33"/>
    <mergeCell ref="OPX33:OPZ33"/>
    <mergeCell ref="OQA33:OQC33"/>
    <mergeCell ref="OQD33:OQF33"/>
    <mergeCell ref="OPC33:OPE33"/>
    <mergeCell ref="OPF33:OPH33"/>
    <mergeCell ref="OPI33:OPK33"/>
    <mergeCell ref="OPL33:OPN33"/>
    <mergeCell ref="OPO33:OPQ33"/>
    <mergeCell ref="OON33:OOP33"/>
    <mergeCell ref="OOQ33:OOS33"/>
    <mergeCell ref="OOT33:OOV33"/>
    <mergeCell ref="OOW33:OOY33"/>
    <mergeCell ref="OOZ33:OPB33"/>
    <mergeCell ref="ONY33:OOA33"/>
    <mergeCell ref="OOB33:OOD33"/>
    <mergeCell ref="OOE33:OOG33"/>
    <mergeCell ref="OOH33:OOJ33"/>
    <mergeCell ref="OOK33:OOM33"/>
    <mergeCell ref="ONJ33:ONL33"/>
    <mergeCell ref="ONM33:ONO33"/>
    <mergeCell ref="ONP33:ONR33"/>
    <mergeCell ref="ONS33:ONU33"/>
    <mergeCell ref="ONV33:ONX33"/>
    <mergeCell ref="OMU33:OMW33"/>
    <mergeCell ref="OMX33:OMZ33"/>
    <mergeCell ref="ONA33:ONC33"/>
    <mergeCell ref="OND33:ONF33"/>
    <mergeCell ref="ONG33:ONI33"/>
    <mergeCell ref="OUH33:OUJ33"/>
    <mergeCell ref="OUK33:OUM33"/>
    <mergeCell ref="OUN33:OUP33"/>
    <mergeCell ref="OUQ33:OUS33"/>
    <mergeCell ref="OUT33:OUV33"/>
    <mergeCell ref="OTS33:OTU33"/>
    <mergeCell ref="OTV33:OTX33"/>
    <mergeCell ref="OTY33:OUA33"/>
    <mergeCell ref="OUB33:OUD33"/>
    <mergeCell ref="OUE33:OUG33"/>
    <mergeCell ref="OTD33:OTF33"/>
    <mergeCell ref="OTG33:OTI33"/>
    <mergeCell ref="OTJ33:OTL33"/>
    <mergeCell ref="OTM33:OTO33"/>
    <mergeCell ref="OTP33:OTR33"/>
    <mergeCell ref="OSO33:OSQ33"/>
    <mergeCell ref="OSR33:OST33"/>
    <mergeCell ref="OSU33:OSW33"/>
    <mergeCell ref="OSX33:OSZ33"/>
    <mergeCell ref="OTA33:OTC33"/>
    <mergeCell ref="ORZ33:OSB33"/>
    <mergeCell ref="OSC33:OSE33"/>
    <mergeCell ref="OSF33:OSH33"/>
    <mergeCell ref="OSI33:OSK33"/>
    <mergeCell ref="OSL33:OSN33"/>
    <mergeCell ref="ORK33:ORM33"/>
    <mergeCell ref="ORN33:ORP33"/>
    <mergeCell ref="ORQ33:ORS33"/>
    <mergeCell ref="ORT33:ORV33"/>
    <mergeCell ref="ORW33:ORY33"/>
    <mergeCell ref="OQV33:OQX33"/>
    <mergeCell ref="OQY33:ORA33"/>
    <mergeCell ref="ORB33:ORD33"/>
    <mergeCell ref="ORE33:ORG33"/>
    <mergeCell ref="ORH33:ORJ33"/>
    <mergeCell ref="OYI33:OYK33"/>
    <mergeCell ref="OYL33:OYN33"/>
    <mergeCell ref="OYO33:OYQ33"/>
    <mergeCell ref="OYR33:OYT33"/>
    <mergeCell ref="OYU33:OYW33"/>
    <mergeCell ref="OXT33:OXV33"/>
    <mergeCell ref="OXW33:OXY33"/>
    <mergeCell ref="OXZ33:OYB33"/>
    <mergeCell ref="OYC33:OYE33"/>
    <mergeCell ref="OYF33:OYH33"/>
    <mergeCell ref="OXE33:OXG33"/>
    <mergeCell ref="OXH33:OXJ33"/>
    <mergeCell ref="OXK33:OXM33"/>
    <mergeCell ref="OXN33:OXP33"/>
    <mergeCell ref="OXQ33:OXS33"/>
    <mergeCell ref="OWP33:OWR33"/>
    <mergeCell ref="OWS33:OWU33"/>
    <mergeCell ref="OWV33:OWX33"/>
    <mergeCell ref="OWY33:OXA33"/>
    <mergeCell ref="OXB33:OXD33"/>
    <mergeCell ref="OWA33:OWC33"/>
    <mergeCell ref="OWD33:OWF33"/>
    <mergeCell ref="OWG33:OWI33"/>
    <mergeCell ref="OWJ33:OWL33"/>
    <mergeCell ref="OWM33:OWO33"/>
    <mergeCell ref="OVL33:OVN33"/>
    <mergeCell ref="OVO33:OVQ33"/>
    <mergeCell ref="OVR33:OVT33"/>
    <mergeCell ref="OVU33:OVW33"/>
    <mergeCell ref="OVX33:OVZ33"/>
    <mergeCell ref="OUW33:OUY33"/>
    <mergeCell ref="OUZ33:OVB33"/>
    <mergeCell ref="OVC33:OVE33"/>
    <mergeCell ref="OVF33:OVH33"/>
    <mergeCell ref="OVI33:OVK33"/>
    <mergeCell ref="PCJ33:PCL33"/>
    <mergeCell ref="PCM33:PCO33"/>
    <mergeCell ref="PCP33:PCR33"/>
    <mergeCell ref="PCS33:PCU33"/>
    <mergeCell ref="PCV33:PCX33"/>
    <mergeCell ref="PBU33:PBW33"/>
    <mergeCell ref="PBX33:PBZ33"/>
    <mergeCell ref="PCA33:PCC33"/>
    <mergeCell ref="PCD33:PCF33"/>
    <mergeCell ref="PCG33:PCI33"/>
    <mergeCell ref="PBF33:PBH33"/>
    <mergeCell ref="PBI33:PBK33"/>
    <mergeCell ref="PBL33:PBN33"/>
    <mergeCell ref="PBO33:PBQ33"/>
    <mergeCell ref="PBR33:PBT33"/>
    <mergeCell ref="PAQ33:PAS33"/>
    <mergeCell ref="PAT33:PAV33"/>
    <mergeCell ref="PAW33:PAY33"/>
    <mergeCell ref="PAZ33:PBB33"/>
    <mergeCell ref="PBC33:PBE33"/>
    <mergeCell ref="PAB33:PAD33"/>
    <mergeCell ref="PAE33:PAG33"/>
    <mergeCell ref="PAH33:PAJ33"/>
    <mergeCell ref="PAK33:PAM33"/>
    <mergeCell ref="PAN33:PAP33"/>
    <mergeCell ref="OZM33:OZO33"/>
    <mergeCell ref="OZP33:OZR33"/>
    <mergeCell ref="OZS33:OZU33"/>
    <mergeCell ref="OZV33:OZX33"/>
    <mergeCell ref="OZY33:PAA33"/>
    <mergeCell ref="OYX33:OYZ33"/>
    <mergeCell ref="OZA33:OZC33"/>
    <mergeCell ref="OZD33:OZF33"/>
    <mergeCell ref="OZG33:OZI33"/>
    <mergeCell ref="OZJ33:OZL33"/>
    <mergeCell ref="PGK33:PGM33"/>
    <mergeCell ref="PGN33:PGP33"/>
    <mergeCell ref="PGQ33:PGS33"/>
    <mergeCell ref="PGT33:PGV33"/>
    <mergeCell ref="PGW33:PGY33"/>
    <mergeCell ref="PFV33:PFX33"/>
    <mergeCell ref="PFY33:PGA33"/>
    <mergeCell ref="PGB33:PGD33"/>
    <mergeCell ref="PGE33:PGG33"/>
    <mergeCell ref="PGH33:PGJ33"/>
    <mergeCell ref="PFG33:PFI33"/>
    <mergeCell ref="PFJ33:PFL33"/>
    <mergeCell ref="PFM33:PFO33"/>
    <mergeCell ref="PFP33:PFR33"/>
    <mergeCell ref="PFS33:PFU33"/>
    <mergeCell ref="PER33:PET33"/>
    <mergeCell ref="PEU33:PEW33"/>
    <mergeCell ref="PEX33:PEZ33"/>
    <mergeCell ref="PFA33:PFC33"/>
    <mergeCell ref="PFD33:PFF33"/>
    <mergeCell ref="PEC33:PEE33"/>
    <mergeCell ref="PEF33:PEH33"/>
    <mergeCell ref="PEI33:PEK33"/>
    <mergeCell ref="PEL33:PEN33"/>
    <mergeCell ref="PEO33:PEQ33"/>
    <mergeCell ref="PDN33:PDP33"/>
    <mergeCell ref="PDQ33:PDS33"/>
    <mergeCell ref="PDT33:PDV33"/>
    <mergeCell ref="PDW33:PDY33"/>
    <mergeCell ref="PDZ33:PEB33"/>
    <mergeCell ref="PCY33:PDA33"/>
    <mergeCell ref="PDB33:PDD33"/>
    <mergeCell ref="PDE33:PDG33"/>
    <mergeCell ref="PDH33:PDJ33"/>
    <mergeCell ref="PDK33:PDM33"/>
    <mergeCell ref="PKL33:PKN33"/>
    <mergeCell ref="PKO33:PKQ33"/>
    <mergeCell ref="PKR33:PKT33"/>
    <mergeCell ref="PKU33:PKW33"/>
    <mergeCell ref="PKX33:PKZ33"/>
    <mergeCell ref="PJW33:PJY33"/>
    <mergeCell ref="PJZ33:PKB33"/>
    <mergeCell ref="PKC33:PKE33"/>
    <mergeCell ref="PKF33:PKH33"/>
    <mergeCell ref="PKI33:PKK33"/>
    <mergeCell ref="PJH33:PJJ33"/>
    <mergeCell ref="PJK33:PJM33"/>
    <mergeCell ref="PJN33:PJP33"/>
    <mergeCell ref="PJQ33:PJS33"/>
    <mergeCell ref="PJT33:PJV33"/>
    <mergeCell ref="PIS33:PIU33"/>
    <mergeCell ref="PIV33:PIX33"/>
    <mergeCell ref="PIY33:PJA33"/>
    <mergeCell ref="PJB33:PJD33"/>
    <mergeCell ref="PJE33:PJG33"/>
    <mergeCell ref="PID33:PIF33"/>
    <mergeCell ref="PIG33:PII33"/>
    <mergeCell ref="PIJ33:PIL33"/>
    <mergeCell ref="PIM33:PIO33"/>
    <mergeCell ref="PIP33:PIR33"/>
    <mergeCell ref="PHO33:PHQ33"/>
    <mergeCell ref="PHR33:PHT33"/>
    <mergeCell ref="PHU33:PHW33"/>
    <mergeCell ref="PHX33:PHZ33"/>
    <mergeCell ref="PIA33:PIC33"/>
    <mergeCell ref="PGZ33:PHB33"/>
    <mergeCell ref="PHC33:PHE33"/>
    <mergeCell ref="PHF33:PHH33"/>
    <mergeCell ref="PHI33:PHK33"/>
    <mergeCell ref="PHL33:PHN33"/>
    <mergeCell ref="POM33:POO33"/>
    <mergeCell ref="POP33:POR33"/>
    <mergeCell ref="POS33:POU33"/>
    <mergeCell ref="POV33:POX33"/>
    <mergeCell ref="POY33:PPA33"/>
    <mergeCell ref="PNX33:PNZ33"/>
    <mergeCell ref="POA33:POC33"/>
    <mergeCell ref="POD33:POF33"/>
    <mergeCell ref="POG33:POI33"/>
    <mergeCell ref="POJ33:POL33"/>
    <mergeCell ref="PNI33:PNK33"/>
    <mergeCell ref="PNL33:PNN33"/>
    <mergeCell ref="PNO33:PNQ33"/>
    <mergeCell ref="PNR33:PNT33"/>
    <mergeCell ref="PNU33:PNW33"/>
    <mergeCell ref="PMT33:PMV33"/>
    <mergeCell ref="PMW33:PMY33"/>
    <mergeCell ref="PMZ33:PNB33"/>
    <mergeCell ref="PNC33:PNE33"/>
    <mergeCell ref="PNF33:PNH33"/>
    <mergeCell ref="PME33:PMG33"/>
    <mergeCell ref="PMH33:PMJ33"/>
    <mergeCell ref="PMK33:PMM33"/>
    <mergeCell ref="PMN33:PMP33"/>
    <mergeCell ref="PMQ33:PMS33"/>
    <mergeCell ref="PLP33:PLR33"/>
    <mergeCell ref="PLS33:PLU33"/>
    <mergeCell ref="PLV33:PLX33"/>
    <mergeCell ref="PLY33:PMA33"/>
    <mergeCell ref="PMB33:PMD33"/>
    <mergeCell ref="PLA33:PLC33"/>
    <mergeCell ref="PLD33:PLF33"/>
    <mergeCell ref="PLG33:PLI33"/>
    <mergeCell ref="PLJ33:PLL33"/>
    <mergeCell ref="PLM33:PLO33"/>
    <mergeCell ref="PSN33:PSP33"/>
    <mergeCell ref="PSQ33:PSS33"/>
    <mergeCell ref="PST33:PSV33"/>
    <mergeCell ref="PSW33:PSY33"/>
    <mergeCell ref="PSZ33:PTB33"/>
    <mergeCell ref="PRY33:PSA33"/>
    <mergeCell ref="PSB33:PSD33"/>
    <mergeCell ref="PSE33:PSG33"/>
    <mergeCell ref="PSH33:PSJ33"/>
    <mergeCell ref="PSK33:PSM33"/>
    <mergeCell ref="PRJ33:PRL33"/>
    <mergeCell ref="PRM33:PRO33"/>
    <mergeCell ref="PRP33:PRR33"/>
    <mergeCell ref="PRS33:PRU33"/>
    <mergeCell ref="PRV33:PRX33"/>
    <mergeCell ref="PQU33:PQW33"/>
    <mergeCell ref="PQX33:PQZ33"/>
    <mergeCell ref="PRA33:PRC33"/>
    <mergeCell ref="PRD33:PRF33"/>
    <mergeCell ref="PRG33:PRI33"/>
    <mergeCell ref="PQF33:PQH33"/>
    <mergeCell ref="PQI33:PQK33"/>
    <mergeCell ref="PQL33:PQN33"/>
    <mergeCell ref="PQO33:PQQ33"/>
    <mergeCell ref="PQR33:PQT33"/>
    <mergeCell ref="PPQ33:PPS33"/>
    <mergeCell ref="PPT33:PPV33"/>
    <mergeCell ref="PPW33:PPY33"/>
    <mergeCell ref="PPZ33:PQB33"/>
    <mergeCell ref="PQC33:PQE33"/>
    <mergeCell ref="PPB33:PPD33"/>
    <mergeCell ref="PPE33:PPG33"/>
    <mergeCell ref="PPH33:PPJ33"/>
    <mergeCell ref="PPK33:PPM33"/>
    <mergeCell ref="PPN33:PPP33"/>
    <mergeCell ref="PWO33:PWQ33"/>
    <mergeCell ref="PWR33:PWT33"/>
    <mergeCell ref="PWU33:PWW33"/>
    <mergeCell ref="PWX33:PWZ33"/>
    <mergeCell ref="PXA33:PXC33"/>
    <mergeCell ref="PVZ33:PWB33"/>
    <mergeCell ref="PWC33:PWE33"/>
    <mergeCell ref="PWF33:PWH33"/>
    <mergeCell ref="PWI33:PWK33"/>
    <mergeCell ref="PWL33:PWN33"/>
    <mergeCell ref="PVK33:PVM33"/>
    <mergeCell ref="PVN33:PVP33"/>
    <mergeCell ref="PVQ33:PVS33"/>
    <mergeCell ref="PVT33:PVV33"/>
    <mergeCell ref="PVW33:PVY33"/>
    <mergeCell ref="PUV33:PUX33"/>
    <mergeCell ref="PUY33:PVA33"/>
    <mergeCell ref="PVB33:PVD33"/>
    <mergeCell ref="PVE33:PVG33"/>
    <mergeCell ref="PVH33:PVJ33"/>
    <mergeCell ref="PUG33:PUI33"/>
    <mergeCell ref="PUJ33:PUL33"/>
    <mergeCell ref="PUM33:PUO33"/>
    <mergeCell ref="PUP33:PUR33"/>
    <mergeCell ref="PUS33:PUU33"/>
    <mergeCell ref="PTR33:PTT33"/>
    <mergeCell ref="PTU33:PTW33"/>
    <mergeCell ref="PTX33:PTZ33"/>
    <mergeCell ref="PUA33:PUC33"/>
    <mergeCell ref="PUD33:PUF33"/>
    <mergeCell ref="PTC33:PTE33"/>
    <mergeCell ref="PTF33:PTH33"/>
    <mergeCell ref="PTI33:PTK33"/>
    <mergeCell ref="PTL33:PTN33"/>
    <mergeCell ref="PTO33:PTQ33"/>
    <mergeCell ref="QAP33:QAR33"/>
    <mergeCell ref="QAS33:QAU33"/>
    <mergeCell ref="QAV33:QAX33"/>
    <mergeCell ref="QAY33:QBA33"/>
    <mergeCell ref="QBB33:QBD33"/>
    <mergeCell ref="QAA33:QAC33"/>
    <mergeCell ref="QAD33:QAF33"/>
    <mergeCell ref="QAG33:QAI33"/>
    <mergeCell ref="QAJ33:QAL33"/>
    <mergeCell ref="QAM33:QAO33"/>
    <mergeCell ref="PZL33:PZN33"/>
    <mergeCell ref="PZO33:PZQ33"/>
    <mergeCell ref="PZR33:PZT33"/>
    <mergeCell ref="PZU33:PZW33"/>
    <mergeCell ref="PZX33:PZZ33"/>
    <mergeCell ref="PYW33:PYY33"/>
    <mergeCell ref="PYZ33:PZB33"/>
    <mergeCell ref="PZC33:PZE33"/>
    <mergeCell ref="PZF33:PZH33"/>
    <mergeCell ref="PZI33:PZK33"/>
    <mergeCell ref="PYH33:PYJ33"/>
    <mergeCell ref="PYK33:PYM33"/>
    <mergeCell ref="PYN33:PYP33"/>
    <mergeCell ref="PYQ33:PYS33"/>
    <mergeCell ref="PYT33:PYV33"/>
    <mergeCell ref="PXS33:PXU33"/>
    <mergeCell ref="PXV33:PXX33"/>
    <mergeCell ref="PXY33:PYA33"/>
    <mergeCell ref="PYB33:PYD33"/>
    <mergeCell ref="PYE33:PYG33"/>
    <mergeCell ref="PXD33:PXF33"/>
    <mergeCell ref="PXG33:PXI33"/>
    <mergeCell ref="PXJ33:PXL33"/>
    <mergeCell ref="PXM33:PXO33"/>
    <mergeCell ref="PXP33:PXR33"/>
    <mergeCell ref="QEQ33:QES33"/>
    <mergeCell ref="QET33:QEV33"/>
    <mergeCell ref="QEW33:QEY33"/>
    <mergeCell ref="QEZ33:QFB33"/>
    <mergeCell ref="QFC33:QFE33"/>
    <mergeCell ref="QEB33:QED33"/>
    <mergeCell ref="QEE33:QEG33"/>
    <mergeCell ref="QEH33:QEJ33"/>
    <mergeCell ref="QEK33:QEM33"/>
    <mergeCell ref="QEN33:QEP33"/>
    <mergeCell ref="QDM33:QDO33"/>
    <mergeCell ref="QDP33:QDR33"/>
    <mergeCell ref="QDS33:QDU33"/>
    <mergeCell ref="QDV33:QDX33"/>
    <mergeCell ref="QDY33:QEA33"/>
    <mergeCell ref="QCX33:QCZ33"/>
    <mergeCell ref="QDA33:QDC33"/>
    <mergeCell ref="QDD33:QDF33"/>
    <mergeCell ref="QDG33:QDI33"/>
    <mergeCell ref="QDJ33:QDL33"/>
    <mergeCell ref="QCI33:QCK33"/>
    <mergeCell ref="QCL33:QCN33"/>
    <mergeCell ref="QCO33:QCQ33"/>
    <mergeCell ref="QCR33:QCT33"/>
    <mergeCell ref="QCU33:QCW33"/>
    <mergeCell ref="QBT33:QBV33"/>
    <mergeCell ref="QBW33:QBY33"/>
    <mergeCell ref="QBZ33:QCB33"/>
    <mergeCell ref="QCC33:QCE33"/>
    <mergeCell ref="QCF33:QCH33"/>
    <mergeCell ref="QBE33:QBG33"/>
    <mergeCell ref="QBH33:QBJ33"/>
    <mergeCell ref="QBK33:QBM33"/>
    <mergeCell ref="QBN33:QBP33"/>
    <mergeCell ref="QBQ33:QBS33"/>
    <mergeCell ref="QIR33:QIT33"/>
    <mergeCell ref="QIU33:QIW33"/>
    <mergeCell ref="QIX33:QIZ33"/>
    <mergeCell ref="QJA33:QJC33"/>
    <mergeCell ref="QJD33:QJF33"/>
    <mergeCell ref="QIC33:QIE33"/>
    <mergeCell ref="QIF33:QIH33"/>
    <mergeCell ref="QII33:QIK33"/>
    <mergeCell ref="QIL33:QIN33"/>
    <mergeCell ref="QIO33:QIQ33"/>
    <mergeCell ref="QHN33:QHP33"/>
    <mergeCell ref="QHQ33:QHS33"/>
    <mergeCell ref="QHT33:QHV33"/>
    <mergeCell ref="QHW33:QHY33"/>
    <mergeCell ref="QHZ33:QIB33"/>
    <mergeCell ref="QGY33:QHA33"/>
    <mergeCell ref="QHB33:QHD33"/>
    <mergeCell ref="QHE33:QHG33"/>
    <mergeCell ref="QHH33:QHJ33"/>
    <mergeCell ref="QHK33:QHM33"/>
    <mergeCell ref="QGJ33:QGL33"/>
    <mergeCell ref="QGM33:QGO33"/>
    <mergeCell ref="QGP33:QGR33"/>
    <mergeCell ref="QGS33:QGU33"/>
    <mergeCell ref="QGV33:QGX33"/>
    <mergeCell ref="QFU33:QFW33"/>
    <mergeCell ref="QFX33:QFZ33"/>
    <mergeCell ref="QGA33:QGC33"/>
    <mergeCell ref="QGD33:QGF33"/>
    <mergeCell ref="QGG33:QGI33"/>
    <mergeCell ref="QFF33:QFH33"/>
    <mergeCell ref="QFI33:QFK33"/>
    <mergeCell ref="QFL33:QFN33"/>
    <mergeCell ref="QFO33:QFQ33"/>
    <mergeCell ref="QFR33:QFT33"/>
    <mergeCell ref="QMS33:QMU33"/>
    <mergeCell ref="QMV33:QMX33"/>
    <mergeCell ref="QMY33:QNA33"/>
    <mergeCell ref="QNB33:QND33"/>
    <mergeCell ref="QNE33:QNG33"/>
    <mergeCell ref="QMD33:QMF33"/>
    <mergeCell ref="QMG33:QMI33"/>
    <mergeCell ref="QMJ33:QML33"/>
    <mergeCell ref="QMM33:QMO33"/>
    <mergeCell ref="QMP33:QMR33"/>
    <mergeCell ref="QLO33:QLQ33"/>
    <mergeCell ref="QLR33:QLT33"/>
    <mergeCell ref="QLU33:QLW33"/>
    <mergeCell ref="QLX33:QLZ33"/>
    <mergeCell ref="QMA33:QMC33"/>
    <mergeCell ref="QKZ33:QLB33"/>
    <mergeCell ref="QLC33:QLE33"/>
    <mergeCell ref="QLF33:QLH33"/>
    <mergeCell ref="QLI33:QLK33"/>
    <mergeCell ref="QLL33:QLN33"/>
    <mergeCell ref="QKK33:QKM33"/>
    <mergeCell ref="QKN33:QKP33"/>
    <mergeCell ref="QKQ33:QKS33"/>
    <mergeCell ref="QKT33:QKV33"/>
    <mergeCell ref="QKW33:QKY33"/>
    <mergeCell ref="QJV33:QJX33"/>
    <mergeCell ref="QJY33:QKA33"/>
    <mergeCell ref="QKB33:QKD33"/>
    <mergeCell ref="QKE33:QKG33"/>
    <mergeCell ref="QKH33:QKJ33"/>
    <mergeCell ref="QJG33:QJI33"/>
    <mergeCell ref="QJJ33:QJL33"/>
    <mergeCell ref="QJM33:QJO33"/>
    <mergeCell ref="QJP33:QJR33"/>
    <mergeCell ref="QJS33:QJU33"/>
    <mergeCell ref="QQT33:QQV33"/>
    <mergeCell ref="QQW33:QQY33"/>
    <mergeCell ref="QQZ33:QRB33"/>
    <mergeCell ref="QRC33:QRE33"/>
    <mergeCell ref="QRF33:QRH33"/>
    <mergeCell ref="QQE33:QQG33"/>
    <mergeCell ref="QQH33:QQJ33"/>
    <mergeCell ref="QQK33:QQM33"/>
    <mergeCell ref="QQN33:QQP33"/>
    <mergeCell ref="QQQ33:QQS33"/>
    <mergeCell ref="QPP33:QPR33"/>
    <mergeCell ref="QPS33:QPU33"/>
    <mergeCell ref="QPV33:QPX33"/>
    <mergeCell ref="QPY33:QQA33"/>
    <mergeCell ref="QQB33:QQD33"/>
    <mergeCell ref="QPA33:QPC33"/>
    <mergeCell ref="QPD33:QPF33"/>
    <mergeCell ref="QPG33:QPI33"/>
    <mergeCell ref="QPJ33:QPL33"/>
    <mergeCell ref="QPM33:QPO33"/>
    <mergeCell ref="QOL33:QON33"/>
    <mergeCell ref="QOO33:QOQ33"/>
    <mergeCell ref="QOR33:QOT33"/>
    <mergeCell ref="QOU33:QOW33"/>
    <mergeCell ref="QOX33:QOZ33"/>
    <mergeCell ref="QNW33:QNY33"/>
    <mergeCell ref="QNZ33:QOB33"/>
    <mergeCell ref="QOC33:QOE33"/>
    <mergeCell ref="QOF33:QOH33"/>
    <mergeCell ref="QOI33:QOK33"/>
    <mergeCell ref="QNH33:QNJ33"/>
    <mergeCell ref="QNK33:QNM33"/>
    <mergeCell ref="QNN33:QNP33"/>
    <mergeCell ref="QNQ33:QNS33"/>
    <mergeCell ref="QNT33:QNV33"/>
    <mergeCell ref="QUU33:QUW33"/>
    <mergeCell ref="QUX33:QUZ33"/>
    <mergeCell ref="QVA33:QVC33"/>
    <mergeCell ref="QVD33:QVF33"/>
    <mergeCell ref="QVG33:QVI33"/>
    <mergeCell ref="QUF33:QUH33"/>
    <mergeCell ref="QUI33:QUK33"/>
    <mergeCell ref="QUL33:QUN33"/>
    <mergeCell ref="QUO33:QUQ33"/>
    <mergeCell ref="QUR33:QUT33"/>
    <mergeCell ref="QTQ33:QTS33"/>
    <mergeCell ref="QTT33:QTV33"/>
    <mergeCell ref="QTW33:QTY33"/>
    <mergeCell ref="QTZ33:QUB33"/>
    <mergeCell ref="QUC33:QUE33"/>
    <mergeCell ref="QTB33:QTD33"/>
    <mergeCell ref="QTE33:QTG33"/>
    <mergeCell ref="QTH33:QTJ33"/>
    <mergeCell ref="QTK33:QTM33"/>
    <mergeCell ref="QTN33:QTP33"/>
    <mergeCell ref="QSM33:QSO33"/>
    <mergeCell ref="QSP33:QSR33"/>
    <mergeCell ref="QSS33:QSU33"/>
    <mergeCell ref="QSV33:QSX33"/>
    <mergeCell ref="QSY33:QTA33"/>
    <mergeCell ref="QRX33:QRZ33"/>
    <mergeCell ref="QSA33:QSC33"/>
    <mergeCell ref="QSD33:QSF33"/>
    <mergeCell ref="QSG33:QSI33"/>
    <mergeCell ref="QSJ33:QSL33"/>
    <mergeCell ref="QRI33:QRK33"/>
    <mergeCell ref="QRL33:QRN33"/>
    <mergeCell ref="QRO33:QRQ33"/>
    <mergeCell ref="QRR33:QRT33"/>
    <mergeCell ref="QRU33:QRW33"/>
    <mergeCell ref="QYV33:QYX33"/>
    <mergeCell ref="QYY33:QZA33"/>
    <mergeCell ref="QZB33:QZD33"/>
    <mergeCell ref="QZE33:QZG33"/>
    <mergeCell ref="QZH33:QZJ33"/>
    <mergeCell ref="QYG33:QYI33"/>
    <mergeCell ref="QYJ33:QYL33"/>
    <mergeCell ref="QYM33:QYO33"/>
    <mergeCell ref="QYP33:QYR33"/>
    <mergeCell ref="QYS33:QYU33"/>
    <mergeCell ref="QXR33:QXT33"/>
    <mergeCell ref="QXU33:QXW33"/>
    <mergeCell ref="QXX33:QXZ33"/>
    <mergeCell ref="QYA33:QYC33"/>
    <mergeCell ref="QYD33:QYF33"/>
    <mergeCell ref="QXC33:QXE33"/>
    <mergeCell ref="QXF33:QXH33"/>
    <mergeCell ref="QXI33:QXK33"/>
    <mergeCell ref="QXL33:QXN33"/>
    <mergeCell ref="QXO33:QXQ33"/>
    <mergeCell ref="QWN33:QWP33"/>
    <mergeCell ref="QWQ33:QWS33"/>
    <mergeCell ref="QWT33:QWV33"/>
    <mergeCell ref="QWW33:QWY33"/>
    <mergeCell ref="QWZ33:QXB33"/>
    <mergeCell ref="QVY33:QWA33"/>
    <mergeCell ref="QWB33:QWD33"/>
    <mergeCell ref="QWE33:QWG33"/>
    <mergeCell ref="QWH33:QWJ33"/>
    <mergeCell ref="QWK33:QWM33"/>
    <mergeCell ref="QVJ33:QVL33"/>
    <mergeCell ref="QVM33:QVO33"/>
    <mergeCell ref="QVP33:QVR33"/>
    <mergeCell ref="QVS33:QVU33"/>
    <mergeCell ref="QVV33:QVX33"/>
    <mergeCell ref="RCW33:RCY33"/>
    <mergeCell ref="RCZ33:RDB33"/>
    <mergeCell ref="RDC33:RDE33"/>
    <mergeCell ref="RDF33:RDH33"/>
    <mergeCell ref="RDI33:RDK33"/>
    <mergeCell ref="RCH33:RCJ33"/>
    <mergeCell ref="RCK33:RCM33"/>
    <mergeCell ref="RCN33:RCP33"/>
    <mergeCell ref="RCQ33:RCS33"/>
    <mergeCell ref="RCT33:RCV33"/>
    <mergeCell ref="RBS33:RBU33"/>
    <mergeCell ref="RBV33:RBX33"/>
    <mergeCell ref="RBY33:RCA33"/>
    <mergeCell ref="RCB33:RCD33"/>
    <mergeCell ref="RCE33:RCG33"/>
    <mergeCell ref="RBD33:RBF33"/>
    <mergeCell ref="RBG33:RBI33"/>
    <mergeCell ref="RBJ33:RBL33"/>
    <mergeCell ref="RBM33:RBO33"/>
    <mergeCell ref="RBP33:RBR33"/>
    <mergeCell ref="RAO33:RAQ33"/>
    <mergeCell ref="RAR33:RAT33"/>
    <mergeCell ref="RAU33:RAW33"/>
    <mergeCell ref="RAX33:RAZ33"/>
    <mergeCell ref="RBA33:RBC33"/>
    <mergeCell ref="QZZ33:RAB33"/>
    <mergeCell ref="RAC33:RAE33"/>
    <mergeCell ref="RAF33:RAH33"/>
    <mergeCell ref="RAI33:RAK33"/>
    <mergeCell ref="RAL33:RAN33"/>
    <mergeCell ref="QZK33:QZM33"/>
    <mergeCell ref="QZN33:QZP33"/>
    <mergeCell ref="QZQ33:QZS33"/>
    <mergeCell ref="QZT33:QZV33"/>
    <mergeCell ref="QZW33:QZY33"/>
    <mergeCell ref="RGX33:RGZ33"/>
    <mergeCell ref="RHA33:RHC33"/>
    <mergeCell ref="RHD33:RHF33"/>
    <mergeCell ref="RHG33:RHI33"/>
    <mergeCell ref="RHJ33:RHL33"/>
    <mergeCell ref="RGI33:RGK33"/>
    <mergeCell ref="RGL33:RGN33"/>
    <mergeCell ref="RGO33:RGQ33"/>
    <mergeCell ref="RGR33:RGT33"/>
    <mergeCell ref="RGU33:RGW33"/>
    <mergeCell ref="RFT33:RFV33"/>
    <mergeCell ref="RFW33:RFY33"/>
    <mergeCell ref="RFZ33:RGB33"/>
    <mergeCell ref="RGC33:RGE33"/>
    <mergeCell ref="RGF33:RGH33"/>
    <mergeCell ref="RFE33:RFG33"/>
    <mergeCell ref="RFH33:RFJ33"/>
    <mergeCell ref="RFK33:RFM33"/>
    <mergeCell ref="RFN33:RFP33"/>
    <mergeCell ref="RFQ33:RFS33"/>
    <mergeCell ref="REP33:RER33"/>
    <mergeCell ref="RES33:REU33"/>
    <mergeCell ref="REV33:REX33"/>
    <mergeCell ref="REY33:RFA33"/>
    <mergeCell ref="RFB33:RFD33"/>
    <mergeCell ref="REA33:REC33"/>
    <mergeCell ref="RED33:REF33"/>
    <mergeCell ref="REG33:REI33"/>
    <mergeCell ref="REJ33:REL33"/>
    <mergeCell ref="REM33:REO33"/>
    <mergeCell ref="RDL33:RDN33"/>
    <mergeCell ref="RDO33:RDQ33"/>
    <mergeCell ref="RDR33:RDT33"/>
    <mergeCell ref="RDU33:RDW33"/>
    <mergeCell ref="RDX33:RDZ33"/>
    <mergeCell ref="RKY33:RLA33"/>
    <mergeCell ref="RLB33:RLD33"/>
    <mergeCell ref="RLE33:RLG33"/>
    <mergeCell ref="RLH33:RLJ33"/>
    <mergeCell ref="RLK33:RLM33"/>
    <mergeCell ref="RKJ33:RKL33"/>
    <mergeCell ref="RKM33:RKO33"/>
    <mergeCell ref="RKP33:RKR33"/>
    <mergeCell ref="RKS33:RKU33"/>
    <mergeCell ref="RKV33:RKX33"/>
    <mergeCell ref="RJU33:RJW33"/>
    <mergeCell ref="RJX33:RJZ33"/>
    <mergeCell ref="RKA33:RKC33"/>
    <mergeCell ref="RKD33:RKF33"/>
    <mergeCell ref="RKG33:RKI33"/>
    <mergeCell ref="RJF33:RJH33"/>
    <mergeCell ref="RJI33:RJK33"/>
    <mergeCell ref="RJL33:RJN33"/>
    <mergeCell ref="RJO33:RJQ33"/>
    <mergeCell ref="RJR33:RJT33"/>
    <mergeCell ref="RIQ33:RIS33"/>
    <mergeCell ref="RIT33:RIV33"/>
    <mergeCell ref="RIW33:RIY33"/>
    <mergeCell ref="RIZ33:RJB33"/>
    <mergeCell ref="RJC33:RJE33"/>
    <mergeCell ref="RIB33:RID33"/>
    <mergeCell ref="RIE33:RIG33"/>
    <mergeCell ref="RIH33:RIJ33"/>
    <mergeCell ref="RIK33:RIM33"/>
    <mergeCell ref="RIN33:RIP33"/>
    <mergeCell ref="RHM33:RHO33"/>
    <mergeCell ref="RHP33:RHR33"/>
    <mergeCell ref="RHS33:RHU33"/>
    <mergeCell ref="RHV33:RHX33"/>
    <mergeCell ref="RHY33:RIA33"/>
    <mergeCell ref="ROZ33:RPB33"/>
    <mergeCell ref="RPC33:RPE33"/>
    <mergeCell ref="RPF33:RPH33"/>
    <mergeCell ref="RPI33:RPK33"/>
    <mergeCell ref="RPL33:RPN33"/>
    <mergeCell ref="ROK33:ROM33"/>
    <mergeCell ref="RON33:ROP33"/>
    <mergeCell ref="ROQ33:ROS33"/>
    <mergeCell ref="ROT33:ROV33"/>
    <mergeCell ref="ROW33:ROY33"/>
    <mergeCell ref="RNV33:RNX33"/>
    <mergeCell ref="RNY33:ROA33"/>
    <mergeCell ref="ROB33:ROD33"/>
    <mergeCell ref="ROE33:ROG33"/>
    <mergeCell ref="ROH33:ROJ33"/>
    <mergeCell ref="RNG33:RNI33"/>
    <mergeCell ref="RNJ33:RNL33"/>
    <mergeCell ref="RNM33:RNO33"/>
    <mergeCell ref="RNP33:RNR33"/>
    <mergeCell ref="RNS33:RNU33"/>
    <mergeCell ref="RMR33:RMT33"/>
    <mergeCell ref="RMU33:RMW33"/>
    <mergeCell ref="RMX33:RMZ33"/>
    <mergeCell ref="RNA33:RNC33"/>
    <mergeCell ref="RND33:RNF33"/>
    <mergeCell ref="RMC33:RME33"/>
    <mergeCell ref="RMF33:RMH33"/>
    <mergeCell ref="RMI33:RMK33"/>
    <mergeCell ref="RML33:RMN33"/>
    <mergeCell ref="RMO33:RMQ33"/>
    <mergeCell ref="RLN33:RLP33"/>
    <mergeCell ref="RLQ33:RLS33"/>
    <mergeCell ref="RLT33:RLV33"/>
    <mergeCell ref="RLW33:RLY33"/>
    <mergeCell ref="RLZ33:RMB33"/>
    <mergeCell ref="RTA33:RTC33"/>
    <mergeCell ref="RTD33:RTF33"/>
    <mergeCell ref="RTG33:RTI33"/>
    <mergeCell ref="RTJ33:RTL33"/>
    <mergeCell ref="RTM33:RTO33"/>
    <mergeCell ref="RSL33:RSN33"/>
    <mergeCell ref="RSO33:RSQ33"/>
    <mergeCell ref="RSR33:RST33"/>
    <mergeCell ref="RSU33:RSW33"/>
    <mergeCell ref="RSX33:RSZ33"/>
    <mergeCell ref="RRW33:RRY33"/>
    <mergeCell ref="RRZ33:RSB33"/>
    <mergeCell ref="RSC33:RSE33"/>
    <mergeCell ref="RSF33:RSH33"/>
    <mergeCell ref="RSI33:RSK33"/>
    <mergeCell ref="RRH33:RRJ33"/>
    <mergeCell ref="RRK33:RRM33"/>
    <mergeCell ref="RRN33:RRP33"/>
    <mergeCell ref="RRQ33:RRS33"/>
    <mergeCell ref="RRT33:RRV33"/>
    <mergeCell ref="RQS33:RQU33"/>
    <mergeCell ref="RQV33:RQX33"/>
    <mergeCell ref="RQY33:RRA33"/>
    <mergeCell ref="RRB33:RRD33"/>
    <mergeCell ref="RRE33:RRG33"/>
    <mergeCell ref="RQD33:RQF33"/>
    <mergeCell ref="RQG33:RQI33"/>
    <mergeCell ref="RQJ33:RQL33"/>
    <mergeCell ref="RQM33:RQO33"/>
    <mergeCell ref="RQP33:RQR33"/>
    <mergeCell ref="RPO33:RPQ33"/>
    <mergeCell ref="RPR33:RPT33"/>
    <mergeCell ref="RPU33:RPW33"/>
    <mergeCell ref="RPX33:RPZ33"/>
    <mergeCell ref="RQA33:RQC33"/>
    <mergeCell ref="RXB33:RXD33"/>
    <mergeCell ref="RXE33:RXG33"/>
    <mergeCell ref="RXH33:RXJ33"/>
    <mergeCell ref="RXK33:RXM33"/>
    <mergeCell ref="RXN33:RXP33"/>
    <mergeCell ref="RWM33:RWO33"/>
    <mergeCell ref="RWP33:RWR33"/>
    <mergeCell ref="RWS33:RWU33"/>
    <mergeCell ref="RWV33:RWX33"/>
    <mergeCell ref="RWY33:RXA33"/>
    <mergeCell ref="RVX33:RVZ33"/>
    <mergeCell ref="RWA33:RWC33"/>
    <mergeCell ref="RWD33:RWF33"/>
    <mergeCell ref="RWG33:RWI33"/>
    <mergeCell ref="RWJ33:RWL33"/>
    <mergeCell ref="RVI33:RVK33"/>
    <mergeCell ref="RVL33:RVN33"/>
    <mergeCell ref="RVO33:RVQ33"/>
    <mergeCell ref="RVR33:RVT33"/>
    <mergeCell ref="RVU33:RVW33"/>
    <mergeCell ref="RUT33:RUV33"/>
    <mergeCell ref="RUW33:RUY33"/>
    <mergeCell ref="RUZ33:RVB33"/>
    <mergeCell ref="RVC33:RVE33"/>
    <mergeCell ref="RVF33:RVH33"/>
    <mergeCell ref="RUE33:RUG33"/>
    <mergeCell ref="RUH33:RUJ33"/>
    <mergeCell ref="RUK33:RUM33"/>
    <mergeCell ref="RUN33:RUP33"/>
    <mergeCell ref="RUQ33:RUS33"/>
    <mergeCell ref="RTP33:RTR33"/>
    <mergeCell ref="RTS33:RTU33"/>
    <mergeCell ref="RTV33:RTX33"/>
    <mergeCell ref="RTY33:RUA33"/>
    <mergeCell ref="RUB33:RUD33"/>
    <mergeCell ref="SBC33:SBE33"/>
    <mergeCell ref="SBF33:SBH33"/>
    <mergeCell ref="SBI33:SBK33"/>
    <mergeCell ref="SBL33:SBN33"/>
    <mergeCell ref="SBO33:SBQ33"/>
    <mergeCell ref="SAN33:SAP33"/>
    <mergeCell ref="SAQ33:SAS33"/>
    <mergeCell ref="SAT33:SAV33"/>
    <mergeCell ref="SAW33:SAY33"/>
    <mergeCell ref="SAZ33:SBB33"/>
    <mergeCell ref="RZY33:SAA33"/>
    <mergeCell ref="SAB33:SAD33"/>
    <mergeCell ref="SAE33:SAG33"/>
    <mergeCell ref="SAH33:SAJ33"/>
    <mergeCell ref="SAK33:SAM33"/>
    <mergeCell ref="RZJ33:RZL33"/>
    <mergeCell ref="RZM33:RZO33"/>
    <mergeCell ref="RZP33:RZR33"/>
    <mergeCell ref="RZS33:RZU33"/>
    <mergeCell ref="RZV33:RZX33"/>
    <mergeCell ref="RYU33:RYW33"/>
    <mergeCell ref="RYX33:RYZ33"/>
    <mergeCell ref="RZA33:RZC33"/>
    <mergeCell ref="RZD33:RZF33"/>
    <mergeCell ref="RZG33:RZI33"/>
    <mergeCell ref="RYF33:RYH33"/>
    <mergeCell ref="RYI33:RYK33"/>
    <mergeCell ref="RYL33:RYN33"/>
    <mergeCell ref="RYO33:RYQ33"/>
    <mergeCell ref="RYR33:RYT33"/>
    <mergeCell ref="RXQ33:RXS33"/>
    <mergeCell ref="RXT33:RXV33"/>
    <mergeCell ref="RXW33:RXY33"/>
    <mergeCell ref="RXZ33:RYB33"/>
    <mergeCell ref="RYC33:RYE33"/>
    <mergeCell ref="SFD33:SFF33"/>
    <mergeCell ref="SFG33:SFI33"/>
    <mergeCell ref="SFJ33:SFL33"/>
    <mergeCell ref="SFM33:SFO33"/>
    <mergeCell ref="SFP33:SFR33"/>
    <mergeCell ref="SEO33:SEQ33"/>
    <mergeCell ref="SER33:SET33"/>
    <mergeCell ref="SEU33:SEW33"/>
    <mergeCell ref="SEX33:SEZ33"/>
    <mergeCell ref="SFA33:SFC33"/>
    <mergeCell ref="SDZ33:SEB33"/>
    <mergeCell ref="SEC33:SEE33"/>
    <mergeCell ref="SEF33:SEH33"/>
    <mergeCell ref="SEI33:SEK33"/>
    <mergeCell ref="SEL33:SEN33"/>
    <mergeCell ref="SDK33:SDM33"/>
    <mergeCell ref="SDN33:SDP33"/>
    <mergeCell ref="SDQ33:SDS33"/>
    <mergeCell ref="SDT33:SDV33"/>
    <mergeCell ref="SDW33:SDY33"/>
    <mergeCell ref="SCV33:SCX33"/>
    <mergeCell ref="SCY33:SDA33"/>
    <mergeCell ref="SDB33:SDD33"/>
    <mergeCell ref="SDE33:SDG33"/>
    <mergeCell ref="SDH33:SDJ33"/>
    <mergeCell ref="SCG33:SCI33"/>
    <mergeCell ref="SCJ33:SCL33"/>
    <mergeCell ref="SCM33:SCO33"/>
    <mergeCell ref="SCP33:SCR33"/>
    <mergeCell ref="SCS33:SCU33"/>
    <mergeCell ref="SBR33:SBT33"/>
    <mergeCell ref="SBU33:SBW33"/>
    <mergeCell ref="SBX33:SBZ33"/>
    <mergeCell ref="SCA33:SCC33"/>
    <mergeCell ref="SCD33:SCF33"/>
    <mergeCell ref="SJE33:SJG33"/>
    <mergeCell ref="SJH33:SJJ33"/>
    <mergeCell ref="SJK33:SJM33"/>
    <mergeCell ref="SJN33:SJP33"/>
    <mergeCell ref="SJQ33:SJS33"/>
    <mergeCell ref="SIP33:SIR33"/>
    <mergeCell ref="SIS33:SIU33"/>
    <mergeCell ref="SIV33:SIX33"/>
    <mergeCell ref="SIY33:SJA33"/>
    <mergeCell ref="SJB33:SJD33"/>
    <mergeCell ref="SIA33:SIC33"/>
    <mergeCell ref="SID33:SIF33"/>
    <mergeCell ref="SIG33:SII33"/>
    <mergeCell ref="SIJ33:SIL33"/>
    <mergeCell ref="SIM33:SIO33"/>
    <mergeCell ref="SHL33:SHN33"/>
    <mergeCell ref="SHO33:SHQ33"/>
    <mergeCell ref="SHR33:SHT33"/>
    <mergeCell ref="SHU33:SHW33"/>
    <mergeCell ref="SHX33:SHZ33"/>
    <mergeCell ref="SGW33:SGY33"/>
    <mergeCell ref="SGZ33:SHB33"/>
    <mergeCell ref="SHC33:SHE33"/>
    <mergeCell ref="SHF33:SHH33"/>
    <mergeCell ref="SHI33:SHK33"/>
    <mergeCell ref="SGH33:SGJ33"/>
    <mergeCell ref="SGK33:SGM33"/>
    <mergeCell ref="SGN33:SGP33"/>
    <mergeCell ref="SGQ33:SGS33"/>
    <mergeCell ref="SGT33:SGV33"/>
    <mergeCell ref="SFS33:SFU33"/>
    <mergeCell ref="SFV33:SFX33"/>
    <mergeCell ref="SFY33:SGA33"/>
    <mergeCell ref="SGB33:SGD33"/>
    <mergeCell ref="SGE33:SGG33"/>
    <mergeCell ref="SNF33:SNH33"/>
    <mergeCell ref="SNI33:SNK33"/>
    <mergeCell ref="SNL33:SNN33"/>
    <mergeCell ref="SNO33:SNQ33"/>
    <mergeCell ref="SNR33:SNT33"/>
    <mergeCell ref="SMQ33:SMS33"/>
    <mergeCell ref="SMT33:SMV33"/>
    <mergeCell ref="SMW33:SMY33"/>
    <mergeCell ref="SMZ33:SNB33"/>
    <mergeCell ref="SNC33:SNE33"/>
    <mergeCell ref="SMB33:SMD33"/>
    <mergeCell ref="SME33:SMG33"/>
    <mergeCell ref="SMH33:SMJ33"/>
    <mergeCell ref="SMK33:SMM33"/>
    <mergeCell ref="SMN33:SMP33"/>
    <mergeCell ref="SLM33:SLO33"/>
    <mergeCell ref="SLP33:SLR33"/>
    <mergeCell ref="SLS33:SLU33"/>
    <mergeCell ref="SLV33:SLX33"/>
    <mergeCell ref="SLY33:SMA33"/>
    <mergeCell ref="SKX33:SKZ33"/>
    <mergeCell ref="SLA33:SLC33"/>
    <mergeCell ref="SLD33:SLF33"/>
    <mergeCell ref="SLG33:SLI33"/>
    <mergeCell ref="SLJ33:SLL33"/>
    <mergeCell ref="SKI33:SKK33"/>
    <mergeCell ref="SKL33:SKN33"/>
    <mergeCell ref="SKO33:SKQ33"/>
    <mergeCell ref="SKR33:SKT33"/>
    <mergeCell ref="SKU33:SKW33"/>
    <mergeCell ref="SJT33:SJV33"/>
    <mergeCell ref="SJW33:SJY33"/>
    <mergeCell ref="SJZ33:SKB33"/>
    <mergeCell ref="SKC33:SKE33"/>
    <mergeCell ref="SKF33:SKH33"/>
    <mergeCell ref="SRG33:SRI33"/>
    <mergeCell ref="SRJ33:SRL33"/>
    <mergeCell ref="SRM33:SRO33"/>
    <mergeCell ref="SRP33:SRR33"/>
    <mergeCell ref="SRS33:SRU33"/>
    <mergeCell ref="SQR33:SQT33"/>
    <mergeCell ref="SQU33:SQW33"/>
    <mergeCell ref="SQX33:SQZ33"/>
    <mergeCell ref="SRA33:SRC33"/>
    <mergeCell ref="SRD33:SRF33"/>
    <mergeCell ref="SQC33:SQE33"/>
    <mergeCell ref="SQF33:SQH33"/>
    <mergeCell ref="SQI33:SQK33"/>
    <mergeCell ref="SQL33:SQN33"/>
    <mergeCell ref="SQO33:SQQ33"/>
    <mergeCell ref="SPN33:SPP33"/>
    <mergeCell ref="SPQ33:SPS33"/>
    <mergeCell ref="SPT33:SPV33"/>
    <mergeCell ref="SPW33:SPY33"/>
    <mergeCell ref="SPZ33:SQB33"/>
    <mergeCell ref="SOY33:SPA33"/>
    <mergeCell ref="SPB33:SPD33"/>
    <mergeCell ref="SPE33:SPG33"/>
    <mergeCell ref="SPH33:SPJ33"/>
    <mergeCell ref="SPK33:SPM33"/>
    <mergeCell ref="SOJ33:SOL33"/>
    <mergeCell ref="SOM33:SOO33"/>
    <mergeCell ref="SOP33:SOR33"/>
    <mergeCell ref="SOS33:SOU33"/>
    <mergeCell ref="SOV33:SOX33"/>
    <mergeCell ref="SNU33:SNW33"/>
    <mergeCell ref="SNX33:SNZ33"/>
    <mergeCell ref="SOA33:SOC33"/>
    <mergeCell ref="SOD33:SOF33"/>
    <mergeCell ref="SOG33:SOI33"/>
    <mergeCell ref="SVH33:SVJ33"/>
    <mergeCell ref="SVK33:SVM33"/>
    <mergeCell ref="SVN33:SVP33"/>
    <mergeCell ref="SVQ33:SVS33"/>
    <mergeCell ref="SVT33:SVV33"/>
    <mergeCell ref="SUS33:SUU33"/>
    <mergeCell ref="SUV33:SUX33"/>
    <mergeCell ref="SUY33:SVA33"/>
    <mergeCell ref="SVB33:SVD33"/>
    <mergeCell ref="SVE33:SVG33"/>
    <mergeCell ref="SUD33:SUF33"/>
    <mergeCell ref="SUG33:SUI33"/>
    <mergeCell ref="SUJ33:SUL33"/>
    <mergeCell ref="SUM33:SUO33"/>
    <mergeCell ref="SUP33:SUR33"/>
    <mergeCell ref="STO33:STQ33"/>
    <mergeCell ref="STR33:STT33"/>
    <mergeCell ref="STU33:STW33"/>
    <mergeCell ref="STX33:STZ33"/>
    <mergeCell ref="SUA33:SUC33"/>
    <mergeCell ref="SSZ33:STB33"/>
    <mergeCell ref="STC33:STE33"/>
    <mergeCell ref="STF33:STH33"/>
    <mergeCell ref="STI33:STK33"/>
    <mergeCell ref="STL33:STN33"/>
    <mergeCell ref="SSK33:SSM33"/>
    <mergeCell ref="SSN33:SSP33"/>
    <mergeCell ref="SSQ33:SSS33"/>
    <mergeCell ref="SST33:SSV33"/>
    <mergeCell ref="SSW33:SSY33"/>
    <mergeCell ref="SRV33:SRX33"/>
    <mergeCell ref="SRY33:SSA33"/>
    <mergeCell ref="SSB33:SSD33"/>
    <mergeCell ref="SSE33:SSG33"/>
    <mergeCell ref="SSH33:SSJ33"/>
    <mergeCell ref="SZI33:SZK33"/>
    <mergeCell ref="SZL33:SZN33"/>
    <mergeCell ref="SZO33:SZQ33"/>
    <mergeCell ref="SZR33:SZT33"/>
    <mergeCell ref="SZU33:SZW33"/>
    <mergeCell ref="SYT33:SYV33"/>
    <mergeCell ref="SYW33:SYY33"/>
    <mergeCell ref="SYZ33:SZB33"/>
    <mergeCell ref="SZC33:SZE33"/>
    <mergeCell ref="SZF33:SZH33"/>
    <mergeCell ref="SYE33:SYG33"/>
    <mergeCell ref="SYH33:SYJ33"/>
    <mergeCell ref="SYK33:SYM33"/>
    <mergeCell ref="SYN33:SYP33"/>
    <mergeCell ref="SYQ33:SYS33"/>
    <mergeCell ref="SXP33:SXR33"/>
    <mergeCell ref="SXS33:SXU33"/>
    <mergeCell ref="SXV33:SXX33"/>
    <mergeCell ref="SXY33:SYA33"/>
    <mergeCell ref="SYB33:SYD33"/>
    <mergeCell ref="SXA33:SXC33"/>
    <mergeCell ref="SXD33:SXF33"/>
    <mergeCell ref="SXG33:SXI33"/>
    <mergeCell ref="SXJ33:SXL33"/>
    <mergeCell ref="SXM33:SXO33"/>
    <mergeCell ref="SWL33:SWN33"/>
    <mergeCell ref="SWO33:SWQ33"/>
    <mergeCell ref="SWR33:SWT33"/>
    <mergeCell ref="SWU33:SWW33"/>
    <mergeCell ref="SWX33:SWZ33"/>
    <mergeCell ref="SVW33:SVY33"/>
    <mergeCell ref="SVZ33:SWB33"/>
    <mergeCell ref="SWC33:SWE33"/>
    <mergeCell ref="SWF33:SWH33"/>
    <mergeCell ref="SWI33:SWK33"/>
    <mergeCell ref="TDJ33:TDL33"/>
    <mergeCell ref="TDM33:TDO33"/>
    <mergeCell ref="TDP33:TDR33"/>
    <mergeCell ref="TDS33:TDU33"/>
    <mergeCell ref="TDV33:TDX33"/>
    <mergeCell ref="TCU33:TCW33"/>
    <mergeCell ref="TCX33:TCZ33"/>
    <mergeCell ref="TDA33:TDC33"/>
    <mergeCell ref="TDD33:TDF33"/>
    <mergeCell ref="TDG33:TDI33"/>
    <mergeCell ref="TCF33:TCH33"/>
    <mergeCell ref="TCI33:TCK33"/>
    <mergeCell ref="TCL33:TCN33"/>
    <mergeCell ref="TCO33:TCQ33"/>
    <mergeCell ref="TCR33:TCT33"/>
    <mergeCell ref="TBQ33:TBS33"/>
    <mergeCell ref="TBT33:TBV33"/>
    <mergeCell ref="TBW33:TBY33"/>
    <mergeCell ref="TBZ33:TCB33"/>
    <mergeCell ref="TCC33:TCE33"/>
    <mergeCell ref="TBB33:TBD33"/>
    <mergeCell ref="TBE33:TBG33"/>
    <mergeCell ref="TBH33:TBJ33"/>
    <mergeCell ref="TBK33:TBM33"/>
    <mergeCell ref="TBN33:TBP33"/>
    <mergeCell ref="TAM33:TAO33"/>
    <mergeCell ref="TAP33:TAR33"/>
    <mergeCell ref="TAS33:TAU33"/>
    <mergeCell ref="TAV33:TAX33"/>
    <mergeCell ref="TAY33:TBA33"/>
    <mergeCell ref="SZX33:SZZ33"/>
    <mergeCell ref="TAA33:TAC33"/>
    <mergeCell ref="TAD33:TAF33"/>
    <mergeCell ref="TAG33:TAI33"/>
    <mergeCell ref="TAJ33:TAL33"/>
    <mergeCell ref="THK33:THM33"/>
    <mergeCell ref="THN33:THP33"/>
    <mergeCell ref="THQ33:THS33"/>
    <mergeCell ref="THT33:THV33"/>
    <mergeCell ref="THW33:THY33"/>
    <mergeCell ref="TGV33:TGX33"/>
    <mergeCell ref="TGY33:THA33"/>
    <mergeCell ref="THB33:THD33"/>
    <mergeCell ref="THE33:THG33"/>
    <mergeCell ref="THH33:THJ33"/>
    <mergeCell ref="TGG33:TGI33"/>
    <mergeCell ref="TGJ33:TGL33"/>
    <mergeCell ref="TGM33:TGO33"/>
    <mergeCell ref="TGP33:TGR33"/>
    <mergeCell ref="TGS33:TGU33"/>
    <mergeCell ref="TFR33:TFT33"/>
    <mergeCell ref="TFU33:TFW33"/>
    <mergeCell ref="TFX33:TFZ33"/>
    <mergeCell ref="TGA33:TGC33"/>
    <mergeCell ref="TGD33:TGF33"/>
    <mergeCell ref="TFC33:TFE33"/>
    <mergeCell ref="TFF33:TFH33"/>
    <mergeCell ref="TFI33:TFK33"/>
    <mergeCell ref="TFL33:TFN33"/>
    <mergeCell ref="TFO33:TFQ33"/>
    <mergeCell ref="TEN33:TEP33"/>
    <mergeCell ref="TEQ33:TES33"/>
    <mergeCell ref="TET33:TEV33"/>
    <mergeCell ref="TEW33:TEY33"/>
    <mergeCell ref="TEZ33:TFB33"/>
    <mergeCell ref="TDY33:TEA33"/>
    <mergeCell ref="TEB33:TED33"/>
    <mergeCell ref="TEE33:TEG33"/>
    <mergeCell ref="TEH33:TEJ33"/>
    <mergeCell ref="TEK33:TEM33"/>
    <mergeCell ref="TLL33:TLN33"/>
    <mergeCell ref="TLO33:TLQ33"/>
    <mergeCell ref="TLR33:TLT33"/>
    <mergeCell ref="TLU33:TLW33"/>
    <mergeCell ref="TLX33:TLZ33"/>
    <mergeCell ref="TKW33:TKY33"/>
    <mergeCell ref="TKZ33:TLB33"/>
    <mergeCell ref="TLC33:TLE33"/>
    <mergeCell ref="TLF33:TLH33"/>
    <mergeCell ref="TLI33:TLK33"/>
    <mergeCell ref="TKH33:TKJ33"/>
    <mergeCell ref="TKK33:TKM33"/>
    <mergeCell ref="TKN33:TKP33"/>
    <mergeCell ref="TKQ33:TKS33"/>
    <mergeCell ref="TKT33:TKV33"/>
    <mergeCell ref="TJS33:TJU33"/>
    <mergeCell ref="TJV33:TJX33"/>
    <mergeCell ref="TJY33:TKA33"/>
    <mergeCell ref="TKB33:TKD33"/>
    <mergeCell ref="TKE33:TKG33"/>
    <mergeCell ref="TJD33:TJF33"/>
    <mergeCell ref="TJG33:TJI33"/>
    <mergeCell ref="TJJ33:TJL33"/>
    <mergeCell ref="TJM33:TJO33"/>
    <mergeCell ref="TJP33:TJR33"/>
    <mergeCell ref="TIO33:TIQ33"/>
    <mergeCell ref="TIR33:TIT33"/>
    <mergeCell ref="TIU33:TIW33"/>
    <mergeCell ref="TIX33:TIZ33"/>
    <mergeCell ref="TJA33:TJC33"/>
    <mergeCell ref="THZ33:TIB33"/>
    <mergeCell ref="TIC33:TIE33"/>
    <mergeCell ref="TIF33:TIH33"/>
    <mergeCell ref="TII33:TIK33"/>
    <mergeCell ref="TIL33:TIN33"/>
    <mergeCell ref="TPM33:TPO33"/>
    <mergeCell ref="TPP33:TPR33"/>
    <mergeCell ref="TPS33:TPU33"/>
    <mergeCell ref="TPV33:TPX33"/>
    <mergeCell ref="TPY33:TQA33"/>
    <mergeCell ref="TOX33:TOZ33"/>
    <mergeCell ref="TPA33:TPC33"/>
    <mergeCell ref="TPD33:TPF33"/>
    <mergeCell ref="TPG33:TPI33"/>
    <mergeCell ref="TPJ33:TPL33"/>
    <mergeCell ref="TOI33:TOK33"/>
    <mergeCell ref="TOL33:TON33"/>
    <mergeCell ref="TOO33:TOQ33"/>
    <mergeCell ref="TOR33:TOT33"/>
    <mergeCell ref="TOU33:TOW33"/>
    <mergeCell ref="TNT33:TNV33"/>
    <mergeCell ref="TNW33:TNY33"/>
    <mergeCell ref="TNZ33:TOB33"/>
    <mergeCell ref="TOC33:TOE33"/>
    <mergeCell ref="TOF33:TOH33"/>
    <mergeCell ref="TNE33:TNG33"/>
    <mergeCell ref="TNH33:TNJ33"/>
    <mergeCell ref="TNK33:TNM33"/>
    <mergeCell ref="TNN33:TNP33"/>
    <mergeCell ref="TNQ33:TNS33"/>
    <mergeCell ref="TMP33:TMR33"/>
    <mergeCell ref="TMS33:TMU33"/>
    <mergeCell ref="TMV33:TMX33"/>
    <mergeCell ref="TMY33:TNA33"/>
    <mergeCell ref="TNB33:TND33"/>
    <mergeCell ref="TMA33:TMC33"/>
    <mergeCell ref="TMD33:TMF33"/>
    <mergeCell ref="TMG33:TMI33"/>
    <mergeCell ref="TMJ33:TML33"/>
    <mergeCell ref="TMM33:TMO33"/>
    <mergeCell ref="TTN33:TTP33"/>
    <mergeCell ref="TTQ33:TTS33"/>
    <mergeCell ref="TTT33:TTV33"/>
    <mergeCell ref="TTW33:TTY33"/>
    <mergeCell ref="TTZ33:TUB33"/>
    <mergeCell ref="TSY33:TTA33"/>
    <mergeCell ref="TTB33:TTD33"/>
    <mergeCell ref="TTE33:TTG33"/>
    <mergeCell ref="TTH33:TTJ33"/>
    <mergeCell ref="TTK33:TTM33"/>
    <mergeCell ref="TSJ33:TSL33"/>
    <mergeCell ref="TSM33:TSO33"/>
    <mergeCell ref="TSP33:TSR33"/>
    <mergeCell ref="TSS33:TSU33"/>
    <mergeCell ref="TSV33:TSX33"/>
    <mergeCell ref="TRU33:TRW33"/>
    <mergeCell ref="TRX33:TRZ33"/>
    <mergeCell ref="TSA33:TSC33"/>
    <mergeCell ref="TSD33:TSF33"/>
    <mergeCell ref="TSG33:TSI33"/>
    <mergeCell ref="TRF33:TRH33"/>
    <mergeCell ref="TRI33:TRK33"/>
    <mergeCell ref="TRL33:TRN33"/>
    <mergeCell ref="TRO33:TRQ33"/>
    <mergeCell ref="TRR33:TRT33"/>
    <mergeCell ref="TQQ33:TQS33"/>
    <mergeCell ref="TQT33:TQV33"/>
    <mergeCell ref="TQW33:TQY33"/>
    <mergeCell ref="TQZ33:TRB33"/>
    <mergeCell ref="TRC33:TRE33"/>
    <mergeCell ref="TQB33:TQD33"/>
    <mergeCell ref="TQE33:TQG33"/>
    <mergeCell ref="TQH33:TQJ33"/>
    <mergeCell ref="TQK33:TQM33"/>
    <mergeCell ref="TQN33:TQP33"/>
    <mergeCell ref="TXO33:TXQ33"/>
    <mergeCell ref="TXR33:TXT33"/>
    <mergeCell ref="TXU33:TXW33"/>
    <mergeCell ref="TXX33:TXZ33"/>
    <mergeCell ref="TYA33:TYC33"/>
    <mergeCell ref="TWZ33:TXB33"/>
    <mergeCell ref="TXC33:TXE33"/>
    <mergeCell ref="TXF33:TXH33"/>
    <mergeCell ref="TXI33:TXK33"/>
    <mergeCell ref="TXL33:TXN33"/>
    <mergeCell ref="TWK33:TWM33"/>
    <mergeCell ref="TWN33:TWP33"/>
    <mergeCell ref="TWQ33:TWS33"/>
    <mergeCell ref="TWT33:TWV33"/>
    <mergeCell ref="TWW33:TWY33"/>
    <mergeCell ref="TVV33:TVX33"/>
    <mergeCell ref="TVY33:TWA33"/>
    <mergeCell ref="TWB33:TWD33"/>
    <mergeCell ref="TWE33:TWG33"/>
    <mergeCell ref="TWH33:TWJ33"/>
    <mergeCell ref="TVG33:TVI33"/>
    <mergeCell ref="TVJ33:TVL33"/>
    <mergeCell ref="TVM33:TVO33"/>
    <mergeCell ref="TVP33:TVR33"/>
    <mergeCell ref="TVS33:TVU33"/>
    <mergeCell ref="TUR33:TUT33"/>
    <mergeCell ref="TUU33:TUW33"/>
    <mergeCell ref="TUX33:TUZ33"/>
    <mergeCell ref="TVA33:TVC33"/>
    <mergeCell ref="TVD33:TVF33"/>
    <mergeCell ref="TUC33:TUE33"/>
    <mergeCell ref="TUF33:TUH33"/>
    <mergeCell ref="TUI33:TUK33"/>
    <mergeCell ref="TUL33:TUN33"/>
    <mergeCell ref="TUO33:TUQ33"/>
    <mergeCell ref="UBP33:UBR33"/>
    <mergeCell ref="UBS33:UBU33"/>
    <mergeCell ref="UBV33:UBX33"/>
    <mergeCell ref="UBY33:UCA33"/>
    <mergeCell ref="UCB33:UCD33"/>
    <mergeCell ref="UBA33:UBC33"/>
    <mergeCell ref="UBD33:UBF33"/>
    <mergeCell ref="UBG33:UBI33"/>
    <mergeCell ref="UBJ33:UBL33"/>
    <mergeCell ref="UBM33:UBO33"/>
    <mergeCell ref="UAL33:UAN33"/>
    <mergeCell ref="UAO33:UAQ33"/>
    <mergeCell ref="UAR33:UAT33"/>
    <mergeCell ref="UAU33:UAW33"/>
    <mergeCell ref="UAX33:UAZ33"/>
    <mergeCell ref="TZW33:TZY33"/>
    <mergeCell ref="TZZ33:UAB33"/>
    <mergeCell ref="UAC33:UAE33"/>
    <mergeCell ref="UAF33:UAH33"/>
    <mergeCell ref="UAI33:UAK33"/>
    <mergeCell ref="TZH33:TZJ33"/>
    <mergeCell ref="TZK33:TZM33"/>
    <mergeCell ref="TZN33:TZP33"/>
    <mergeCell ref="TZQ33:TZS33"/>
    <mergeCell ref="TZT33:TZV33"/>
    <mergeCell ref="TYS33:TYU33"/>
    <mergeCell ref="TYV33:TYX33"/>
    <mergeCell ref="TYY33:TZA33"/>
    <mergeCell ref="TZB33:TZD33"/>
    <mergeCell ref="TZE33:TZG33"/>
    <mergeCell ref="TYD33:TYF33"/>
    <mergeCell ref="TYG33:TYI33"/>
    <mergeCell ref="TYJ33:TYL33"/>
    <mergeCell ref="TYM33:TYO33"/>
    <mergeCell ref="TYP33:TYR33"/>
    <mergeCell ref="UFQ33:UFS33"/>
    <mergeCell ref="UFT33:UFV33"/>
    <mergeCell ref="UFW33:UFY33"/>
    <mergeCell ref="UFZ33:UGB33"/>
    <mergeCell ref="UGC33:UGE33"/>
    <mergeCell ref="UFB33:UFD33"/>
    <mergeCell ref="UFE33:UFG33"/>
    <mergeCell ref="UFH33:UFJ33"/>
    <mergeCell ref="UFK33:UFM33"/>
    <mergeCell ref="UFN33:UFP33"/>
    <mergeCell ref="UEM33:UEO33"/>
    <mergeCell ref="UEP33:UER33"/>
    <mergeCell ref="UES33:UEU33"/>
    <mergeCell ref="UEV33:UEX33"/>
    <mergeCell ref="UEY33:UFA33"/>
    <mergeCell ref="UDX33:UDZ33"/>
    <mergeCell ref="UEA33:UEC33"/>
    <mergeCell ref="UED33:UEF33"/>
    <mergeCell ref="UEG33:UEI33"/>
    <mergeCell ref="UEJ33:UEL33"/>
    <mergeCell ref="UDI33:UDK33"/>
    <mergeCell ref="UDL33:UDN33"/>
    <mergeCell ref="UDO33:UDQ33"/>
    <mergeCell ref="UDR33:UDT33"/>
    <mergeCell ref="UDU33:UDW33"/>
    <mergeCell ref="UCT33:UCV33"/>
    <mergeCell ref="UCW33:UCY33"/>
    <mergeCell ref="UCZ33:UDB33"/>
    <mergeCell ref="UDC33:UDE33"/>
    <mergeCell ref="UDF33:UDH33"/>
    <mergeCell ref="UCE33:UCG33"/>
    <mergeCell ref="UCH33:UCJ33"/>
    <mergeCell ref="UCK33:UCM33"/>
    <mergeCell ref="UCN33:UCP33"/>
    <mergeCell ref="UCQ33:UCS33"/>
    <mergeCell ref="UJR33:UJT33"/>
    <mergeCell ref="UJU33:UJW33"/>
    <mergeCell ref="UJX33:UJZ33"/>
    <mergeCell ref="UKA33:UKC33"/>
    <mergeCell ref="UKD33:UKF33"/>
    <mergeCell ref="UJC33:UJE33"/>
    <mergeCell ref="UJF33:UJH33"/>
    <mergeCell ref="UJI33:UJK33"/>
    <mergeCell ref="UJL33:UJN33"/>
    <mergeCell ref="UJO33:UJQ33"/>
    <mergeCell ref="UIN33:UIP33"/>
    <mergeCell ref="UIQ33:UIS33"/>
    <mergeCell ref="UIT33:UIV33"/>
    <mergeCell ref="UIW33:UIY33"/>
    <mergeCell ref="UIZ33:UJB33"/>
    <mergeCell ref="UHY33:UIA33"/>
    <mergeCell ref="UIB33:UID33"/>
    <mergeCell ref="UIE33:UIG33"/>
    <mergeCell ref="UIH33:UIJ33"/>
    <mergeCell ref="UIK33:UIM33"/>
    <mergeCell ref="UHJ33:UHL33"/>
    <mergeCell ref="UHM33:UHO33"/>
    <mergeCell ref="UHP33:UHR33"/>
    <mergeCell ref="UHS33:UHU33"/>
    <mergeCell ref="UHV33:UHX33"/>
    <mergeCell ref="UGU33:UGW33"/>
    <mergeCell ref="UGX33:UGZ33"/>
    <mergeCell ref="UHA33:UHC33"/>
    <mergeCell ref="UHD33:UHF33"/>
    <mergeCell ref="UHG33:UHI33"/>
    <mergeCell ref="UGF33:UGH33"/>
    <mergeCell ref="UGI33:UGK33"/>
    <mergeCell ref="UGL33:UGN33"/>
    <mergeCell ref="UGO33:UGQ33"/>
    <mergeCell ref="UGR33:UGT33"/>
    <mergeCell ref="UNS33:UNU33"/>
    <mergeCell ref="UNV33:UNX33"/>
    <mergeCell ref="UNY33:UOA33"/>
    <mergeCell ref="UOB33:UOD33"/>
    <mergeCell ref="UOE33:UOG33"/>
    <mergeCell ref="UND33:UNF33"/>
    <mergeCell ref="UNG33:UNI33"/>
    <mergeCell ref="UNJ33:UNL33"/>
    <mergeCell ref="UNM33:UNO33"/>
    <mergeCell ref="UNP33:UNR33"/>
    <mergeCell ref="UMO33:UMQ33"/>
    <mergeCell ref="UMR33:UMT33"/>
    <mergeCell ref="UMU33:UMW33"/>
    <mergeCell ref="UMX33:UMZ33"/>
    <mergeCell ref="UNA33:UNC33"/>
    <mergeCell ref="ULZ33:UMB33"/>
    <mergeCell ref="UMC33:UME33"/>
    <mergeCell ref="UMF33:UMH33"/>
    <mergeCell ref="UMI33:UMK33"/>
    <mergeCell ref="UML33:UMN33"/>
    <mergeCell ref="ULK33:ULM33"/>
    <mergeCell ref="ULN33:ULP33"/>
    <mergeCell ref="ULQ33:ULS33"/>
    <mergeCell ref="ULT33:ULV33"/>
    <mergeCell ref="ULW33:ULY33"/>
    <mergeCell ref="UKV33:UKX33"/>
    <mergeCell ref="UKY33:ULA33"/>
    <mergeCell ref="ULB33:ULD33"/>
    <mergeCell ref="ULE33:ULG33"/>
    <mergeCell ref="ULH33:ULJ33"/>
    <mergeCell ref="UKG33:UKI33"/>
    <mergeCell ref="UKJ33:UKL33"/>
    <mergeCell ref="UKM33:UKO33"/>
    <mergeCell ref="UKP33:UKR33"/>
    <mergeCell ref="UKS33:UKU33"/>
    <mergeCell ref="URT33:URV33"/>
    <mergeCell ref="URW33:URY33"/>
    <mergeCell ref="URZ33:USB33"/>
    <mergeCell ref="USC33:USE33"/>
    <mergeCell ref="USF33:USH33"/>
    <mergeCell ref="URE33:URG33"/>
    <mergeCell ref="URH33:URJ33"/>
    <mergeCell ref="URK33:URM33"/>
    <mergeCell ref="URN33:URP33"/>
    <mergeCell ref="URQ33:URS33"/>
    <mergeCell ref="UQP33:UQR33"/>
    <mergeCell ref="UQS33:UQU33"/>
    <mergeCell ref="UQV33:UQX33"/>
    <mergeCell ref="UQY33:URA33"/>
    <mergeCell ref="URB33:URD33"/>
    <mergeCell ref="UQA33:UQC33"/>
    <mergeCell ref="UQD33:UQF33"/>
    <mergeCell ref="UQG33:UQI33"/>
    <mergeCell ref="UQJ33:UQL33"/>
    <mergeCell ref="UQM33:UQO33"/>
    <mergeCell ref="UPL33:UPN33"/>
    <mergeCell ref="UPO33:UPQ33"/>
    <mergeCell ref="UPR33:UPT33"/>
    <mergeCell ref="UPU33:UPW33"/>
    <mergeCell ref="UPX33:UPZ33"/>
    <mergeCell ref="UOW33:UOY33"/>
    <mergeCell ref="UOZ33:UPB33"/>
    <mergeCell ref="UPC33:UPE33"/>
    <mergeCell ref="UPF33:UPH33"/>
    <mergeCell ref="UPI33:UPK33"/>
    <mergeCell ref="UOH33:UOJ33"/>
    <mergeCell ref="UOK33:UOM33"/>
    <mergeCell ref="UON33:UOP33"/>
    <mergeCell ref="UOQ33:UOS33"/>
    <mergeCell ref="UOT33:UOV33"/>
    <mergeCell ref="UVU33:UVW33"/>
    <mergeCell ref="UVX33:UVZ33"/>
    <mergeCell ref="UWA33:UWC33"/>
    <mergeCell ref="UWD33:UWF33"/>
    <mergeCell ref="UWG33:UWI33"/>
    <mergeCell ref="UVF33:UVH33"/>
    <mergeCell ref="UVI33:UVK33"/>
    <mergeCell ref="UVL33:UVN33"/>
    <mergeCell ref="UVO33:UVQ33"/>
    <mergeCell ref="UVR33:UVT33"/>
    <mergeCell ref="UUQ33:UUS33"/>
    <mergeCell ref="UUT33:UUV33"/>
    <mergeCell ref="UUW33:UUY33"/>
    <mergeCell ref="UUZ33:UVB33"/>
    <mergeCell ref="UVC33:UVE33"/>
    <mergeCell ref="UUB33:UUD33"/>
    <mergeCell ref="UUE33:UUG33"/>
    <mergeCell ref="UUH33:UUJ33"/>
    <mergeCell ref="UUK33:UUM33"/>
    <mergeCell ref="UUN33:UUP33"/>
    <mergeCell ref="UTM33:UTO33"/>
    <mergeCell ref="UTP33:UTR33"/>
    <mergeCell ref="UTS33:UTU33"/>
    <mergeCell ref="UTV33:UTX33"/>
    <mergeCell ref="UTY33:UUA33"/>
    <mergeCell ref="USX33:USZ33"/>
    <mergeCell ref="UTA33:UTC33"/>
    <mergeCell ref="UTD33:UTF33"/>
    <mergeCell ref="UTG33:UTI33"/>
    <mergeCell ref="UTJ33:UTL33"/>
    <mergeCell ref="USI33:USK33"/>
    <mergeCell ref="USL33:USN33"/>
    <mergeCell ref="USO33:USQ33"/>
    <mergeCell ref="USR33:UST33"/>
    <mergeCell ref="USU33:USW33"/>
    <mergeCell ref="UZV33:UZX33"/>
    <mergeCell ref="UZY33:VAA33"/>
    <mergeCell ref="VAB33:VAD33"/>
    <mergeCell ref="VAE33:VAG33"/>
    <mergeCell ref="VAH33:VAJ33"/>
    <mergeCell ref="UZG33:UZI33"/>
    <mergeCell ref="UZJ33:UZL33"/>
    <mergeCell ref="UZM33:UZO33"/>
    <mergeCell ref="UZP33:UZR33"/>
    <mergeCell ref="UZS33:UZU33"/>
    <mergeCell ref="UYR33:UYT33"/>
    <mergeCell ref="UYU33:UYW33"/>
    <mergeCell ref="UYX33:UYZ33"/>
    <mergeCell ref="UZA33:UZC33"/>
    <mergeCell ref="UZD33:UZF33"/>
    <mergeCell ref="UYC33:UYE33"/>
    <mergeCell ref="UYF33:UYH33"/>
    <mergeCell ref="UYI33:UYK33"/>
    <mergeCell ref="UYL33:UYN33"/>
    <mergeCell ref="UYO33:UYQ33"/>
    <mergeCell ref="UXN33:UXP33"/>
    <mergeCell ref="UXQ33:UXS33"/>
    <mergeCell ref="UXT33:UXV33"/>
    <mergeCell ref="UXW33:UXY33"/>
    <mergeCell ref="UXZ33:UYB33"/>
    <mergeCell ref="UWY33:UXA33"/>
    <mergeCell ref="UXB33:UXD33"/>
    <mergeCell ref="UXE33:UXG33"/>
    <mergeCell ref="UXH33:UXJ33"/>
    <mergeCell ref="UXK33:UXM33"/>
    <mergeCell ref="UWJ33:UWL33"/>
    <mergeCell ref="UWM33:UWO33"/>
    <mergeCell ref="UWP33:UWR33"/>
    <mergeCell ref="UWS33:UWU33"/>
    <mergeCell ref="UWV33:UWX33"/>
    <mergeCell ref="VDW33:VDY33"/>
    <mergeCell ref="VDZ33:VEB33"/>
    <mergeCell ref="VEC33:VEE33"/>
    <mergeCell ref="VEF33:VEH33"/>
    <mergeCell ref="VEI33:VEK33"/>
    <mergeCell ref="VDH33:VDJ33"/>
    <mergeCell ref="VDK33:VDM33"/>
    <mergeCell ref="VDN33:VDP33"/>
    <mergeCell ref="VDQ33:VDS33"/>
    <mergeCell ref="VDT33:VDV33"/>
    <mergeCell ref="VCS33:VCU33"/>
    <mergeCell ref="VCV33:VCX33"/>
    <mergeCell ref="VCY33:VDA33"/>
    <mergeCell ref="VDB33:VDD33"/>
    <mergeCell ref="VDE33:VDG33"/>
    <mergeCell ref="VCD33:VCF33"/>
    <mergeCell ref="VCG33:VCI33"/>
    <mergeCell ref="VCJ33:VCL33"/>
    <mergeCell ref="VCM33:VCO33"/>
    <mergeCell ref="VCP33:VCR33"/>
    <mergeCell ref="VBO33:VBQ33"/>
    <mergeCell ref="VBR33:VBT33"/>
    <mergeCell ref="VBU33:VBW33"/>
    <mergeCell ref="VBX33:VBZ33"/>
    <mergeCell ref="VCA33:VCC33"/>
    <mergeCell ref="VAZ33:VBB33"/>
    <mergeCell ref="VBC33:VBE33"/>
    <mergeCell ref="VBF33:VBH33"/>
    <mergeCell ref="VBI33:VBK33"/>
    <mergeCell ref="VBL33:VBN33"/>
    <mergeCell ref="VAK33:VAM33"/>
    <mergeCell ref="VAN33:VAP33"/>
    <mergeCell ref="VAQ33:VAS33"/>
    <mergeCell ref="VAT33:VAV33"/>
    <mergeCell ref="VAW33:VAY33"/>
    <mergeCell ref="VHX33:VHZ33"/>
    <mergeCell ref="VIA33:VIC33"/>
    <mergeCell ref="VID33:VIF33"/>
    <mergeCell ref="VIG33:VII33"/>
    <mergeCell ref="VIJ33:VIL33"/>
    <mergeCell ref="VHI33:VHK33"/>
    <mergeCell ref="VHL33:VHN33"/>
    <mergeCell ref="VHO33:VHQ33"/>
    <mergeCell ref="VHR33:VHT33"/>
    <mergeCell ref="VHU33:VHW33"/>
    <mergeCell ref="VGT33:VGV33"/>
    <mergeCell ref="VGW33:VGY33"/>
    <mergeCell ref="VGZ33:VHB33"/>
    <mergeCell ref="VHC33:VHE33"/>
    <mergeCell ref="VHF33:VHH33"/>
    <mergeCell ref="VGE33:VGG33"/>
    <mergeCell ref="VGH33:VGJ33"/>
    <mergeCell ref="VGK33:VGM33"/>
    <mergeCell ref="VGN33:VGP33"/>
    <mergeCell ref="VGQ33:VGS33"/>
    <mergeCell ref="VFP33:VFR33"/>
    <mergeCell ref="VFS33:VFU33"/>
    <mergeCell ref="VFV33:VFX33"/>
    <mergeCell ref="VFY33:VGA33"/>
    <mergeCell ref="VGB33:VGD33"/>
    <mergeCell ref="VFA33:VFC33"/>
    <mergeCell ref="VFD33:VFF33"/>
    <mergeCell ref="VFG33:VFI33"/>
    <mergeCell ref="VFJ33:VFL33"/>
    <mergeCell ref="VFM33:VFO33"/>
    <mergeCell ref="VEL33:VEN33"/>
    <mergeCell ref="VEO33:VEQ33"/>
    <mergeCell ref="VER33:VET33"/>
    <mergeCell ref="VEU33:VEW33"/>
    <mergeCell ref="VEX33:VEZ33"/>
    <mergeCell ref="VLY33:VMA33"/>
    <mergeCell ref="VMB33:VMD33"/>
    <mergeCell ref="VME33:VMG33"/>
    <mergeCell ref="VMH33:VMJ33"/>
    <mergeCell ref="VMK33:VMM33"/>
    <mergeCell ref="VLJ33:VLL33"/>
    <mergeCell ref="VLM33:VLO33"/>
    <mergeCell ref="VLP33:VLR33"/>
    <mergeCell ref="VLS33:VLU33"/>
    <mergeCell ref="VLV33:VLX33"/>
    <mergeCell ref="VKU33:VKW33"/>
    <mergeCell ref="VKX33:VKZ33"/>
    <mergeCell ref="VLA33:VLC33"/>
    <mergeCell ref="VLD33:VLF33"/>
    <mergeCell ref="VLG33:VLI33"/>
    <mergeCell ref="VKF33:VKH33"/>
    <mergeCell ref="VKI33:VKK33"/>
    <mergeCell ref="VKL33:VKN33"/>
    <mergeCell ref="VKO33:VKQ33"/>
    <mergeCell ref="VKR33:VKT33"/>
    <mergeCell ref="VJQ33:VJS33"/>
    <mergeCell ref="VJT33:VJV33"/>
    <mergeCell ref="VJW33:VJY33"/>
    <mergeCell ref="VJZ33:VKB33"/>
    <mergeCell ref="VKC33:VKE33"/>
    <mergeCell ref="VJB33:VJD33"/>
    <mergeCell ref="VJE33:VJG33"/>
    <mergeCell ref="VJH33:VJJ33"/>
    <mergeCell ref="VJK33:VJM33"/>
    <mergeCell ref="VJN33:VJP33"/>
    <mergeCell ref="VIM33:VIO33"/>
    <mergeCell ref="VIP33:VIR33"/>
    <mergeCell ref="VIS33:VIU33"/>
    <mergeCell ref="VIV33:VIX33"/>
    <mergeCell ref="VIY33:VJA33"/>
    <mergeCell ref="VPZ33:VQB33"/>
    <mergeCell ref="VQC33:VQE33"/>
    <mergeCell ref="VQF33:VQH33"/>
    <mergeCell ref="VQI33:VQK33"/>
    <mergeCell ref="VQL33:VQN33"/>
    <mergeCell ref="VPK33:VPM33"/>
    <mergeCell ref="VPN33:VPP33"/>
    <mergeCell ref="VPQ33:VPS33"/>
    <mergeCell ref="VPT33:VPV33"/>
    <mergeCell ref="VPW33:VPY33"/>
    <mergeCell ref="VOV33:VOX33"/>
    <mergeCell ref="VOY33:VPA33"/>
    <mergeCell ref="VPB33:VPD33"/>
    <mergeCell ref="VPE33:VPG33"/>
    <mergeCell ref="VPH33:VPJ33"/>
    <mergeCell ref="VOG33:VOI33"/>
    <mergeCell ref="VOJ33:VOL33"/>
    <mergeCell ref="VOM33:VOO33"/>
    <mergeCell ref="VOP33:VOR33"/>
    <mergeCell ref="VOS33:VOU33"/>
    <mergeCell ref="VNR33:VNT33"/>
    <mergeCell ref="VNU33:VNW33"/>
    <mergeCell ref="VNX33:VNZ33"/>
    <mergeCell ref="VOA33:VOC33"/>
    <mergeCell ref="VOD33:VOF33"/>
    <mergeCell ref="VNC33:VNE33"/>
    <mergeCell ref="VNF33:VNH33"/>
    <mergeCell ref="VNI33:VNK33"/>
    <mergeCell ref="VNL33:VNN33"/>
    <mergeCell ref="VNO33:VNQ33"/>
    <mergeCell ref="VMN33:VMP33"/>
    <mergeCell ref="VMQ33:VMS33"/>
    <mergeCell ref="VMT33:VMV33"/>
    <mergeCell ref="VMW33:VMY33"/>
    <mergeCell ref="VMZ33:VNB33"/>
    <mergeCell ref="VUA33:VUC33"/>
    <mergeCell ref="VUD33:VUF33"/>
    <mergeCell ref="VUG33:VUI33"/>
    <mergeCell ref="VUJ33:VUL33"/>
    <mergeCell ref="VUM33:VUO33"/>
    <mergeCell ref="VTL33:VTN33"/>
    <mergeCell ref="VTO33:VTQ33"/>
    <mergeCell ref="VTR33:VTT33"/>
    <mergeCell ref="VTU33:VTW33"/>
    <mergeCell ref="VTX33:VTZ33"/>
    <mergeCell ref="VSW33:VSY33"/>
    <mergeCell ref="VSZ33:VTB33"/>
    <mergeCell ref="VTC33:VTE33"/>
    <mergeCell ref="VTF33:VTH33"/>
    <mergeCell ref="VTI33:VTK33"/>
    <mergeCell ref="VSH33:VSJ33"/>
    <mergeCell ref="VSK33:VSM33"/>
    <mergeCell ref="VSN33:VSP33"/>
    <mergeCell ref="VSQ33:VSS33"/>
    <mergeCell ref="VST33:VSV33"/>
    <mergeCell ref="VRS33:VRU33"/>
    <mergeCell ref="VRV33:VRX33"/>
    <mergeCell ref="VRY33:VSA33"/>
    <mergeCell ref="VSB33:VSD33"/>
    <mergeCell ref="VSE33:VSG33"/>
    <mergeCell ref="VRD33:VRF33"/>
    <mergeCell ref="VRG33:VRI33"/>
    <mergeCell ref="VRJ33:VRL33"/>
    <mergeCell ref="VRM33:VRO33"/>
    <mergeCell ref="VRP33:VRR33"/>
    <mergeCell ref="VQO33:VQQ33"/>
    <mergeCell ref="VQR33:VQT33"/>
    <mergeCell ref="VQU33:VQW33"/>
    <mergeCell ref="VQX33:VQZ33"/>
    <mergeCell ref="VRA33:VRC33"/>
    <mergeCell ref="VYB33:VYD33"/>
    <mergeCell ref="VYE33:VYG33"/>
    <mergeCell ref="VYH33:VYJ33"/>
    <mergeCell ref="VYK33:VYM33"/>
    <mergeCell ref="VYN33:VYP33"/>
    <mergeCell ref="VXM33:VXO33"/>
    <mergeCell ref="VXP33:VXR33"/>
    <mergeCell ref="VXS33:VXU33"/>
    <mergeCell ref="VXV33:VXX33"/>
    <mergeCell ref="VXY33:VYA33"/>
    <mergeCell ref="VWX33:VWZ33"/>
    <mergeCell ref="VXA33:VXC33"/>
    <mergeCell ref="VXD33:VXF33"/>
    <mergeCell ref="VXG33:VXI33"/>
    <mergeCell ref="VXJ33:VXL33"/>
    <mergeCell ref="VWI33:VWK33"/>
    <mergeCell ref="VWL33:VWN33"/>
    <mergeCell ref="VWO33:VWQ33"/>
    <mergeCell ref="VWR33:VWT33"/>
    <mergeCell ref="VWU33:VWW33"/>
    <mergeCell ref="VVT33:VVV33"/>
    <mergeCell ref="VVW33:VVY33"/>
    <mergeCell ref="VVZ33:VWB33"/>
    <mergeCell ref="VWC33:VWE33"/>
    <mergeCell ref="VWF33:VWH33"/>
    <mergeCell ref="VVE33:VVG33"/>
    <mergeCell ref="VVH33:VVJ33"/>
    <mergeCell ref="VVK33:VVM33"/>
    <mergeCell ref="VVN33:VVP33"/>
    <mergeCell ref="VVQ33:VVS33"/>
    <mergeCell ref="VUP33:VUR33"/>
    <mergeCell ref="VUS33:VUU33"/>
    <mergeCell ref="VUV33:VUX33"/>
    <mergeCell ref="VUY33:VVA33"/>
    <mergeCell ref="VVB33:VVD33"/>
    <mergeCell ref="WCC33:WCE33"/>
    <mergeCell ref="WCF33:WCH33"/>
    <mergeCell ref="WCI33:WCK33"/>
    <mergeCell ref="WCL33:WCN33"/>
    <mergeCell ref="WCO33:WCQ33"/>
    <mergeCell ref="WBN33:WBP33"/>
    <mergeCell ref="WBQ33:WBS33"/>
    <mergeCell ref="WBT33:WBV33"/>
    <mergeCell ref="WBW33:WBY33"/>
    <mergeCell ref="WBZ33:WCB33"/>
    <mergeCell ref="WAY33:WBA33"/>
    <mergeCell ref="WBB33:WBD33"/>
    <mergeCell ref="WBE33:WBG33"/>
    <mergeCell ref="WBH33:WBJ33"/>
    <mergeCell ref="WBK33:WBM33"/>
    <mergeCell ref="WAJ33:WAL33"/>
    <mergeCell ref="WAM33:WAO33"/>
    <mergeCell ref="WAP33:WAR33"/>
    <mergeCell ref="WAS33:WAU33"/>
    <mergeCell ref="WAV33:WAX33"/>
    <mergeCell ref="VZU33:VZW33"/>
    <mergeCell ref="VZX33:VZZ33"/>
    <mergeCell ref="WAA33:WAC33"/>
    <mergeCell ref="WAD33:WAF33"/>
    <mergeCell ref="WAG33:WAI33"/>
    <mergeCell ref="VZF33:VZH33"/>
    <mergeCell ref="VZI33:VZK33"/>
    <mergeCell ref="VZL33:VZN33"/>
    <mergeCell ref="VZO33:VZQ33"/>
    <mergeCell ref="VZR33:VZT33"/>
    <mergeCell ref="VYQ33:VYS33"/>
    <mergeCell ref="VYT33:VYV33"/>
    <mergeCell ref="VYW33:VYY33"/>
    <mergeCell ref="VYZ33:VZB33"/>
    <mergeCell ref="VZC33:VZE33"/>
    <mergeCell ref="WGD33:WGF33"/>
    <mergeCell ref="WGG33:WGI33"/>
    <mergeCell ref="WGJ33:WGL33"/>
    <mergeCell ref="WGM33:WGO33"/>
    <mergeCell ref="WGP33:WGR33"/>
    <mergeCell ref="WFO33:WFQ33"/>
    <mergeCell ref="WFR33:WFT33"/>
    <mergeCell ref="WFU33:WFW33"/>
    <mergeCell ref="WFX33:WFZ33"/>
    <mergeCell ref="WGA33:WGC33"/>
    <mergeCell ref="WEZ33:WFB33"/>
    <mergeCell ref="WFC33:WFE33"/>
    <mergeCell ref="WFF33:WFH33"/>
    <mergeCell ref="WFI33:WFK33"/>
    <mergeCell ref="WFL33:WFN33"/>
    <mergeCell ref="WEK33:WEM33"/>
    <mergeCell ref="WEN33:WEP33"/>
    <mergeCell ref="WEQ33:WES33"/>
    <mergeCell ref="WET33:WEV33"/>
    <mergeCell ref="WEW33:WEY33"/>
    <mergeCell ref="WDV33:WDX33"/>
    <mergeCell ref="WDY33:WEA33"/>
    <mergeCell ref="WEB33:WED33"/>
    <mergeCell ref="WEE33:WEG33"/>
    <mergeCell ref="WEH33:WEJ33"/>
    <mergeCell ref="WDG33:WDI33"/>
    <mergeCell ref="WDJ33:WDL33"/>
    <mergeCell ref="WDM33:WDO33"/>
    <mergeCell ref="WDP33:WDR33"/>
    <mergeCell ref="WDS33:WDU33"/>
    <mergeCell ref="WCR33:WCT33"/>
    <mergeCell ref="WCU33:WCW33"/>
    <mergeCell ref="WCX33:WCZ33"/>
    <mergeCell ref="WDA33:WDC33"/>
    <mergeCell ref="WDD33:WDF33"/>
    <mergeCell ref="WKE33:WKG33"/>
    <mergeCell ref="WKH33:WKJ33"/>
    <mergeCell ref="WKK33:WKM33"/>
    <mergeCell ref="WKN33:WKP33"/>
    <mergeCell ref="WKQ33:WKS33"/>
    <mergeCell ref="WJP33:WJR33"/>
    <mergeCell ref="WJS33:WJU33"/>
    <mergeCell ref="WJV33:WJX33"/>
    <mergeCell ref="WJY33:WKA33"/>
    <mergeCell ref="WKB33:WKD33"/>
    <mergeCell ref="WJA33:WJC33"/>
    <mergeCell ref="WJD33:WJF33"/>
    <mergeCell ref="WJG33:WJI33"/>
    <mergeCell ref="WJJ33:WJL33"/>
    <mergeCell ref="WJM33:WJO33"/>
    <mergeCell ref="WIL33:WIN33"/>
    <mergeCell ref="WIO33:WIQ33"/>
    <mergeCell ref="WIR33:WIT33"/>
    <mergeCell ref="WIU33:WIW33"/>
    <mergeCell ref="WIX33:WIZ33"/>
    <mergeCell ref="WHW33:WHY33"/>
    <mergeCell ref="WHZ33:WIB33"/>
    <mergeCell ref="WIC33:WIE33"/>
    <mergeCell ref="WIF33:WIH33"/>
    <mergeCell ref="WII33:WIK33"/>
    <mergeCell ref="WHH33:WHJ33"/>
    <mergeCell ref="WHK33:WHM33"/>
    <mergeCell ref="WHN33:WHP33"/>
    <mergeCell ref="WHQ33:WHS33"/>
    <mergeCell ref="WHT33:WHV33"/>
    <mergeCell ref="WGS33:WGU33"/>
    <mergeCell ref="WGV33:WGX33"/>
    <mergeCell ref="WGY33:WHA33"/>
    <mergeCell ref="WHB33:WHD33"/>
    <mergeCell ref="WHE33:WHG33"/>
    <mergeCell ref="WOF33:WOH33"/>
    <mergeCell ref="WOI33:WOK33"/>
    <mergeCell ref="WOL33:WON33"/>
    <mergeCell ref="WOO33:WOQ33"/>
    <mergeCell ref="WOR33:WOT33"/>
    <mergeCell ref="WNQ33:WNS33"/>
    <mergeCell ref="WNT33:WNV33"/>
    <mergeCell ref="WNW33:WNY33"/>
    <mergeCell ref="WNZ33:WOB33"/>
    <mergeCell ref="WOC33:WOE33"/>
    <mergeCell ref="WNB33:WND33"/>
    <mergeCell ref="WNE33:WNG33"/>
    <mergeCell ref="WNH33:WNJ33"/>
    <mergeCell ref="WNK33:WNM33"/>
    <mergeCell ref="WNN33:WNP33"/>
    <mergeCell ref="WMM33:WMO33"/>
    <mergeCell ref="WMP33:WMR33"/>
    <mergeCell ref="WMS33:WMU33"/>
    <mergeCell ref="WMV33:WMX33"/>
    <mergeCell ref="WMY33:WNA33"/>
    <mergeCell ref="WLX33:WLZ33"/>
    <mergeCell ref="WMA33:WMC33"/>
    <mergeCell ref="WMD33:WMF33"/>
    <mergeCell ref="WMG33:WMI33"/>
    <mergeCell ref="WMJ33:WML33"/>
    <mergeCell ref="WLI33:WLK33"/>
    <mergeCell ref="WLL33:WLN33"/>
    <mergeCell ref="WLO33:WLQ33"/>
    <mergeCell ref="WLR33:WLT33"/>
    <mergeCell ref="WLU33:WLW33"/>
    <mergeCell ref="WKT33:WKV33"/>
    <mergeCell ref="WKW33:WKY33"/>
    <mergeCell ref="WKZ33:WLB33"/>
    <mergeCell ref="WLC33:WLE33"/>
    <mergeCell ref="WLF33:WLH33"/>
    <mergeCell ref="WSG33:WSI33"/>
    <mergeCell ref="WSJ33:WSL33"/>
    <mergeCell ref="WSM33:WSO33"/>
    <mergeCell ref="WSP33:WSR33"/>
    <mergeCell ref="WSS33:WSU33"/>
    <mergeCell ref="WRR33:WRT33"/>
    <mergeCell ref="WRU33:WRW33"/>
    <mergeCell ref="WRX33:WRZ33"/>
    <mergeCell ref="WSA33:WSC33"/>
    <mergeCell ref="WSD33:WSF33"/>
    <mergeCell ref="WRC33:WRE33"/>
    <mergeCell ref="WRF33:WRH33"/>
    <mergeCell ref="WRI33:WRK33"/>
    <mergeCell ref="WRL33:WRN33"/>
    <mergeCell ref="WRO33:WRQ33"/>
    <mergeCell ref="WQN33:WQP33"/>
    <mergeCell ref="WQQ33:WQS33"/>
    <mergeCell ref="WQT33:WQV33"/>
    <mergeCell ref="WQW33:WQY33"/>
    <mergeCell ref="WQZ33:WRB33"/>
    <mergeCell ref="WPY33:WQA33"/>
    <mergeCell ref="WQB33:WQD33"/>
    <mergeCell ref="WQE33:WQG33"/>
    <mergeCell ref="WQH33:WQJ33"/>
    <mergeCell ref="WQK33:WQM33"/>
    <mergeCell ref="WPJ33:WPL33"/>
    <mergeCell ref="WPM33:WPO33"/>
    <mergeCell ref="WPP33:WPR33"/>
    <mergeCell ref="WPS33:WPU33"/>
    <mergeCell ref="WPV33:WPX33"/>
    <mergeCell ref="WOU33:WOW33"/>
    <mergeCell ref="WOX33:WOZ33"/>
    <mergeCell ref="WPA33:WPC33"/>
    <mergeCell ref="WPD33:WPF33"/>
    <mergeCell ref="WPG33:WPI33"/>
    <mergeCell ref="WWH33:WWJ33"/>
    <mergeCell ref="WWK33:WWM33"/>
    <mergeCell ref="WWN33:WWP33"/>
    <mergeCell ref="WWQ33:WWS33"/>
    <mergeCell ref="WWT33:WWV33"/>
    <mergeCell ref="WVS33:WVU33"/>
    <mergeCell ref="WVV33:WVX33"/>
    <mergeCell ref="WVY33:WWA33"/>
    <mergeCell ref="WWB33:WWD33"/>
    <mergeCell ref="WWE33:WWG33"/>
    <mergeCell ref="WVD33:WVF33"/>
    <mergeCell ref="WVG33:WVI33"/>
    <mergeCell ref="WVJ33:WVL33"/>
    <mergeCell ref="WVM33:WVO33"/>
    <mergeCell ref="WVP33:WVR33"/>
    <mergeCell ref="WUO33:WUQ33"/>
    <mergeCell ref="WUR33:WUT33"/>
    <mergeCell ref="WUU33:WUW33"/>
    <mergeCell ref="WUX33:WUZ33"/>
    <mergeCell ref="WVA33:WVC33"/>
    <mergeCell ref="WTZ33:WUB33"/>
    <mergeCell ref="WUC33:WUE33"/>
    <mergeCell ref="WUF33:WUH33"/>
    <mergeCell ref="WUI33:WUK33"/>
    <mergeCell ref="WUL33:WUN33"/>
    <mergeCell ref="WTK33:WTM33"/>
    <mergeCell ref="WTN33:WTP33"/>
    <mergeCell ref="WTQ33:WTS33"/>
    <mergeCell ref="WTT33:WTV33"/>
    <mergeCell ref="WTW33:WTY33"/>
    <mergeCell ref="WSV33:WSX33"/>
    <mergeCell ref="WSY33:WTA33"/>
    <mergeCell ref="WTB33:WTD33"/>
    <mergeCell ref="WTE33:WTG33"/>
    <mergeCell ref="WTH33:WTJ33"/>
    <mergeCell ref="XAI33:XAK33"/>
    <mergeCell ref="XAL33:XAN33"/>
    <mergeCell ref="XAO33:XAQ33"/>
    <mergeCell ref="XAR33:XAT33"/>
    <mergeCell ref="XAU33:XAW33"/>
    <mergeCell ref="WZT33:WZV33"/>
    <mergeCell ref="WZW33:WZY33"/>
    <mergeCell ref="WZZ33:XAB33"/>
    <mergeCell ref="XAC33:XAE33"/>
    <mergeCell ref="XAF33:XAH33"/>
    <mergeCell ref="WZE33:WZG33"/>
    <mergeCell ref="WZH33:WZJ33"/>
    <mergeCell ref="WZK33:WZM33"/>
    <mergeCell ref="WZN33:WZP33"/>
    <mergeCell ref="WZQ33:WZS33"/>
    <mergeCell ref="WYP33:WYR33"/>
    <mergeCell ref="WYS33:WYU33"/>
    <mergeCell ref="WYV33:WYX33"/>
    <mergeCell ref="WYY33:WZA33"/>
    <mergeCell ref="WZB33:WZD33"/>
    <mergeCell ref="WYA33:WYC33"/>
    <mergeCell ref="WYD33:WYF33"/>
    <mergeCell ref="WYG33:WYI33"/>
    <mergeCell ref="WYJ33:WYL33"/>
    <mergeCell ref="WYM33:WYO33"/>
    <mergeCell ref="WXL33:WXN33"/>
    <mergeCell ref="WXO33:WXQ33"/>
    <mergeCell ref="WXR33:WXT33"/>
    <mergeCell ref="WXU33:WXW33"/>
    <mergeCell ref="WXX33:WXZ33"/>
    <mergeCell ref="WWW33:WWY33"/>
    <mergeCell ref="WWZ33:WXB33"/>
    <mergeCell ref="WXC33:WXE33"/>
    <mergeCell ref="WXF33:WXH33"/>
    <mergeCell ref="WXI33:WXK33"/>
    <mergeCell ref="XEY33:XFA33"/>
    <mergeCell ref="XEJ33:XEL33"/>
    <mergeCell ref="XEM33:XEO33"/>
    <mergeCell ref="XEP33:XER33"/>
    <mergeCell ref="XES33:XEU33"/>
    <mergeCell ref="XEV33:XEX33"/>
    <mergeCell ref="XDU33:XDW33"/>
    <mergeCell ref="XDX33:XDZ33"/>
    <mergeCell ref="XEA33:XEC33"/>
    <mergeCell ref="XED33:XEF33"/>
    <mergeCell ref="XEG33:XEI33"/>
    <mergeCell ref="XDF33:XDH33"/>
    <mergeCell ref="XDI33:XDK33"/>
    <mergeCell ref="XDL33:XDN33"/>
    <mergeCell ref="XDO33:XDQ33"/>
    <mergeCell ref="XDR33:XDT33"/>
    <mergeCell ref="XCQ33:XCS33"/>
    <mergeCell ref="XCT33:XCV33"/>
    <mergeCell ref="XCW33:XCY33"/>
    <mergeCell ref="XCZ33:XDB33"/>
    <mergeCell ref="XDC33:XDE33"/>
    <mergeCell ref="XCB33:XCD33"/>
    <mergeCell ref="XCE33:XCG33"/>
    <mergeCell ref="XCH33:XCJ33"/>
    <mergeCell ref="XCK33:XCM33"/>
    <mergeCell ref="XCN33:XCP33"/>
    <mergeCell ref="XBM33:XBO33"/>
    <mergeCell ref="XBP33:XBR33"/>
    <mergeCell ref="XBS33:XBU33"/>
    <mergeCell ref="XBV33:XBX33"/>
    <mergeCell ref="XBY33:XCA33"/>
    <mergeCell ref="XAX33:XAZ33"/>
    <mergeCell ref="XBA33:XBC33"/>
    <mergeCell ref="XBD33:XBF33"/>
    <mergeCell ref="XBG33:XBI33"/>
    <mergeCell ref="XBJ33:XBL33"/>
  </mergeCells>
  <dataValidations count="9">
    <dataValidation type="list" allowBlank="1" showInputMessage="1" showErrorMessage="1" sqref="B32" xr:uid="{00000000-0002-0000-4900-000000000000}">
      <formula1>$B$113:$B$210</formula1>
    </dataValidation>
    <dataValidation type="list" allowBlank="1" showInputMessage="1" showErrorMessage="1" sqref="B64" xr:uid="{00000000-0002-0000-4900-000001000000}">
      <formula1>$C$113:$C$231</formula1>
    </dataValidation>
    <dataValidation type="list" allowBlank="1" showInputMessage="1" showErrorMessage="1" sqref="K4" xr:uid="{00000000-0002-0000-4900-000002000000}">
      <formula1>$K$113:$K$115</formula1>
    </dataValidation>
    <dataValidation type="list" allowBlank="1" showInputMessage="1" showErrorMessage="1" sqref="C72:E72" xr:uid="{00000000-0002-0000-4900-000003000000}">
      <formula1>RealEstateList</formula1>
    </dataValidation>
    <dataValidation type="list" allowBlank="1" showInputMessage="1" showErrorMessage="1" sqref="B12:B31" xr:uid="{00000000-0002-0000-4900-000004000000}">
      <formula1>OperationList</formula1>
    </dataValidation>
    <dataValidation type="list" allowBlank="1" showInputMessage="1" showErrorMessage="1" sqref="D12:D32" xr:uid="{00000000-0002-0000-4900-000005000000}">
      <formula1>#REF!</formula1>
    </dataValidation>
    <dataValidation type="list" allowBlank="1" showInputMessage="1" showErrorMessage="1" sqref="K2" xr:uid="{00000000-0002-0000-4900-000006000000}">
      <formula1>watersource</formula1>
    </dataValidation>
    <dataValidation type="list" allowBlank="1" showInputMessage="1" showErrorMessage="1" sqref="C3" xr:uid="{00000000-0002-0000-4900-000007000000}">
      <formula1>TillageSystem</formula1>
    </dataValidation>
    <dataValidation type="list" allowBlank="1" showInputMessage="1" showErrorMessage="1" sqref="B37:B62" xr:uid="{00000000-0002-0000-4900-000008000000}">
      <formula1>MaterialList</formula1>
    </dataValidation>
  </dataValidations>
  <pageMargins left="0.7" right="0.7" top="0.75" bottom="0.75" header="0.3" footer="0.3"/>
  <pageSetup scale="71"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4">
    <pageSetUpPr fitToPage="1"/>
  </sheetPr>
  <dimension ref="A2:M259"/>
  <sheetViews>
    <sheetView zoomScaleNormal="100" workbookViewId="0">
      <selection activeCell="B15" sqref="B1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682</v>
      </c>
      <c r="H2" s="392"/>
      <c r="J2" s="128" t="s">
        <v>649</v>
      </c>
      <c r="K2" s="401" t="s">
        <v>73</v>
      </c>
      <c r="L2" s="401"/>
    </row>
    <row r="3" spans="1:13" hidden="1" x14ac:dyDescent="0.2">
      <c r="B3" s="103" t="s">
        <v>38</v>
      </c>
      <c r="C3" s="391" t="s">
        <v>43</v>
      </c>
      <c r="D3" s="391"/>
      <c r="E3" s="391"/>
      <c r="G3" s="128" t="s">
        <v>650</v>
      </c>
      <c r="H3" s="187" t="s">
        <v>779</v>
      </c>
      <c r="J3" s="128" t="s">
        <v>651</v>
      </c>
      <c r="K3" s="187">
        <v>20</v>
      </c>
    </row>
    <row r="4" spans="1:13" hidden="1" x14ac:dyDescent="0.2">
      <c r="B4" s="103" t="s">
        <v>652</v>
      </c>
      <c r="C4" s="392"/>
      <c r="D4" s="392"/>
      <c r="E4" s="392"/>
      <c r="G4" s="103">
        <f>IFERROR(VALUE(LEFT($H$3,FIND(" ",$H$3))),"")</f>
        <v>30</v>
      </c>
      <c r="H4" s="103" t="str">
        <f>IFERROR(RIGHT(H3,LEN(H3)-LEN(G4)-1),"")</f>
        <v>ton</v>
      </c>
      <c r="J4" s="128" t="s">
        <v>653</v>
      </c>
      <c r="K4" s="188"/>
    </row>
    <row r="5" spans="1:13" ht="15.75" hidden="1" customHeight="1" x14ac:dyDescent="0.2">
      <c r="B5" s="103" t="s">
        <v>655</v>
      </c>
      <c r="C5" s="103" t="str">
        <f ca="1">MID(CELL("filename",C5),FIND("]",CELL("filename",C5))+1,255)</f>
        <v>68-Sugarbeet</v>
      </c>
      <c r="E5" s="103">
        <f ca="1">VLOOKUP($C$5,CropInsurance,5,FALSE)</f>
        <v>19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68-Sugarbeet, Roundup Ready®, Panhandle, Conventional Tillage, 30 ton Yield, Gravity Irrigated, fed by canal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68-Sugarbeet, Roundup Ready®, Panhandle, Conventional Tillage, 30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Gravity Irrigated, fed by canal, 20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551</v>
      </c>
      <c r="C14" s="174" t="s">
        <v>184</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109" t="str">
        <f t="shared" si="0"/>
        <v/>
      </c>
      <c r="L14" s="110"/>
    </row>
    <row r="15" spans="1:13" x14ac:dyDescent="0.2">
      <c r="A15" s="170">
        <v>4</v>
      </c>
      <c r="B15" s="213" t="s">
        <v>530</v>
      </c>
      <c r="C15" s="214">
        <v>1</v>
      </c>
      <c r="D15" s="214"/>
      <c r="E15" s="215">
        <f>IF(B15=0,"",IF(C15&gt;9999,"",ROUND('General Variables'!$B$4*VLOOKUP(B15,Operations!$A$2:$U$79,10,FALSE)/VLOOKUP(B15,Operations!$A$2:$U$79,9,FALSE)*C15,2)))</f>
        <v>4.6399999999999997</v>
      </c>
      <c r="F15" s="215">
        <f>IF(B15=0,0,IF(C15&gt;9999,"",ROUND(IF(VLOOKUP(B15,Operations!$A$2:$U$79,12,FALSE)=0,VLOOKUP(B15,Operations!$A$2:$U$79,13,FALSE)*'General Variables'!$B$8,VLOOKUP(B15,Operations!$A$2:$U$79,12,FALSE)*'General Variables'!$B$7)/VLOOKUP(B15,Operations!$A$2:$U$79,9,FALSE)*C15,2)))</f>
        <v>3</v>
      </c>
      <c r="G15" s="215">
        <f>IF(B15=0,0,IF(C15&gt;9999,"",ROUND(VLOOKUP(VLOOKUP(B15,Operations!$A$2:$U$79,11,FALSE),PowerUnits[],10,FALSE)/VLOOKUP(B15,Operations!$A$2:$U$79,9,FALSE)*C15,2)))</f>
        <v>0.53</v>
      </c>
      <c r="H15" s="215">
        <f>IF(B15=0,"",IF(C15&gt;9999,"",ROUND(VLOOKUP($B15,Operations!$A$2:$U$79,15,FALSE)*C15,2)))</f>
        <v>1.6</v>
      </c>
      <c r="I15" s="215">
        <f>IF(B15=0,0,IF(C15&gt;9999,"",ROUND(VLOOKUP(VLOOKUP(B15,Operations!$A$2:$U$79,11,FALSE),PowerUnits[],16,FALSE)/VLOOKUP(B15,Operations!$A$2:$U$79,9,FALSE)*C15,2)))</f>
        <v>14.42</v>
      </c>
      <c r="J15" s="215">
        <f>IF(B15=0,"",IF(C15&gt;9999,"",ROUND(VLOOKUP($B15,Operations!$A$2:$U$79,21,FALSE)*$C15,2)))</f>
        <v>1.83</v>
      </c>
      <c r="K15" s="215">
        <f t="shared" si="0"/>
        <v>26.02</v>
      </c>
      <c r="L15" s="216"/>
    </row>
    <row r="16" spans="1:13" x14ac:dyDescent="0.2">
      <c r="A16" s="170">
        <v>5</v>
      </c>
      <c r="B16" s="180" t="s">
        <v>542</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1.6</v>
      </c>
      <c r="G16" s="109">
        <f>IF(B16=0,0,IF(C16&gt;9999,"",ROUND(VLOOKUP(VLOOKUP(B16,Operations!$A$2:$U$79,11,FALSE),PowerUnits[],10,FALSE)/VLOOKUP(B16,Operations!$A$2:$U$79,9,FALSE)*C16,2)))</f>
        <v>0.08</v>
      </c>
      <c r="H16" s="109">
        <f>IF(B16=0,"",IF(C16&gt;9999,"",ROUND(VLOOKUP($B16,Operations!$A$2:$U$79,15,FALSE)*C16,2)))</f>
        <v>1.32</v>
      </c>
      <c r="I16" s="109">
        <f>IF(B16=0,0,IF(C16&gt;9999,"",ROUND(VLOOKUP(VLOOKUP(B16,Operations!$A$2:$U$79,11,FALSE),PowerUnits[],16,FALSE)/VLOOKUP(B16,Operations!$A$2:$U$79,9,FALSE)*C16,2)))</f>
        <v>4.33</v>
      </c>
      <c r="J16" s="109">
        <f>IF(B16=0,"",IF(C16&gt;9999,"",ROUND(VLOOKUP($B16,Operations!$A$2:$U$79,21,FALSE)*$C16,2)))</f>
        <v>3.03</v>
      </c>
      <c r="K16" s="109">
        <f t="shared" si="0"/>
        <v>13.06</v>
      </c>
      <c r="L16" s="110"/>
    </row>
    <row r="17" spans="1:12" x14ac:dyDescent="0.2">
      <c r="A17" s="170">
        <v>6</v>
      </c>
      <c r="B17" s="180" t="s">
        <v>526</v>
      </c>
      <c r="C17" s="174">
        <v>1</v>
      </c>
      <c r="D17" s="174"/>
      <c r="E17" s="109">
        <f>IF(B17=0,"",IF(C17&gt;9999,"",ROUND('General Variables'!$B$4*VLOOKUP(B17,Operations!$A$2:$U$79,10,FALSE)/VLOOKUP(B17,Operations!$A$2:$U$79,9,FALSE)*C17,2)))</f>
        <v>3.24</v>
      </c>
      <c r="F17" s="109">
        <f>IF(B17=0,0,IF(C17&gt;9999,"",ROUND(IF(VLOOKUP(B17,Operations!$A$2:$U$79,12,FALSE)=0,VLOOKUP(B17,Operations!$A$2:$U$79,13,FALSE)*'General Variables'!$B$8,VLOOKUP(B17,Operations!$A$2:$U$79,12,FALSE)*'General Variables'!$B$7)/VLOOKUP(B17,Operations!$A$2:$U$79,9,FALSE)*C17,2)))</f>
        <v>0.87</v>
      </c>
      <c r="G17" s="109">
        <f>IF(B17=0,0,IF(C17&gt;9999,"",ROUND(VLOOKUP(VLOOKUP(B17,Operations!$A$2:$U$79,11,FALSE),PowerUnits[],10,FALSE)/VLOOKUP(B17,Operations!$A$2:$U$79,9,FALSE)*C17,2)))</f>
        <v>0.08</v>
      </c>
      <c r="H17" s="109">
        <f>IF(B17=0,"",IF(C17&gt;9999,"",ROUND(VLOOKUP($B17,Operations!$A$2:$U$79,15,FALSE)*C17,2)))</f>
        <v>6.97</v>
      </c>
      <c r="I17" s="109">
        <f>IF(B17=0,0,IF(C17&gt;9999,"",ROUND(VLOOKUP(VLOOKUP(B17,Operations!$A$2:$U$79,11,FALSE),PowerUnits[],16,FALSE)/VLOOKUP(B17,Operations!$A$2:$U$79,9,FALSE)*C17,2)))</f>
        <v>4.33</v>
      </c>
      <c r="J17" s="109">
        <f>IF(B17=0,"",IF(C17&gt;9999,"",ROUND(VLOOKUP($B17,Operations!$A$2:$U$79,21,FALSE)*$C17,2)))</f>
        <v>6.61</v>
      </c>
      <c r="K17" s="109">
        <f t="shared" si="0"/>
        <v>22.1</v>
      </c>
      <c r="L17" s="110"/>
    </row>
    <row r="18" spans="1:12" x14ac:dyDescent="0.2">
      <c r="A18" s="170">
        <v>7</v>
      </c>
      <c r="B18" s="180" t="s">
        <v>498</v>
      </c>
      <c r="C18" s="174">
        <v>2</v>
      </c>
      <c r="D18" s="174"/>
      <c r="E18" s="109">
        <f>IF(B18=0,"",IF(C18&gt;9999,"",ROUND('General Variables'!$B$4*VLOOKUP(B18,Operations!$A$2:$U$79,10,FALSE)/VLOOKUP(B18,Operations!$A$2:$U$79,9,FALSE)*C18,2)))</f>
        <v>3.96</v>
      </c>
      <c r="F18" s="109">
        <f>IF(B18=0,0,IF(C18&gt;9999,"",ROUND(IF(VLOOKUP(B18,Operations!$A$2:$U$79,12,FALSE)=0,VLOOKUP(B18,Operations!$A$2:$U$79,13,FALSE)*'General Variables'!$B$8,VLOOKUP(B18,Operations!$A$2:$U$79,12,FALSE)*'General Variables'!$B$7)/VLOOKUP(B18,Operations!$A$2:$U$79,9,FALSE)*C18,2)))</f>
        <v>3.49</v>
      </c>
      <c r="G18" s="109">
        <f>IF(B18=0,0,IF(C18&gt;9999,"",ROUND(VLOOKUP(VLOOKUP(B18,Operations!$A$2:$U$79,11,FALSE),PowerUnits[],10,FALSE)/VLOOKUP(B18,Operations!$A$2:$U$79,9,FALSE)*C18,2)))</f>
        <v>0.45</v>
      </c>
      <c r="H18" s="109">
        <f>IF(B18=0,"",IF(C18&gt;9999,"",ROUND(VLOOKUP($B18,Operations!$A$2:$U$79,15,FALSE)*C18,2)))</f>
        <v>4.29</v>
      </c>
      <c r="I18" s="109">
        <f>IF(B18=0,0,IF(C18&gt;9999,"",ROUND(VLOOKUP(VLOOKUP(B18,Operations!$A$2:$U$79,11,FALSE),PowerUnits[],16,FALSE)/VLOOKUP(B18,Operations!$A$2:$U$79,9,FALSE)*C18,2)))</f>
        <v>12.31</v>
      </c>
      <c r="J18" s="109">
        <f>IF(B18=0,"",IF(C18&gt;9999,"",ROUND(VLOOKUP($B18,Operations!$A$2:$U$79,21,FALSE)*$C18,2)))</f>
        <v>4.87</v>
      </c>
      <c r="K18" s="109">
        <f t="shared" si="0"/>
        <v>29.37</v>
      </c>
      <c r="L18" s="110"/>
    </row>
    <row r="19" spans="1:12" x14ac:dyDescent="0.2">
      <c r="A19" s="170">
        <v>8</v>
      </c>
      <c r="B19" s="213" t="s">
        <v>533</v>
      </c>
      <c r="C19" s="214">
        <v>1</v>
      </c>
      <c r="D19" s="214"/>
      <c r="E19" s="215">
        <f>IF(B19=0,"",IF(C19&gt;9999,"",ROUND('General Variables'!$B$4*VLOOKUP(B19,Operations!$A$2:$U$79,10,FALSE)/VLOOKUP(B19,Operations!$A$2:$U$79,9,FALSE)*C19,2)))</f>
        <v>2.97</v>
      </c>
      <c r="F19" s="215">
        <f>IF(B19=0,0,IF(C19&gt;9999,"",ROUND(IF(VLOOKUP(B19,Operations!$A$2:$U$79,12,FALSE)=0,VLOOKUP(B19,Operations!$A$2:$U$79,13,FALSE)*'General Variables'!$B$8,VLOOKUP(B19,Operations!$A$2:$U$79,12,FALSE)*'General Variables'!$B$7)/VLOOKUP(B19,Operations!$A$2:$U$79,9,FALSE)*C19,2)))</f>
        <v>1.7</v>
      </c>
      <c r="G19" s="215">
        <f>IF(B19=0,0,IF(C19&gt;9999,"",ROUND(VLOOKUP(VLOOKUP(B19,Operations!$A$2:$U$79,11,FALSE),PowerUnits[],10,FALSE)/VLOOKUP(B19,Operations!$A$2:$U$79,9,FALSE)*C19,2)))</f>
        <v>0.34</v>
      </c>
      <c r="H19" s="215">
        <f>IF(B19=0,"",IF(C19&gt;9999,"",ROUND(VLOOKUP($B19,Operations!$A$2:$U$79,15,FALSE)*C19,2)))</f>
        <v>1.87</v>
      </c>
      <c r="I19" s="215">
        <f>IF(B19=0,0,IF(C19&gt;9999,"",ROUND(VLOOKUP(VLOOKUP(B19,Operations!$A$2:$U$79,11,FALSE),PowerUnits[],16,FALSE)/VLOOKUP(B19,Operations!$A$2:$U$79,9,FALSE)*C19,2)))</f>
        <v>9.23</v>
      </c>
      <c r="J19" s="215">
        <f>IF(B19=0,"",IF(C19&gt;9999,"",ROUND(VLOOKUP($B19,Operations!$A$2:$U$79,21,FALSE)*$C19,2)))</f>
        <v>5.18</v>
      </c>
      <c r="K19" s="215">
        <f>IF(C19&gt;9999,"",ROUND(SUM(E19:J19),2))</f>
        <v>21.29</v>
      </c>
      <c r="L19" s="216"/>
    </row>
    <row r="20" spans="1:12" x14ac:dyDescent="0.2">
      <c r="A20" s="170">
        <v>9</v>
      </c>
      <c r="B20" s="180" t="s">
        <v>551</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482</v>
      </c>
      <c r="C21" s="174">
        <f>$K$3</f>
        <v>20</v>
      </c>
      <c r="D21" s="174" t="s">
        <v>693</v>
      </c>
      <c r="E21" s="109">
        <f>IF(B21=0,"",IF(C21&gt;9999,"",ROUND('General Variables'!$B$4*VLOOKUP(B21,Operations!$A$2:$U$79,10,FALSE)/VLOOKUP(B21,Operations!$A$2:$U$79,9,FALSE)*C21,2)))</f>
        <v>30</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9.58</v>
      </c>
      <c r="H21" s="109">
        <f>IF(B21=0,"",IF(C21&gt;9999,"",ROUND(VLOOKUP($B21,Operations!$A$2:$U$79,15,FALSE)*C21,2)))</f>
        <v>0</v>
      </c>
      <c r="I21" s="109">
        <f>IF(B21=0,0,IF(C21&gt;9999,"",ROUND(VLOOKUP(VLOOKUP(B21,Operations!$A$2:$U$79,11,FALSE),PowerUnits[],16,FALSE)/VLOOKUP(B21,Operations!$A$2:$U$79,9,FALSE)*C21,2)))</f>
        <v>21.47</v>
      </c>
      <c r="J21" s="109">
        <f>IF(B21=0,"",IF(C21&gt;9999,"",ROUND(VLOOKUP($B21,Operations!$A$2:$U$79,21,FALSE)*$C21,2)))</f>
        <v>0</v>
      </c>
      <c r="K21" s="109">
        <f t="shared" si="0"/>
        <v>61.05</v>
      </c>
      <c r="L21" s="110"/>
    </row>
    <row r="22" spans="1:12" x14ac:dyDescent="0.2">
      <c r="A22" s="170">
        <v>11</v>
      </c>
      <c r="B22" s="180" t="s">
        <v>551</v>
      </c>
      <c r="C22" s="174" t="s">
        <v>184</v>
      </c>
      <c r="D22" s="174"/>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x14ac:dyDescent="0.2">
      <c r="A23" s="170">
        <v>12</v>
      </c>
      <c r="B23" s="213" t="s">
        <v>183</v>
      </c>
      <c r="C23" s="214" t="s">
        <v>184</v>
      </c>
      <c r="D23" s="214"/>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x14ac:dyDescent="0.2">
      <c r="A24" s="170">
        <v>13</v>
      </c>
      <c r="B24" s="180" t="s">
        <v>183</v>
      </c>
      <c r="C24" s="174" t="s">
        <v>184</v>
      </c>
      <c r="D24" s="174"/>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110"/>
    </row>
    <row r="25" spans="1:12" x14ac:dyDescent="0.2">
      <c r="A25" s="170">
        <v>14</v>
      </c>
      <c r="B25" s="180" t="s">
        <v>563</v>
      </c>
      <c r="C25" s="174">
        <v>1</v>
      </c>
      <c r="D25" s="174"/>
      <c r="E25" s="109">
        <f>IF(B25=0,"",IF(C25&gt;9999,"",ROUND('General Variables'!$B$4*VLOOKUP(B25,Operations!$A$2:$U$79,10,FALSE)/VLOOKUP(B25,Operations!$A$2:$U$79,9,FALSE)*C25,2)))</f>
        <v>4.66</v>
      </c>
      <c r="F25" s="109">
        <f>IF(B25=0,0,IF(C25&gt;9999,"",ROUND(IF(VLOOKUP(B25,Operations!$A$2:$U$79,12,FALSE)=0,VLOOKUP(B25,Operations!$A$2:$U$79,13,FALSE)*'General Variables'!$B$8,VLOOKUP(B25,Operations!$A$2:$U$79,12,FALSE)*'General Variables'!$B$7)/VLOOKUP(B25,Operations!$A$2:$U$79,9,FALSE)*C25,2)))</f>
        <v>1.93</v>
      </c>
      <c r="G25" s="109">
        <f>IF(B25=0,0,IF(C25&gt;9999,"",ROUND(VLOOKUP(VLOOKUP(B25,Operations!$A$2:$U$79,11,FALSE),PowerUnits[],10,FALSE)/VLOOKUP(B25,Operations!$A$2:$U$79,9,FALSE)*C25,2)))</f>
        <v>0.14000000000000001</v>
      </c>
      <c r="H25" s="109">
        <f>IF(B25=0,"",IF(C25&gt;9999,"",ROUND(VLOOKUP($B25,Operations!$A$2:$U$79,15,FALSE)*C25,2)))</f>
        <v>10.11</v>
      </c>
      <c r="I25" s="109">
        <f>IF(B25=0,0,IF(C25&gt;9999,"",ROUND(VLOOKUP(VLOOKUP(B25,Operations!$A$2:$U$79,11,FALSE),PowerUnits[],16,FALSE)/VLOOKUP(B25,Operations!$A$2:$U$79,9,FALSE)*C25,2)))</f>
        <v>7.48</v>
      </c>
      <c r="J25" s="109">
        <f>IF(B25=0,"",IF(C25&gt;9999,"",ROUND(VLOOKUP($B25,Operations!$A$2:$U$79,21,FALSE)*$C25,2)))</f>
        <v>6.05</v>
      </c>
      <c r="K25" s="109">
        <f t="shared" ref="K25:K28" si="1">IF(C25&gt;9999,"",ROUND(SUM(E25:J25),2))</f>
        <v>30.37</v>
      </c>
      <c r="L25" s="110"/>
    </row>
    <row r="26" spans="1:12" x14ac:dyDescent="0.2">
      <c r="A26" s="170">
        <v>15</v>
      </c>
      <c r="B26" s="111" t="s">
        <v>505</v>
      </c>
      <c r="C26" s="112">
        <v>1</v>
      </c>
      <c r="D26" s="174"/>
      <c r="E26" s="109">
        <f>IF(B26=0,"",IF(C26&gt;9999,"",ROUND('General Variables'!$B$4*VLOOKUP(B26,Operations!$A$2:$U$79,10,FALSE)/VLOOKUP(B26,Operations!$A$2:$U$79,9,FALSE)*C26,2)))</f>
        <v>4.95</v>
      </c>
      <c r="F26" s="109">
        <f>IF(B26=0,0,IF(C26&gt;9999,"",ROUND(IF(VLOOKUP(B26,Operations!$A$2:$U$79,12,FALSE)=0,VLOOKUP(B26,Operations!$A$2:$U$79,13,FALSE)*'General Variables'!$B$8,VLOOKUP(B26,Operations!$A$2:$U$79,12,FALSE)*'General Variables'!$B$7)/VLOOKUP(B26,Operations!$A$2:$U$79,9,FALSE)*C26,2)))</f>
        <v>3.3</v>
      </c>
      <c r="G26" s="109">
        <f>IF(B26=0,0,IF(C26&gt;9999,"",ROUND(VLOOKUP(VLOOKUP(B26,Operations!$A$2:$U$79,11,FALSE),PowerUnits[],10,FALSE)/VLOOKUP(B26,Operations!$A$2:$U$79,9,FALSE)*C26,2)))</f>
        <v>0.56000000000000005</v>
      </c>
      <c r="H26" s="109">
        <f>IF(B26=0,"",IF(C26&gt;9999,"",ROUND(VLOOKUP($B26,Operations!$A$2:$U$79,15,FALSE)*C26,2)))</f>
        <v>36.020000000000003</v>
      </c>
      <c r="I26" s="109">
        <f>IF(B26=0,0,IF(C26&gt;9999,"",ROUND(VLOOKUP(VLOOKUP(B26,Operations!$A$2:$U$79,11,FALSE),PowerUnits[],16,FALSE)/VLOOKUP(B26,Operations!$A$2:$U$79,9,FALSE)*C26,2)))</f>
        <v>15.38</v>
      </c>
      <c r="J26" s="109">
        <f>IF(B26=0,"",IF(C26&gt;9999,"",ROUND(VLOOKUP($B26,Operations!$A$2:$U$79,21,FALSE)*$C26,2)))</f>
        <v>12.08</v>
      </c>
      <c r="K26" s="109">
        <f t="shared" si="1"/>
        <v>72.290000000000006</v>
      </c>
      <c r="L26" s="110"/>
    </row>
    <row r="27" spans="1:12" x14ac:dyDescent="0.2">
      <c r="A27" s="170">
        <v>16</v>
      </c>
      <c r="B27" s="217" t="s">
        <v>565</v>
      </c>
      <c r="C27" s="218" t="s">
        <v>184</v>
      </c>
      <c r="D27" s="214"/>
      <c r="E27" s="215" t="str">
        <f>IF(B27=0,"",IF(C27&gt;9999,"",ROUND('General Variables'!$B$4*VLOOKUP(B27,Operations!$A$2:$U$79,10,FALSE)/VLOOKUP(B27,Operations!$A$2:$U$79,9,FALSE)*C27,2)))</f>
        <v/>
      </c>
      <c r="F27" s="215" t="str">
        <f>IF(B27=0,0,IF(C27&gt;9999,"",ROUND(IF(VLOOKUP(B27,Operations!$A$2:$U$79,12,FALSE)=0,VLOOKUP(B27,Operations!$A$2:$U$79,13,FALSE)*'General Variables'!$B$8,VLOOKUP(B27,Operations!$A$2:$U$79,12,FALSE)*'General Variables'!$B$7)/VLOOKUP(B27,Operations!$A$2:$U$79,9,FALSE)*C27,2)))</f>
        <v/>
      </c>
      <c r="G27" s="215" t="str">
        <f>IF(B27=0,0,IF(C27&gt;9999,"",ROUND(VLOOKUP(VLOOKUP(B27,Operations!$A$2:$U$79,11,FALSE),PowerUnits[],10,FALSE)/VLOOKUP(B27,Operations!$A$2:$U$79,9,FALSE)*C27,2)))</f>
        <v/>
      </c>
      <c r="H27" s="215" t="str">
        <f>IF(B27=0,"",IF(C27&gt;9999,"",ROUND(VLOOKUP($B27,Operations!$A$2:$U$79,15,FALSE)*C27,2)))</f>
        <v/>
      </c>
      <c r="I27" s="215" t="str">
        <f>IF(B27=0,0,IF(C27&gt;9999,"",ROUND(VLOOKUP(VLOOKUP(B27,Operations!$A$2:$U$79,11,FALSE),PowerUnits[],16,FALSE)/VLOOKUP(B27,Operations!$A$2:$U$79,9,FALSE)*C27,2)))</f>
        <v/>
      </c>
      <c r="J27" s="215" t="str">
        <f>IF(B27=0,"",IF(C27&gt;9999,"",ROUND(VLOOKUP($B27,Operations!$A$2:$U$79,21,FALSE)*$C27,2)))</f>
        <v/>
      </c>
      <c r="K27" s="215" t="str">
        <f t="shared" si="1"/>
        <v/>
      </c>
      <c r="L27" s="216"/>
    </row>
    <row r="28" spans="1:12" x14ac:dyDescent="0.2">
      <c r="A28" s="170">
        <v>17</v>
      </c>
      <c r="B28" s="258" t="s">
        <v>558</v>
      </c>
      <c r="C28" s="259">
        <v>1</v>
      </c>
      <c r="D28" s="255"/>
      <c r="E28" s="256">
        <f>IF(B28=0,"",IF(C28&gt;9999,"",ROUND('General Variables'!$B$4*VLOOKUP(B28,Operations!$A$2:$U$79,10,FALSE)/VLOOKUP(B28,Operations!$A$2:$U$79,9,FALSE)*C28,2)))</f>
        <v>3</v>
      </c>
      <c r="F28" s="256">
        <f>IF(B28=0,0,IF(C28&gt;9999,"",ROUND(IF(VLOOKUP(B28,Operations!$A$2:$U$79,12,FALSE)=0,VLOOKUP(B28,Operations!$A$2:$U$79,13,FALSE)*'General Variables'!$B$8,VLOOKUP(B28,Operations!$A$2:$U$79,12,FALSE)*'General Variables'!$B$7)/VLOOKUP(B28,Operations!$A$2:$U$79,9,FALSE)*C28,2)))</f>
        <v>2.93</v>
      </c>
      <c r="G28" s="256">
        <f>IF(B28=0,0,IF(C28&gt;9999,"",ROUND(VLOOKUP(VLOOKUP(B28,Operations!$A$2:$U$79,11,FALSE),PowerUnits[],10,FALSE)/VLOOKUP(B28,Operations!$A$2:$U$79,9,FALSE)*C28,2)))</f>
        <v>0.38</v>
      </c>
      <c r="H28" s="256">
        <f>IF(B28=0,"",IF(C28&gt;9999,"",ROUND(VLOOKUP($B28,Operations!$A$2:$U$79,15,FALSE)*C28,2)))</f>
        <v>4.95</v>
      </c>
      <c r="I28" s="256">
        <f>IF(B28=0,0,IF(C28&gt;9999,"",ROUND(VLOOKUP(VLOOKUP(B28,Operations!$A$2:$U$79,11,FALSE),PowerUnits[],16,FALSE)/VLOOKUP(B28,Operations!$A$2:$U$79,9,FALSE)*C28,2)))</f>
        <v>10.26</v>
      </c>
      <c r="J28" s="256">
        <f>IF(B28=0,"",IF(C28&gt;9999,"",ROUND(VLOOKUP($B28,Operations!$A$2:$U$79,21,FALSE)*$C28,2)))</f>
        <v>5.42</v>
      </c>
      <c r="K28" s="256">
        <f t="shared" si="1"/>
        <v>26.94</v>
      </c>
      <c r="L28" s="257"/>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2">SUM(E12:E31)</f>
        <v>63.86</v>
      </c>
      <c r="F33" s="109">
        <f t="shared" si="2"/>
        <v>21.509999999999998</v>
      </c>
      <c r="G33" s="109">
        <f t="shared" si="2"/>
        <v>12.480000000000002</v>
      </c>
      <c r="H33" s="109">
        <f t="shared" si="2"/>
        <v>69.14</v>
      </c>
      <c r="I33" s="109">
        <f t="shared" si="2"/>
        <v>108.98</v>
      </c>
      <c r="J33" s="109">
        <f t="shared" si="2"/>
        <v>51.73</v>
      </c>
      <c r="K33" s="109">
        <f t="shared" si="2"/>
        <v>327.70000000000005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2</v>
      </c>
      <c r="G37" s="175">
        <v>1</v>
      </c>
      <c r="H37" s="176">
        <v>13.4</v>
      </c>
      <c r="I37" s="120" t="str">
        <f>IF($B37=0,"",VLOOKUP($B37,Table2[],5,FALSE))</f>
        <v>gallon</v>
      </c>
      <c r="J37" s="109">
        <f>IF($B37=0,"",VLOOKUP($B37,Table2[],7,FALSE))</f>
        <v>3.1</v>
      </c>
      <c r="K37" s="109">
        <f>IF(B37=0,0,ROUND(G37*H37*J37,2))</f>
        <v>41.54</v>
      </c>
      <c r="L37" s="110"/>
    </row>
    <row r="38" spans="1:12" x14ac:dyDescent="0.2">
      <c r="A38" s="105"/>
      <c r="B38" s="180" t="s">
        <v>205</v>
      </c>
      <c r="C38" s="388" t="str">
        <f>IF(B38=0,"",VLOOKUP($B38,Table2[],2,FALSE))</f>
        <v>Fertilizer</v>
      </c>
      <c r="D38" s="388"/>
      <c r="E38" s="388"/>
      <c r="F38" s="174">
        <v>2</v>
      </c>
      <c r="G38" s="175">
        <v>1</v>
      </c>
      <c r="H38" s="176">
        <v>125</v>
      </c>
      <c r="I38" s="120" t="str">
        <f>IF($B38=0,"",VLOOKUP($B38,Table2[],5,FALSE))</f>
        <v>lbs N</v>
      </c>
      <c r="J38" s="109">
        <f>IF($B38=0,"",VLOOKUP($B38,Table2[],7,FALSE))</f>
        <v>0.5</v>
      </c>
      <c r="K38" s="109">
        <f t="shared" ref="K38:K58" si="3">IF(B38=0,0,ROUND(G38*H38*J38,2))</f>
        <v>62.5</v>
      </c>
      <c r="L38" s="110"/>
    </row>
    <row r="39" spans="1:12" x14ac:dyDescent="0.2">
      <c r="A39" s="105"/>
      <c r="B39" s="180" t="s">
        <v>200</v>
      </c>
      <c r="C39" s="388" t="str">
        <f>IF(B39=0,"",VLOOKUP($B39,Table2[],2,FALSE))</f>
        <v>Custom</v>
      </c>
      <c r="D39" s="388"/>
      <c r="E39" s="388"/>
      <c r="F39" s="174" t="s">
        <v>781</v>
      </c>
      <c r="G39" s="175">
        <v>3</v>
      </c>
      <c r="H39" s="176">
        <v>1</v>
      </c>
      <c r="I39" s="120" t="str">
        <f>IF($B39=0,"",VLOOKUP($B39,Table2[],5,FALSE))</f>
        <v>acre</v>
      </c>
      <c r="J39" s="109">
        <f>IF($B39=0,"",VLOOKUP($B39,Table2[],7,FALSE))</f>
        <v>9</v>
      </c>
      <c r="K39" s="109">
        <f t="shared" si="3"/>
        <v>27</v>
      </c>
      <c r="L39" s="110"/>
    </row>
    <row r="40" spans="1:12" x14ac:dyDescent="0.2">
      <c r="A40" s="105"/>
      <c r="B40" s="213" t="s">
        <v>896</v>
      </c>
      <c r="C40" s="387" t="s">
        <v>228</v>
      </c>
      <c r="D40" s="387"/>
      <c r="E40" s="387"/>
      <c r="F40" s="214">
        <v>3</v>
      </c>
      <c r="G40" s="221">
        <v>1</v>
      </c>
      <c r="H40" s="222">
        <v>48</v>
      </c>
      <c r="I40" s="223" t="s">
        <v>174</v>
      </c>
      <c r="J40" s="215">
        <f>IF($B40=0,"",VLOOKUP($B40,Table2[],7,FALSE))</f>
        <v>1.015625</v>
      </c>
      <c r="K40" s="347">
        <f t="shared" si="3"/>
        <v>48.75</v>
      </c>
      <c r="L40" s="216"/>
    </row>
    <row r="41" spans="1:12" x14ac:dyDescent="0.2">
      <c r="A41" s="105"/>
      <c r="B41" s="180" t="s">
        <v>970</v>
      </c>
      <c r="C41" s="388" t="s">
        <v>228</v>
      </c>
      <c r="D41" s="388"/>
      <c r="E41" s="388"/>
      <c r="F41" s="174">
        <v>3</v>
      </c>
      <c r="G41" s="175">
        <v>1</v>
      </c>
      <c r="H41" s="176">
        <v>64</v>
      </c>
      <c r="I41" s="120" t="s">
        <v>174</v>
      </c>
      <c r="J41" s="109">
        <f>IF($B41=0,"",VLOOKUP($B41,Table2[],7,FALSE))</f>
        <v>0.859375</v>
      </c>
      <c r="K41" s="345">
        <f t="shared" ref="K41" si="4">IF(B41=0,0,ROUND(G41*H41*J41,2))</f>
        <v>55</v>
      </c>
      <c r="L41" s="110"/>
    </row>
    <row r="42" spans="1:12" x14ac:dyDescent="0.2">
      <c r="A42" s="105"/>
      <c r="B42" s="180" t="s">
        <v>259</v>
      </c>
      <c r="C42" s="388" t="str">
        <f>IF(B42=0,"",VLOOKUP($B42,Table2[],2,FALSE))</f>
        <v>Herbicide</v>
      </c>
      <c r="D42" s="388"/>
      <c r="E42" s="388"/>
      <c r="F42" s="174">
        <v>3</v>
      </c>
      <c r="G42" s="175">
        <v>1</v>
      </c>
      <c r="H42" s="176">
        <v>36</v>
      </c>
      <c r="I42" s="120" t="str">
        <f>IF($B42=0,"",VLOOKUP($B42,Table2[],5,FALSE))</f>
        <v>ounce</v>
      </c>
      <c r="J42" s="109">
        <f>IF($B42=0,"",VLOOKUP($B42,Table2[],7,FALSE))</f>
        <v>0.1328125</v>
      </c>
      <c r="K42" s="109">
        <f t="shared" si="3"/>
        <v>4.78</v>
      </c>
      <c r="L42" s="257"/>
    </row>
    <row r="43" spans="1:12" x14ac:dyDescent="0.2">
      <c r="A43" s="105"/>
      <c r="B43" s="180" t="s">
        <v>170</v>
      </c>
      <c r="C43" s="388" t="str">
        <f>IF(B43=0,"",VLOOKUP($B43,Table2[],2,FALSE))</f>
        <v>Additive</v>
      </c>
      <c r="D43" s="388"/>
      <c r="E43" s="388"/>
      <c r="F43" s="174">
        <v>3</v>
      </c>
      <c r="G43" s="175">
        <v>1</v>
      </c>
      <c r="H43" s="176">
        <v>1.7</v>
      </c>
      <c r="I43" s="120" t="str">
        <f>IF($B43=0,"",VLOOKUP($B43,Table2[],5,FALSE))</f>
        <v>pound</v>
      </c>
      <c r="J43" s="109">
        <f>IF($B43=0,"",VLOOKUP($B43,Table2[],7,FALSE))</f>
        <v>0.4</v>
      </c>
      <c r="K43" s="109">
        <f t="shared" si="3"/>
        <v>0.68</v>
      </c>
      <c r="L43" s="110"/>
    </row>
    <row r="44" spans="1:12" x14ac:dyDescent="0.2">
      <c r="A44" s="105"/>
      <c r="B44" s="213" t="s">
        <v>348</v>
      </c>
      <c r="C44" s="387" t="str">
        <f>IF(B44=0,"",VLOOKUP($B44,Table2[],2,FALSE))</f>
        <v>Seed</v>
      </c>
      <c r="D44" s="387"/>
      <c r="E44" s="387"/>
      <c r="F44" s="214">
        <v>6</v>
      </c>
      <c r="G44" s="221">
        <v>1</v>
      </c>
      <c r="H44" s="222">
        <v>1</v>
      </c>
      <c r="I44" s="223" t="str">
        <f>IF($B44=0,"",VLOOKUP($B44,Table2[],5,FALSE))</f>
        <v>acre</v>
      </c>
      <c r="J44" s="215">
        <f>IF($B44=0,"",VLOOKUP($B44,Table2[],7,FALSE))</f>
        <v>220</v>
      </c>
      <c r="K44" s="215">
        <f t="shared" si="3"/>
        <v>220</v>
      </c>
      <c r="L44" s="216"/>
    </row>
    <row r="45" spans="1:12" x14ac:dyDescent="0.2">
      <c r="A45" s="143"/>
      <c r="B45" s="180" t="s">
        <v>259</v>
      </c>
      <c r="C45" s="388" t="str">
        <f>IF(B45=0,"",VLOOKUP($B45,Table2[],2,FALSE))</f>
        <v>Herbicide</v>
      </c>
      <c r="D45" s="388"/>
      <c r="E45" s="388"/>
      <c r="F45" s="174">
        <v>9</v>
      </c>
      <c r="G45" s="175">
        <v>1</v>
      </c>
      <c r="H45" s="176">
        <v>36</v>
      </c>
      <c r="I45" s="120" t="str">
        <f>IF($B45=0,"",VLOOKUP($B45,Table2[],5,FALSE))</f>
        <v>ounce</v>
      </c>
      <c r="J45" s="109">
        <f>IF($B45=0,"",VLOOKUP($B45,Table2[],7,FALSE))</f>
        <v>0.1328125</v>
      </c>
      <c r="K45" s="109">
        <f t="shared" si="3"/>
        <v>4.78</v>
      </c>
      <c r="L45" s="110"/>
    </row>
    <row r="46" spans="1:12" x14ac:dyDescent="0.2">
      <c r="A46" s="143"/>
      <c r="B46" s="180" t="s">
        <v>264</v>
      </c>
      <c r="C46" s="388" t="s">
        <v>228</v>
      </c>
      <c r="D46" s="388" t="s">
        <v>228</v>
      </c>
      <c r="E46" s="388"/>
      <c r="F46" s="174">
        <v>9</v>
      </c>
      <c r="G46" s="175">
        <v>1</v>
      </c>
      <c r="H46" s="176">
        <v>13</v>
      </c>
      <c r="I46" s="120" t="s">
        <v>174</v>
      </c>
      <c r="J46" s="109">
        <f>IF($B46=0,"",VLOOKUP($B46,Table2[],7,FALSE))</f>
        <v>1.5234375</v>
      </c>
      <c r="K46" s="109">
        <f t="shared" si="3"/>
        <v>19.8</v>
      </c>
      <c r="L46" s="170"/>
    </row>
    <row r="47" spans="1:12" x14ac:dyDescent="0.2">
      <c r="A47" s="143"/>
      <c r="B47" s="180" t="s">
        <v>170</v>
      </c>
      <c r="C47" s="388" t="str">
        <f>IF(B47=0,"",VLOOKUP($B47,Table2[],2,FALSE))</f>
        <v>Additive</v>
      </c>
      <c r="D47" s="388"/>
      <c r="E47" s="388"/>
      <c r="F47" s="174">
        <v>9</v>
      </c>
      <c r="G47" s="175">
        <v>1</v>
      </c>
      <c r="H47" s="176">
        <v>1.7</v>
      </c>
      <c r="I47" s="120" t="str">
        <f>IF($B47=0,"",VLOOKUP($B47,Table2[],5,FALSE))</f>
        <v>pound</v>
      </c>
      <c r="J47" s="109">
        <f>IF($B47=0,"",VLOOKUP($B47,Table2[],7,FALSE))</f>
        <v>0.4</v>
      </c>
      <c r="K47" s="109">
        <f t="shared" si="3"/>
        <v>0.68</v>
      </c>
      <c r="L47" s="257"/>
    </row>
    <row r="48" spans="1:12" x14ac:dyDescent="0.2">
      <c r="A48" s="143"/>
      <c r="B48" s="180" t="s">
        <v>297</v>
      </c>
      <c r="C48" s="388" t="str">
        <f>IF(B48=0,"",VLOOKUP($B48,Table2[],2,FALSE))</f>
        <v>Other</v>
      </c>
      <c r="D48" s="388"/>
      <c r="E48" s="388"/>
      <c r="F48" s="174">
        <v>10</v>
      </c>
      <c r="G48" s="175">
        <v>1</v>
      </c>
      <c r="H48" s="176">
        <v>1</v>
      </c>
      <c r="I48" s="120" t="str">
        <f>IF($B48=0,"",VLOOKUP($B48,Table2[],5,FALSE))</f>
        <v>acre</v>
      </c>
      <c r="J48" s="109">
        <f>IF($B48=0,"",VLOOKUP($B48,Table2[],7,FALSE))</f>
        <v>40</v>
      </c>
      <c r="K48" s="109">
        <f t="shared" si="3"/>
        <v>40</v>
      </c>
      <c r="L48" s="110"/>
    </row>
    <row r="49" spans="1:12" x14ac:dyDescent="0.2">
      <c r="A49" s="143"/>
      <c r="B49" s="213" t="s">
        <v>259</v>
      </c>
      <c r="C49" s="387" t="str">
        <f>IF(B49=0,"",VLOOKUP($B49,Table2[],2,FALSE))</f>
        <v>Herbicide</v>
      </c>
      <c r="D49" s="387"/>
      <c r="E49" s="387"/>
      <c r="F49" s="214">
        <v>11</v>
      </c>
      <c r="G49" s="221">
        <v>1</v>
      </c>
      <c r="H49" s="222">
        <v>36</v>
      </c>
      <c r="I49" s="223" t="str">
        <f>IF($B49=0,"",VLOOKUP($B49,Table2[],5,FALSE))</f>
        <v>ounce</v>
      </c>
      <c r="J49" s="215">
        <f>IF($B49=0,"",VLOOKUP($B49,Table2[],7,FALSE))</f>
        <v>0.1328125</v>
      </c>
      <c r="K49" s="215">
        <f t="shared" si="3"/>
        <v>4.78</v>
      </c>
      <c r="L49" s="216"/>
    </row>
    <row r="50" spans="1:12" x14ac:dyDescent="0.2">
      <c r="A50" s="143"/>
      <c r="B50" s="180" t="s">
        <v>887</v>
      </c>
      <c r="C50" s="388" t="str">
        <f>IF(B50=0,"",VLOOKUP($B50,Table2[],2,FALSE))</f>
        <v>Herbicide</v>
      </c>
      <c r="D50" s="388"/>
      <c r="E50" s="388"/>
      <c r="F50" s="174">
        <v>11</v>
      </c>
      <c r="G50" s="175">
        <v>1</v>
      </c>
      <c r="H50" s="176">
        <v>1</v>
      </c>
      <c r="I50" s="120" t="s">
        <v>179</v>
      </c>
      <c r="J50" s="109">
        <f>IF($B50=0,"",VLOOKUP($B50,Table2[],7,FALSE))</f>
        <v>10</v>
      </c>
      <c r="K50" s="109">
        <f t="shared" si="3"/>
        <v>10</v>
      </c>
      <c r="L50" s="110"/>
    </row>
    <row r="51" spans="1:12" x14ac:dyDescent="0.2">
      <c r="A51" s="105"/>
      <c r="B51" s="180" t="s">
        <v>170</v>
      </c>
      <c r="C51" s="388" t="str">
        <f>IF(B51=0,"",VLOOKUP($B51,Table2[],2,FALSE))</f>
        <v>Additive</v>
      </c>
      <c r="D51" s="388"/>
      <c r="E51" s="388"/>
      <c r="F51" s="174">
        <v>11</v>
      </c>
      <c r="G51" s="175">
        <v>1</v>
      </c>
      <c r="H51" s="176">
        <v>1.7</v>
      </c>
      <c r="I51" s="120" t="str">
        <f>IF($B51=0,"",VLOOKUP($B51,Table2[],5,FALSE))</f>
        <v>pound</v>
      </c>
      <c r="J51" s="109">
        <f>IF($B51=0,"",VLOOKUP($B51,Table2[],7,FALSE))</f>
        <v>0.4</v>
      </c>
      <c r="K51" s="109">
        <f t="shared" si="3"/>
        <v>0.68</v>
      </c>
      <c r="L51" s="257"/>
    </row>
    <row r="52" spans="1:12" x14ac:dyDescent="0.2">
      <c r="A52" s="105"/>
      <c r="B52" s="180" t="s">
        <v>183</v>
      </c>
      <c r="C52" s="388" t="str">
        <f>IF(B52=0,"",VLOOKUP($B52,Table2[],2,FALSE))</f>
        <v>Custom</v>
      </c>
      <c r="D52" s="388"/>
      <c r="E52" s="388"/>
      <c r="F52" s="174">
        <v>12</v>
      </c>
      <c r="G52" s="175">
        <v>1</v>
      </c>
      <c r="H52" s="176">
        <v>1</v>
      </c>
      <c r="I52" s="120" t="str">
        <f>IF($B52=0,"",VLOOKUP($B52,Table2[],5,FALSE))</f>
        <v>acre</v>
      </c>
      <c r="J52" s="109">
        <f>IF($B52=0,"",VLOOKUP($B52,Table2[],7,FALSE))</f>
        <v>11</v>
      </c>
      <c r="K52" s="109">
        <f t="shared" si="3"/>
        <v>11</v>
      </c>
      <c r="L52" s="110"/>
    </row>
    <row r="53" spans="1:12" x14ac:dyDescent="0.2">
      <c r="B53" s="213" t="s">
        <v>222</v>
      </c>
      <c r="C53" s="387" t="str">
        <f>IF(B53=0,"",VLOOKUP($B53,Table2[],2,FALSE))</f>
        <v>Fungicide</v>
      </c>
      <c r="D53" s="387"/>
      <c r="E53" s="387"/>
      <c r="F53" s="214">
        <v>12</v>
      </c>
      <c r="G53" s="221">
        <v>1</v>
      </c>
      <c r="H53" s="222">
        <v>7</v>
      </c>
      <c r="I53" s="223" t="str">
        <f>IF($B53=0,"",VLOOKUP($B53,Table2[],5,FALSE))</f>
        <v>ounce</v>
      </c>
      <c r="J53" s="215">
        <f>IF($B53=0,"",VLOOKUP($B53,Table2[],7,FALSE))</f>
        <v>1.953125</v>
      </c>
      <c r="K53" s="215">
        <f t="shared" si="3"/>
        <v>13.67</v>
      </c>
      <c r="L53" s="216"/>
    </row>
    <row r="54" spans="1:12" x14ac:dyDescent="0.2">
      <c r="B54" s="180" t="s">
        <v>183</v>
      </c>
      <c r="C54" s="388" t="str">
        <f>IF(B54=0,"",VLOOKUP($B54,Table2[],2,FALSE))</f>
        <v>Custom</v>
      </c>
      <c r="D54" s="388"/>
      <c r="E54" s="388"/>
      <c r="F54" s="174">
        <v>13</v>
      </c>
      <c r="G54" s="175">
        <v>0.5</v>
      </c>
      <c r="H54" s="176">
        <v>1</v>
      </c>
      <c r="I54" s="120" t="str">
        <f>IF($B54=0,"",VLOOKUP($B54,Table2[],5,FALSE))</f>
        <v>acre</v>
      </c>
      <c r="J54" s="109">
        <f>IF($B54=0,"",VLOOKUP($B54,Table2[],7,FALSE))</f>
        <v>11</v>
      </c>
      <c r="K54" s="109">
        <f t="shared" si="3"/>
        <v>5.5</v>
      </c>
      <c r="L54" s="257"/>
    </row>
    <row r="55" spans="1:12" x14ac:dyDescent="0.2">
      <c r="B55" s="180" t="s">
        <v>220</v>
      </c>
      <c r="C55" s="388" t="s">
        <v>214</v>
      </c>
      <c r="D55" s="388"/>
      <c r="E55" s="388"/>
      <c r="F55" s="174">
        <v>13</v>
      </c>
      <c r="G55" s="175">
        <v>0.5</v>
      </c>
      <c r="H55" s="176">
        <v>5</v>
      </c>
      <c r="I55" s="120" t="str">
        <f>IF($B55=0,"",VLOOKUP($B55,Table2[],5,FALSE))</f>
        <v>ounce</v>
      </c>
      <c r="J55" s="109">
        <f>IF($B55=0,"",VLOOKUP($B55,Table2[],7,FALSE))</f>
        <v>6.015625</v>
      </c>
      <c r="K55" s="109">
        <f t="shared" si="3"/>
        <v>15.04</v>
      </c>
      <c r="L55" s="257"/>
    </row>
    <row r="56" spans="1:12" ht="12.75" customHeight="1" x14ac:dyDescent="0.2">
      <c r="B56" s="180" t="s">
        <v>193</v>
      </c>
      <c r="C56" s="388" t="str">
        <f>IF(B56=0,"",VLOOKUP($B56,Table2[],2,FALSE))</f>
        <v>Custom</v>
      </c>
      <c r="D56" s="388"/>
      <c r="E56" s="388"/>
      <c r="F56" s="174">
        <v>16</v>
      </c>
      <c r="G56" s="175">
        <v>1</v>
      </c>
      <c r="H56" s="176">
        <f>$G$4</f>
        <v>30</v>
      </c>
      <c r="I56" s="120" t="str">
        <f>IF($B56=0,"",VLOOKUP($B56,Table2[],5,FALSE))</f>
        <v>ton</v>
      </c>
      <c r="J56" s="109">
        <f>IF($B56=0,"",VLOOKUP($B56,Table2[],7,FALSE))</f>
        <v>6</v>
      </c>
      <c r="K56" s="109">
        <f t="shared" ref="K56:K57" si="5">IF(B56=0,0,ROUND(G56*H56*J56,2))</f>
        <v>180</v>
      </c>
      <c r="L56" s="110"/>
    </row>
    <row r="57" spans="1:12" ht="12.75" customHeight="1" x14ac:dyDescent="0.2">
      <c r="B57" s="180" t="s">
        <v>316</v>
      </c>
      <c r="C57" s="388" t="str">
        <f>IF(B57=0,"",VLOOKUP($B57,Table2[],2,FALSE))</f>
        <v>Scouting</v>
      </c>
      <c r="D57" s="388"/>
      <c r="E57" s="388"/>
      <c r="F57" s="174"/>
      <c r="G57" s="175">
        <v>1</v>
      </c>
      <c r="H57" s="176">
        <v>1</v>
      </c>
      <c r="I57" s="120" t="str">
        <f>IF($B57=0,"",VLOOKUP($B57,Table2[],5,FALSE))</f>
        <v>acre</v>
      </c>
      <c r="J57" s="109">
        <f>IF($B57=0,"",VLOOKUP($B57,Table2[],7,FALSE))</f>
        <v>19</v>
      </c>
      <c r="K57" s="109">
        <f t="shared" si="5"/>
        <v>19</v>
      </c>
      <c r="L57" s="257"/>
    </row>
    <row r="58" spans="1:12" ht="12.75" hidden="1" customHeight="1" x14ac:dyDescent="0.2">
      <c r="B58" s="180"/>
      <c r="C58" s="388" t="str">
        <f>IF(B58=0,"",VLOOKUP($B58,Table2[],2,FALSE))</f>
        <v/>
      </c>
      <c r="D58" s="388"/>
      <c r="E58" s="388"/>
      <c r="F58" s="174"/>
      <c r="G58" s="175"/>
      <c r="H58" s="176"/>
      <c r="I58" s="120" t="str">
        <f>IF($B58=0,"",VLOOKUP($B58,Table2[],5,FALSE))</f>
        <v/>
      </c>
      <c r="J58" s="109" t="str">
        <f>IF($B58=0,"",VLOOKUP($B58,Table2[],7,FALSE))</f>
        <v/>
      </c>
      <c r="K58" s="109">
        <f t="shared" si="3"/>
        <v>0</v>
      </c>
      <c r="L58" s="113"/>
    </row>
    <row r="59" spans="1:12" ht="12.75" hidden="1" customHeight="1" x14ac:dyDescent="0.2">
      <c r="B59" s="180"/>
      <c r="C59" s="388" t="str">
        <f>IF(B59=0,"",VLOOKUP($B59,Table2[],2,FALSE))</f>
        <v/>
      </c>
      <c r="D59" s="388"/>
      <c r="E59" s="388"/>
      <c r="F59" s="174"/>
      <c r="G59" s="175"/>
      <c r="H59" s="176"/>
      <c r="I59" s="120" t="str">
        <f>IF($B59=0,"",VLOOKUP($B59,Table2[],5,FALSE))</f>
        <v/>
      </c>
      <c r="J59" s="109" t="str">
        <f>IF($B59=0,"",VLOOKUP($B59,Table2[],7,FALSE))</f>
        <v/>
      </c>
      <c r="K59" s="109">
        <f>IF(B59=0,0,ROUND(G59*H59*J59,2))</f>
        <v>0</v>
      </c>
      <c r="L59" s="227"/>
    </row>
    <row r="60" spans="1:12" ht="12.75" hidden="1" customHeight="1" x14ac:dyDescent="0.2">
      <c r="B60" s="180"/>
      <c r="C60" s="388" t="str">
        <f>IF(B60=0,"",VLOOKUP($B60,Table2[],2,FALSE))</f>
        <v/>
      </c>
      <c r="D60" s="388"/>
      <c r="E60" s="388"/>
      <c r="F60" s="174"/>
      <c r="G60" s="175"/>
      <c r="H60" s="176"/>
      <c r="I60" s="120" t="str">
        <f>IF($B60=0,"",VLOOKUP($B60,Table2[],5,FALSE))</f>
        <v/>
      </c>
      <c r="J60" s="109" t="str">
        <f>IF($B60=0,"",VLOOKUP($B60,Table2[],7,FALSE))</f>
        <v/>
      </c>
      <c r="K60" s="109">
        <f>IF(B60=0,0,ROUND(G60*H60*J60,2))</f>
        <v>0</v>
      </c>
      <c r="L60" s="113"/>
    </row>
    <row r="61" spans="1:12" ht="12.75" hidden="1" customHeight="1" x14ac:dyDescent="0.2">
      <c r="B61" s="180"/>
      <c r="C61" s="388" t="str">
        <f>IF(B61=0,"",VLOOKUP($B61,Table2[],2,FALSE))</f>
        <v/>
      </c>
      <c r="D61" s="388"/>
      <c r="E61" s="388"/>
      <c r="F61" s="174"/>
      <c r="G61" s="175"/>
      <c r="H61" s="176"/>
      <c r="I61" s="120" t="str">
        <f>IF($B61=0,"",VLOOKUP($B61,Table2[],5,FALSE))</f>
        <v/>
      </c>
      <c r="J61" s="109" t="str">
        <f>IF($B61=0,"",VLOOKUP($B61,Table2[],7,FALSE))</f>
        <v/>
      </c>
      <c r="K61" s="109">
        <f>IF(B61=0,0,ROUND(G61*H61*J61,2))</f>
        <v>0</v>
      </c>
      <c r="L61" s="113"/>
    </row>
    <row r="62" spans="1:12" ht="12.75" hidden="1" customHeight="1" x14ac:dyDescent="0.2">
      <c r="B62" s="180"/>
      <c r="C62" s="388" t="str">
        <f>IF(B62=0,"",VLOOKUP($B62,Table2[],2,FALSE))</f>
        <v/>
      </c>
      <c r="D62" s="388"/>
      <c r="E62" s="388"/>
      <c r="F62" s="174"/>
      <c r="G62" s="175"/>
      <c r="H62" s="176"/>
      <c r="I62" s="120" t="str">
        <f>IF($B62=0,"",VLOOKUP($B62,Table2[],5,FALSE))</f>
        <v/>
      </c>
      <c r="J62" s="109" t="str">
        <f>IF($B62=0,"",VLOOKUP($B62,Table2[],7,FALSE))</f>
        <v/>
      </c>
      <c r="K62" s="109">
        <f>IF(B62=0,0,ROUND(G62*H62*J62,2))</f>
        <v>0</v>
      </c>
      <c r="L62" s="113"/>
    </row>
    <row r="63" spans="1:12" ht="12.75" hidden="1" customHeight="1" x14ac:dyDescent="0.2">
      <c r="B63" s="180"/>
      <c r="C63" s="388" t="str">
        <f>IF(B63=0,"",VLOOKUP($B63,Table2[],2,FALSE))</f>
        <v/>
      </c>
      <c r="D63" s="388"/>
      <c r="E63" s="388"/>
      <c r="F63" s="174"/>
      <c r="G63" s="175"/>
      <c r="H63" s="176"/>
      <c r="I63" s="120" t="str">
        <f>IF($B63=0,"",VLOOKUP($B63,Table2[],5,FALSE))</f>
        <v/>
      </c>
      <c r="J63" s="109" t="str">
        <f>IF($B63=0,"",VLOOKUP($B63,Table2[],7,FALSE))</f>
        <v/>
      </c>
      <c r="K63" s="109">
        <f>IF(B63=0,0,ROUND(G63*H63*J63,2))</f>
        <v>0</v>
      </c>
      <c r="L63" s="227"/>
    </row>
    <row r="64" spans="1:12" x14ac:dyDescent="0.2">
      <c r="B64" s="180" t="s">
        <v>430</v>
      </c>
      <c r="C64" s="388" t="s">
        <v>655</v>
      </c>
      <c r="D64" s="388"/>
      <c r="E64" s="388"/>
      <c r="F64" s="174"/>
      <c r="G64" s="175"/>
      <c r="H64" s="176"/>
      <c r="I64" s="120"/>
      <c r="J64" s="109">
        <f ca="1">IF(F5=0,E5,F5)</f>
        <v>19</v>
      </c>
      <c r="K64" s="109">
        <f ca="1">IF(B64=0,0,J64)</f>
        <v>19</v>
      </c>
      <c r="L64" s="113"/>
    </row>
    <row r="65" spans="2:12" ht="3.75" customHeight="1" thickBot="1" x14ac:dyDescent="0.25">
      <c r="B65" s="114"/>
      <c r="C65" s="121"/>
      <c r="D65" s="121"/>
      <c r="E65" s="121"/>
      <c r="F65" s="115"/>
      <c r="G65" s="122"/>
      <c r="H65" s="114"/>
      <c r="I65" s="123"/>
      <c r="J65" s="124"/>
      <c r="K65" s="125"/>
      <c r="L65" s="117"/>
    </row>
    <row r="66" spans="2:12" ht="13.5" thickTop="1" x14ac:dyDescent="0.2">
      <c r="C66" s="108" t="s">
        <v>671</v>
      </c>
      <c r="D66" s="108"/>
      <c r="J66" s="126"/>
      <c r="K66" s="141">
        <f ca="1">SUM(K37:K64)</f>
        <v>804.17999999999984</v>
      </c>
      <c r="L66" s="110"/>
    </row>
    <row r="67" spans="2:12" x14ac:dyDescent="0.2">
      <c r="B67" s="144"/>
      <c r="K67" s="128"/>
    </row>
    <row r="68" spans="2:12" x14ac:dyDescent="0.2">
      <c r="B68" s="107" t="s">
        <v>672</v>
      </c>
      <c r="K68" s="141">
        <f ca="1">K33+K66</f>
        <v>1131.8799999999999</v>
      </c>
      <c r="L68" s="110"/>
    </row>
    <row r="69" spans="2:12" ht="13.5" thickBot="1" x14ac:dyDescent="0.25">
      <c r="D69" s="128" t="s">
        <v>673</v>
      </c>
      <c r="E69" s="129">
        <f ca="1">ROUND(SUM($E$33:$H$33)+$K$66,2)</f>
        <v>971.17</v>
      </c>
      <c r="F69" s="388" t="s">
        <v>674</v>
      </c>
      <c r="G69" s="388"/>
      <c r="H69" s="130">
        <f>'General Variables'!$B$11</f>
        <v>7.4999999999999997E-2</v>
      </c>
      <c r="I69" s="131" t="str">
        <f>CONCATENATE("for ",TEXT('General Variables'!$B$12,"0.0")," mo.")</f>
        <v>for 6.0 mo.</v>
      </c>
      <c r="K69" s="145">
        <f ca="1">E69*H69*'General Variables'!$B$12/12</f>
        <v>36.418875</v>
      </c>
      <c r="L69" s="133"/>
    </row>
    <row r="70" spans="2:12" ht="13.5" thickTop="1" x14ac:dyDescent="0.2">
      <c r="B70" s="107" t="s">
        <v>675</v>
      </c>
      <c r="K70" s="141">
        <f ca="1">SUM(K68:K69)</f>
        <v>1168.298875</v>
      </c>
      <c r="L70" s="110"/>
    </row>
    <row r="71" spans="2:12" x14ac:dyDescent="0.2">
      <c r="K71" s="128"/>
    </row>
    <row r="72" spans="2:12" x14ac:dyDescent="0.2">
      <c r="B72" s="104" t="s">
        <v>676</v>
      </c>
      <c r="C72" s="134"/>
      <c r="D72" s="134"/>
      <c r="E72" s="134"/>
      <c r="F72" s="134"/>
      <c r="G72" s="134"/>
      <c r="H72" s="134"/>
      <c r="I72" s="134"/>
      <c r="J72" s="134"/>
      <c r="K72" s="142">
        <f>'General Variables'!B14</f>
        <v>35</v>
      </c>
      <c r="L72" s="110"/>
    </row>
    <row r="73" spans="2:12" x14ac:dyDescent="0.2">
      <c r="B73" s="103" t="s">
        <v>687</v>
      </c>
      <c r="C73" s="402" t="s">
        <v>37</v>
      </c>
      <c r="D73" s="403"/>
      <c r="E73" s="404"/>
      <c r="F73" s="136">
        <f>IF(C73=0,0,VLOOKUP(C73,RETable,2,FALSE))</f>
        <v>3565</v>
      </c>
      <c r="G73" s="388" t="s">
        <v>678</v>
      </c>
      <c r="H73" s="388"/>
      <c r="I73" s="130">
        <f>'General Variables'!$B$10</f>
        <v>0.03</v>
      </c>
      <c r="K73" s="146">
        <f>ROUND(F73*I73,2)</f>
        <v>106.95</v>
      </c>
      <c r="L73" s="110"/>
    </row>
    <row r="74" spans="2:12" ht="13.5" thickBot="1" x14ac:dyDescent="0.25">
      <c r="B74" s="103" t="s">
        <v>679</v>
      </c>
      <c r="F74" s="138">
        <f>IF(C73=0,0,VLOOKUP(C73,RETable,2,FALSE))</f>
        <v>3565</v>
      </c>
      <c r="G74" s="397" t="s">
        <v>678</v>
      </c>
      <c r="H74" s="397"/>
      <c r="I74" s="139">
        <f>'General Variables'!$B$13</f>
        <v>1.2999999999999999E-2</v>
      </c>
      <c r="J74" s="105"/>
      <c r="K74" s="147">
        <f>ROUND(F74*I74,2)</f>
        <v>46.35</v>
      </c>
      <c r="L74" s="133"/>
    </row>
    <row r="75" spans="2:12" ht="13.5" thickTop="1" x14ac:dyDescent="0.2">
      <c r="B75" s="107" t="s">
        <v>680</v>
      </c>
      <c r="K75" s="141">
        <f ca="1">SUM(K70:K74)</f>
        <v>1356.5988749999999</v>
      </c>
      <c r="L75" s="110"/>
    </row>
    <row r="76" spans="2:12" x14ac:dyDescent="0.2">
      <c r="K76" s="128"/>
    </row>
    <row r="77" spans="2:12" x14ac:dyDescent="0.2">
      <c r="B77" s="104" t="str">
        <f>IF(G4="","","Cash Cost per "&amp;H4)</f>
        <v>Cash Cost per ton</v>
      </c>
      <c r="C77" s="261" t="s">
        <v>688</v>
      </c>
      <c r="D77" s="105"/>
      <c r="E77" s="105"/>
      <c r="F77" s="105"/>
      <c r="G77" s="105"/>
      <c r="H77" s="105"/>
      <c r="I77" s="105"/>
      <c r="J77" s="105"/>
      <c r="K77" s="142">
        <f ca="1">IF(G4=0,0,(E69+K69+K72+K74)/G4)</f>
        <v>36.297962499999997</v>
      </c>
      <c r="L77" s="148"/>
    </row>
    <row r="78" spans="2:12" x14ac:dyDescent="0.2">
      <c r="B78" s="107" t="str">
        <f>IF(G4="","","Cost of production per "&amp;H4)</f>
        <v>Cost of production per ton</v>
      </c>
      <c r="K78" s="141">
        <f ca="1">IF(G4="","",K75/G4)</f>
        <v>45.219962499999994</v>
      </c>
      <c r="L78" s="110"/>
    </row>
    <row r="80" spans="2:12" x14ac:dyDescent="0.2">
      <c r="D80" s="103" t="s">
        <v>900</v>
      </c>
      <c r="G80" s="105"/>
      <c r="H80" s="105"/>
      <c r="I80" s="105"/>
      <c r="J80" s="105"/>
      <c r="K80" s="355" t="s">
        <v>901</v>
      </c>
      <c r="L80" s="105"/>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5"/>
      <c r="C114" s="105"/>
      <c r="D114" s="105"/>
      <c r="H114" s="103" t="e">
        <f>'General Variables'!#REF!</f>
        <v>#REF!</v>
      </c>
    </row>
    <row r="115" spans="2:11" x14ac:dyDescent="0.2">
      <c r="B115" s="105"/>
      <c r="C115" s="105"/>
      <c r="D115" s="105"/>
      <c r="H115" s="103" t="e">
        <f>'General Variables'!#REF!</f>
        <v>#REF!</v>
      </c>
      <c r="K115" s="103" t="s">
        <v>681</v>
      </c>
    </row>
    <row r="116" spans="2:11" x14ac:dyDescent="0.2">
      <c r="B116" s="105"/>
      <c r="C116" s="105"/>
      <c r="D116" s="105"/>
      <c r="H116" s="103" t="e">
        <f>'General Variables'!#REF!</f>
        <v>#REF!</v>
      </c>
      <c r="K116" s="103" t="s">
        <v>654</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t="str">
        <f>IF(Operations!A96="","",Operations!A96)</f>
        <v/>
      </c>
      <c r="C244" s="105" t="str">
        <f>IF(Materials!B140="","",Materials!B140)</f>
        <v>Alfalfa w/Inoculant</v>
      </c>
    </row>
    <row r="245" spans="2:3" x14ac:dyDescent="0.2">
      <c r="B245" s="105" t="str">
        <f>IF(Operations!A97="","",Operations!A97)</f>
        <v/>
      </c>
      <c r="C245" s="105" t="str">
        <f>IF(Materials!B141="","",Materials!B141)</f>
        <v>Corn</v>
      </c>
    </row>
    <row r="246" spans="2:3" x14ac:dyDescent="0.2">
      <c r="B246" s="105" t="str">
        <f>IF(Operations!A98="","",Operations!A98)</f>
        <v/>
      </c>
      <c r="C246" s="105" t="str">
        <f>IF(Materials!B142="","",Materials!B142)</f>
        <v>Corn Bt, ECB, &amp; RIB</v>
      </c>
    </row>
    <row r="247" spans="2:3" x14ac:dyDescent="0.2">
      <c r="B247" s="105" t="str">
        <f>IF(Operations!A99="","",Operations!A99)</f>
        <v/>
      </c>
      <c r="C247" s="105" t="str">
        <f>IF(Materials!B143="","",Materials!B143)</f>
        <v>Corn Bt, ECB, RR2, LL, &amp; RIB</v>
      </c>
    </row>
    <row r="248" spans="2:3" x14ac:dyDescent="0.2">
      <c r="B248" s="105" t="str">
        <f>IF(Operations!A100="","",Operations!A100)</f>
        <v/>
      </c>
      <c r="C248" s="105" t="str">
        <f>IF(Materials!B144="","",Materials!B144)</f>
        <v>Corn Bt, ECB, RW, &amp; RIB</v>
      </c>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row>
    <row r="259" spans="2:3" x14ac:dyDescent="0.2">
      <c r="B259" s="105"/>
    </row>
  </sheetData>
  <mergeCells count="51">
    <mergeCell ref="F69:G69"/>
    <mergeCell ref="C73:E73"/>
    <mergeCell ref="G73:H73"/>
    <mergeCell ref="G74:H74"/>
    <mergeCell ref="C59:E59"/>
    <mergeCell ref="C60:E60"/>
    <mergeCell ref="C61:E61"/>
    <mergeCell ref="C62:E62"/>
    <mergeCell ref="C63:E63"/>
    <mergeCell ref="C64:E64"/>
    <mergeCell ref="C58:E58"/>
    <mergeCell ref="C47:E47"/>
    <mergeCell ref="C48:E48"/>
    <mergeCell ref="C49:E49"/>
    <mergeCell ref="C51:E51"/>
    <mergeCell ref="C52:E52"/>
    <mergeCell ref="C53:E53"/>
    <mergeCell ref="C54:E54"/>
    <mergeCell ref="C55:E55"/>
    <mergeCell ref="C56:E56"/>
    <mergeCell ref="C57:E57"/>
    <mergeCell ref="J35:J36"/>
    <mergeCell ref="C38:E38"/>
    <mergeCell ref="C39:E39"/>
    <mergeCell ref="C42:E42"/>
    <mergeCell ref="C43:E43"/>
    <mergeCell ref="C37:E37"/>
    <mergeCell ref="C40:E40"/>
    <mergeCell ref="C3:E3"/>
    <mergeCell ref="C45:E45"/>
    <mergeCell ref="F35:F36"/>
    <mergeCell ref="G35:G36"/>
    <mergeCell ref="H35:I35"/>
    <mergeCell ref="C44:E44"/>
    <mergeCell ref="C41:E41"/>
    <mergeCell ref="C46:E46"/>
    <mergeCell ref="C50:E50"/>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s>
  <dataValidations count="9">
    <dataValidation type="list" allowBlank="1" showInputMessage="1" showErrorMessage="1" sqref="B65" xr:uid="{00000000-0002-0000-4A00-000000000000}">
      <formula1>$C$114:$C$232</formula1>
    </dataValidation>
    <dataValidation type="list" allowBlank="1" showInputMessage="1" showErrorMessage="1" sqref="B32" xr:uid="{00000000-0002-0000-4A00-000001000000}">
      <formula1>$B$114:$B$211</formula1>
    </dataValidation>
    <dataValidation type="list" allowBlank="1" showInputMessage="1" showErrorMessage="1" sqref="K4" xr:uid="{00000000-0002-0000-4A00-000002000000}">
      <formula1>$K$114:$K$116</formula1>
    </dataValidation>
    <dataValidation type="list" allowBlank="1" showInputMessage="1" showErrorMessage="1" sqref="C73:E73" xr:uid="{00000000-0002-0000-4A00-000003000000}">
      <formula1>RealEstateList</formula1>
    </dataValidation>
    <dataValidation type="list" allowBlank="1" showInputMessage="1" showErrorMessage="1" sqref="B12:B31" xr:uid="{00000000-0002-0000-4A00-000004000000}">
      <formula1>OperationList</formula1>
    </dataValidation>
    <dataValidation type="list" allowBlank="1" showInputMessage="1" showErrorMessage="1" sqref="D12:D32" xr:uid="{00000000-0002-0000-4A00-000005000000}">
      <formula1>#REF!</formula1>
    </dataValidation>
    <dataValidation type="list" allowBlank="1" showInputMessage="1" showErrorMessage="1" sqref="K2" xr:uid="{00000000-0002-0000-4A00-000006000000}">
      <formula1>watersource</formula1>
    </dataValidation>
    <dataValidation type="list" allowBlank="1" showInputMessage="1" showErrorMessage="1" sqref="C3" xr:uid="{00000000-0002-0000-4A00-000007000000}">
      <formula1>TillageSystem</formula1>
    </dataValidation>
    <dataValidation type="list" allowBlank="1" showInputMessage="1" showErrorMessage="1" sqref="B37:B63" xr:uid="{00000000-0002-0000-4A00-000008000000}">
      <formula1>MaterialList</formula1>
    </dataValidation>
  </dataValidations>
  <pageMargins left="0.7" right="0.7" top="0.75" bottom="0.75" header="0.3" footer="0.3"/>
  <pageSetup scale="7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5">
    <pageSetUpPr fitToPage="1"/>
  </sheetPr>
  <dimension ref="A2:M260"/>
  <sheetViews>
    <sheetView zoomScaleNormal="100" workbookViewId="0">
      <selection activeCell="G51" sqref="G5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682</v>
      </c>
      <c r="H2" s="392"/>
      <c r="J2" s="128" t="s">
        <v>649</v>
      </c>
      <c r="K2" s="401" t="s">
        <v>69</v>
      </c>
      <c r="L2" s="401"/>
    </row>
    <row r="3" spans="1:13" hidden="1" x14ac:dyDescent="0.2">
      <c r="B3" s="103" t="s">
        <v>38</v>
      </c>
      <c r="C3" s="391" t="s">
        <v>61</v>
      </c>
      <c r="D3" s="391"/>
      <c r="E3" s="391"/>
      <c r="G3" s="128" t="s">
        <v>650</v>
      </c>
      <c r="H3" s="187" t="s">
        <v>779</v>
      </c>
      <c r="J3" s="128" t="s">
        <v>651</v>
      </c>
      <c r="K3" s="187">
        <v>16</v>
      </c>
    </row>
    <row r="4" spans="1:13" hidden="1" x14ac:dyDescent="0.2">
      <c r="B4" s="103" t="s">
        <v>652</v>
      </c>
      <c r="C4" s="392"/>
      <c r="D4" s="392"/>
      <c r="E4" s="392"/>
      <c r="G4" s="103">
        <f>IFERROR(VALUE(LEFT($H$3,FIND(" ",$H$3))),"")</f>
        <v>30</v>
      </c>
      <c r="H4" s="103" t="str">
        <f>IFERROR(RIGHT(H3,LEN(H3)-LEN(G4)-1),"")</f>
        <v>ton</v>
      </c>
      <c r="J4" s="128" t="s">
        <v>653</v>
      </c>
      <c r="K4" s="188"/>
    </row>
    <row r="5" spans="1:13" ht="15.75" hidden="1" customHeight="1" x14ac:dyDescent="0.2">
      <c r="B5" s="103" t="s">
        <v>655</v>
      </c>
      <c r="C5" s="103" t="str">
        <f ca="1">MID(CELL("filename",C5),FIND("]",CELL("filename",C5))+1,255)</f>
        <v>69-Sugarbeet</v>
      </c>
      <c r="E5" s="103">
        <f ca="1">VLOOKUP($C$5,CropInsurance,5,FALSE)</f>
        <v>19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69-Sugarbeet, Roundup Ready®, Panhandle, One Pass Zone-Tillage, 30 ton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69-Sugarbeet, Roundup Ready®, Panhandle, One Pass Zone-Tillage, 30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551</v>
      </c>
      <c r="C14" s="174" t="s">
        <v>184</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109" t="str">
        <f t="shared" si="0"/>
        <v/>
      </c>
      <c r="L14" s="110"/>
    </row>
    <row r="15" spans="1:13" x14ac:dyDescent="0.2">
      <c r="A15" s="170">
        <v>4</v>
      </c>
      <c r="B15" s="213" t="s">
        <v>526</v>
      </c>
      <c r="C15" s="214">
        <v>1</v>
      </c>
      <c r="D15" s="214"/>
      <c r="E15" s="215">
        <f>IF(B15=0,"",IF(C15&gt;9999,"",ROUND('General Variables'!$B$4*VLOOKUP(B15,Operations!$A$2:$U$79,10,FALSE)/VLOOKUP(B15,Operations!$A$2:$U$79,9,FALSE)*C15,2)))</f>
        <v>3.24</v>
      </c>
      <c r="F15" s="215">
        <f>IF(B15=0,0,IF(C15&gt;9999,"",ROUND(IF(VLOOKUP(B15,Operations!$A$2:$U$79,12,FALSE)=0,VLOOKUP(B15,Operations!$A$2:$U$79,13,FALSE)*'General Variables'!$B$8,VLOOKUP(B15,Operations!$A$2:$U$79,12,FALSE)*'General Variables'!$B$7)/VLOOKUP(B15,Operations!$A$2:$U$79,9,FALSE)*C15,2)))</f>
        <v>0.87</v>
      </c>
      <c r="G15" s="215">
        <f>IF(B15=0,0,IF(C15&gt;9999,"",ROUND(VLOOKUP(VLOOKUP(B15,Operations!$A$2:$U$79,11,FALSE),PowerUnits[],10,FALSE)/VLOOKUP(B15,Operations!$A$2:$U$79,9,FALSE)*C15,2)))</f>
        <v>0.08</v>
      </c>
      <c r="H15" s="215">
        <f>IF(B15=0,"",IF(C15&gt;9999,"",ROUND(VLOOKUP($B15,Operations!$A$2:$U$79,15,FALSE)*C15,2)))</f>
        <v>6.97</v>
      </c>
      <c r="I15" s="215">
        <f>IF(B15=0,0,IF(C15&gt;9999,"",ROUND(VLOOKUP(VLOOKUP(B15,Operations!$A$2:$U$79,11,FALSE),PowerUnits[],16,FALSE)/VLOOKUP(B15,Operations!$A$2:$U$79,9,FALSE)*C15,2)))</f>
        <v>4.33</v>
      </c>
      <c r="J15" s="215">
        <f>IF(B15=0,"",IF(C15&gt;9999,"",ROUND(VLOOKUP($B15,Operations!$A$2:$U$79,21,FALSE)*$C15,2)))</f>
        <v>6.61</v>
      </c>
      <c r="K15" s="215">
        <f t="shared" si="0"/>
        <v>22.1</v>
      </c>
      <c r="L15" s="216"/>
    </row>
    <row r="16" spans="1:13" x14ac:dyDescent="0.2">
      <c r="A16" s="170">
        <v>5</v>
      </c>
      <c r="B16" s="180" t="s">
        <v>545</v>
      </c>
      <c r="C16" s="174">
        <v>1</v>
      </c>
      <c r="D16" s="174"/>
      <c r="E16" s="109">
        <f>IF(B16=0,"",IF(C16&gt;9999,"",ROUND('General Variables'!$B$4*VLOOKUP(B16,Operations!$A$2:$U$79,10,FALSE)/VLOOKUP(B16,Operations!$A$2:$U$79,9,FALSE)*C16,2)))</f>
        <v>2.7</v>
      </c>
      <c r="F16" s="109">
        <f>IF(B16=0,0,IF(C16&gt;9999,"",ROUND(IF(VLOOKUP(B16,Operations!$A$2:$U$79,12,FALSE)=0,VLOOKUP(B16,Operations!$A$2:$U$79,13,FALSE)*'General Variables'!$B$8,VLOOKUP(B16,Operations!$A$2:$U$79,12,FALSE)*'General Variables'!$B$7)/VLOOKUP(B16,Operations!$A$2:$U$79,9,FALSE)*C16,2)))</f>
        <v>1.02</v>
      </c>
      <c r="G16" s="109">
        <f>IF(B16=0,0,IF(C16&gt;9999,"",ROUND(VLOOKUP(VLOOKUP(B16,Operations!$A$2:$U$79,11,FALSE),PowerUnits[],10,FALSE)/VLOOKUP(B16,Operations!$A$2:$U$79,9,FALSE)*C16,2)))</f>
        <v>0.08</v>
      </c>
      <c r="H16" s="109">
        <f>IF(B16=0,"",IF(C16&gt;9999,"",ROUND(VLOOKUP($B16,Operations!$A$2:$U$79,15,FALSE)*C16,2)))</f>
        <v>1.4</v>
      </c>
      <c r="I16" s="109">
        <f>IF(B16=0,0,IF(C16&gt;9999,"",ROUND(VLOOKUP(VLOOKUP(B16,Operations!$A$2:$U$79,11,FALSE),PowerUnits[],16,FALSE)/VLOOKUP(B16,Operations!$A$2:$U$79,9,FALSE)*C16,2)))</f>
        <v>3.93</v>
      </c>
      <c r="J16" s="109">
        <f>IF(B16=0,"",IF(C16&gt;9999,"",ROUND(VLOOKUP($B16,Operations!$A$2:$U$79,21,FALSE)*$C16,2)))</f>
        <v>3.2</v>
      </c>
      <c r="K16" s="109">
        <f t="shared" si="0"/>
        <v>12.33</v>
      </c>
      <c r="L16" s="110"/>
    </row>
    <row r="17" spans="1:12" x14ac:dyDescent="0.2">
      <c r="A17" s="170">
        <v>6</v>
      </c>
      <c r="B17" s="180" t="s">
        <v>551</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v>7</v>
      </c>
      <c r="B18" s="180" t="s">
        <v>522</v>
      </c>
      <c r="C18" s="174">
        <f>$K$3</f>
        <v>16</v>
      </c>
      <c r="D18" s="174" t="s">
        <v>693</v>
      </c>
      <c r="E18" s="109">
        <f>IF(B18=0,"",IF(C18&gt;9999,"",ROUND('General Variables'!$B$4*VLOOKUP(B18,Operations!$A$2:$U$79,10,FALSE)/VLOOKUP(B18,Operations!$A$2:$U$79,9,FALSE)*C18,2)))</f>
        <v>15</v>
      </c>
      <c r="F18" s="109">
        <f>IF(B18=0,0,IF(C18&gt;9999,"",ROUND(IF(VLOOKUP(B18,Operations!$A$2:$U$79,12,FALSE)=0,VLOOKUP(B18,Operations!$A$2:$U$79,13,FALSE)*'General Variables'!$B$8,VLOOKUP(B18,Operations!$A$2:$U$79,12,FALSE)*'General Variables'!$B$7)/VLOOKUP(B18,Operations!$A$2:$U$79,9,FALSE)*C18,2)))</f>
        <v>94.92</v>
      </c>
      <c r="G18" s="109">
        <f>IF(B18=0,0,IF(C18&gt;9999,"",ROUND(VLOOKUP(VLOOKUP(B18,Operations!$A$2:$U$79,11,FALSE),PowerUnits[],10,FALSE)/VLOOKUP(B18,Operations!$A$2:$U$79,9,FALSE)*C18,2)))</f>
        <v>8.7100000000000009</v>
      </c>
      <c r="H18" s="109">
        <f>IF(B18=0,"",IF(C18&gt;9999,"",ROUND(VLOOKUP($B18,Operations!$A$2:$U$79,15,FALSE)*C18,2)))</f>
        <v>42.42</v>
      </c>
      <c r="I18" s="109">
        <f>IF(B18=0,0,IF(C18&gt;9999,"",ROUND(VLOOKUP(VLOOKUP(B18,Operations!$A$2:$U$79,11,FALSE),PowerUnits[],16,FALSE)/VLOOKUP(B18,Operations!$A$2:$U$79,9,FALSE)*C18,2)))</f>
        <v>16.54</v>
      </c>
      <c r="J18" s="109">
        <f>IF(B18=0,"",IF(C18&gt;9999,"",ROUND(VLOOKUP($B18,Operations!$A$2:$U$79,21,FALSE)*$C18,2)))</f>
        <v>23.29</v>
      </c>
      <c r="K18" s="109">
        <f t="shared" si="0"/>
        <v>200.88</v>
      </c>
      <c r="L18" s="110"/>
    </row>
    <row r="19" spans="1:12" x14ac:dyDescent="0.2">
      <c r="A19" s="170">
        <v>8</v>
      </c>
      <c r="B19" s="213" t="s">
        <v>551</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x14ac:dyDescent="0.2">
      <c r="A20" s="170">
        <v>9</v>
      </c>
      <c r="B20" s="180" t="s">
        <v>183</v>
      </c>
      <c r="C20" s="174" t="s">
        <v>184</v>
      </c>
      <c r="D20" s="174"/>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183</v>
      </c>
      <c r="C21" s="174" t="s">
        <v>184</v>
      </c>
      <c r="D21" s="174"/>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563</v>
      </c>
      <c r="C22" s="174">
        <v>1</v>
      </c>
      <c r="D22" s="174"/>
      <c r="E22" s="109">
        <f>IF(B22=0,"",IF(C22&gt;9999,"",ROUND('General Variables'!$B$4*VLOOKUP(B22,Operations!$A$2:$U$79,10,FALSE)/VLOOKUP(B22,Operations!$A$2:$U$79,9,FALSE)*C22,2)))</f>
        <v>4.66</v>
      </c>
      <c r="F22" s="109">
        <f>IF(B22=0,0,IF(C22&gt;9999,"",ROUND(IF(VLOOKUP(B22,Operations!$A$2:$U$79,12,FALSE)=0,VLOOKUP(B22,Operations!$A$2:$U$79,13,FALSE)*'General Variables'!$B$8,VLOOKUP(B22,Operations!$A$2:$U$79,12,FALSE)*'General Variables'!$B$7)/VLOOKUP(B22,Operations!$A$2:$U$79,9,FALSE)*C22,2)))</f>
        <v>1.93</v>
      </c>
      <c r="G22" s="109">
        <f>IF(B22=0,0,IF(C22&gt;9999,"",ROUND(VLOOKUP(VLOOKUP(B22,Operations!$A$2:$U$79,11,FALSE),PowerUnits[],10,FALSE)/VLOOKUP(B22,Operations!$A$2:$U$79,9,FALSE)*C22,2)))</f>
        <v>0.14000000000000001</v>
      </c>
      <c r="H22" s="109">
        <f>IF(B22=0,"",IF(C22&gt;9999,"",ROUND(VLOOKUP($B22,Operations!$A$2:$U$79,15,FALSE)*C22,2)))</f>
        <v>10.11</v>
      </c>
      <c r="I22" s="109">
        <f>IF(B22=0,0,IF(C22&gt;9999,"",ROUND(VLOOKUP(VLOOKUP(B22,Operations!$A$2:$U$79,11,FALSE),PowerUnits[],16,FALSE)/VLOOKUP(B22,Operations!$A$2:$U$79,9,FALSE)*C22,2)))</f>
        <v>7.48</v>
      </c>
      <c r="J22" s="109">
        <f>IF(B22=0,"",IF(C22&gt;9999,"",ROUND(VLOOKUP($B22,Operations!$A$2:$U$79,21,FALSE)*$C22,2)))</f>
        <v>6.05</v>
      </c>
      <c r="K22" s="109">
        <f t="shared" ref="K22:K25" si="1">IF(C22&gt;9999,"",ROUND(SUM(E22:J22),2))</f>
        <v>30.37</v>
      </c>
      <c r="L22" s="110"/>
    </row>
    <row r="23" spans="1:12" x14ac:dyDescent="0.2">
      <c r="A23" s="170">
        <v>12</v>
      </c>
      <c r="B23" s="213" t="s">
        <v>505</v>
      </c>
      <c r="C23" s="214">
        <v>1</v>
      </c>
      <c r="D23" s="214"/>
      <c r="E23" s="215">
        <f>IF(B23=0,"",IF(C23&gt;9999,"",ROUND('General Variables'!$B$4*VLOOKUP(B23,Operations!$A$2:$U$79,10,FALSE)/VLOOKUP(B23,Operations!$A$2:$U$79,9,FALSE)*C23,2)))</f>
        <v>4.95</v>
      </c>
      <c r="F23" s="215">
        <f>IF(B23=0,0,IF(C23&gt;9999,"",ROUND(IF(VLOOKUP(B23,Operations!$A$2:$U$79,12,FALSE)=0,VLOOKUP(B23,Operations!$A$2:$U$79,13,FALSE)*'General Variables'!$B$8,VLOOKUP(B23,Operations!$A$2:$U$79,12,FALSE)*'General Variables'!$B$7)/VLOOKUP(B23,Operations!$A$2:$U$79,9,FALSE)*C23,2)))</f>
        <v>3.3</v>
      </c>
      <c r="G23" s="215">
        <f>IF(B23=0,0,IF(C23&gt;9999,"",ROUND(VLOOKUP(VLOOKUP(B23,Operations!$A$2:$U$79,11,FALSE),PowerUnits[],10,FALSE)/VLOOKUP(B23,Operations!$A$2:$U$79,9,FALSE)*C23,2)))</f>
        <v>0.56000000000000005</v>
      </c>
      <c r="H23" s="215">
        <f>IF(B23=0,"",IF(C23&gt;9999,"",ROUND(VLOOKUP($B23,Operations!$A$2:$U$79,15,FALSE)*C23,2)))</f>
        <v>36.020000000000003</v>
      </c>
      <c r="I23" s="215">
        <f>IF(B23=0,0,IF(C23&gt;9999,"",ROUND(VLOOKUP(VLOOKUP(B23,Operations!$A$2:$U$79,11,FALSE),PowerUnits[],16,FALSE)/VLOOKUP(B23,Operations!$A$2:$U$79,9,FALSE)*C23,2)))</f>
        <v>15.38</v>
      </c>
      <c r="J23" s="215">
        <f>IF(B23=0,"",IF(C23&gt;9999,"",ROUND(VLOOKUP($B23,Operations!$A$2:$U$79,21,FALSE)*$C23,2)))</f>
        <v>12.08</v>
      </c>
      <c r="K23" s="215">
        <f t="shared" si="1"/>
        <v>72.290000000000006</v>
      </c>
      <c r="L23" s="216"/>
    </row>
    <row r="24" spans="1:12" x14ac:dyDescent="0.2">
      <c r="A24" s="170">
        <v>13</v>
      </c>
      <c r="B24" s="180" t="s">
        <v>565</v>
      </c>
      <c r="C24" s="174" t="s">
        <v>184</v>
      </c>
      <c r="D24" s="174"/>
      <c r="E24" s="109" t="str">
        <f>IF(B24=0,"",IF(C24&gt;9999,"",ROUND('General Variables'!$B$4*VLOOKUP(B24,Operations!$A$2:$U$79,10,FALSE)/VLOOKUP(B24,Operations!$A$2:$U$79,9,FALSE)*C24,2)))</f>
        <v/>
      </c>
      <c r="F24" s="109" t="str">
        <f>IF(B24=0,0,IF(C24&gt;9999,"",ROUND(IF(VLOOKUP(B24,Operations!$A$2:$U$79,12,FALSE)=0,VLOOKUP(B24,Operations!$A$2:$U$79,13,FALSE)*'General Variables'!$B$8,VLOOKUP(B24,Operations!$A$2:$U$79,12,FALSE)*'General Variables'!$B$7)/VLOOKUP(B24,Operations!$A$2:$U$79,9,FALSE)*C24,2)))</f>
        <v/>
      </c>
      <c r="G24" s="109" t="str">
        <f>IF(B24=0,0,IF(C24&gt;9999,"",ROUND(VLOOKUP(VLOOKUP(B24,Operations!$A$2:$U$79,11,FALSE),PowerUnits[],10,FALSE)/VLOOKUP(B24,Operations!$A$2:$U$79,9,FALSE)*C24,2)))</f>
        <v/>
      </c>
      <c r="H24" s="109" t="str">
        <f>IF(B24=0,"",IF(C24&gt;9999,"",ROUND(VLOOKUP($B24,Operations!$A$2:$U$79,15,FALSE)*C24,2)))</f>
        <v/>
      </c>
      <c r="I24" s="109" t="str">
        <f>IF(B24=0,0,IF(C24&gt;9999,"",ROUND(VLOOKUP(VLOOKUP(B24,Operations!$A$2:$U$79,11,FALSE),PowerUnits[],16,FALSE)/VLOOKUP(B24,Operations!$A$2:$U$79,9,FALSE)*C24,2)))</f>
        <v/>
      </c>
      <c r="J24" s="109" t="str">
        <f>IF(B24=0,"",IF(C24&gt;9999,"",ROUND(VLOOKUP($B24,Operations!$A$2:$U$79,21,FALSE)*$C24,2)))</f>
        <v/>
      </c>
      <c r="K24" s="109" t="str">
        <f t="shared" si="0"/>
        <v/>
      </c>
      <c r="L24" s="257"/>
    </row>
    <row r="25" spans="1:12" x14ac:dyDescent="0.2">
      <c r="A25" s="170">
        <v>14</v>
      </c>
      <c r="B25" s="180" t="s">
        <v>558</v>
      </c>
      <c r="C25" s="174">
        <v>1</v>
      </c>
      <c r="D25" s="174"/>
      <c r="E25" s="109">
        <f>IF(B25=0,"",IF(C25&gt;9999,"",ROUND('General Variables'!$B$4*VLOOKUP(B25,Operations!$A$2:$U$79,10,FALSE)/VLOOKUP(B25,Operations!$A$2:$U$79,9,FALSE)*C25,2)))</f>
        <v>3</v>
      </c>
      <c r="F25" s="109">
        <f>IF(B25=0,0,IF(C25&gt;9999,"",ROUND(IF(VLOOKUP(B25,Operations!$A$2:$U$79,12,FALSE)=0,VLOOKUP(B25,Operations!$A$2:$U$79,13,FALSE)*'General Variables'!$B$8,VLOOKUP(B25,Operations!$A$2:$U$79,12,FALSE)*'General Variables'!$B$7)/VLOOKUP(B25,Operations!$A$2:$U$79,9,FALSE)*C25,2)))</f>
        <v>2.93</v>
      </c>
      <c r="G25" s="109">
        <f>IF(B25=0,0,IF(C25&gt;9999,"",ROUND(VLOOKUP(VLOOKUP(B25,Operations!$A$2:$U$79,11,FALSE),PowerUnits[],10,FALSE)/VLOOKUP(B25,Operations!$A$2:$U$79,9,FALSE)*C25,2)))</f>
        <v>0.38</v>
      </c>
      <c r="H25" s="109">
        <f>IF(B25=0,"",IF(C25&gt;9999,"",ROUND(VLOOKUP($B25,Operations!$A$2:$U$79,15,FALSE)*C25,2)))</f>
        <v>4.95</v>
      </c>
      <c r="I25" s="109">
        <f>IF(B25=0,0,IF(C25&gt;9999,"",ROUND(VLOOKUP(VLOOKUP(B25,Operations!$A$2:$U$79,11,FALSE),PowerUnits[],16,FALSE)/VLOOKUP(B25,Operations!$A$2:$U$79,9,FALSE)*C25,2)))</f>
        <v>10.26</v>
      </c>
      <c r="J25" s="109">
        <f>IF(B25=0,"",IF(C25&gt;9999,"",ROUND(VLOOKUP($B25,Operations!$A$2:$U$79,21,FALSE)*$C25,2)))</f>
        <v>5.42</v>
      </c>
      <c r="K25" s="109">
        <f t="shared" si="1"/>
        <v>26.94</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37.29</v>
      </c>
      <c r="F33" s="109">
        <f t="shared" ref="F33:K33" si="2">SUM(F12:F31)</f>
        <v>107.66000000000001</v>
      </c>
      <c r="G33" s="109">
        <f t="shared" si="2"/>
        <v>10.290000000000003</v>
      </c>
      <c r="H33" s="109">
        <f t="shared" si="2"/>
        <v>103.88000000000001</v>
      </c>
      <c r="I33" s="109">
        <f t="shared" si="2"/>
        <v>67.69</v>
      </c>
      <c r="J33" s="109">
        <f t="shared" si="2"/>
        <v>63.309999999999995</v>
      </c>
      <c r="K33" s="109">
        <f t="shared" si="2"/>
        <v>390.12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2</v>
      </c>
      <c r="G37" s="175">
        <v>1</v>
      </c>
      <c r="H37" s="176">
        <v>13.4</v>
      </c>
      <c r="I37" s="120" t="str">
        <f>IF($B37=0,"",VLOOKUP($B37,Table2[],5,FALSE))</f>
        <v>gallon</v>
      </c>
      <c r="J37" s="109">
        <f>IF($B37=0,"",VLOOKUP($B37,Table2[],7,FALSE))</f>
        <v>3.1</v>
      </c>
      <c r="K37" s="109">
        <f>IF(B37=0,0,ROUND(G37*H37*J37,2))</f>
        <v>41.54</v>
      </c>
      <c r="L37" s="110"/>
    </row>
    <row r="38" spans="1:12" x14ac:dyDescent="0.2">
      <c r="A38" s="105"/>
      <c r="B38" s="180" t="s">
        <v>205</v>
      </c>
      <c r="C38" s="388" t="str">
        <f>IF(B38=0,"",VLOOKUP($B38,Table2[],2,FALSE))</f>
        <v>Fertilizer</v>
      </c>
      <c r="D38" s="388"/>
      <c r="E38" s="388"/>
      <c r="F38" s="174">
        <v>2</v>
      </c>
      <c r="G38" s="175">
        <v>1</v>
      </c>
      <c r="H38" s="176">
        <v>125</v>
      </c>
      <c r="I38" s="120" t="str">
        <f>IF($B38=0,"",VLOOKUP($B38,Table2[],5,FALSE))</f>
        <v>lbs N</v>
      </c>
      <c r="J38" s="109">
        <f>IF($B38=0,"",VLOOKUP($B38,Table2[],7,FALSE))</f>
        <v>0.5</v>
      </c>
      <c r="K38" s="109">
        <f t="shared" ref="K38:K59" si="3">IF(B38=0,0,ROUND(G38*H38*J38,2))</f>
        <v>62.5</v>
      </c>
      <c r="L38" s="110"/>
    </row>
    <row r="39" spans="1:12" x14ac:dyDescent="0.2">
      <c r="A39" s="105"/>
      <c r="B39" s="180" t="s">
        <v>200</v>
      </c>
      <c r="C39" s="388" t="str">
        <f>IF(B39=0,"",VLOOKUP($B39,Table2[],2,FALSE))</f>
        <v>Custom</v>
      </c>
      <c r="D39" s="388"/>
      <c r="E39" s="388"/>
      <c r="F39" s="174" t="s">
        <v>782</v>
      </c>
      <c r="G39" s="175">
        <v>3</v>
      </c>
      <c r="H39" s="176">
        <v>1</v>
      </c>
      <c r="I39" s="120" t="str">
        <f>IF($B39=0,"",VLOOKUP($B39,Table2[],5,FALSE))</f>
        <v>acre</v>
      </c>
      <c r="J39" s="109">
        <f>IF($B39=0,"",VLOOKUP($B39,Table2[],7,FALSE))</f>
        <v>9</v>
      </c>
      <c r="K39" s="109">
        <f t="shared" si="3"/>
        <v>27</v>
      </c>
      <c r="L39" s="110"/>
    </row>
    <row r="40" spans="1:12" x14ac:dyDescent="0.2">
      <c r="A40" s="105"/>
      <c r="B40" s="213" t="s">
        <v>896</v>
      </c>
      <c r="C40" s="387" t="s">
        <v>228</v>
      </c>
      <c r="D40" s="387"/>
      <c r="E40" s="387"/>
      <c r="F40" s="214">
        <v>3</v>
      </c>
      <c r="G40" s="221">
        <v>1</v>
      </c>
      <c r="H40" s="222">
        <v>48</v>
      </c>
      <c r="I40" s="223" t="s">
        <v>174</v>
      </c>
      <c r="J40" s="215">
        <f>IF($B40=0,"",VLOOKUP($B40,Table2[],7,FALSE))</f>
        <v>1.015625</v>
      </c>
      <c r="K40" s="215">
        <f t="shared" si="3"/>
        <v>48.75</v>
      </c>
      <c r="L40" s="216"/>
    </row>
    <row r="41" spans="1:12" x14ac:dyDescent="0.2">
      <c r="A41" s="105"/>
      <c r="B41" s="180" t="s">
        <v>970</v>
      </c>
      <c r="C41" s="388" t="s">
        <v>228</v>
      </c>
      <c r="D41" s="388"/>
      <c r="E41" s="388"/>
      <c r="F41" s="174">
        <v>3</v>
      </c>
      <c r="G41" s="175">
        <v>1</v>
      </c>
      <c r="H41" s="176">
        <v>64</v>
      </c>
      <c r="I41" s="120" t="s">
        <v>174</v>
      </c>
      <c r="J41" s="109">
        <f>IF($B41=0,"",VLOOKUP($B41,Table2[],7,FALSE))</f>
        <v>0.859375</v>
      </c>
      <c r="K41" s="109">
        <f t="shared" ref="K41" si="4">IF(B41=0,0,ROUND(G41*H41*J41,2))</f>
        <v>55</v>
      </c>
      <c r="L41" s="110"/>
    </row>
    <row r="42" spans="1:12" x14ac:dyDescent="0.2">
      <c r="A42" s="105"/>
      <c r="B42" s="180" t="s">
        <v>259</v>
      </c>
      <c r="C42" s="388" t="str">
        <f>IF(B42=0,"",VLOOKUP($B42,Table2[],2,FALSE))</f>
        <v>Herbicide</v>
      </c>
      <c r="D42" s="388"/>
      <c r="E42" s="388"/>
      <c r="F42" s="174">
        <v>3</v>
      </c>
      <c r="G42" s="175">
        <v>1</v>
      </c>
      <c r="H42" s="176">
        <v>36</v>
      </c>
      <c r="I42" s="120" t="str">
        <f>IF($B42=0,"",VLOOKUP($B42,Table2[],5,FALSE))</f>
        <v>ounce</v>
      </c>
      <c r="J42" s="109">
        <f>IF($B42=0,"",VLOOKUP($B42,Table2[],7,FALSE))</f>
        <v>0.1328125</v>
      </c>
      <c r="K42" s="109">
        <f t="shared" si="3"/>
        <v>4.78</v>
      </c>
      <c r="L42" s="257"/>
    </row>
    <row r="43" spans="1:12" x14ac:dyDescent="0.2">
      <c r="A43" s="105"/>
      <c r="B43" s="180" t="s">
        <v>170</v>
      </c>
      <c r="C43" s="388" t="str">
        <f>IF(B43=0,"",VLOOKUP($B43,Table2[],2,FALSE))</f>
        <v>Additive</v>
      </c>
      <c r="D43" s="388"/>
      <c r="E43" s="388"/>
      <c r="F43" s="174">
        <v>3</v>
      </c>
      <c r="G43" s="175">
        <v>1</v>
      </c>
      <c r="H43" s="181">
        <v>1.7</v>
      </c>
      <c r="I43" s="120" t="str">
        <f>IF($B43=0,"",VLOOKUP($B43,Table2[],5,FALSE))</f>
        <v>pound</v>
      </c>
      <c r="J43" s="109">
        <f>IF($B43=0,"",VLOOKUP($B43,Table2[],7,FALSE))</f>
        <v>0.4</v>
      </c>
      <c r="K43" s="109">
        <f t="shared" si="3"/>
        <v>0.68</v>
      </c>
      <c r="L43" s="110"/>
    </row>
    <row r="44" spans="1:12" x14ac:dyDescent="0.2">
      <c r="A44" s="105"/>
      <c r="B44" s="180" t="s">
        <v>348</v>
      </c>
      <c r="C44" s="388" t="str">
        <f>IF(B44=0,"",VLOOKUP($B44,Table2[],2,FALSE))</f>
        <v>Seed</v>
      </c>
      <c r="D44" s="388"/>
      <c r="E44" s="388"/>
      <c r="F44" s="174">
        <v>4</v>
      </c>
      <c r="G44" s="175">
        <v>1</v>
      </c>
      <c r="H44" s="181">
        <v>1</v>
      </c>
      <c r="I44" s="120" t="str">
        <f>IF($B44=0,"",VLOOKUP($B44,Table2[],5,FALSE))</f>
        <v>acre</v>
      </c>
      <c r="J44" s="109">
        <f>IF($B44=0,"",VLOOKUP($B44,Table2[],7,FALSE))</f>
        <v>220</v>
      </c>
      <c r="K44" s="109">
        <f t="shared" si="3"/>
        <v>220</v>
      </c>
      <c r="L44" s="110"/>
    </row>
    <row r="45" spans="1:12" x14ac:dyDescent="0.2">
      <c r="A45" s="143"/>
      <c r="B45" s="213" t="s">
        <v>259</v>
      </c>
      <c r="C45" s="387" t="str">
        <f>IF(B45=0,"",VLOOKUP($B45,Table2[],2,FALSE))</f>
        <v>Herbicide</v>
      </c>
      <c r="D45" s="387"/>
      <c r="E45" s="387"/>
      <c r="F45" s="214">
        <v>6</v>
      </c>
      <c r="G45" s="221">
        <v>1</v>
      </c>
      <c r="H45" s="222">
        <v>36</v>
      </c>
      <c r="I45" s="223" t="str">
        <f>IF($B45=0,"",VLOOKUP($B45,Table2[],5,FALSE))</f>
        <v>ounce</v>
      </c>
      <c r="J45" s="215">
        <f>IF($B45=0,"",VLOOKUP($B45,Table2[],7,FALSE))</f>
        <v>0.1328125</v>
      </c>
      <c r="K45" s="215">
        <f t="shared" si="3"/>
        <v>4.78</v>
      </c>
      <c r="L45" s="216"/>
    </row>
    <row r="46" spans="1:12" x14ac:dyDescent="0.2">
      <c r="A46" s="143"/>
      <c r="B46" s="180" t="s">
        <v>264</v>
      </c>
      <c r="C46" s="388" t="s">
        <v>228</v>
      </c>
      <c r="D46" s="388" t="s">
        <v>228</v>
      </c>
      <c r="E46" s="388"/>
      <c r="F46" s="174">
        <v>6</v>
      </c>
      <c r="G46" s="175">
        <v>1</v>
      </c>
      <c r="H46" s="176">
        <v>13</v>
      </c>
      <c r="I46" s="120" t="s">
        <v>174</v>
      </c>
      <c r="J46" s="109">
        <f>IF($B46=0,"",VLOOKUP($B46,Table2[],7,FALSE))</f>
        <v>1.5234375</v>
      </c>
      <c r="K46" s="109">
        <f t="shared" si="3"/>
        <v>19.8</v>
      </c>
      <c r="L46" s="110"/>
    </row>
    <row r="47" spans="1:12" x14ac:dyDescent="0.2">
      <c r="A47" s="143"/>
      <c r="B47" s="254" t="s">
        <v>170</v>
      </c>
      <c r="C47" s="389" t="str">
        <f>IF(B47=0,"",VLOOKUP($B47,Table2[],2,FALSE))</f>
        <v>Additive</v>
      </c>
      <c r="D47" s="389"/>
      <c r="E47" s="389"/>
      <c r="F47" s="255">
        <v>6</v>
      </c>
      <c r="G47" s="337">
        <v>1</v>
      </c>
      <c r="H47" s="338">
        <v>1.7</v>
      </c>
      <c r="I47" s="339" t="str">
        <f>IF($B47=0,"",VLOOKUP($B47,Table2[],5,FALSE))</f>
        <v>pound</v>
      </c>
      <c r="J47" s="256">
        <f>IF($B47=0,"",VLOOKUP($B47,Table2[],7,FALSE))</f>
        <v>0.4</v>
      </c>
      <c r="K47" s="256">
        <f t="shared" si="3"/>
        <v>0.68</v>
      </c>
      <c r="L47" s="257"/>
    </row>
    <row r="48" spans="1:12" x14ac:dyDescent="0.2">
      <c r="A48" s="143"/>
      <c r="B48" s="180" t="s">
        <v>259</v>
      </c>
      <c r="C48" s="388" t="str">
        <f>IF(B48=0,"",VLOOKUP($B48,Table2[],2,FALSE))</f>
        <v>Herbicide</v>
      </c>
      <c r="D48" s="388"/>
      <c r="E48" s="388"/>
      <c r="F48" s="174">
        <v>8</v>
      </c>
      <c r="G48" s="175">
        <v>1</v>
      </c>
      <c r="H48" s="176">
        <v>36</v>
      </c>
      <c r="I48" s="120" t="str">
        <f>IF($B48=0,"",VLOOKUP($B48,Table2[],5,FALSE))</f>
        <v>ounce</v>
      </c>
      <c r="J48" s="109">
        <f>IF($B48=0,"",VLOOKUP($B48,Table2[],7,FALSE))</f>
        <v>0.1328125</v>
      </c>
      <c r="K48" s="109">
        <f t="shared" si="3"/>
        <v>4.78</v>
      </c>
      <c r="L48" s="110"/>
    </row>
    <row r="49" spans="1:12" x14ac:dyDescent="0.2">
      <c r="A49" s="143"/>
      <c r="B49" s="213" t="s">
        <v>887</v>
      </c>
      <c r="C49" s="387" t="str">
        <f>IF(B49=0,"",VLOOKUP($B49,Table2[],2,FALSE))</f>
        <v>Herbicide</v>
      </c>
      <c r="D49" s="387"/>
      <c r="E49" s="387"/>
      <c r="F49" s="214">
        <v>8</v>
      </c>
      <c r="G49" s="221">
        <v>1</v>
      </c>
      <c r="H49" s="222">
        <v>1</v>
      </c>
      <c r="I49" s="223" t="s">
        <v>179</v>
      </c>
      <c r="J49" s="215">
        <f>IF($B49=0,"",VLOOKUP($B49,Table2[],7,FALSE))</f>
        <v>10</v>
      </c>
      <c r="K49" s="215">
        <f t="shared" si="3"/>
        <v>10</v>
      </c>
      <c r="L49" s="216"/>
    </row>
    <row r="50" spans="1:12" x14ac:dyDescent="0.2">
      <c r="A50" s="143"/>
      <c r="B50" s="180" t="s">
        <v>170</v>
      </c>
      <c r="C50" s="388" t="str">
        <f>IF(B50=0,"",VLOOKUP($B50,Table2[],2,FALSE))</f>
        <v>Additive</v>
      </c>
      <c r="D50" s="388"/>
      <c r="E50" s="388"/>
      <c r="F50" s="174">
        <v>8</v>
      </c>
      <c r="G50" s="175">
        <v>1</v>
      </c>
      <c r="H50" s="176">
        <v>1.7</v>
      </c>
      <c r="I50" s="120" t="str">
        <f>IF($B50=0,"",VLOOKUP($B50,Table2[],5,FALSE))</f>
        <v>pound</v>
      </c>
      <c r="J50" s="109">
        <f>IF($B50=0,"",VLOOKUP($B50,Table2[],7,FALSE))</f>
        <v>0.4</v>
      </c>
      <c r="K50" s="109">
        <f t="shared" si="3"/>
        <v>0.68</v>
      </c>
      <c r="L50" s="110"/>
    </row>
    <row r="51" spans="1:12" x14ac:dyDescent="0.2">
      <c r="A51" s="143"/>
      <c r="B51" s="180" t="s">
        <v>183</v>
      </c>
      <c r="C51" s="388" t="str">
        <f>IF(B51=0,"",VLOOKUP($B51,Table2[],2,FALSE))</f>
        <v>Custom</v>
      </c>
      <c r="D51" s="388"/>
      <c r="E51" s="388"/>
      <c r="F51" s="174">
        <v>9</v>
      </c>
      <c r="G51" s="175">
        <v>1</v>
      </c>
      <c r="H51" s="176">
        <v>1</v>
      </c>
      <c r="I51" s="120" t="str">
        <f>IF($B51=0,"",VLOOKUP($B51,Table2[],5,FALSE))</f>
        <v>acre</v>
      </c>
      <c r="J51" s="109">
        <f>IF($B51=0,"",VLOOKUP($B51,Table2[],7,FALSE))</f>
        <v>11</v>
      </c>
      <c r="K51" s="109">
        <f t="shared" si="3"/>
        <v>11</v>
      </c>
      <c r="L51" s="110"/>
    </row>
    <row r="52" spans="1:12" x14ac:dyDescent="0.2">
      <c r="A52" s="105"/>
      <c r="B52" s="254" t="s">
        <v>222</v>
      </c>
      <c r="C52" s="389" t="str">
        <f>IF(B52=0,"",VLOOKUP($B52,Table2[],2,FALSE))</f>
        <v>Fungicide</v>
      </c>
      <c r="D52" s="389"/>
      <c r="E52" s="389"/>
      <c r="F52" s="255">
        <v>9</v>
      </c>
      <c r="G52" s="337">
        <v>1</v>
      </c>
      <c r="H52" s="338">
        <v>7</v>
      </c>
      <c r="I52" s="339" t="str">
        <f>IF($B52=0,"",VLOOKUP($B52,Table2[],5,FALSE))</f>
        <v>ounce</v>
      </c>
      <c r="J52" s="256">
        <f>IF($B52=0,"",VLOOKUP($B52,Table2[],7,FALSE))</f>
        <v>1.953125</v>
      </c>
      <c r="K52" s="256">
        <f t="shared" si="3"/>
        <v>13.67</v>
      </c>
      <c r="L52" s="257"/>
    </row>
    <row r="53" spans="1:12" x14ac:dyDescent="0.2">
      <c r="A53" s="105"/>
      <c r="B53" s="213" t="s">
        <v>183</v>
      </c>
      <c r="C53" s="387" t="str">
        <f>IF(B53=0,"",VLOOKUP($B53,Table2[],2,FALSE))</f>
        <v>Custom</v>
      </c>
      <c r="D53" s="387"/>
      <c r="E53" s="387"/>
      <c r="F53" s="214">
        <v>10</v>
      </c>
      <c r="G53" s="221">
        <v>0.5</v>
      </c>
      <c r="H53" s="222">
        <v>1</v>
      </c>
      <c r="I53" s="223" t="str">
        <f>IF($B53=0,"",VLOOKUP($B53,Table2[],5,FALSE))</f>
        <v>acre</v>
      </c>
      <c r="J53" s="215">
        <f>IF($B53=0,"",VLOOKUP($B53,Table2[],7,FALSE))</f>
        <v>11</v>
      </c>
      <c r="K53" s="215">
        <f t="shared" si="3"/>
        <v>5.5</v>
      </c>
      <c r="L53" s="216"/>
    </row>
    <row r="54" spans="1:12" x14ac:dyDescent="0.2">
      <c r="B54" s="180" t="s">
        <v>220</v>
      </c>
      <c r="C54" s="388" t="s">
        <v>214</v>
      </c>
      <c r="D54" s="388"/>
      <c r="E54" s="388"/>
      <c r="F54" s="174">
        <v>10</v>
      </c>
      <c r="G54" s="175">
        <v>0.5</v>
      </c>
      <c r="H54" s="176">
        <v>5</v>
      </c>
      <c r="I54" s="120" t="str">
        <f>IF($B54=0,"",VLOOKUP($B54,Table2[],5,FALSE))</f>
        <v>ounce</v>
      </c>
      <c r="J54" s="109">
        <f>IF($B54=0,"",VLOOKUP($B54,Table2[],7,FALSE))</f>
        <v>6.015625</v>
      </c>
      <c r="K54" s="109">
        <f t="shared" si="3"/>
        <v>15.04</v>
      </c>
      <c r="L54" s="110"/>
    </row>
    <row r="55" spans="1:12" ht="12.75" customHeight="1" x14ac:dyDescent="0.2">
      <c r="B55" s="111" t="s">
        <v>193</v>
      </c>
      <c r="C55" s="388" t="str">
        <f>IF(B55=0,"",VLOOKUP($B55,Table2[],2,FALSE))</f>
        <v>Custom</v>
      </c>
      <c r="D55" s="388"/>
      <c r="E55" s="388"/>
      <c r="F55" s="112">
        <v>13</v>
      </c>
      <c r="G55" s="175">
        <v>1</v>
      </c>
      <c r="H55" s="128">
        <f>$G$4</f>
        <v>30</v>
      </c>
      <c r="I55" s="120" t="str">
        <f>IF($B55=0,"",VLOOKUP($B55,Table2[],5,FALSE))</f>
        <v>ton</v>
      </c>
      <c r="J55" s="109">
        <f>IF($B55=0,"",VLOOKUP($B55,Table2[],7,FALSE))</f>
        <v>6</v>
      </c>
      <c r="K55" s="109">
        <f t="shared" ref="K55:K56" si="5">IF(B55=0,0,ROUND(G55*H55*J55,2))</f>
        <v>180</v>
      </c>
      <c r="L55" s="110"/>
    </row>
    <row r="56" spans="1:12" ht="12.75" customHeight="1" x14ac:dyDescent="0.2">
      <c r="B56" s="217" t="s">
        <v>316</v>
      </c>
      <c r="C56" s="387" t="str">
        <f>IF(B56=0,"",VLOOKUP($B56,Table2[],2,FALSE))</f>
        <v>Scouting</v>
      </c>
      <c r="D56" s="387"/>
      <c r="E56" s="387"/>
      <c r="F56" s="218"/>
      <c r="G56" s="221">
        <v>1</v>
      </c>
      <c r="H56" s="225">
        <v>1</v>
      </c>
      <c r="I56" s="223" t="str">
        <f>IF($B56=0,"",VLOOKUP($B56,Table2[],5,FALSE))</f>
        <v>acre</v>
      </c>
      <c r="J56" s="109">
        <f>IF($B56=0,"",VLOOKUP($B56,Table2[],7,FALSE))</f>
        <v>19</v>
      </c>
      <c r="K56" s="215">
        <f t="shared" si="5"/>
        <v>19</v>
      </c>
      <c r="L56" s="216"/>
    </row>
    <row r="57" spans="1:12" ht="12.75" hidden="1" customHeight="1" x14ac:dyDescent="0.2">
      <c r="B57" s="111"/>
      <c r="C57" s="388" t="str">
        <f>IF(B57=0,"",VLOOKUP($B57,Table2[],2,FALSE))</f>
        <v/>
      </c>
      <c r="D57" s="388"/>
      <c r="E57" s="388"/>
      <c r="F57" s="112"/>
      <c r="G57" s="177">
        <v>0.2</v>
      </c>
      <c r="H57" s="178"/>
      <c r="I57" s="120" t="str">
        <f>IF($B57=0,"",VLOOKUP($B57,Table2[],5,FALSE))</f>
        <v/>
      </c>
      <c r="J57" s="109" t="str">
        <f>IF($B57=0,"",VLOOKUP($B57,Table2[],7,FALSE))</f>
        <v/>
      </c>
      <c r="K57" s="109">
        <f t="shared" si="3"/>
        <v>0</v>
      </c>
      <c r="L57" s="110"/>
    </row>
    <row r="58" spans="1:12" ht="12.75" hidden="1" customHeight="1" x14ac:dyDescent="0.2">
      <c r="B58" s="111"/>
      <c r="C58" s="388" t="str">
        <f>IF(B58=0,"",VLOOKUP($B58,Table2[],2,FALSE))</f>
        <v/>
      </c>
      <c r="D58" s="388"/>
      <c r="E58" s="388"/>
      <c r="F58" s="112"/>
      <c r="G58" s="177">
        <v>0.3</v>
      </c>
      <c r="H58" s="178"/>
      <c r="I58" s="120" t="str">
        <f>IF($B58=0,"",VLOOKUP($B58,Table2[],5,FALSE))</f>
        <v/>
      </c>
      <c r="J58" s="109" t="str">
        <f>IF($B58=0,"",VLOOKUP($B58,Table2[],7,FALSE))</f>
        <v/>
      </c>
      <c r="K58" s="109">
        <f t="shared" si="3"/>
        <v>0</v>
      </c>
      <c r="L58" s="110"/>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3"/>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111"/>
      <c r="C63" s="388" t="str">
        <f>IF(B63=0,"",VLOOKUP($B63,Table2[],2,FALSE))</f>
        <v/>
      </c>
      <c r="D63" s="388"/>
      <c r="E63" s="388"/>
      <c r="F63" s="112"/>
      <c r="G63" s="177"/>
      <c r="H63" s="178"/>
      <c r="I63" s="120" t="str">
        <f>IF($B63=0,"",VLOOKUP($B63,Table2[],5,FALSE))</f>
        <v/>
      </c>
      <c r="J63" s="109" t="str">
        <f>IF($B63=0,"",VLOOKUP($B63,Table2[],7,FALSE))</f>
        <v/>
      </c>
      <c r="K63" s="109">
        <f>IF(B63=0,0,ROUND(G63*H63*J63,2))</f>
        <v>0</v>
      </c>
      <c r="L63" s="113"/>
    </row>
    <row r="64" spans="1:12" ht="12.75" hidden="1" customHeight="1" x14ac:dyDescent="0.2">
      <c r="B64" s="217"/>
      <c r="C64" s="387" t="str">
        <f>IF(B64=0,"",VLOOKUP($B64,Table2[],2,FALSE))</f>
        <v/>
      </c>
      <c r="D64" s="387"/>
      <c r="E64" s="387"/>
      <c r="F64" s="218"/>
      <c r="G64" s="224"/>
      <c r="H64" s="225"/>
      <c r="I64" s="223" t="str">
        <f>IF($B64=0,"",VLOOKUP($B64,Table2[],5,FALSE))</f>
        <v/>
      </c>
      <c r="J64" s="215" t="str">
        <f>IF($B64=0,"",VLOOKUP($B64,Table2[],7,FALSE))</f>
        <v/>
      </c>
      <c r="K64" s="215">
        <f>IF(B64=0,0,ROUND(G64*H64*J64,2))</f>
        <v>0</v>
      </c>
      <c r="L64" s="227"/>
    </row>
    <row r="65" spans="2:12" x14ac:dyDescent="0.2">
      <c r="B65" s="185" t="s">
        <v>430</v>
      </c>
      <c r="C65" s="388" t="s">
        <v>655</v>
      </c>
      <c r="D65" s="388"/>
      <c r="E65" s="388"/>
      <c r="F65" s="112"/>
      <c r="G65" s="177"/>
      <c r="H65" s="178"/>
      <c r="I65" s="170"/>
      <c r="J65" s="109">
        <f ca="1">IF(F5=0,E5,F5)</f>
        <v>19</v>
      </c>
      <c r="K65" s="109">
        <f ca="1">IF(B65=0,0,J65)</f>
        <v>19</v>
      </c>
      <c r="L65" s="113"/>
    </row>
    <row r="66" spans="2:12" ht="3.75" customHeight="1" thickBot="1" x14ac:dyDescent="0.25">
      <c r="B66" s="114"/>
      <c r="C66" s="121"/>
      <c r="D66" s="121"/>
      <c r="E66" s="121"/>
      <c r="F66" s="115"/>
      <c r="G66" s="122"/>
      <c r="H66" s="114"/>
      <c r="I66" s="123"/>
      <c r="J66" s="124"/>
      <c r="K66" s="125"/>
      <c r="L66" s="117"/>
    </row>
    <row r="67" spans="2:12" ht="13.5" thickTop="1" x14ac:dyDescent="0.2">
      <c r="C67" s="108" t="s">
        <v>671</v>
      </c>
      <c r="D67" s="108"/>
      <c r="J67" s="126"/>
      <c r="K67" s="141">
        <f ca="1">SUM(K37:K65)</f>
        <v>764.18</v>
      </c>
      <c r="L67" s="110"/>
    </row>
    <row r="68" spans="2:12" x14ac:dyDescent="0.2">
      <c r="B68" s="144"/>
      <c r="K68" s="128"/>
    </row>
    <row r="69" spans="2:12" x14ac:dyDescent="0.2">
      <c r="B69" s="107" t="s">
        <v>672</v>
      </c>
      <c r="K69" s="141">
        <f ca="1">K33+K67</f>
        <v>1154.3</v>
      </c>
      <c r="L69" s="110"/>
    </row>
    <row r="70" spans="2:12" ht="13.5" thickBot="1" x14ac:dyDescent="0.25">
      <c r="D70" s="128" t="s">
        <v>673</v>
      </c>
      <c r="E70" s="129">
        <f ca="1">ROUND(SUM($E$33:$H$33)+$K$67,2)</f>
        <v>1023.3</v>
      </c>
      <c r="F70" s="388" t="s">
        <v>674</v>
      </c>
      <c r="G70" s="388"/>
      <c r="H70" s="130">
        <f>'General Variables'!$B$11</f>
        <v>7.4999999999999997E-2</v>
      </c>
      <c r="I70" s="131" t="str">
        <f>CONCATENATE("for ",TEXT('General Variables'!$B$12,"0.0")," mo.")</f>
        <v>for 6.0 mo.</v>
      </c>
      <c r="K70" s="145">
        <f ca="1">E70*H70*'General Variables'!$B$12/12</f>
        <v>38.373749999999994</v>
      </c>
      <c r="L70" s="133"/>
    </row>
    <row r="71" spans="2:12" ht="13.5" thickTop="1" x14ac:dyDescent="0.2">
      <c r="B71" s="107" t="s">
        <v>675</v>
      </c>
      <c r="K71" s="141">
        <f ca="1">SUM(K69:K70)</f>
        <v>1192.6737499999999</v>
      </c>
      <c r="L71" s="110"/>
    </row>
    <row r="72" spans="2:12" x14ac:dyDescent="0.2">
      <c r="K72" s="128"/>
    </row>
    <row r="73" spans="2:12" x14ac:dyDescent="0.2">
      <c r="B73" s="104" t="s">
        <v>676</v>
      </c>
      <c r="C73" s="134"/>
      <c r="D73" s="134"/>
      <c r="E73" s="134"/>
      <c r="F73" s="134"/>
      <c r="G73" s="134"/>
      <c r="H73" s="134"/>
      <c r="I73" s="134"/>
      <c r="J73" s="134"/>
      <c r="K73" s="142">
        <f>'General Variables'!B14</f>
        <v>35</v>
      </c>
      <c r="L73" s="110"/>
    </row>
    <row r="74" spans="2:12" x14ac:dyDescent="0.2">
      <c r="B74" s="103" t="s">
        <v>687</v>
      </c>
      <c r="C74" s="402" t="s">
        <v>42</v>
      </c>
      <c r="D74" s="403"/>
      <c r="E74" s="404"/>
      <c r="F74" s="136">
        <f>IF(C74=0,0,VLOOKUP(C74,RETable,2,FALSE))</f>
        <v>3970</v>
      </c>
      <c r="G74" s="388" t="s">
        <v>678</v>
      </c>
      <c r="H74" s="388"/>
      <c r="I74" s="130">
        <f>'General Variables'!$B$10</f>
        <v>0.03</v>
      </c>
      <c r="K74" s="146">
        <f>ROUND(F74*I74,2)</f>
        <v>119.1</v>
      </c>
      <c r="L74" s="110"/>
    </row>
    <row r="75" spans="2:12" ht="13.5" thickBot="1" x14ac:dyDescent="0.25">
      <c r="B75" s="103" t="s">
        <v>679</v>
      </c>
      <c r="F75" s="138">
        <f>IF(C74=0,0,VLOOKUP(C74,RETable,2,FALSE))</f>
        <v>3970</v>
      </c>
      <c r="G75" s="397" t="s">
        <v>678</v>
      </c>
      <c r="H75" s="397"/>
      <c r="I75" s="139">
        <f>'General Variables'!$B$13</f>
        <v>1.2999999999999999E-2</v>
      </c>
      <c r="J75" s="105"/>
      <c r="K75" s="147">
        <f>ROUND(F75*I75,2)</f>
        <v>51.61</v>
      </c>
      <c r="L75" s="133"/>
    </row>
    <row r="76" spans="2:12" ht="13.5" thickTop="1" x14ac:dyDescent="0.2">
      <c r="B76" s="107" t="s">
        <v>680</v>
      </c>
      <c r="K76" s="141">
        <f ca="1">SUM(K71:K75)</f>
        <v>1398.3837499999997</v>
      </c>
      <c r="L76" s="110"/>
    </row>
    <row r="77" spans="2:12" x14ac:dyDescent="0.2">
      <c r="K77" s="128"/>
    </row>
    <row r="78" spans="2:12" x14ac:dyDescent="0.2">
      <c r="B78" s="104" t="str">
        <f>IF(G4="","","Cash Cost per "&amp;H4)</f>
        <v>Cash Cost per ton</v>
      </c>
      <c r="C78" s="261" t="s">
        <v>688</v>
      </c>
      <c r="D78" s="105"/>
      <c r="E78" s="105"/>
      <c r="F78" s="105"/>
      <c r="G78" s="105"/>
      <c r="H78" s="105"/>
      <c r="I78" s="105"/>
      <c r="J78" s="105"/>
      <c r="K78" s="142">
        <f ca="1">IF(G4=0,0,(E70+K70+K73+K75)/G4)</f>
        <v>38.276124999999993</v>
      </c>
      <c r="L78" s="148"/>
    </row>
    <row r="79" spans="2:12" x14ac:dyDescent="0.2">
      <c r="B79" s="107" t="str">
        <f>IF(G4="","","Cost of production per "&amp;H4)</f>
        <v>Cost of production per ton</v>
      </c>
      <c r="K79" s="141">
        <f ca="1">IF(G4="","",K76/G4)</f>
        <v>46.612791666666659</v>
      </c>
      <c r="L79" s="110"/>
    </row>
    <row r="81" spans="2:12" x14ac:dyDescent="0.2">
      <c r="D81" s="103" t="s">
        <v>900</v>
      </c>
      <c r="G81" s="105"/>
      <c r="H81" s="105"/>
      <c r="I81" s="105"/>
      <c r="J81" s="105"/>
      <c r="K81" s="355" t="s">
        <v>901</v>
      </c>
      <c r="L81" s="105"/>
    </row>
    <row r="90" spans="2:12" x14ac:dyDescent="0.2">
      <c r="B90" s="106"/>
      <c r="C90" s="106"/>
      <c r="D90" s="106"/>
    </row>
    <row r="91" spans="2:12" x14ac:dyDescent="0.2">
      <c r="B91" s="106"/>
      <c r="C91" s="106"/>
      <c r="D91" s="106"/>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5"/>
      <c r="C115" s="105"/>
      <c r="D115" s="105"/>
      <c r="H115" s="103" t="e">
        <f>'General Variables'!#REF!</f>
        <v>#REF!</v>
      </c>
    </row>
    <row r="116" spans="2:11" x14ac:dyDescent="0.2">
      <c r="B116" s="105"/>
      <c r="C116" s="105"/>
      <c r="D116" s="105"/>
      <c r="H116" s="103" t="e">
        <f>'General Variables'!#REF!</f>
        <v>#REF!</v>
      </c>
      <c r="K116" s="103" t="s">
        <v>681</v>
      </c>
    </row>
    <row r="117" spans="2:11" x14ac:dyDescent="0.2">
      <c r="B117" s="105"/>
      <c r="C117" s="105"/>
      <c r="D117" s="105"/>
      <c r="H117" s="103" t="e">
        <f>'General Variables'!#REF!</f>
        <v>#REF!</v>
      </c>
      <c r="K117" s="103" t="s">
        <v>654</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t="str">
        <f>IF(Operations!A96="","",Operations!A96)</f>
        <v/>
      </c>
      <c r="C245" s="105" t="str">
        <f>IF(Materials!B140="","",Materials!B140)</f>
        <v>Alfalfa w/Inoculant</v>
      </c>
    </row>
    <row r="246" spans="2:3" x14ac:dyDescent="0.2">
      <c r="B246" s="105" t="str">
        <f>IF(Operations!A97="","",Operations!A97)</f>
        <v/>
      </c>
      <c r="C246" s="105" t="str">
        <f>IF(Materials!B141="","",Materials!B141)</f>
        <v>Corn</v>
      </c>
    </row>
    <row r="247" spans="2:3" x14ac:dyDescent="0.2">
      <c r="B247" s="105" t="str">
        <f>IF(Operations!A98="","",Operations!A98)</f>
        <v/>
      </c>
      <c r="C247" s="105" t="str">
        <f>IF(Materials!B142="","",Materials!B142)</f>
        <v>Corn Bt, ECB, &amp; RIB</v>
      </c>
    </row>
    <row r="248" spans="2:3" x14ac:dyDescent="0.2">
      <c r="B248" s="105" t="str">
        <f>IF(Operations!A99="","",Operations!A99)</f>
        <v/>
      </c>
      <c r="C248" s="105" t="str">
        <f>IF(Materials!B143="","",Materials!B143)</f>
        <v>Corn Bt, ECB, RR2, LL, &amp; RIB</v>
      </c>
    </row>
    <row r="249" spans="2:3" x14ac:dyDescent="0.2">
      <c r="B249" s="105" t="str">
        <f>IF(Operations!A100="","",Operations!A100)</f>
        <v/>
      </c>
      <c r="C249" s="105" t="str">
        <f>IF(Materials!B144="","",Materials!B144)</f>
        <v>Corn Bt, ECB, RW, &amp; RIB</v>
      </c>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row>
    <row r="260" spans="2:3" x14ac:dyDescent="0.2">
      <c r="B260" s="105"/>
    </row>
  </sheetData>
  <mergeCells count="52">
    <mergeCell ref="F70:G70"/>
    <mergeCell ref="C74:E74"/>
    <mergeCell ref="G74:H74"/>
    <mergeCell ref="G75:H75"/>
    <mergeCell ref="C60:E60"/>
    <mergeCell ref="C61:E61"/>
    <mergeCell ref="C62:E62"/>
    <mergeCell ref="C63:E63"/>
    <mergeCell ref="C64:E64"/>
    <mergeCell ref="C65:E65"/>
    <mergeCell ref="C59:E59"/>
    <mergeCell ref="C47:E47"/>
    <mergeCell ref="C48:E48"/>
    <mergeCell ref="C50:E50"/>
    <mergeCell ref="C51:E51"/>
    <mergeCell ref="C52:E52"/>
    <mergeCell ref="C53:E53"/>
    <mergeCell ref="C54:E54"/>
    <mergeCell ref="C55:E55"/>
    <mergeCell ref="C56:E56"/>
    <mergeCell ref="C57:E57"/>
    <mergeCell ref="C58:E58"/>
    <mergeCell ref="J35:J36"/>
    <mergeCell ref="C38:E38"/>
    <mergeCell ref="C39:E39"/>
    <mergeCell ref="C42:E42"/>
    <mergeCell ref="C43:E43"/>
    <mergeCell ref="C37:E37"/>
    <mergeCell ref="C40:E40"/>
    <mergeCell ref="C3:E3"/>
    <mergeCell ref="C45:E45"/>
    <mergeCell ref="F35:F36"/>
    <mergeCell ref="G35:G36"/>
    <mergeCell ref="H35:I35"/>
    <mergeCell ref="C44:E44"/>
    <mergeCell ref="C41:E41"/>
    <mergeCell ref="C46:E46"/>
    <mergeCell ref="C49:E49"/>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s>
  <dataValidations count="9">
    <dataValidation type="list" allowBlank="1" showInputMessage="1" showErrorMessage="1" sqref="B32" xr:uid="{00000000-0002-0000-4B00-000000000000}">
      <formula1>$B$115:$B$212</formula1>
    </dataValidation>
    <dataValidation type="list" allowBlank="1" showInputMessage="1" showErrorMessage="1" sqref="B66" xr:uid="{00000000-0002-0000-4B00-000001000000}">
      <formula1>$C$115:$C$233</formula1>
    </dataValidation>
    <dataValidation type="list" allowBlank="1" showInputMessage="1" showErrorMessage="1" sqref="K4" xr:uid="{00000000-0002-0000-4B00-000002000000}">
      <formula1>$K$115:$K$117</formula1>
    </dataValidation>
    <dataValidation type="list" allowBlank="1" showInputMessage="1" showErrorMessage="1" sqref="B37:B64" xr:uid="{00000000-0002-0000-4B00-000003000000}">
      <formula1>MaterialList</formula1>
    </dataValidation>
    <dataValidation type="list" allowBlank="1" showInputMessage="1" showErrorMessage="1" sqref="C74:E74" xr:uid="{00000000-0002-0000-4B00-000004000000}">
      <formula1>RealEstateList</formula1>
    </dataValidation>
    <dataValidation type="list" allowBlank="1" showInputMessage="1" showErrorMessage="1" sqref="B12:B31" xr:uid="{00000000-0002-0000-4B00-000005000000}">
      <formula1>OperationList</formula1>
    </dataValidation>
    <dataValidation type="list" allowBlank="1" showInputMessage="1" showErrorMessage="1" sqref="D12:D32" xr:uid="{00000000-0002-0000-4B00-000006000000}">
      <formula1>#REF!</formula1>
    </dataValidation>
    <dataValidation type="list" allowBlank="1" showInputMessage="1" showErrorMessage="1" sqref="K2" xr:uid="{00000000-0002-0000-4B00-000007000000}">
      <formula1>watersource</formula1>
    </dataValidation>
    <dataValidation type="list" allowBlank="1" showInputMessage="1" showErrorMessage="1" sqref="C3" xr:uid="{00000000-0002-0000-4B00-000008000000}">
      <formula1>TillageSystem</formula1>
    </dataValidation>
  </dataValidations>
  <pageMargins left="0.7" right="0.7" top="0.75" bottom="0.75" header="0.3" footer="0.3"/>
  <pageSetup scale="71"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6">
    <pageSetUpPr fitToPage="1"/>
  </sheetPr>
  <dimension ref="A2:M262"/>
  <sheetViews>
    <sheetView zoomScaleNormal="100" workbookViewId="0">
      <selection activeCell="I14" sqref="I14"/>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682</v>
      </c>
      <c r="H2" s="392"/>
      <c r="J2" s="128" t="s">
        <v>649</v>
      </c>
      <c r="K2" s="401" t="s">
        <v>69</v>
      </c>
      <c r="L2" s="401"/>
    </row>
    <row r="3" spans="1:13" hidden="1" x14ac:dyDescent="0.2">
      <c r="B3" s="103" t="s">
        <v>38</v>
      </c>
      <c r="C3" s="391" t="s">
        <v>43</v>
      </c>
      <c r="D3" s="391"/>
      <c r="E3" s="391"/>
      <c r="G3" s="128" t="s">
        <v>650</v>
      </c>
      <c r="H3" s="187" t="s">
        <v>779</v>
      </c>
      <c r="J3" s="128" t="s">
        <v>651</v>
      </c>
      <c r="K3" s="187">
        <v>16</v>
      </c>
    </row>
    <row r="4" spans="1:13" hidden="1" x14ac:dyDescent="0.2">
      <c r="B4" s="103" t="s">
        <v>652</v>
      </c>
      <c r="C4" s="392"/>
      <c r="D4" s="392"/>
      <c r="E4" s="392"/>
      <c r="G4" s="103">
        <f>IFERROR(VALUE(LEFT($H$3,FIND(" ",$H$3))),"")</f>
        <v>30</v>
      </c>
      <c r="H4" s="103" t="str">
        <f>IFERROR(RIGHT(H3,LEN(H3)-LEN(G4)-1),"")</f>
        <v>ton</v>
      </c>
      <c r="J4" s="128" t="s">
        <v>653</v>
      </c>
      <c r="K4" s="188"/>
    </row>
    <row r="5" spans="1:13" ht="15.75" hidden="1" customHeight="1" x14ac:dyDescent="0.2">
      <c r="B5" s="103" t="s">
        <v>655</v>
      </c>
      <c r="C5" s="103" t="str">
        <f ca="1">MID(CELL("filename",C5),FIND("]",CELL("filename",C5))+1,255)</f>
        <v>70-Sugarbeet</v>
      </c>
      <c r="E5" s="103">
        <f ca="1">VLOOKUP($C$5,CropInsurance,5,FALSE)</f>
        <v>19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70-Sugarbeet, Roundup Ready®, Panhandle, Conventional Tillage, 30 ton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70-Sugarbeet, Roundup Ready®, Panhandle, Conventional Tillage, 30 ton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16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2" si="0">IF(C13&gt;9999,"",ROUND(SUM(E13:J13),2))</f>
        <v>7.15</v>
      </c>
      <c r="L13" s="110"/>
    </row>
    <row r="14" spans="1:13" x14ac:dyDescent="0.2">
      <c r="A14" s="170">
        <v>3</v>
      </c>
      <c r="B14" s="180" t="s">
        <v>530</v>
      </c>
      <c r="C14" s="174">
        <v>1</v>
      </c>
      <c r="D14" s="174"/>
      <c r="E14" s="109">
        <f>IF(B14=0,"",IF(C14&gt;9999,"",ROUND('General Variables'!$B$4*VLOOKUP(B14,Operations!$A$2:$U$79,10,FALSE)/VLOOKUP(B14,Operations!$A$2:$U$79,9,FALSE)*C14,2)))</f>
        <v>4.6399999999999997</v>
      </c>
      <c r="F14" s="109">
        <f>IF(B14=0,0,IF(C14&gt;9999,"",ROUND(IF(VLOOKUP(B14,Operations!$A$2:$U$79,12,FALSE)=0,VLOOKUP(B14,Operations!$A$2:$U$79,13,FALSE)*'General Variables'!$B$8,VLOOKUP(B14,Operations!$A$2:$U$79,12,FALSE)*'General Variables'!$B$7)/VLOOKUP(B14,Operations!$A$2:$U$79,9,FALSE)*C14,2)))</f>
        <v>3</v>
      </c>
      <c r="G14" s="109">
        <f>IF(B14=0,0,IF(C14&gt;9999,"",ROUND(VLOOKUP(VLOOKUP(B14,Operations!$A$2:$U$79,11,FALSE),PowerUnits[],10,FALSE)/VLOOKUP(B14,Operations!$A$2:$U$79,9,FALSE)*C14,2)))</f>
        <v>0.53</v>
      </c>
      <c r="H14" s="109">
        <f>IF(B14=0,"",IF(C14&gt;9999,"",ROUND(VLOOKUP($B14,Operations!$A$2:$U$79,15,FALSE)*C14,2)))</f>
        <v>1.6</v>
      </c>
      <c r="I14" s="109">
        <f>IF(B14=0,0,IF(C14&gt;9999,"",ROUND(VLOOKUP(VLOOKUP(B14,Operations!$A$2:$U$79,11,FALSE),PowerUnits[],16,FALSE)/VLOOKUP(B14,Operations!$A$2:$U$79,9,FALSE)*C14,2)))</f>
        <v>14.42</v>
      </c>
      <c r="J14" s="109">
        <f>IF(B14=0,"",IF(C14&gt;9999,"",ROUND(VLOOKUP($B14,Operations!$A$2:$U$79,21,FALSE)*$C14,2)))</f>
        <v>1.83</v>
      </c>
      <c r="K14" s="109">
        <f t="shared" si="0"/>
        <v>26.02</v>
      </c>
      <c r="L14" s="110"/>
    </row>
    <row r="15" spans="1:13" x14ac:dyDescent="0.2">
      <c r="A15" s="170">
        <v>4</v>
      </c>
      <c r="B15" s="213" t="s">
        <v>542</v>
      </c>
      <c r="C15" s="214">
        <v>1</v>
      </c>
      <c r="D15" s="214"/>
      <c r="E15" s="215">
        <f>IF(B15=0,"",IF(C15&gt;9999,"",ROUND('General Variables'!$B$4*VLOOKUP(B15,Operations!$A$2:$U$79,10,FALSE)/VLOOKUP(B15,Operations!$A$2:$U$79,9,FALSE)*C15,2)))</f>
        <v>2.7</v>
      </c>
      <c r="F15" s="215">
        <f>IF(B15=0,0,IF(C15&gt;9999,"",ROUND(IF(VLOOKUP(B15,Operations!$A$2:$U$79,12,FALSE)=0,VLOOKUP(B15,Operations!$A$2:$U$79,13,FALSE)*'General Variables'!$B$8,VLOOKUP(B15,Operations!$A$2:$U$79,12,FALSE)*'General Variables'!$B$7)/VLOOKUP(B15,Operations!$A$2:$U$79,9,FALSE)*C15,2)))</f>
        <v>1.6</v>
      </c>
      <c r="G15" s="215">
        <f>IF(B15=0,0,IF(C15&gt;9999,"",ROUND(VLOOKUP(VLOOKUP(B15,Operations!$A$2:$U$79,11,FALSE),PowerUnits[],10,FALSE)/VLOOKUP(B15,Operations!$A$2:$U$79,9,FALSE)*C15,2)))</f>
        <v>0.08</v>
      </c>
      <c r="H15" s="215">
        <f>IF(B15=0,"",IF(C15&gt;9999,"",ROUND(VLOOKUP($B15,Operations!$A$2:$U$79,15,FALSE)*C15,2)))</f>
        <v>1.32</v>
      </c>
      <c r="I15" s="215">
        <f>IF(B15=0,0,IF(C15&gt;9999,"",ROUND(VLOOKUP(VLOOKUP(B15,Operations!$A$2:$U$79,11,FALSE),PowerUnits[],16,FALSE)/VLOOKUP(B15,Operations!$A$2:$U$79,9,FALSE)*C15,2)))</f>
        <v>4.33</v>
      </c>
      <c r="J15" s="215">
        <f>IF(B15=0,"",IF(C15&gt;9999,"",ROUND(VLOOKUP($B15,Operations!$A$2:$U$79,21,FALSE)*$C15,2)))</f>
        <v>3.03</v>
      </c>
      <c r="K15" s="215">
        <f t="shared" si="0"/>
        <v>13.06</v>
      </c>
      <c r="L15" s="216"/>
    </row>
    <row r="16" spans="1:13" x14ac:dyDescent="0.2">
      <c r="A16" s="170">
        <v>5</v>
      </c>
      <c r="B16" s="180" t="s">
        <v>551</v>
      </c>
      <c r="C16" s="174" t="s">
        <v>184</v>
      </c>
      <c r="D16" s="174"/>
      <c r="E16" s="109"/>
      <c r="F16" s="109"/>
      <c r="G16" s="109"/>
      <c r="H16" s="109"/>
      <c r="I16" s="109"/>
      <c r="J16" s="109"/>
      <c r="K16" s="109"/>
      <c r="L16" s="110"/>
    </row>
    <row r="17" spans="1:12" x14ac:dyDescent="0.2">
      <c r="A17" s="170">
        <v>6</v>
      </c>
      <c r="B17" s="180" t="s">
        <v>526</v>
      </c>
      <c r="C17" s="174">
        <v>1</v>
      </c>
      <c r="D17" s="174"/>
      <c r="E17" s="109">
        <f>IF(B17=0,"",IF(C17&gt;9999,"",ROUND('General Variables'!$B$4*VLOOKUP(B17,Operations!$A$2:$U$79,10,FALSE)/VLOOKUP(B17,Operations!$A$2:$U$79,9,FALSE)*C17,2)))</f>
        <v>3.24</v>
      </c>
      <c r="F17" s="109">
        <f>IF(B17=0,0,IF(C17&gt;9999,"",ROUND(IF(VLOOKUP(B17,Operations!$A$2:$U$79,12,FALSE)=0,VLOOKUP(B17,Operations!$A$2:$U$79,13,FALSE)*'General Variables'!$B$8,VLOOKUP(B17,Operations!$A$2:$U$79,12,FALSE)*'General Variables'!$B$7)/VLOOKUP(B17,Operations!$A$2:$U$79,9,FALSE)*C17,2)))</f>
        <v>0.87</v>
      </c>
      <c r="G17" s="109">
        <f>IF(B17=0,0,IF(C17&gt;9999,"",ROUND(VLOOKUP(VLOOKUP(B17,Operations!$A$2:$U$79,11,FALSE),PowerUnits[],10,FALSE)/VLOOKUP(B17,Operations!$A$2:$U$79,9,FALSE)*C17,2)))</f>
        <v>0.08</v>
      </c>
      <c r="H17" s="109">
        <f>IF(B17=0,"",IF(C17&gt;9999,"",ROUND(VLOOKUP($B17,Operations!$A$2:$U$79,15,FALSE)*C17,2)))</f>
        <v>6.97</v>
      </c>
      <c r="I17" s="109">
        <f>IF(B17=0,0,IF(C17&gt;9999,"",ROUND(VLOOKUP(VLOOKUP(B17,Operations!$A$2:$U$79,11,FALSE),PowerUnits[],16,FALSE)/VLOOKUP(B17,Operations!$A$2:$U$79,9,FALSE)*C17,2)))</f>
        <v>4.33</v>
      </c>
      <c r="J17" s="109">
        <f>IF(B17=0,"",IF(C17&gt;9999,"",ROUND(VLOOKUP($B17,Operations!$A$2:$U$79,21,FALSE)*$C17,2)))</f>
        <v>6.61</v>
      </c>
      <c r="K17" s="109">
        <f t="shared" si="0"/>
        <v>22.1</v>
      </c>
      <c r="L17" s="110"/>
    </row>
    <row r="18" spans="1:12" x14ac:dyDescent="0.2">
      <c r="A18" s="170">
        <v>7</v>
      </c>
      <c r="B18" s="180" t="s">
        <v>551</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v>8</v>
      </c>
      <c r="B19" s="180" t="s">
        <v>498</v>
      </c>
      <c r="C19" s="174">
        <v>1</v>
      </c>
      <c r="D19" s="174"/>
      <c r="E19" s="109">
        <f>IF(B19=0,"",IF(C19&gt;9999,"",ROUND('General Variables'!$B$4*VLOOKUP(B19,Operations!$A$2:$U$79,10,FALSE)/VLOOKUP(B19,Operations!$A$2:$U$79,9,FALSE)*C19,2)))</f>
        <v>1.98</v>
      </c>
      <c r="F19" s="109">
        <f>IF(B19=0,0,IF(C19&gt;9999,"",ROUND(IF(VLOOKUP(B19,Operations!$A$2:$U$79,12,FALSE)=0,VLOOKUP(B19,Operations!$A$2:$U$79,13,FALSE)*'General Variables'!$B$8,VLOOKUP(B19,Operations!$A$2:$U$79,12,FALSE)*'General Variables'!$B$7)/VLOOKUP(B19,Operations!$A$2:$U$79,9,FALSE)*C19,2)))</f>
        <v>1.75</v>
      </c>
      <c r="G19" s="109">
        <f>IF(B19=0,0,IF(C19&gt;9999,"",ROUND(VLOOKUP(VLOOKUP(B19,Operations!$A$2:$U$79,11,FALSE),PowerUnits[],10,FALSE)/VLOOKUP(B19,Operations!$A$2:$U$79,9,FALSE)*C19,2)))</f>
        <v>0.23</v>
      </c>
      <c r="H19" s="109">
        <f>IF(B19=0,"",IF(C19&gt;9999,"",ROUND(VLOOKUP($B19,Operations!$A$2:$U$79,15,FALSE)*C19,2)))</f>
        <v>2.14</v>
      </c>
      <c r="I19" s="109">
        <f>IF(B19=0,0,IF(C19&gt;9999,"",ROUND(VLOOKUP(VLOOKUP(B19,Operations!$A$2:$U$79,11,FALSE),PowerUnits[],16,FALSE)/VLOOKUP(B19,Operations!$A$2:$U$79,9,FALSE)*C19,2)))</f>
        <v>6.15</v>
      </c>
      <c r="J19" s="109">
        <f>IF(B19=0,"",IF(C19&gt;9999,"",ROUND(VLOOKUP($B19,Operations!$A$2:$U$79,21,FALSE)*$C19,2)))</f>
        <v>2.4300000000000002</v>
      </c>
      <c r="K19" s="109">
        <f t="shared" si="0"/>
        <v>14.68</v>
      </c>
      <c r="L19" s="110"/>
    </row>
    <row r="20" spans="1:12" x14ac:dyDescent="0.2">
      <c r="A20" s="170">
        <v>9</v>
      </c>
      <c r="B20" s="213" t="s">
        <v>522</v>
      </c>
      <c r="C20" s="214">
        <f>$K$3</f>
        <v>16</v>
      </c>
      <c r="D20" s="214" t="s">
        <v>693</v>
      </c>
      <c r="E20" s="215">
        <f>IF(B20=0,"",IF(C20&gt;9999,"",ROUND('General Variables'!$B$4*VLOOKUP(B20,Operations!$A$2:$U$79,10,FALSE)/VLOOKUP(B20,Operations!$A$2:$U$79,9,FALSE)*C20,2)))</f>
        <v>15</v>
      </c>
      <c r="F20" s="215">
        <f>IF(B20=0,0,IF(C20&gt;9999,"",ROUND(IF(VLOOKUP(B20,Operations!$A$2:$U$79,12,FALSE)=0,VLOOKUP(B20,Operations!$A$2:$U$79,13,FALSE)*'General Variables'!$B$8,VLOOKUP(B20,Operations!$A$2:$U$79,12,FALSE)*'General Variables'!$B$7)/VLOOKUP(B20,Operations!$A$2:$U$79,9,FALSE)*C20,2)))</f>
        <v>94.92</v>
      </c>
      <c r="G20" s="215">
        <f>IF(B20=0,0,IF(C20&gt;9999,"",ROUND(VLOOKUP(VLOOKUP(B20,Operations!$A$2:$U$79,11,FALSE),PowerUnits[],10,FALSE)/VLOOKUP(B20,Operations!$A$2:$U$79,9,FALSE)*C20,2)))</f>
        <v>8.7100000000000009</v>
      </c>
      <c r="H20" s="215">
        <f>IF(B20=0,"",IF(C20&gt;9999,"",ROUND(VLOOKUP($B20,Operations!$A$2:$U$79,15,FALSE)*C20,2)))</f>
        <v>42.42</v>
      </c>
      <c r="I20" s="215">
        <f>IF(B20=0,0,IF(C20&gt;9999,"",ROUND(VLOOKUP(VLOOKUP(B20,Operations!$A$2:$U$79,11,FALSE),PowerUnits[],16,FALSE)/VLOOKUP(B20,Operations!$A$2:$U$79,9,FALSE)*C20,2)))</f>
        <v>16.54</v>
      </c>
      <c r="J20" s="215">
        <f>IF(B20=0,"",IF(C20&gt;9999,"",ROUND(VLOOKUP($B20,Operations!$A$2:$U$79,21,FALSE)*$C20,2)))</f>
        <v>23.29</v>
      </c>
      <c r="K20" s="215">
        <f>IF(C20&gt;9999,"",ROUND(SUM(E20:J20),2))</f>
        <v>200.88</v>
      </c>
      <c r="L20" s="216"/>
    </row>
    <row r="21" spans="1:12" x14ac:dyDescent="0.2">
      <c r="A21" s="170">
        <v>10</v>
      </c>
      <c r="B21" s="180" t="s">
        <v>551</v>
      </c>
      <c r="C21" s="174" t="s">
        <v>184</v>
      </c>
      <c r="D21" s="174"/>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v>11</v>
      </c>
      <c r="B22" s="180" t="s">
        <v>183</v>
      </c>
      <c r="C22" s="174" t="s">
        <v>184</v>
      </c>
      <c r="D22" s="174"/>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x14ac:dyDescent="0.2">
      <c r="A23" s="170">
        <v>12</v>
      </c>
      <c r="B23" s="180" t="s">
        <v>183</v>
      </c>
      <c r="C23" s="174" t="s">
        <v>184</v>
      </c>
      <c r="D23" s="174"/>
      <c r="E23" s="109" t="str">
        <f>IF(B23=0,"",IF(C23&gt;9999,"",ROUND('General Variables'!$B$4*VLOOKUP(B23,Operations!$A$2:$U$79,10,FALSE)/VLOOKUP(B23,Operations!$A$2:$U$79,9,FALSE)*C23,2)))</f>
        <v/>
      </c>
      <c r="F23" s="109" t="str">
        <f>IF(B23=0,0,IF(C23&gt;9999,"",ROUND(IF(VLOOKUP(B23,Operations!$A$2:$U$79,12,FALSE)=0,VLOOKUP(B23,Operations!$A$2:$U$79,13,FALSE)*'General Variables'!$B$8,VLOOKUP(B23,Operations!$A$2:$U$79,12,FALSE)*'General Variables'!$B$7)/VLOOKUP(B23,Operations!$A$2:$U$79,9,FALSE)*C23,2)))</f>
        <v/>
      </c>
      <c r="G23" s="109" t="str">
        <f>IF(B23=0,0,IF(C23&gt;9999,"",ROUND(VLOOKUP(VLOOKUP(B23,Operations!$A$2:$U$79,11,FALSE),PowerUnits[],10,FALSE)/VLOOKUP(B23,Operations!$A$2:$U$79,9,FALSE)*C23,2)))</f>
        <v/>
      </c>
      <c r="H23" s="109" t="str">
        <f>IF(B23=0,"",IF(C23&gt;9999,"",ROUND(VLOOKUP($B23,Operations!$A$2:$U$79,15,FALSE)*C23,2)))</f>
        <v/>
      </c>
      <c r="I23" s="109" t="str">
        <f>IF(B23=0,0,IF(C23&gt;9999,"",ROUND(VLOOKUP(VLOOKUP(B23,Operations!$A$2:$U$79,11,FALSE),PowerUnits[],16,FALSE)/VLOOKUP(B23,Operations!$A$2:$U$79,9,FALSE)*C23,2)))</f>
        <v/>
      </c>
      <c r="J23" s="109" t="str">
        <f>IF(B23=0,"",IF(C23&gt;9999,"",ROUND(VLOOKUP($B23,Operations!$A$2:$U$79,21,FALSE)*$C23,2)))</f>
        <v/>
      </c>
      <c r="K23" s="109" t="str">
        <f t="shared" si="0"/>
        <v/>
      </c>
      <c r="L23" s="110"/>
    </row>
    <row r="24" spans="1:12" x14ac:dyDescent="0.2">
      <c r="A24" s="170">
        <v>13</v>
      </c>
      <c r="B24" s="213" t="s">
        <v>563</v>
      </c>
      <c r="C24" s="214">
        <v>1</v>
      </c>
      <c r="D24" s="214"/>
      <c r="E24" s="215">
        <f>IF(B24=0,"",IF(C24&gt;9999,"",ROUND('General Variables'!$B$4*VLOOKUP(B24,Operations!$A$2:$U$79,10,FALSE)/VLOOKUP(B24,Operations!$A$2:$U$79,9,FALSE)*C24,2)))</f>
        <v>4.66</v>
      </c>
      <c r="F24" s="215">
        <f>IF(B24=0,0,IF(C24&gt;9999,"",ROUND(IF(VLOOKUP(B24,Operations!$A$2:$U$79,12,FALSE)=0,VLOOKUP(B24,Operations!$A$2:$U$79,13,FALSE)*'General Variables'!$B$8,VLOOKUP(B24,Operations!$A$2:$U$79,12,FALSE)*'General Variables'!$B$7)/VLOOKUP(B24,Operations!$A$2:$U$79,9,FALSE)*C24,2)))</f>
        <v>1.93</v>
      </c>
      <c r="G24" s="215">
        <f>IF(B24=0,0,IF(C24&gt;9999,"",ROUND(VLOOKUP(VLOOKUP(B24,Operations!$A$2:$U$79,11,FALSE),PowerUnits[],10,FALSE)/VLOOKUP(B24,Operations!$A$2:$U$79,9,FALSE)*C24,2)))</f>
        <v>0.14000000000000001</v>
      </c>
      <c r="H24" s="215">
        <f>IF(B24=0,"",IF(C24&gt;9999,"",ROUND(VLOOKUP($B24,Operations!$A$2:$U$79,15,FALSE)*C24,2)))</f>
        <v>10.11</v>
      </c>
      <c r="I24" s="215">
        <f>IF(B24=0,0,IF(C24&gt;9999,"",ROUND(VLOOKUP(VLOOKUP(B24,Operations!$A$2:$U$79,11,FALSE),PowerUnits[],16,FALSE)/VLOOKUP(B24,Operations!$A$2:$U$79,9,FALSE)*C24,2)))</f>
        <v>7.48</v>
      </c>
      <c r="J24" s="215">
        <f>IF(B24=0,"",IF(C24&gt;9999,"",ROUND(VLOOKUP($B24,Operations!$A$2:$U$79,21,FALSE)*$C24,2)))</f>
        <v>6.05</v>
      </c>
      <c r="K24" s="215">
        <f t="shared" ref="K24:K27" si="1">IF(C24&gt;9999,"",ROUND(SUM(E24:J24),2))</f>
        <v>30.37</v>
      </c>
      <c r="L24" s="216"/>
    </row>
    <row r="25" spans="1:12" x14ac:dyDescent="0.2">
      <c r="A25" s="170">
        <v>14</v>
      </c>
      <c r="B25" s="254" t="s">
        <v>505</v>
      </c>
      <c r="C25" s="255">
        <v>1</v>
      </c>
      <c r="D25" s="255"/>
      <c r="E25" s="256">
        <f>IF(B25=0,"",IF(C25&gt;9999,"",ROUND('General Variables'!$B$4*VLOOKUP(B25,Operations!$A$2:$U$79,10,FALSE)/VLOOKUP(B25,Operations!$A$2:$U$79,9,FALSE)*C25,2)))</f>
        <v>4.95</v>
      </c>
      <c r="F25" s="256">
        <f>IF(B25=0,0,IF(C25&gt;9999,"",ROUND(IF(VLOOKUP(B25,Operations!$A$2:$U$79,12,FALSE)=0,VLOOKUP(B25,Operations!$A$2:$U$79,13,FALSE)*'General Variables'!$B$8,VLOOKUP(B25,Operations!$A$2:$U$79,12,FALSE)*'General Variables'!$B$7)/VLOOKUP(B25,Operations!$A$2:$U$79,9,FALSE)*C25,2)))</f>
        <v>3.3</v>
      </c>
      <c r="G25" s="256">
        <f>IF(B25=0,0,IF(C25&gt;9999,"",ROUND(VLOOKUP(VLOOKUP(B25,Operations!$A$2:$U$79,11,FALSE),PowerUnits[],10,FALSE)/VLOOKUP(B25,Operations!$A$2:$U$79,9,FALSE)*C25,2)))</f>
        <v>0.56000000000000005</v>
      </c>
      <c r="H25" s="256">
        <f>IF(B25=0,"",IF(C25&gt;9999,"",ROUND(VLOOKUP($B25,Operations!$A$2:$U$79,15,FALSE)*C25,2)))</f>
        <v>36.020000000000003</v>
      </c>
      <c r="I25" s="256">
        <f>IF(B25=0,0,IF(C25&gt;9999,"",ROUND(VLOOKUP(VLOOKUP(B25,Operations!$A$2:$U$79,11,FALSE),PowerUnits[],16,FALSE)/VLOOKUP(B25,Operations!$A$2:$U$79,9,FALSE)*C25,2)))</f>
        <v>15.38</v>
      </c>
      <c r="J25" s="256">
        <f>IF(B25=0,"",IF(C25&gt;9999,"",ROUND(VLOOKUP($B25,Operations!$A$2:$U$79,21,FALSE)*$C25,2)))</f>
        <v>12.08</v>
      </c>
      <c r="K25" s="256">
        <f t="shared" si="1"/>
        <v>72.290000000000006</v>
      </c>
      <c r="L25" s="257"/>
    </row>
    <row r="26" spans="1:12" x14ac:dyDescent="0.2">
      <c r="A26" s="170">
        <v>15</v>
      </c>
      <c r="B26" s="180" t="s">
        <v>565</v>
      </c>
      <c r="C26" s="174" t="s">
        <v>184</v>
      </c>
      <c r="D26" s="174"/>
      <c r="E26" s="109" t="str">
        <f>IF(B26=0,"",IF(C26&gt;9999,"",ROUND('General Variables'!$B$4*VLOOKUP(B26,Operations!$A$2:$U$79,10,FALSE)/VLOOKUP(B26,Operations!$A$2:$U$79,9,FALSE)*C26,2)))</f>
        <v/>
      </c>
      <c r="F26" s="109" t="str">
        <f>IF(B26=0,0,IF(C26&gt;9999,"",ROUND(IF(VLOOKUP(B26,Operations!$A$2:$U$79,12,FALSE)=0,VLOOKUP(B26,Operations!$A$2:$U$79,13,FALSE)*'General Variables'!$B$8,VLOOKUP(B26,Operations!$A$2:$U$79,12,FALSE)*'General Variables'!$B$7)/VLOOKUP(B26,Operations!$A$2:$U$79,9,FALSE)*C26,2)))</f>
        <v/>
      </c>
      <c r="G26" s="109" t="str">
        <f>IF(B26=0,0,IF(C26&gt;9999,"",ROUND(VLOOKUP(VLOOKUP(B26,Operations!$A$2:$U$79,11,FALSE),PowerUnits[],10,FALSE)/VLOOKUP(B26,Operations!$A$2:$U$79,9,FALSE)*C26,2)))</f>
        <v/>
      </c>
      <c r="H26" s="109" t="str">
        <f>IF(B26=0,"",IF(C26&gt;9999,"",ROUND(VLOOKUP($B26,Operations!$A$2:$U$79,15,FALSE)*C26,2)))</f>
        <v/>
      </c>
      <c r="I26" s="109" t="str">
        <f>IF(B26=0,0,IF(C26&gt;9999,"",ROUND(VLOOKUP(VLOOKUP(B26,Operations!$A$2:$U$79,11,FALSE),PowerUnits[],16,FALSE)/VLOOKUP(B26,Operations!$A$2:$U$79,9,FALSE)*C26,2)))</f>
        <v/>
      </c>
      <c r="J26" s="109" t="str">
        <f>IF(B26=0,"",IF(C26&gt;9999,"",ROUND(VLOOKUP($B26,Operations!$A$2:$U$79,21,FALSE)*$C26,2)))</f>
        <v/>
      </c>
      <c r="K26" s="109" t="str">
        <f t="shared" si="1"/>
        <v/>
      </c>
      <c r="L26" s="110"/>
    </row>
    <row r="27" spans="1:12" x14ac:dyDescent="0.2">
      <c r="A27" s="170">
        <v>16</v>
      </c>
      <c r="B27" s="111" t="s">
        <v>558</v>
      </c>
      <c r="C27" s="112">
        <v>1</v>
      </c>
      <c r="D27" s="174"/>
      <c r="E27" s="109">
        <f>IF(B27=0,"",IF(C27&gt;9999,"",ROUND('General Variables'!$B$4*VLOOKUP(B27,Operations!$A$2:$U$79,10,FALSE)/VLOOKUP(B27,Operations!$A$2:$U$79,9,FALSE)*C27,2)))</f>
        <v>3</v>
      </c>
      <c r="F27" s="109">
        <f>IF(B27=0,0,IF(C27&gt;9999,"",ROUND(IF(VLOOKUP(B27,Operations!$A$2:$U$79,12,FALSE)=0,VLOOKUP(B27,Operations!$A$2:$U$79,13,FALSE)*'General Variables'!$B$8,VLOOKUP(B27,Operations!$A$2:$U$79,12,FALSE)*'General Variables'!$B$7)/VLOOKUP(B27,Operations!$A$2:$U$79,9,FALSE)*C27,2)))</f>
        <v>2.93</v>
      </c>
      <c r="G27" s="109">
        <f>IF(B27=0,0,IF(C27&gt;9999,"",ROUND(VLOOKUP(VLOOKUP(B27,Operations!$A$2:$U$79,11,FALSE),PowerUnits[],10,FALSE)/VLOOKUP(B27,Operations!$A$2:$U$79,9,FALSE)*C27,2)))</f>
        <v>0.38</v>
      </c>
      <c r="H27" s="109">
        <f>IF(B27=0,"",IF(C27&gt;9999,"",ROUND(VLOOKUP($B27,Operations!$A$2:$U$79,15,FALSE)*C27,2)))</f>
        <v>4.95</v>
      </c>
      <c r="I27" s="109">
        <f>IF(B27=0,0,IF(C27&gt;9999,"",ROUND(VLOOKUP(VLOOKUP(B27,Operations!$A$2:$U$79,11,FALSE),PowerUnits[],16,FALSE)/VLOOKUP(B27,Operations!$A$2:$U$79,9,FALSE)*C27,2)))</f>
        <v>10.26</v>
      </c>
      <c r="J27" s="109">
        <f>IF(B27=0,"",IF(C27&gt;9999,"",ROUND(VLOOKUP($B27,Operations!$A$2:$U$79,21,FALSE)*$C27,2)))</f>
        <v>5.42</v>
      </c>
      <c r="K27" s="109">
        <f t="shared" si="1"/>
        <v>26.94</v>
      </c>
      <c r="L27" s="110"/>
    </row>
    <row r="28" spans="1:12" hidden="1" x14ac:dyDescent="0.2">
      <c r="A28" s="170">
        <v>16</v>
      </c>
      <c r="B28" s="217"/>
      <c r="C28" s="218"/>
      <c r="D28" s="214"/>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74"/>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4"/>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 t="shared" ref="E34:K34" si="2">SUM(E12:E32)</f>
        <v>43.91</v>
      </c>
      <c r="F34" s="109">
        <f t="shared" si="2"/>
        <v>112.99000000000001</v>
      </c>
      <c r="G34" s="109">
        <f t="shared" si="2"/>
        <v>11.050000000000002</v>
      </c>
      <c r="H34" s="109">
        <f t="shared" si="2"/>
        <v>107.54</v>
      </c>
      <c r="I34" s="109">
        <f t="shared" si="2"/>
        <v>88.66</v>
      </c>
      <c r="J34" s="109">
        <f t="shared" si="2"/>
        <v>67.399999999999991</v>
      </c>
      <c r="K34" s="109">
        <f t="shared" si="2"/>
        <v>431.55000000000007</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201</v>
      </c>
      <c r="C38" s="388" t="str">
        <f>IF(B38=0,"",VLOOKUP($B38,Table2[],2,FALSE))</f>
        <v>Fertilizer</v>
      </c>
      <c r="D38" s="388"/>
      <c r="E38" s="388"/>
      <c r="F38" s="174">
        <v>2</v>
      </c>
      <c r="G38" s="175">
        <v>1</v>
      </c>
      <c r="H38" s="176">
        <v>13.4</v>
      </c>
      <c r="I38" s="120" t="str">
        <f>IF($B38=0,"",VLOOKUP($B38,Table2[],5,FALSE))</f>
        <v>gallon</v>
      </c>
      <c r="J38" s="109">
        <f>IF($B38=0,"",VLOOKUP($B38,Table2[],7,FALSE))</f>
        <v>3.1</v>
      </c>
      <c r="K38" s="109">
        <f>IF(B38=0,0,ROUND(G38*H38*J38,2))</f>
        <v>41.54</v>
      </c>
      <c r="L38" s="110"/>
    </row>
    <row r="39" spans="1:12" x14ac:dyDescent="0.2">
      <c r="A39" s="105"/>
      <c r="B39" s="180" t="s">
        <v>205</v>
      </c>
      <c r="C39" s="388" t="str">
        <f>IF(B39=0,"",VLOOKUP($B39,Table2[],2,FALSE))</f>
        <v>Fertilizer</v>
      </c>
      <c r="D39" s="388"/>
      <c r="E39" s="388"/>
      <c r="F39" s="174">
        <v>2</v>
      </c>
      <c r="G39" s="175">
        <v>1</v>
      </c>
      <c r="H39" s="176">
        <v>125</v>
      </c>
      <c r="I39" s="120" t="str">
        <f>IF($B39=0,"",VLOOKUP($B39,Table2[],5,FALSE))</f>
        <v>lbs N</v>
      </c>
      <c r="J39" s="109">
        <f>IF($B39=0,"",VLOOKUP($B39,Table2[],7,FALSE))</f>
        <v>0.5</v>
      </c>
      <c r="K39" s="109">
        <f t="shared" ref="K39:K61" si="3">IF(B39=0,0,ROUND(G39*H39*J39,2))</f>
        <v>62.5</v>
      </c>
      <c r="L39" s="110"/>
    </row>
    <row r="40" spans="1:12" x14ac:dyDescent="0.2">
      <c r="A40" s="105"/>
      <c r="B40" s="180" t="s">
        <v>200</v>
      </c>
      <c r="C40" s="388" t="str">
        <f>IF(B40=0,"",VLOOKUP($B40,Table2[],2,FALSE))</f>
        <v>Custom</v>
      </c>
      <c r="D40" s="388"/>
      <c r="E40" s="388"/>
      <c r="F40" s="174">
        <v>5</v>
      </c>
      <c r="G40" s="175">
        <v>1</v>
      </c>
      <c r="H40" s="176">
        <v>1</v>
      </c>
      <c r="I40" s="120" t="str">
        <f>IF($B40=0,"",VLOOKUP($B40,Table2[],5,FALSE))</f>
        <v>acre</v>
      </c>
      <c r="J40" s="109">
        <f>IF($B40=0,"",VLOOKUP($B40,Table2[],7,FALSE))</f>
        <v>9</v>
      </c>
      <c r="K40" s="109">
        <f t="shared" ref="K40:K42" si="4">IF(B40=0,0,ROUND(G40*H40*J40,2))</f>
        <v>9</v>
      </c>
      <c r="L40" s="110"/>
    </row>
    <row r="41" spans="1:12" x14ac:dyDescent="0.2">
      <c r="A41" s="105"/>
      <c r="B41" s="213" t="s">
        <v>896</v>
      </c>
      <c r="C41" s="387" t="s">
        <v>228</v>
      </c>
      <c r="D41" s="387"/>
      <c r="E41" s="387"/>
      <c r="F41" s="214">
        <v>5</v>
      </c>
      <c r="G41" s="221">
        <v>1</v>
      </c>
      <c r="H41" s="222">
        <v>48</v>
      </c>
      <c r="I41" s="223" t="s">
        <v>174</v>
      </c>
      <c r="J41" s="215">
        <f>IF($B41=0,"",VLOOKUP($B41,Table2[],7,FALSE))</f>
        <v>1.015625</v>
      </c>
      <c r="K41" s="215">
        <f t="shared" si="4"/>
        <v>48.75</v>
      </c>
      <c r="L41" s="110"/>
    </row>
    <row r="42" spans="1:12" x14ac:dyDescent="0.2">
      <c r="A42" s="105"/>
      <c r="B42" s="180" t="s">
        <v>970</v>
      </c>
      <c r="C42" s="388" t="s">
        <v>228</v>
      </c>
      <c r="D42" s="388"/>
      <c r="E42" s="388"/>
      <c r="F42" s="174">
        <v>5</v>
      </c>
      <c r="G42" s="175">
        <v>1</v>
      </c>
      <c r="H42" s="176">
        <v>64</v>
      </c>
      <c r="I42" s="120" t="s">
        <v>174</v>
      </c>
      <c r="J42" s="109">
        <f>IF($B42=0,"",VLOOKUP($B42,Table2[],7,FALSE))</f>
        <v>0.859375</v>
      </c>
      <c r="K42" s="109">
        <f t="shared" si="4"/>
        <v>55</v>
      </c>
      <c r="L42" s="110"/>
    </row>
    <row r="43" spans="1:12" x14ac:dyDescent="0.2">
      <c r="A43" s="105"/>
      <c r="B43" s="180" t="s">
        <v>200</v>
      </c>
      <c r="C43" s="388" t="str">
        <f>IF(B43=0,"",VLOOKUP($B43,Table2[],2,FALSE))</f>
        <v>Custom</v>
      </c>
      <c r="D43" s="388"/>
      <c r="E43" s="388"/>
      <c r="F43" s="174" t="s">
        <v>979</v>
      </c>
      <c r="G43" s="175">
        <v>2</v>
      </c>
      <c r="H43" s="176">
        <v>1</v>
      </c>
      <c r="I43" s="120" t="str">
        <f>IF($B43=0,"",VLOOKUP($B43,Table2[],5,FALSE))</f>
        <v>acre</v>
      </c>
      <c r="J43" s="109">
        <f>IF($B43=0,"",VLOOKUP($B43,Table2[],7,FALSE))</f>
        <v>9</v>
      </c>
      <c r="K43" s="109">
        <f t="shared" si="3"/>
        <v>18</v>
      </c>
      <c r="L43" s="110"/>
    </row>
    <row r="44" spans="1:12" x14ac:dyDescent="0.2">
      <c r="A44" s="105"/>
      <c r="B44" s="213" t="s">
        <v>259</v>
      </c>
      <c r="C44" s="387" t="str">
        <f>IF(B44=0,"",VLOOKUP($B44,Table2[],2,FALSE))</f>
        <v>Herbicide</v>
      </c>
      <c r="D44" s="387"/>
      <c r="E44" s="387"/>
      <c r="F44" s="214">
        <v>7</v>
      </c>
      <c r="G44" s="221">
        <v>1</v>
      </c>
      <c r="H44" s="222">
        <v>36</v>
      </c>
      <c r="I44" s="223" t="str">
        <f>IF($B44=0,"",VLOOKUP($B44,Table2[],5,FALSE))</f>
        <v>ounce</v>
      </c>
      <c r="J44" s="215">
        <f>IF($B44=0,"",VLOOKUP($B44,Table2[],7,FALSE))</f>
        <v>0.1328125</v>
      </c>
      <c r="K44" s="215">
        <f t="shared" si="3"/>
        <v>4.78</v>
      </c>
      <c r="L44" s="216"/>
    </row>
    <row r="45" spans="1:12" x14ac:dyDescent="0.2">
      <c r="A45" s="105"/>
      <c r="B45" s="180" t="s">
        <v>264</v>
      </c>
      <c r="C45" s="388" t="s">
        <v>228</v>
      </c>
      <c r="D45" s="388"/>
      <c r="E45" s="388"/>
      <c r="F45" s="174">
        <v>7</v>
      </c>
      <c r="G45" s="175">
        <v>1</v>
      </c>
      <c r="H45" s="176">
        <v>13</v>
      </c>
      <c r="I45" s="120" t="s">
        <v>174</v>
      </c>
      <c r="J45" s="109">
        <f>IF($B45=0,"",VLOOKUP($B45,Table2[],7,FALSE))</f>
        <v>1.5234375</v>
      </c>
      <c r="K45" s="109">
        <f t="shared" si="3"/>
        <v>19.8</v>
      </c>
      <c r="L45" s="257"/>
    </row>
    <row r="46" spans="1:12" x14ac:dyDescent="0.2">
      <c r="A46" s="105"/>
      <c r="B46" s="180" t="s">
        <v>170</v>
      </c>
      <c r="C46" s="388" t="str">
        <f>IF(B46=0,"",VLOOKUP($B46,Table2[],2,FALSE))</f>
        <v>Additive</v>
      </c>
      <c r="D46" s="388"/>
      <c r="E46" s="388"/>
      <c r="F46" s="174">
        <v>7</v>
      </c>
      <c r="G46" s="175">
        <v>1</v>
      </c>
      <c r="H46" s="176">
        <v>1.7</v>
      </c>
      <c r="I46" s="120" t="str">
        <f>IF($B46=0,"",VLOOKUP($B46,Table2[],5,FALSE))</f>
        <v>pound</v>
      </c>
      <c r="J46" s="109">
        <f>IF($B46=0,"",VLOOKUP($B46,Table2[],7,FALSE))</f>
        <v>0.4</v>
      </c>
      <c r="K46" s="109">
        <f t="shared" si="3"/>
        <v>0.68</v>
      </c>
      <c r="L46" s="110"/>
    </row>
    <row r="47" spans="1:12" x14ac:dyDescent="0.2">
      <c r="A47" s="105"/>
      <c r="B47" s="180" t="s">
        <v>348</v>
      </c>
      <c r="C47" s="388" t="str">
        <f>IF(B47=0,"",VLOOKUP($B47,Table2[],2,FALSE))</f>
        <v>Seed</v>
      </c>
      <c r="D47" s="388"/>
      <c r="E47" s="388"/>
      <c r="F47" s="174">
        <v>6</v>
      </c>
      <c r="G47" s="175">
        <v>1</v>
      </c>
      <c r="H47" s="181">
        <v>1</v>
      </c>
      <c r="I47" s="120" t="str">
        <f>IF($B47=0,"",VLOOKUP($B47,Table2[],5,FALSE))</f>
        <v>acre</v>
      </c>
      <c r="J47" s="109">
        <f>IF($B47=0,"",VLOOKUP($B47,Table2[],7,FALSE))</f>
        <v>220</v>
      </c>
      <c r="K47" s="109">
        <f t="shared" si="3"/>
        <v>220</v>
      </c>
      <c r="L47" s="110"/>
    </row>
    <row r="48" spans="1:12" x14ac:dyDescent="0.2">
      <c r="A48" s="143"/>
      <c r="B48" s="213" t="s">
        <v>259</v>
      </c>
      <c r="C48" s="387" t="str">
        <f>IF(B48=0,"",VLOOKUP($B48,Table2[],2,FALSE))</f>
        <v>Herbicide</v>
      </c>
      <c r="D48" s="387"/>
      <c r="E48" s="387"/>
      <c r="F48" s="214">
        <v>9</v>
      </c>
      <c r="G48" s="221">
        <v>1</v>
      </c>
      <c r="H48" s="222">
        <v>36</v>
      </c>
      <c r="I48" s="223" t="str">
        <f>IF($B48=0,"",VLOOKUP($B48,Table2[],5,FALSE))</f>
        <v>ounce</v>
      </c>
      <c r="J48" s="215">
        <f>IF($B48=0,"",VLOOKUP($B48,Table2[],7,FALSE))</f>
        <v>0.1328125</v>
      </c>
      <c r="K48" s="215">
        <f t="shared" si="3"/>
        <v>4.78</v>
      </c>
      <c r="L48" s="216"/>
    </row>
    <row r="49" spans="1:12" x14ac:dyDescent="0.2">
      <c r="A49" s="143"/>
      <c r="B49" s="180" t="s">
        <v>887</v>
      </c>
      <c r="C49" s="388" t="s">
        <v>228</v>
      </c>
      <c r="D49" s="388" t="s">
        <v>228</v>
      </c>
      <c r="E49" s="388"/>
      <c r="F49" s="174">
        <v>9</v>
      </c>
      <c r="G49" s="175">
        <v>1</v>
      </c>
      <c r="H49" s="176">
        <v>1</v>
      </c>
      <c r="I49" s="120" t="s">
        <v>179</v>
      </c>
      <c r="J49" s="109">
        <f>IF($B49=0,"",VLOOKUP($B49,Table2[],7,FALSE))</f>
        <v>10</v>
      </c>
      <c r="K49" s="109">
        <f t="shared" si="3"/>
        <v>10</v>
      </c>
      <c r="L49" s="110"/>
    </row>
    <row r="50" spans="1:12" x14ac:dyDescent="0.2">
      <c r="A50" s="143"/>
      <c r="B50" s="180" t="s">
        <v>170</v>
      </c>
      <c r="C50" s="388" t="str">
        <f>IF(B50=0,"",VLOOKUP($B50,Table2[],2,FALSE))</f>
        <v>Additive</v>
      </c>
      <c r="D50" s="388"/>
      <c r="E50" s="388"/>
      <c r="F50" s="174">
        <v>9</v>
      </c>
      <c r="G50" s="175">
        <v>1</v>
      </c>
      <c r="H50" s="176">
        <v>1.7</v>
      </c>
      <c r="I50" s="120" t="str">
        <f>IF($B50=0,"",VLOOKUP($B50,Table2[],5,FALSE))</f>
        <v>pound</v>
      </c>
      <c r="J50" s="109">
        <f>IF($B50=0,"",VLOOKUP($B50,Table2[],7,FALSE))</f>
        <v>0.4</v>
      </c>
      <c r="K50" s="109">
        <f t="shared" si="3"/>
        <v>0.68</v>
      </c>
      <c r="L50" s="257"/>
    </row>
    <row r="51" spans="1:12" x14ac:dyDescent="0.2">
      <c r="A51" s="143"/>
      <c r="B51" s="180" t="s">
        <v>183</v>
      </c>
      <c r="C51" s="388" t="str">
        <f>IF(B51=0,"",VLOOKUP($B51,Table2[],2,FALSE))</f>
        <v>Custom</v>
      </c>
      <c r="D51" s="388"/>
      <c r="E51" s="388"/>
      <c r="F51" s="174">
        <v>10</v>
      </c>
      <c r="G51" s="175">
        <v>1</v>
      </c>
      <c r="H51" s="176">
        <v>1</v>
      </c>
      <c r="I51" s="120" t="str">
        <f>IF($B51=0,"",VLOOKUP($B51,Table2[],5,FALSE))</f>
        <v>acre</v>
      </c>
      <c r="J51" s="109">
        <f>IF($B51=0,"",VLOOKUP($B51,Table2[],7,FALSE))</f>
        <v>11</v>
      </c>
      <c r="K51" s="109">
        <f t="shared" si="3"/>
        <v>11</v>
      </c>
      <c r="L51" s="110"/>
    </row>
    <row r="52" spans="1:12" x14ac:dyDescent="0.2">
      <c r="A52" s="143"/>
      <c r="B52" s="213" t="s">
        <v>222</v>
      </c>
      <c r="C52" s="387" t="str">
        <f>IF(B52=0,"",VLOOKUP($B52,Table2[],2,FALSE))</f>
        <v>Fungicide</v>
      </c>
      <c r="D52" s="387"/>
      <c r="E52" s="387"/>
      <c r="F52" s="214">
        <v>10</v>
      </c>
      <c r="G52" s="221">
        <v>1</v>
      </c>
      <c r="H52" s="304">
        <v>7</v>
      </c>
      <c r="I52" s="223" t="str">
        <f>IF($B52=0,"",VLOOKUP($B52,Table2[],5,FALSE))</f>
        <v>ounce</v>
      </c>
      <c r="J52" s="215">
        <f>IF($B52=0,"",VLOOKUP($B52,Table2[],7,FALSE))</f>
        <v>1.953125</v>
      </c>
      <c r="K52" s="215">
        <f t="shared" si="3"/>
        <v>13.67</v>
      </c>
      <c r="L52" s="216"/>
    </row>
    <row r="53" spans="1:12" x14ac:dyDescent="0.2">
      <c r="A53" s="143"/>
      <c r="B53" s="180" t="s">
        <v>183</v>
      </c>
      <c r="C53" s="388" t="str">
        <f>IF(B53=0,"",VLOOKUP($B53,Table2[],2,FALSE))</f>
        <v>Custom</v>
      </c>
      <c r="D53" s="388"/>
      <c r="E53" s="388"/>
      <c r="F53" s="174">
        <v>11</v>
      </c>
      <c r="G53" s="175">
        <v>0.5</v>
      </c>
      <c r="H53" s="176">
        <v>1</v>
      </c>
      <c r="I53" s="120" t="str">
        <f>IF($B53=0,"",VLOOKUP($B53,Table2[],5,FALSE))</f>
        <v>acre</v>
      </c>
      <c r="J53" s="109">
        <f>IF($B53=0,"",VLOOKUP($B53,Table2[],7,FALSE))</f>
        <v>11</v>
      </c>
      <c r="K53" s="109">
        <f t="shared" si="3"/>
        <v>5.5</v>
      </c>
      <c r="L53" s="257"/>
    </row>
    <row r="54" spans="1:12" x14ac:dyDescent="0.2">
      <c r="A54" s="105"/>
      <c r="B54" s="180" t="s">
        <v>220</v>
      </c>
      <c r="C54" s="388" t="s">
        <v>214</v>
      </c>
      <c r="D54" s="388"/>
      <c r="E54" s="388"/>
      <c r="F54" s="174">
        <v>11</v>
      </c>
      <c r="G54" s="175">
        <v>0.5</v>
      </c>
      <c r="H54" s="176">
        <v>5</v>
      </c>
      <c r="I54" s="120" t="str">
        <f>IF($B54=0,"",VLOOKUP($B54,Table2[],5,FALSE))</f>
        <v>ounce</v>
      </c>
      <c r="J54" s="109">
        <f>IF($B54=0,"",VLOOKUP($B54,Table2[],7,FALSE))</f>
        <v>6.015625</v>
      </c>
      <c r="K54" s="109">
        <f t="shared" si="3"/>
        <v>15.04</v>
      </c>
      <c r="L54" s="257"/>
    </row>
    <row r="55" spans="1:12" ht="12.75" customHeight="1" x14ac:dyDescent="0.2">
      <c r="A55" s="105"/>
      <c r="B55" s="180" t="s">
        <v>193</v>
      </c>
      <c r="C55" s="388" t="str">
        <f>IF(B55=0,"",VLOOKUP($B55,Table2[],2,FALSE))</f>
        <v>Custom</v>
      </c>
      <c r="D55" s="388"/>
      <c r="E55" s="388"/>
      <c r="F55" s="174">
        <v>14</v>
      </c>
      <c r="G55" s="175">
        <v>1</v>
      </c>
      <c r="H55" s="143">
        <f>$G$4</f>
        <v>30</v>
      </c>
      <c r="I55" s="120" t="str">
        <f>IF($B55=0,"",VLOOKUP($B55,Table2[],5,FALSE))</f>
        <v>ton</v>
      </c>
      <c r="J55" s="109">
        <f>IF($B55=0,"",VLOOKUP($B55,Table2[],7,FALSE))</f>
        <v>6</v>
      </c>
      <c r="K55" s="109">
        <f t="shared" ref="K55:K56" si="5">IF(B55=0,0,ROUND(G55*H55*J55,2))</f>
        <v>180</v>
      </c>
      <c r="L55" s="110"/>
    </row>
    <row r="56" spans="1:12" ht="12.75" customHeight="1" x14ac:dyDescent="0.2">
      <c r="B56" s="213" t="s">
        <v>316</v>
      </c>
      <c r="C56" s="387" t="str">
        <f>IF(B56=0,"",VLOOKUP($B56,Table2[],2,FALSE))</f>
        <v>Scouting</v>
      </c>
      <c r="D56" s="387"/>
      <c r="E56" s="387"/>
      <c r="F56" s="214"/>
      <c r="G56" s="221">
        <v>1</v>
      </c>
      <c r="H56" s="304">
        <v>1</v>
      </c>
      <c r="I56" s="223" t="str">
        <f>IF($B56=0,"",VLOOKUP($B56,Table2[],5,FALSE))</f>
        <v>acre</v>
      </c>
      <c r="J56" s="215">
        <f>IF($B56=0,"",VLOOKUP($B56,Table2[],7,FALSE))</f>
        <v>19</v>
      </c>
      <c r="K56" s="215">
        <f t="shared" si="5"/>
        <v>19</v>
      </c>
      <c r="L56" s="216"/>
    </row>
    <row r="57" spans="1:12" ht="12.75" hidden="1" customHeight="1" x14ac:dyDescent="0.2">
      <c r="B57" s="180"/>
      <c r="C57" s="388" t="str">
        <f>IF(B57=0,"",VLOOKUP($B57,Table2[],2,FALSE))</f>
        <v/>
      </c>
      <c r="D57" s="388"/>
      <c r="E57" s="388"/>
      <c r="F57" s="174"/>
      <c r="G57" s="175"/>
      <c r="H57" s="176"/>
      <c r="I57" s="120" t="str">
        <f>IF($B57=0,"",VLOOKUP($B57,Table2[],5,FALSE))</f>
        <v/>
      </c>
      <c r="J57" s="109" t="str">
        <f>IF($B57=0,"",VLOOKUP($B57,Table2[],7,FALSE))</f>
        <v/>
      </c>
      <c r="K57" s="109">
        <f t="shared" si="3"/>
        <v>0</v>
      </c>
      <c r="L57" s="110"/>
    </row>
    <row r="58" spans="1:12" ht="12.75" hidden="1" customHeight="1" x14ac:dyDescent="0.2">
      <c r="B58" s="180"/>
      <c r="C58" s="388" t="str">
        <f>IF(B58=0,"",VLOOKUP($B58,Table2[],2,FALSE))</f>
        <v/>
      </c>
      <c r="D58" s="388"/>
      <c r="E58" s="388"/>
      <c r="F58" s="174"/>
      <c r="G58" s="175">
        <v>0.1</v>
      </c>
      <c r="H58" s="181"/>
      <c r="I58" s="120" t="str">
        <f>IF($B58=0,"",VLOOKUP($B58,Table2[],5,FALSE))</f>
        <v/>
      </c>
      <c r="J58" s="109" t="str">
        <f>IF($B58=0,"",VLOOKUP($B58,Table2[],7,FALSE))</f>
        <v/>
      </c>
      <c r="K58" s="109">
        <f t="shared" si="3"/>
        <v>0</v>
      </c>
      <c r="L58" s="216"/>
    </row>
    <row r="59" spans="1:12" ht="12.75" hidden="1" customHeight="1" x14ac:dyDescent="0.2">
      <c r="B59" s="180"/>
      <c r="C59" s="388" t="str">
        <f>IF(B59=0,"",VLOOKUP($B59,Table2[],2,FALSE))</f>
        <v/>
      </c>
      <c r="D59" s="388"/>
      <c r="E59" s="388"/>
      <c r="F59" s="174"/>
      <c r="G59" s="175">
        <v>0.2</v>
      </c>
      <c r="H59" s="181"/>
      <c r="I59" s="120" t="str">
        <f>IF($B59=0,"",VLOOKUP($B59,Table2[],5,FALSE))</f>
        <v/>
      </c>
      <c r="J59" s="109" t="str">
        <f>IF($B59=0,"",VLOOKUP($B59,Table2[],7,FALSE))</f>
        <v/>
      </c>
      <c r="K59" s="109">
        <f t="shared" si="3"/>
        <v>0</v>
      </c>
      <c r="L59" s="110"/>
    </row>
    <row r="60" spans="1:12" ht="12.75" hidden="1" customHeight="1" x14ac:dyDescent="0.2">
      <c r="B60" s="180"/>
      <c r="C60" s="388" t="str">
        <f>IF(B60=0,"",VLOOKUP($B60,Table2[],2,FALSE))</f>
        <v/>
      </c>
      <c r="D60" s="388"/>
      <c r="E60" s="388"/>
      <c r="F60" s="174"/>
      <c r="G60" s="175">
        <v>0.3</v>
      </c>
      <c r="H60" s="176"/>
      <c r="I60" s="120" t="str">
        <f>IF($B60=0,"",VLOOKUP($B60,Table2[],5,FALSE))</f>
        <v/>
      </c>
      <c r="J60" s="109" t="str">
        <f>IF($B60=0,"",VLOOKUP($B60,Table2[],7,FALSE))</f>
        <v/>
      </c>
      <c r="K60" s="109">
        <f t="shared" si="3"/>
        <v>0</v>
      </c>
      <c r="L60" s="110"/>
    </row>
    <row r="61" spans="1:12" ht="12.75" hidden="1" customHeight="1" x14ac:dyDescent="0.2">
      <c r="B61" s="180"/>
      <c r="C61" s="388" t="str">
        <f>IF(B61=0,"",VLOOKUP($B61,Table2[],2,FALSE))</f>
        <v/>
      </c>
      <c r="D61" s="388"/>
      <c r="E61" s="388"/>
      <c r="F61" s="174"/>
      <c r="G61" s="175"/>
      <c r="H61" s="181"/>
      <c r="I61" s="120" t="str">
        <f>IF($B61=0,"",VLOOKUP($B61,Table2[],5,FALSE))</f>
        <v/>
      </c>
      <c r="J61" s="109" t="str">
        <f>IF($B61=0,"",VLOOKUP($B61,Table2[],7,FALSE))</f>
        <v/>
      </c>
      <c r="K61" s="109">
        <f t="shared" si="3"/>
        <v>0</v>
      </c>
      <c r="L61" s="113"/>
    </row>
    <row r="62" spans="1:12" ht="12.75" hidden="1" customHeight="1" x14ac:dyDescent="0.2">
      <c r="B62" s="180"/>
      <c r="C62" s="388" t="str">
        <f>IF(B62=0,"",VLOOKUP($B62,Table2[],2,FALSE))</f>
        <v/>
      </c>
      <c r="D62" s="388"/>
      <c r="E62" s="388"/>
      <c r="F62" s="174"/>
      <c r="G62" s="175"/>
      <c r="H62" s="181"/>
      <c r="I62" s="120" t="str">
        <f>IF($B62=0,"",VLOOKUP($B62,Table2[],5,FALSE))</f>
        <v/>
      </c>
      <c r="J62" s="109" t="str">
        <f>IF($B62=0,"",VLOOKUP($B62,Table2[],7,FALSE))</f>
        <v/>
      </c>
      <c r="K62" s="109">
        <f>IF(B62=0,0,ROUND(G62*H62*J62,2))</f>
        <v>0</v>
      </c>
      <c r="L62" s="227"/>
    </row>
    <row r="63" spans="1:12" ht="12.75" hidden="1" customHeight="1" x14ac:dyDescent="0.2">
      <c r="B63" s="180"/>
      <c r="C63" s="388" t="str">
        <f>IF(B63=0,"",VLOOKUP($B63,Table2[],2,FALSE))</f>
        <v/>
      </c>
      <c r="D63" s="388"/>
      <c r="E63" s="388"/>
      <c r="F63" s="174"/>
      <c r="G63" s="175"/>
      <c r="H63" s="176"/>
      <c r="I63" s="120" t="str">
        <f>IF($B63=0,"",VLOOKUP($B63,Table2[],5,FALSE))</f>
        <v/>
      </c>
      <c r="J63" s="109" t="str">
        <f>IF($B63=0,"",VLOOKUP($B63,Table2[],7,FALSE))</f>
        <v/>
      </c>
      <c r="K63" s="109">
        <f>IF(B63=0,0,ROUND(G63*H63*J63,2))</f>
        <v>0</v>
      </c>
      <c r="L63" s="113"/>
    </row>
    <row r="64" spans="1:12" ht="12.75" hidden="1" customHeight="1" x14ac:dyDescent="0.2">
      <c r="B64" s="180"/>
      <c r="C64" s="388" t="str">
        <f>IF(B64=0,"",VLOOKUP($B64,Table2[],2,FALSE))</f>
        <v/>
      </c>
      <c r="D64" s="388"/>
      <c r="E64" s="388"/>
      <c r="F64" s="174"/>
      <c r="G64" s="175"/>
      <c r="H64" s="181"/>
      <c r="I64" s="120" t="str">
        <f>IF($B64=0,"",VLOOKUP($B64,Table2[],5,FALSE))</f>
        <v/>
      </c>
      <c r="J64" s="109" t="str">
        <f>IF($B64=0,"",VLOOKUP($B64,Table2[],7,FALSE))</f>
        <v/>
      </c>
      <c r="K64" s="109">
        <f>IF(B64=0,0,ROUND(G64*H64*J64,2))</f>
        <v>0</v>
      </c>
      <c r="L64" s="113"/>
    </row>
    <row r="65" spans="2:12" ht="12.75" hidden="1" customHeight="1" x14ac:dyDescent="0.2">
      <c r="B65" s="180"/>
      <c r="C65" s="388" t="str">
        <f>IF(B65=0,"",VLOOKUP($B65,Table2[],2,FALSE))</f>
        <v/>
      </c>
      <c r="D65" s="388"/>
      <c r="E65" s="388"/>
      <c r="F65" s="174"/>
      <c r="G65" s="175"/>
      <c r="H65" s="181"/>
      <c r="I65" s="120" t="str">
        <f>IF($B65=0,"",VLOOKUP($B65,Table2[],5,FALSE))</f>
        <v/>
      </c>
      <c r="J65" s="109" t="str">
        <f>IF($B65=0,"",VLOOKUP($B65,Table2[],7,FALSE))</f>
        <v/>
      </c>
      <c r="K65" s="109">
        <f>IF(B65=0,0,ROUND(G65*H65*J65,2))</f>
        <v>0</v>
      </c>
      <c r="L65" s="113"/>
    </row>
    <row r="66" spans="2:12" ht="12.75" hidden="1" customHeight="1" x14ac:dyDescent="0.2">
      <c r="B66" s="180"/>
      <c r="C66" s="388" t="str">
        <f>IF(B66=0,"",VLOOKUP($B66,Table2[],2,FALSE))</f>
        <v/>
      </c>
      <c r="D66" s="388"/>
      <c r="E66" s="388"/>
      <c r="F66" s="174"/>
      <c r="G66" s="175"/>
      <c r="H66" s="176"/>
      <c r="I66" s="120" t="str">
        <f>IF($B66=0,"",VLOOKUP($B66,Table2[],5,FALSE))</f>
        <v/>
      </c>
      <c r="J66" s="109" t="str">
        <f>IF($B66=0,"",VLOOKUP($B66,Table2[],7,FALSE))</f>
        <v/>
      </c>
      <c r="K66" s="109">
        <f>IF(B66=0,0,ROUND(G66*H66*J66,2))</f>
        <v>0</v>
      </c>
      <c r="L66" s="227"/>
    </row>
    <row r="67" spans="2:12" x14ac:dyDescent="0.2">
      <c r="B67" s="180" t="s">
        <v>430</v>
      </c>
      <c r="C67" s="388" t="s">
        <v>655</v>
      </c>
      <c r="D67" s="388"/>
      <c r="E67" s="388"/>
      <c r="F67" s="174"/>
      <c r="G67" s="175"/>
      <c r="H67" s="181"/>
      <c r="I67" s="120"/>
      <c r="J67" s="109">
        <f ca="1">IF(F5=0,E5,F5)</f>
        <v>19</v>
      </c>
      <c r="K67" s="109">
        <f ca="1">IF(B67=0,0,J67)</f>
        <v>19</v>
      </c>
      <c r="L67" s="113"/>
    </row>
    <row r="68" spans="2:12" ht="3.75" customHeight="1" thickBot="1" x14ac:dyDescent="0.25">
      <c r="B68" s="114"/>
      <c r="C68" s="121"/>
      <c r="D68" s="121"/>
      <c r="E68" s="121"/>
      <c r="F68" s="115"/>
      <c r="G68" s="122"/>
      <c r="H68" s="114"/>
      <c r="I68" s="123"/>
      <c r="J68" s="124"/>
      <c r="K68" s="125"/>
      <c r="L68" s="117"/>
    </row>
    <row r="69" spans="2:12" ht="13.5" thickTop="1" x14ac:dyDescent="0.2">
      <c r="C69" s="108" t="s">
        <v>671</v>
      </c>
      <c r="D69" s="108"/>
      <c r="J69" s="126"/>
      <c r="K69" s="141">
        <f ca="1">SUM(K38:K67)</f>
        <v>758.71999999999991</v>
      </c>
      <c r="L69" s="110"/>
    </row>
    <row r="70" spans="2:12" x14ac:dyDescent="0.2">
      <c r="B70" s="144"/>
      <c r="K70" s="128"/>
    </row>
    <row r="71" spans="2:12" x14ac:dyDescent="0.2">
      <c r="B71" s="107" t="s">
        <v>672</v>
      </c>
      <c r="K71" s="141">
        <f ca="1">K34+K69</f>
        <v>1190.27</v>
      </c>
      <c r="L71" s="110"/>
    </row>
    <row r="72" spans="2:12" ht="13.5" thickBot="1" x14ac:dyDescent="0.25">
      <c r="D72" s="128" t="s">
        <v>673</v>
      </c>
      <c r="E72" s="129">
        <f ca="1">ROUND(SUM($E$34:$H$34)+$K$69,2)</f>
        <v>1034.21</v>
      </c>
      <c r="F72" s="388" t="s">
        <v>674</v>
      </c>
      <c r="G72" s="388"/>
      <c r="H72" s="130">
        <f>'General Variables'!$B$11</f>
        <v>7.4999999999999997E-2</v>
      </c>
      <c r="I72" s="131" t="str">
        <f>CONCATENATE("for ",TEXT('General Variables'!$B$12,"0.0")," mo.")</f>
        <v>for 6.0 mo.</v>
      </c>
      <c r="K72" s="145">
        <f ca="1">E72*H72*'General Variables'!$B$12/12</f>
        <v>38.782874999999997</v>
      </c>
      <c r="L72" s="133"/>
    </row>
    <row r="73" spans="2:12" ht="13.5" thickTop="1" x14ac:dyDescent="0.2">
      <c r="B73" s="107" t="s">
        <v>675</v>
      </c>
      <c r="K73" s="141">
        <f ca="1">SUM(K71:K72)</f>
        <v>1229.0528750000001</v>
      </c>
      <c r="L73" s="110"/>
    </row>
    <row r="74" spans="2:12" x14ac:dyDescent="0.2">
      <c r="K74" s="128"/>
    </row>
    <row r="75" spans="2:12" x14ac:dyDescent="0.2">
      <c r="B75" s="104" t="s">
        <v>676</v>
      </c>
      <c r="C75" s="134"/>
      <c r="D75" s="134"/>
      <c r="E75" s="134"/>
      <c r="F75" s="134"/>
      <c r="G75" s="134"/>
      <c r="H75" s="134"/>
      <c r="I75" s="134"/>
      <c r="J75" s="134"/>
      <c r="K75" s="142">
        <f>'General Variables'!B14</f>
        <v>35</v>
      </c>
      <c r="L75" s="110"/>
    </row>
    <row r="76" spans="2:12" x14ac:dyDescent="0.2">
      <c r="B76" s="103" t="s">
        <v>687</v>
      </c>
      <c r="C76" s="402" t="s">
        <v>42</v>
      </c>
      <c r="D76" s="403"/>
      <c r="E76" s="404"/>
      <c r="F76" s="136">
        <f>IF(C76=0,0,VLOOKUP(C76,RETable,2,FALSE))</f>
        <v>3970</v>
      </c>
      <c r="G76" s="388" t="s">
        <v>678</v>
      </c>
      <c r="H76" s="388"/>
      <c r="I76" s="130">
        <f>'General Variables'!$B$10</f>
        <v>0.03</v>
      </c>
      <c r="K76" s="146">
        <f>ROUND(F76*I76,2)</f>
        <v>119.1</v>
      </c>
      <c r="L76" s="110"/>
    </row>
    <row r="77" spans="2:12" ht="13.5" thickBot="1" x14ac:dyDescent="0.25">
      <c r="B77" s="103" t="s">
        <v>679</v>
      </c>
      <c r="F77" s="138">
        <f>IF(C76=0,0,VLOOKUP(C76,RETable,2,FALSE))</f>
        <v>3970</v>
      </c>
      <c r="G77" s="397" t="s">
        <v>678</v>
      </c>
      <c r="H77" s="397"/>
      <c r="I77" s="139">
        <f>'General Variables'!$B$13</f>
        <v>1.2999999999999999E-2</v>
      </c>
      <c r="J77" s="105"/>
      <c r="K77" s="147">
        <f>ROUND(F77*I77,2)</f>
        <v>51.61</v>
      </c>
      <c r="L77" s="133"/>
    </row>
    <row r="78" spans="2:12" ht="13.5" thickTop="1" x14ac:dyDescent="0.2">
      <c r="B78" s="107" t="s">
        <v>680</v>
      </c>
      <c r="K78" s="141">
        <f ca="1">SUM(K73:K77)</f>
        <v>1434.7628749999999</v>
      </c>
      <c r="L78" s="110"/>
    </row>
    <row r="79" spans="2:12" x14ac:dyDescent="0.2">
      <c r="K79" s="128"/>
    </row>
    <row r="80" spans="2:12" x14ac:dyDescent="0.2">
      <c r="B80" s="104" t="str">
        <f>IF(G4="","","Cash Cost per "&amp;H4)</f>
        <v>Cash Cost per ton</v>
      </c>
      <c r="C80" s="261" t="s">
        <v>688</v>
      </c>
      <c r="D80" s="105"/>
      <c r="E80" s="105"/>
      <c r="F80" s="105"/>
      <c r="G80" s="105"/>
      <c r="H80" s="105"/>
      <c r="I80" s="105"/>
      <c r="J80" s="105"/>
      <c r="K80" s="142">
        <f ca="1">IF(G4=0,0,(E72+K72+K75+K77)/G4)</f>
        <v>38.653429166666669</v>
      </c>
      <c r="L80" s="148"/>
    </row>
    <row r="81" spans="2:12" x14ac:dyDescent="0.2">
      <c r="B81" s="107" t="str">
        <f>IF(G4="","","Cost of production per "&amp;H4)</f>
        <v>Cost of production per ton</v>
      </c>
      <c r="K81" s="141">
        <f ca="1">IF(G4="","",K78/G4)</f>
        <v>47.825429166666666</v>
      </c>
      <c r="L81" s="110"/>
    </row>
    <row r="83" spans="2:12" x14ac:dyDescent="0.2">
      <c r="D83" s="103" t="s">
        <v>900</v>
      </c>
      <c r="G83" s="105"/>
      <c r="H83" s="105"/>
      <c r="I83" s="105"/>
      <c r="J83" s="105"/>
      <c r="K83" s="355" t="s">
        <v>901</v>
      </c>
      <c r="L83" s="105"/>
    </row>
    <row r="92" spans="2:12" x14ac:dyDescent="0.2">
      <c r="B92" s="106"/>
      <c r="C92" s="106"/>
      <c r="D92" s="106"/>
    </row>
    <row r="93" spans="2:12" x14ac:dyDescent="0.2">
      <c r="B93" s="106"/>
      <c r="C93" s="106"/>
      <c r="D93" s="106"/>
    </row>
    <row r="94" spans="2:12" x14ac:dyDescent="0.2">
      <c r="B94" s="106"/>
      <c r="C94" s="106"/>
      <c r="D94" s="106"/>
    </row>
    <row r="95" spans="2:12" x14ac:dyDescent="0.2">
      <c r="B95" s="106"/>
      <c r="C95" s="106"/>
      <c r="D95" s="106"/>
    </row>
    <row r="96" spans="2:12"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6"/>
      <c r="C115" s="106"/>
      <c r="D115" s="106"/>
    </row>
    <row r="116" spans="2:11" x14ac:dyDescent="0.2">
      <c r="B116" s="106"/>
      <c r="C116" s="106"/>
      <c r="D116" s="106"/>
    </row>
    <row r="117" spans="2:11" x14ac:dyDescent="0.2">
      <c r="B117" s="105"/>
      <c r="C117" s="105"/>
      <c r="D117" s="105"/>
      <c r="H117" s="103" t="e">
        <f>'General Variables'!#REF!</f>
        <v>#REF!</v>
      </c>
    </row>
    <row r="118" spans="2:11" x14ac:dyDescent="0.2">
      <c r="B118" s="105"/>
      <c r="C118" s="105"/>
      <c r="D118" s="105"/>
      <c r="H118" s="103" t="e">
        <f>'General Variables'!#REF!</f>
        <v>#REF!</v>
      </c>
      <c r="K118" s="103" t="s">
        <v>681</v>
      </c>
    </row>
    <row r="119" spans="2:11" x14ac:dyDescent="0.2">
      <c r="B119" s="105"/>
      <c r="C119" s="105"/>
      <c r="D119" s="105"/>
      <c r="H119" s="103" t="e">
        <f>'General Variables'!#REF!</f>
        <v>#REF!</v>
      </c>
      <c r="K119" s="103" t="s">
        <v>654</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c r="H131" s="103" t="e">
        <f>'General Variables'!#REF!</f>
        <v>#REF!</v>
      </c>
    </row>
    <row r="132" spans="2:8" x14ac:dyDescent="0.2">
      <c r="B132" s="105"/>
      <c r="C132" s="105"/>
      <c r="D132" s="105"/>
      <c r="H132" s="103" t="e">
        <f>'General Variables'!#REF!</f>
        <v>#REF!</v>
      </c>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c r="D234" s="105"/>
    </row>
    <row r="235" spans="2:4" x14ac:dyDescent="0.2">
      <c r="B235" s="105"/>
      <c r="C235" s="105"/>
      <c r="D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c r="C245" s="105"/>
    </row>
    <row r="246" spans="2:3" x14ac:dyDescent="0.2">
      <c r="B246" s="105"/>
      <c r="C246" s="105"/>
    </row>
    <row r="247" spans="2:3" x14ac:dyDescent="0.2">
      <c r="B247" s="105" t="str">
        <f>IF(Operations!A96="","",Operations!A96)</f>
        <v/>
      </c>
      <c r="C247" s="105" t="str">
        <f>IF(Materials!B140="","",Materials!B140)</f>
        <v>Alfalfa w/Inoculant</v>
      </c>
    </row>
    <row r="248" spans="2:3" x14ac:dyDescent="0.2">
      <c r="B248" s="105" t="str">
        <f>IF(Operations!A97="","",Operations!A97)</f>
        <v/>
      </c>
      <c r="C248" s="105" t="str">
        <f>IF(Materials!B141="","",Materials!B141)</f>
        <v>Corn</v>
      </c>
    </row>
    <row r="249" spans="2:3" x14ac:dyDescent="0.2">
      <c r="B249" s="105" t="str">
        <f>IF(Operations!A98="","",Operations!A98)</f>
        <v/>
      </c>
      <c r="C249" s="105" t="str">
        <f>IF(Materials!B142="","",Materials!B142)</f>
        <v>Corn Bt, ECB, &amp; RIB</v>
      </c>
    </row>
    <row r="250" spans="2:3" x14ac:dyDescent="0.2">
      <c r="B250" s="105" t="str">
        <f>IF(Operations!A99="","",Operations!A99)</f>
        <v/>
      </c>
      <c r="C250" s="105" t="str">
        <f>IF(Materials!B143="","",Materials!B143)</f>
        <v>Corn Bt, ECB, RR2, LL, &amp; RIB</v>
      </c>
    </row>
    <row r="251" spans="2:3" x14ac:dyDescent="0.2">
      <c r="B251" s="105" t="str">
        <f>IF(Operations!A100="","",Operations!A100)</f>
        <v/>
      </c>
      <c r="C251" s="105" t="str">
        <f>IF(Materials!B144="","",Materials!B144)</f>
        <v>Corn Bt, ECB, RW, &amp; RIB</v>
      </c>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c r="C259" s="105"/>
    </row>
    <row r="260" spans="2:3" x14ac:dyDescent="0.2">
      <c r="B260" s="105"/>
      <c r="C260" s="105"/>
    </row>
    <row r="261" spans="2:3" x14ac:dyDescent="0.2">
      <c r="B261" s="105"/>
    </row>
    <row r="262" spans="2:3" x14ac:dyDescent="0.2">
      <c r="B262" s="105"/>
    </row>
  </sheetData>
  <mergeCells count="53">
    <mergeCell ref="F72:G72"/>
    <mergeCell ref="C76:E76"/>
    <mergeCell ref="G76:H76"/>
    <mergeCell ref="G77:H77"/>
    <mergeCell ref="C62:E62"/>
    <mergeCell ref="C63:E63"/>
    <mergeCell ref="C64:E64"/>
    <mergeCell ref="C65:E65"/>
    <mergeCell ref="C66:E66"/>
    <mergeCell ref="C67:E67"/>
    <mergeCell ref="C61:E61"/>
    <mergeCell ref="C50:E50"/>
    <mergeCell ref="C51:E51"/>
    <mergeCell ref="C52:E52"/>
    <mergeCell ref="C53:E53"/>
    <mergeCell ref="C54:E54"/>
    <mergeCell ref="C55:E55"/>
    <mergeCell ref="C56:E56"/>
    <mergeCell ref="C57:E57"/>
    <mergeCell ref="C58:E58"/>
    <mergeCell ref="C59:E59"/>
    <mergeCell ref="C60:E60"/>
    <mergeCell ref="C48:E48"/>
    <mergeCell ref="F36:F37"/>
    <mergeCell ref="G36:G37"/>
    <mergeCell ref="H36:I36"/>
    <mergeCell ref="J36:J37"/>
    <mergeCell ref="C39:E39"/>
    <mergeCell ref="C43:E43"/>
    <mergeCell ref="C44:E44"/>
    <mergeCell ref="C46:E46"/>
    <mergeCell ref="C47:E47"/>
    <mergeCell ref="C38:E38"/>
    <mergeCell ref="C45:E45"/>
    <mergeCell ref="C40:E40"/>
    <mergeCell ref="C41:E41"/>
    <mergeCell ref="C42:E42"/>
    <mergeCell ref="C49:E49"/>
    <mergeCell ref="K2:L2"/>
    <mergeCell ref="G2:H2"/>
    <mergeCell ref="C4:E4"/>
    <mergeCell ref="L36:L37"/>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68" xr:uid="{00000000-0002-0000-4C00-000000000000}">
      <formula1>$C$117:$C$235</formula1>
    </dataValidation>
    <dataValidation type="list" allowBlank="1" showInputMessage="1" showErrorMessage="1" sqref="B33" xr:uid="{00000000-0002-0000-4C00-000001000000}">
      <formula1>$B$117:$B$214</formula1>
    </dataValidation>
    <dataValidation type="list" allowBlank="1" showInputMessage="1" showErrorMessage="1" sqref="K4" xr:uid="{00000000-0002-0000-4C00-000002000000}">
      <formula1>$K$117:$K$119</formula1>
    </dataValidation>
    <dataValidation type="list" allowBlank="1" showInputMessage="1" showErrorMessage="1" sqref="B38:B66" xr:uid="{00000000-0002-0000-4C00-000003000000}">
      <formula1>MaterialList</formula1>
    </dataValidation>
    <dataValidation type="list" allowBlank="1" showInputMessage="1" showErrorMessage="1" sqref="C76:E76" xr:uid="{00000000-0002-0000-4C00-000004000000}">
      <formula1>RealEstateList</formula1>
    </dataValidation>
    <dataValidation type="list" allowBlank="1" showInputMessage="1" showErrorMessage="1" sqref="B12:B32" xr:uid="{00000000-0002-0000-4C00-000005000000}">
      <formula1>OperationList</formula1>
    </dataValidation>
    <dataValidation type="list" allowBlank="1" showInputMessage="1" showErrorMessage="1" sqref="D12:D33" xr:uid="{00000000-0002-0000-4C00-000006000000}">
      <formula1>#REF!</formula1>
    </dataValidation>
    <dataValidation type="list" allowBlank="1" showInputMessage="1" showErrorMessage="1" sqref="K2" xr:uid="{00000000-0002-0000-4C00-000007000000}">
      <formula1>watersource</formula1>
    </dataValidation>
    <dataValidation type="list" allowBlank="1" showInputMessage="1" showErrorMessage="1" sqref="C3" xr:uid="{00000000-0002-0000-4C00-000008000000}">
      <formula1>TillageSystem</formula1>
    </dataValidation>
  </dataValidations>
  <pageMargins left="0.7" right="0.7" top="0.75" bottom="0.75" header="0.3" footer="0.3"/>
  <pageSetup scale="7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7">
    <pageSetUpPr fitToPage="1"/>
  </sheetPr>
  <dimension ref="A2:M257"/>
  <sheetViews>
    <sheetView topLeftCell="A11" zoomScaleNormal="100" workbookViewId="0">
      <selection activeCell="J17" sqref="J1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783</v>
      </c>
      <c r="H2" s="392"/>
      <c r="J2" s="128" t="s">
        <v>649</v>
      </c>
      <c r="K2" s="401" t="s">
        <v>74</v>
      </c>
      <c r="L2" s="401"/>
    </row>
    <row r="3" spans="1:13" hidden="1" x14ac:dyDescent="0.2">
      <c r="B3" s="103" t="s">
        <v>38</v>
      </c>
      <c r="C3" s="391" t="s">
        <v>46</v>
      </c>
      <c r="D3" s="391"/>
      <c r="E3" s="391"/>
      <c r="G3" s="128" t="s">
        <v>650</v>
      </c>
      <c r="H3" s="187" t="s">
        <v>784</v>
      </c>
      <c r="J3" s="128" t="s">
        <v>651</v>
      </c>
      <c r="K3" s="187"/>
    </row>
    <row r="4" spans="1:13" hidden="1" x14ac:dyDescent="0.2">
      <c r="B4" s="103" t="s">
        <v>652</v>
      </c>
      <c r="C4" s="392" t="s">
        <v>785</v>
      </c>
      <c r="D4" s="392"/>
      <c r="E4" s="392"/>
      <c r="G4" s="103">
        <f>IFERROR(VALUE(LEFT($H$3,FIND(" ",$H$3))),"")</f>
        <v>13</v>
      </c>
      <c r="H4" s="103" t="str">
        <f>IFERROR(RIGHT(H3,LEN(H3)-LEN(G4)-1),"")</f>
        <v>cwt</v>
      </c>
      <c r="J4" s="128" t="s">
        <v>653</v>
      </c>
      <c r="K4" s="188"/>
    </row>
    <row r="5" spans="1:13" ht="15.75" hidden="1" customHeight="1" x14ac:dyDescent="0.2">
      <c r="B5" s="103" t="s">
        <v>655</v>
      </c>
      <c r="C5" s="103" t="str">
        <f ca="1">MID(CELL("filename",C5),FIND("]",CELL("filename",C5))+1,255)</f>
        <v>71-Sunflower</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71-Sunflower, Clearfield, Panhandle, No Till, Following Corn or Grain Sorghum, 13 cwt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71-Sunflower, Clearfield, Panhandle, No Till, Following Corn or Grain Sorghum, 13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550</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0.33</v>
      </c>
      <c r="I12" s="109">
        <f>IF(B12=0,0,IF(C12&gt;9999,"",ROUND(VLOOKUP(VLOOKUP(B12,Operations!$A$2:$U$79,11,FALSE),PowerUnits[],16,FALSE)/VLOOKUP(B12,Operations!$A$2:$U$79,9,FALSE)*C12,2)))</f>
        <v>1.31</v>
      </c>
      <c r="J12" s="109">
        <f>IF(B12=0,"",IF(C12&gt;9999,"",ROUND(VLOOKUP($B12,Operations!$A$2:$U$79,21,FALSE)*$C12,2)))</f>
        <v>4.2</v>
      </c>
      <c r="K12" s="109">
        <f>IF(C12&gt;9999,"",ROUND(SUM(E12:J12),2))</f>
        <v>7.15</v>
      </c>
      <c r="L12" s="110"/>
    </row>
    <row r="13" spans="1:13" x14ac:dyDescent="0.2">
      <c r="A13" s="170">
        <v>2</v>
      </c>
      <c r="B13" s="180" t="s">
        <v>551</v>
      </c>
      <c r="C13" s="174">
        <v>0.5</v>
      </c>
      <c r="D13" s="174"/>
      <c r="E13" s="109">
        <f>IF(B13=0,"",IF(C13&gt;9999,"",ROUND('General Variables'!$B$4*VLOOKUP(B13,Operations!$A$2:$U$79,10,FALSE)/VLOOKUP(B13,Operations!$A$2:$U$79,9,FALSE)*C13,2)))</f>
        <v>0.51</v>
      </c>
      <c r="F13" s="109">
        <f>IF(B13=0,0,IF(C13&gt;9999,"",ROUND(IF(VLOOKUP(B13,Operations!$A$2:$U$79,12,FALSE)=0,VLOOKUP(B13,Operations!$A$2:$U$79,13,FALSE)*'General Variables'!$B$8,VLOOKUP(B13,Operations!$A$2:$U$79,12,FALSE)*'General Variables'!$B$7)/VLOOKUP(B13,Operations!$A$2:$U$79,9,FALSE)*C13,2)))</f>
        <v>0.13</v>
      </c>
      <c r="G13" s="109">
        <f>IF(B13=0,0,IF(C13&gt;9999,"",ROUND(VLOOKUP(VLOOKUP(B13,Operations!$A$2:$U$79,11,FALSE),PowerUnits[],10,FALSE)/VLOOKUP(B13,Operations!$A$2:$U$79,9,FALSE)*C13,2)))</f>
        <v>0.01</v>
      </c>
      <c r="H13" s="109">
        <f>IF(B13=0,"",IF(C13&gt;9999,"",ROUND(VLOOKUP($B13,Operations!$A$2:$U$79,15,FALSE)*C13,2)))</f>
        <v>0.55000000000000004</v>
      </c>
      <c r="I13" s="109">
        <f>IF(B13=0,0,IF(C13&gt;9999,"",ROUND(VLOOKUP(VLOOKUP(B13,Operations!$A$2:$U$79,11,FALSE),PowerUnits[],16,FALSE)/VLOOKUP(B13,Operations!$A$2:$U$79,9,FALSE)*C13,2)))</f>
        <v>0.66</v>
      </c>
      <c r="J13" s="109">
        <f>IF(B13=0,"",IF(C13&gt;9999,"",ROUND(VLOOKUP($B13,Operations!$A$2:$U$79,21,FALSE)*$C13,2)))</f>
        <v>1.01</v>
      </c>
      <c r="K13" s="109">
        <f t="shared" ref="K13:K31" si="0">IF(C13&gt;9999,"",ROUND(SUM(E13:J13),2))</f>
        <v>2.87</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v>0.5</v>
      </c>
      <c r="D15" s="214"/>
      <c r="E15" s="215">
        <f>IF(B15=0,"",IF(C15&gt;9999,"",ROUND('General Variables'!$B$4*VLOOKUP(B15,Operations!$A$2:$U$79,10,FALSE)/VLOOKUP(B15,Operations!$A$2:$U$79,9,FALSE)*C15,2)))</f>
        <v>0.51</v>
      </c>
      <c r="F15" s="215">
        <f>IF(B15=0,0,IF(C15&gt;9999,"",ROUND(IF(VLOOKUP(B15,Operations!$A$2:$U$79,12,FALSE)=0,VLOOKUP(B15,Operations!$A$2:$U$79,13,FALSE)*'General Variables'!$B$8,VLOOKUP(B15,Operations!$A$2:$U$79,12,FALSE)*'General Variables'!$B$7)/VLOOKUP(B15,Operations!$A$2:$U$79,9,FALSE)*C15,2)))</f>
        <v>0.13</v>
      </c>
      <c r="G15" s="215">
        <f>IF(B15=0,0,IF(C15&gt;9999,"",ROUND(VLOOKUP(VLOOKUP(B15,Operations!$A$2:$U$79,11,FALSE),PowerUnits[],10,FALSE)/VLOOKUP(B15,Operations!$A$2:$U$79,9,FALSE)*C15,2)))</f>
        <v>0.01</v>
      </c>
      <c r="H15" s="215">
        <f>IF(B15=0,"",IF(C15&gt;9999,"",ROUND(VLOOKUP($B15,Operations!$A$2:$U$79,15,FALSE)*C15,2)))</f>
        <v>0.55000000000000004</v>
      </c>
      <c r="I15" s="215">
        <f>IF(B15=0,0,IF(C15&gt;9999,"",ROUND(VLOOKUP(VLOOKUP(B15,Operations!$A$2:$U$79,11,FALSE),PowerUnits[],16,FALSE)/VLOOKUP(B15,Operations!$A$2:$U$79,9,FALSE)*C15,2)))</f>
        <v>0.66</v>
      </c>
      <c r="J15" s="215">
        <f>IF(B15=0,"",IF(C15&gt;9999,"",ROUND(VLOOKUP($B15,Operations!$A$2:$U$79,21,FALSE)*$C15,2)))</f>
        <v>1.01</v>
      </c>
      <c r="K15" s="215">
        <f t="shared" si="0"/>
        <v>2.87</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t="s">
        <v>905</v>
      </c>
      <c r="B17" s="180" t="s">
        <v>945</v>
      </c>
      <c r="C17" s="295">
        <v>100</v>
      </c>
      <c r="D17" s="174"/>
      <c r="E17" s="109">
        <f>IF(B17=0,"",IF(C17&gt;9999,"",ROUND('General Variables'!$B$4*VLOOKUP(B17,Operations!$A$2:$U$79,10,FALSE)/VLOOKUP(B17,Operations!$A$2:$U$79,9,FALSE)*C17,2))/100)</f>
        <v>2.2846000000000002</v>
      </c>
      <c r="F17" s="109">
        <f>IF(B17=0,0,IF(C17&gt;9999,"",ROUND(IF(VLOOKUP(B17,Operations!$A$2:$U$79,12,FALSE)=0,VLOOKUP(B17,Operations!$A$2:$U$79,13,FALSE)*'General Variables'!$B$8,VLOOKUP(B17,Operations!$A$2:$U$79,12,FALSE)*'General Variables'!$B$7)/VLOOKUP(B17,Operations!$A$2:$U$79,9,FALSE)*C17,2))/100)</f>
        <v>2.5822000000000003</v>
      </c>
      <c r="G17" s="109">
        <f>IF(B17=0,0,IF(C17&gt;9999,"",ROUND(VLOOKUP(VLOOKUP(B17,Operations!$A$2:$U$79,11,FALSE),PowerUnits[],10,FALSE)/VLOOKUP(B17,Operations!$A$2:$U$79,9,FALSE)*C17,2))/100)</f>
        <v>3.9699</v>
      </c>
      <c r="H17" s="109">
        <f>IF(B17=0,"",IF(C17&gt;9999,"",ROUND(VLOOKUP($B17,Operations!$A$2:$U$79,15,FALSE)*C17,2))/100)</f>
        <v>0.41869999999999996</v>
      </c>
      <c r="I17" s="109">
        <f>IF(B17=0,0,IF(C17&gt;9999,"",ROUND(VLOOKUP(VLOOKUP(B17,Operations!$A$2:$U$79,11,FALSE),PowerUnits[],16,FALSE)/VLOOKUP(B17,Operations!$A$2:$U$79,9,FALSE)*C17,2))/80)</f>
        <v>11.9505</v>
      </c>
      <c r="J17" s="109">
        <f>IF(B17=0,"",IF(C17&gt;9999,"",ROUND(VLOOKUP($B17,Operations!$A$2:$U$79,21,FALSE)*$C17,2))/80)</f>
        <v>6.1516250000000001</v>
      </c>
      <c r="K17" s="109">
        <f>IF(C17&gt;9999,"",ROUND(SUM(E17:J17),2))</f>
        <v>27.36</v>
      </c>
      <c r="L17" s="110"/>
    </row>
    <row r="18" spans="1:12" x14ac:dyDescent="0.2">
      <c r="A18" s="170">
        <v>7</v>
      </c>
      <c r="B18" s="180" t="s">
        <v>565</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7.5646000000000004</v>
      </c>
      <c r="F33" s="109">
        <f t="shared" ref="F33:K33" si="1">SUM(F12:F31)</f>
        <v>4.1821999999999999</v>
      </c>
      <c r="G33" s="109">
        <f t="shared" si="1"/>
        <v>4.0998999999999999</v>
      </c>
      <c r="H33" s="109">
        <f t="shared" si="1"/>
        <v>8.8186999999999998</v>
      </c>
      <c r="I33" s="109">
        <f t="shared" si="1"/>
        <v>18.910499999999999</v>
      </c>
      <c r="J33" s="109">
        <f t="shared" si="1"/>
        <v>18.981625000000001</v>
      </c>
      <c r="K33" s="109">
        <f t="shared" si="1"/>
        <v>62.559999999999995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170</v>
      </c>
      <c r="C38" s="388" t="str">
        <f>IF(B38=0,"",VLOOKUP($B38,Table2[],2,FALSE))</f>
        <v>Additive</v>
      </c>
      <c r="D38" s="388"/>
      <c r="E38" s="388"/>
      <c r="F38" s="174">
        <v>1</v>
      </c>
      <c r="G38" s="175">
        <v>1</v>
      </c>
      <c r="H38" s="176">
        <v>1.7</v>
      </c>
      <c r="I38" s="120" t="str">
        <f>IF($B38=0,"",VLOOKUP($B38,Table2[],5,FALSE))</f>
        <v>pound</v>
      </c>
      <c r="J38" s="109">
        <f>IF($B38=0,"",VLOOKUP($B38,Table2[],7,FALSE))</f>
        <v>0.4</v>
      </c>
      <c r="K38" s="109">
        <f t="shared" ref="K38:K55" si="2">IF(B38=0,0,ROUND(G38*H38*J38,2))</f>
        <v>0.68</v>
      </c>
      <c r="L38" s="110"/>
    </row>
    <row r="39" spans="1:12" x14ac:dyDescent="0.2">
      <c r="A39" s="105"/>
      <c r="B39" s="182" t="s">
        <v>266</v>
      </c>
      <c r="C39" s="388" t="str">
        <f>IF(B39=0,"",VLOOKUP($B39,Table2[],2,FALSE))</f>
        <v>Herbicide</v>
      </c>
      <c r="D39" s="388"/>
      <c r="E39" s="388"/>
      <c r="F39" s="174">
        <v>1</v>
      </c>
      <c r="G39" s="175">
        <v>1</v>
      </c>
      <c r="H39" s="176">
        <v>2</v>
      </c>
      <c r="I39" s="120" t="str">
        <f>IF($B39=0,"",VLOOKUP($B39,Table2[],5,FALSE))</f>
        <v>pint</v>
      </c>
      <c r="J39" s="109">
        <f>IF($B39=0,"",VLOOKUP($B39,Table2[],7,FALSE))</f>
        <v>7.5</v>
      </c>
      <c r="K39" s="109">
        <f t="shared" si="2"/>
        <v>15</v>
      </c>
      <c r="L39" s="110"/>
    </row>
    <row r="40" spans="1:12" x14ac:dyDescent="0.2">
      <c r="A40" s="105"/>
      <c r="B40" s="213" t="s">
        <v>205</v>
      </c>
      <c r="C40" s="387" t="str">
        <f>IF(B40=0,"",VLOOKUP($B40,Table2[],2,FALSE))</f>
        <v>Fertilizer</v>
      </c>
      <c r="D40" s="387"/>
      <c r="E40" s="387"/>
      <c r="F40" s="214">
        <v>1</v>
      </c>
      <c r="G40" s="221">
        <v>1</v>
      </c>
      <c r="H40" s="222">
        <v>50</v>
      </c>
      <c r="I40" s="223" t="str">
        <f>IF($B40=0,"",VLOOKUP($B40,Table2[],5,FALSE))</f>
        <v>lbs N</v>
      </c>
      <c r="J40" s="215">
        <f>IF($B40=0,"",VLOOKUP($B40,Table2[],7,FALSE))</f>
        <v>0.5</v>
      </c>
      <c r="K40" s="215">
        <f t="shared" si="2"/>
        <v>25</v>
      </c>
      <c r="L40" s="216"/>
    </row>
    <row r="41" spans="1:12" x14ac:dyDescent="0.2">
      <c r="A41" s="105"/>
      <c r="B41" s="180" t="s">
        <v>275</v>
      </c>
      <c r="C41" s="388" t="str">
        <f>IF(B41=0,"",VLOOKUP($B41,Table2[],2,FALSE))</f>
        <v>Herbicide</v>
      </c>
      <c r="D41" s="388"/>
      <c r="E41" s="388"/>
      <c r="F41" s="174">
        <v>1</v>
      </c>
      <c r="G41" s="175">
        <v>1</v>
      </c>
      <c r="H41" s="176">
        <v>5</v>
      </c>
      <c r="I41" s="120" t="str">
        <f>IF($B41=0,"",VLOOKUP($B41,Table2[],5,FALSE))</f>
        <v>ounce</v>
      </c>
      <c r="J41" s="109">
        <f>IF($B41=0,"",VLOOKUP($B41,Table2[],7,FALSE))</f>
        <v>1.09375</v>
      </c>
      <c r="K41" s="109">
        <f t="shared" si="2"/>
        <v>5.47</v>
      </c>
      <c r="L41" s="110"/>
    </row>
    <row r="42" spans="1:12" x14ac:dyDescent="0.2">
      <c r="A42" s="105"/>
      <c r="B42" s="180" t="s">
        <v>259</v>
      </c>
      <c r="C42" s="388" t="str">
        <f>IF(B42=0,"",VLOOKUP($B42,Table2[],2,FALSE))</f>
        <v>Herbicide</v>
      </c>
      <c r="D42" s="388"/>
      <c r="E42" s="388"/>
      <c r="F42" s="174">
        <v>2</v>
      </c>
      <c r="G42" s="175">
        <v>0.5</v>
      </c>
      <c r="H42" s="176">
        <v>32</v>
      </c>
      <c r="I42" s="120" t="str">
        <f>IF($B42=0,"",VLOOKUP($B42,Table2[],5,FALSE))</f>
        <v>ounce</v>
      </c>
      <c r="J42" s="109">
        <f>IF($B42=0,"",VLOOKUP($B42,Table2[],7,FALSE))</f>
        <v>0.1328125</v>
      </c>
      <c r="K42" s="109">
        <f t="shared" si="2"/>
        <v>2.13</v>
      </c>
      <c r="L42" s="110"/>
    </row>
    <row r="43" spans="1:12" x14ac:dyDescent="0.2">
      <c r="A43" s="105"/>
      <c r="B43" s="180" t="s">
        <v>170</v>
      </c>
      <c r="C43" s="388" t="str">
        <f>IF(B43=0,"",VLOOKUP($B43,Table2[],2,FALSE))</f>
        <v>Additive</v>
      </c>
      <c r="D43" s="388"/>
      <c r="E43" s="388"/>
      <c r="F43" s="174">
        <v>2</v>
      </c>
      <c r="G43" s="175">
        <v>0.5</v>
      </c>
      <c r="H43" s="176">
        <v>1.7</v>
      </c>
      <c r="I43" s="120" t="str">
        <f>IF($B43=0,"",VLOOKUP($B43,Table2[],5,FALSE))</f>
        <v>pound</v>
      </c>
      <c r="J43" s="109">
        <f>IF($B43=0,"",VLOOKUP($B43,Table2[],7,FALSE))</f>
        <v>0.4</v>
      </c>
      <c r="K43" s="109">
        <f t="shared" si="2"/>
        <v>0.34</v>
      </c>
      <c r="L43" s="110"/>
    </row>
    <row r="44" spans="1:12" x14ac:dyDescent="0.2">
      <c r="A44" s="105"/>
      <c r="B44" s="226" t="s">
        <v>266</v>
      </c>
      <c r="C44" s="387" t="str">
        <f>IF(B44=0,"",VLOOKUP($B44,Table2[],2,FALSE))</f>
        <v>Herbicide</v>
      </c>
      <c r="D44" s="387"/>
      <c r="E44" s="387"/>
      <c r="F44" s="214">
        <v>2</v>
      </c>
      <c r="G44" s="221">
        <v>0.5</v>
      </c>
      <c r="H44" s="222">
        <v>1</v>
      </c>
      <c r="I44" s="223" t="str">
        <f>IF($B44=0,"",VLOOKUP($B44,Table2[],5,FALSE))</f>
        <v>pint</v>
      </c>
      <c r="J44" s="215">
        <f>IF($B44=0,"",VLOOKUP($B44,Table2[],7,FALSE))</f>
        <v>7.5</v>
      </c>
      <c r="K44" s="215">
        <f t="shared" si="2"/>
        <v>3.75</v>
      </c>
      <c r="L44" s="216"/>
    </row>
    <row r="45" spans="1:12" x14ac:dyDescent="0.2">
      <c r="A45" s="105"/>
      <c r="B45" s="180" t="s">
        <v>349</v>
      </c>
      <c r="C45" s="388" t="str">
        <f>IF(B45=0,"",VLOOKUP($B45,Table2[],2,FALSE))</f>
        <v>Seed</v>
      </c>
      <c r="D45" s="388"/>
      <c r="E45" s="388"/>
      <c r="F45" s="174">
        <v>3</v>
      </c>
      <c r="G45" s="175">
        <v>1</v>
      </c>
      <c r="H45" s="176">
        <v>20</v>
      </c>
      <c r="I45" s="120" t="str">
        <f>IF($B45=0,"",VLOOKUP($B45,Table2[],5,FALSE))</f>
        <v>k seed</v>
      </c>
      <c r="J45" s="109">
        <f>IF($B45=0,"",VLOOKUP($B45,Table2[],7,FALSE))</f>
        <v>2.1</v>
      </c>
      <c r="K45" s="109">
        <f t="shared" si="2"/>
        <v>42</v>
      </c>
      <c r="L45" s="110"/>
    </row>
    <row r="46" spans="1:12" x14ac:dyDescent="0.2">
      <c r="A46" s="143"/>
      <c r="B46" s="180" t="s">
        <v>243</v>
      </c>
      <c r="C46" s="388" t="str">
        <f>IF(B46=0,"",VLOOKUP($B46,Table2[],2,FALSE))</f>
        <v>Herbicide</v>
      </c>
      <c r="D46" s="388"/>
      <c r="E46" s="388"/>
      <c r="F46" s="174">
        <v>4</v>
      </c>
      <c r="G46" s="175">
        <v>0.5</v>
      </c>
      <c r="H46" s="176">
        <v>4</v>
      </c>
      <c r="I46" s="120" t="str">
        <f>IF($B46=0,"",VLOOKUP($B46,Table2[],5,FALSE))</f>
        <v>ounce</v>
      </c>
      <c r="J46" s="109">
        <f>IF($B46=0,"",VLOOKUP($B46,Table2[],7,FALSE))</f>
        <v>3.671875</v>
      </c>
      <c r="K46" s="109">
        <f t="shared" si="2"/>
        <v>7.34</v>
      </c>
      <c r="L46" s="110"/>
    </row>
    <row r="47" spans="1:12" x14ac:dyDescent="0.2">
      <c r="A47" s="143"/>
      <c r="B47" s="180" t="s">
        <v>181</v>
      </c>
      <c r="C47" s="388" t="str">
        <f>IF(B47=0,"",VLOOKUP($B47,Table2[],2,FALSE))</f>
        <v>Additive</v>
      </c>
      <c r="D47" s="388"/>
      <c r="E47" s="388"/>
      <c r="F47" s="174">
        <v>4</v>
      </c>
      <c r="G47" s="175">
        <v>0.5</v>
      </c>
      <c r="H47" s="176">
        <v>5</v>
      </c>
      <c r="I47" s="120" t="str">
        <f>IF($B47=0,"",VLOOKUP($B47,Table2[],5,FALSE))</f>
        <v>ounce</v>
      </c>
      <c r="J47" s="109">
        <f>IF($B47=0,"",VLOOKUP($B47,Table2[],7,FALSE))</f>
        <v>0.203125</v>
      </c>
      <c r="K47" s="109">
        <f t="shared" si="2"/>
        <v>0.51</v>
      </c>
      <c r="L47" s="110"/>
    </row>
    <row r="48" spans="1:12" x14ac:dyDescent="0.2">
      <c r="A48" s="105"/>
      <c r="B48" s="213" t="s">
        <v>182</v>
      </c>
      <c r="C48" s="387" t="str">
        <f>IF(B48=0,"",VLOOKUP($B48,Table2[],2,FALSE))</f>
        <v>Additive</v>
      </c>
      <c r="D48" s="387"/>
      <c r="E48" s="387"/>
      <c r="F48" s="214">
        <v>4</v>
      </c>
      <c r="G48" s="221">
        <v>0.5</v>
      </c>
      <c r="H48" s="222">
        <v>3</v>
      </c>
      <c r="I48" s="223" t="str">
        <f>IF($B48=0,"",VLOOKUP($B48,Table2[],5,FALSE))</f>
        <v>pint</v>
      </c>
      <c r="J48" s="215">
        <f>IF($B48=0,"",VLOOKUP($B48,Table2[],7,FALSE))</f>
        <v>0.22500000000000001</v>
      </c>
      <c r="K48" s="215">
        <f t="shared" si="2"/>
        <v>0.34</v>
      </c>
      <c r="L48" s="216"/>
    </row>
    <row r="49" spans="1:12" x14ac:dyDescent="0.2">
      <c r="A49" s="143"/>
      <c r="B49" s="180" t="s">
        <v>183</v>
      </c>
      <c r="C49" s="388" t="str">
        <f>IF(B49=0,"",VLOOKUP($B49,Table2[],2,FALSE))</f>
        <v>Custom</v>
      </c>
      <c r="D49" s="388"/>
      <c r="E49" s="388"/>
      <c r="F49" s="174">
        <v>5</v>
      </c>
      <c r="G49" s="175">
        <v>0.3</v>
      </c>
      <c r="H49" s="176">
        <v>1</v>
      </c>
      <c r="I49" s="120" t="str">
        <f>IF($B49=0,"",VLOOKUP($B49,Table2[],5,FALSE))</f>
        <v>acre</v>
      </c>
      <c r="J49" s="109">
        <f>IF($B49=0,"",VLOOKUP($B49,Table2[],7,FALSE))</f>
        <v>11</v>
      </c>
      <c r="K49" s="109">
        <f t="shared" si="2"/>
        <v>3.3</v>
      </c>
      <c r="L49" s="110"/>
    </row>
    <row r="50" spans="1:12" x14ac:dyDescent="0.2">
      <c r="A50" s="143" t="s">
        <v>750</v>
      </c>
      <c r="B50" s="180" t="s">
        <v>290</v>
      </c>
      <c r="C50" s="388" t="str">
        <f>IF(B50=0,"",VLOOKUP($B50,Table2[],2,FALSE))</f>
        <v>Insecticide</v>
      </c>
      <c r="D50" s="388"/>
      <c r="E50" s="388"/>
      <c r="F50" s="174">
        <v>5</v>
      </c>
      <c r="G50" s="175">
        <v>0.3</v>
      </c>
      <c r="H50" s="176">
        <v>1.92</v>
      </c>
      <c r="I50" s="120" t="str">
        <f>IF($B50=0,"",VLOOKUP($B50,Table2[],5,FALSE))</f>
        <v>ounce</v>
      </c>
      <c r="J50" s="109">
        <f>IF($B50=0,"",VLOOKUP($B50,Table2[],7,FALSE))</f>
        <v>3.203125</v>
      </c>
      <c r="K50" s="109">
        <f t="shared" si="2"/>
        <v>1.85</v>
      </c>
      <c r="L50" s="110"/>
    </row>
    <row r="51" spans="1:12" x14ac:dyDescent="0.2">
      <c r="A51" s="105"/>
      <c r="B51" s="180" t="s">
        <v>197</v>
      </c>
      <c r="C51" s="388" t="str">
        <f>IF(B51=0,"",VLOOKUP($B51,Table2[],2,FALSE))</f>
        <v>Custom</v>
      </c>
      <c r="D51" s="388"/>
      <c r="E51" s="388"/>
      <c r="F51" s="174">
        <v>7</v>
      </c>
      <c r="G51" s="175">
        <v>1</v>
      </c>
      <c r="H51" s="176">
        <f>$G$4</f>
        <v>13</v>
      </c>
      <c r="I51" s="120" t="str">
        <f>IF($B51=0,"",VLOOKUP($B51,Table2[],5,FALSE))</f>
        <v>cwt</v>
      </c>
      <c r="J51" s="109">
        <f>IF($B51=0,"",VLOOKUP($B51,Table2[],7,FALSE))</f>
        <v>0.3</v>
      </c>
      <c r="K51" s="109">
        <f t="shared" si="2"/>
        <v>3.9</v>
      </c>
      <c r="L51" s="110"/>
    </row>
    <row r="52" spans="1:12" hidden="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idden="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idden="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idden="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idden="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idden="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idden="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idden="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idden="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260" t="s">
        <v>430</v>
      </c>
      <c r="C61" s="387" t="s">
        <v>655</v>
      </c>
      <c r="D61" s="387"/>
      <c r="E61" s="387"/>
      <c r="F61" s="218"/>
      <c r="G61" s="224"/>
      <c r="H61" s="225"/>
      <c r="I61" s="247"/>
      <c r="J61" s="215">
        <f ca="1">IF(F5=0,E5,F5)</f>
        <v>10</v>
      </c>
      <c r="K61" s="215">
        <f ca="1">IF(B61=0,0,J61)</f>
        <v>10</v>
      </c>
      <c r="L61" s="227"/>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125.86000000000001</v>
      </c>
      <c r="L63" s="110"/>
    </row>
    <row r="64" spans="1:12" x14ac:dyDescent="0.2">
      <c r="B64" s="358" t="s">
        <v>909</v>
      </c>
      <c r="C64" s="358"/>
      <c r="D64" s="358"/>
      <c r="E64" s="358"/>
      <c r="F64" s="352" t="s">
        <v>916</v>
      </c>
      <c r="G64" s="358"/>
      <c r="H64" s="358"/>
      <c r="I64" s="358"/>
      <c r="K64" s="127"/>
    </row>
    <row r="65" spans="2:12" x14ac:dyDescent="0.2">
      <c r="B65" s="358"/>
      <c r="C65" s="358"/>
      <c r="D65" s="358"/>
      <c r="E65" s="358"/>
      <c r="F65" s="352"/>
      <c r="G65" s="358"/>
      <c r="H65" s="358"/>
      <c r="I65" s="358"/>
      <c r="K65" s="127"/>
    </row>
    <row r="66" spans="2:12" x14ac:dyDescent="0.2">
      <c r="B66" s="107" t="s">
        <v>672</v>
      </c>
      <c r="K66" s="127">
        <f ca="1">K33+K63</f>
        <v>188.42000000000002</v>
      </c>
      <c r="L66" s="110"/>
    </row>
    <row r="67" spans="2:12" ht="13.5" thickBot="1" x14ac:dyDescent="0.25">
      <c r="D67" s="128" t="s">
        <v>673</v>
      </c>
      <c r="E67" s="129">
        <f ca="1">ROUND(SUM($E$33:$H$33)+$K$63,2)</f>
        <v>150.53</v>
      </c>
      <c r="F67" s="388" t="s">
        <v>674</v>
      </c>
      <c r="G67" s="388"/>
      <c r="H67" s="130">
        <f>'General Variables'!$B$11</f>
        <v>7.4999999999999997E-2</v>
      </c>
      <c r="I67" s="131" t="str">
        <f>CONCATENATE("for ",TEXT('General Variables'!$B$12,"0.0")," mo.")</f>
        <v>for 6.0 mo.</v>
      </c>
      <c r="K67" s="132">
        <f ca="1">E67*H67*'General Variables'!$B$12/12</f>
        <v>5.6448749999999999</v>
      </c>
      <c r="L67" s="133"/>
    </row>
    <row r="68" spans="2:12" ht="13.5" thickTop="1" x14ac:dyDescent="0.2">
      <c r="B68" s="107" t="s">
        <v>675</v>
      </c>
      <c r="K68" s="127">
        <f ca="1">SUM(K66:K67)</f>
        <v>194.06487500000003</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32</v>
      </c>
      <c r="D71" s="399"/>
      <c r="E71" s="400"/>
      <c r="F71" s="136">
        <f>IF(C71=0,0,VLOOKUP(C71,RETable,2,FALSE))</f>
        <v>920</v>
      </c>
      <c r="G71" s="388" t="s">
        <v>678</v>
      </c>
      <c r="H71" s="388"/>
      <c r="I71" s="130">
        <f>'General Variables'!$B$10</f>
        <v>0.03</v>
      </c>
      <c r="K71" s="137">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0">
        <f>ROUND(F72*I72,2)</f>
        <v>11.96</v>
      </c>
      <c r="L72" s="133"/>
    </row>
    <row r="73" spans="2:12" ht="13.5" thickTop="1" x14ac:dyDescent="0.2">
      <c r="B73" s="107" t="s">
        <v>680</v>
      </c>
      <c r="K73" s="127">
        <f ca="1">SUM(K68:K72)</f>
        <v>260.62487500000003</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15.010375000000002</v>
      </c>
      <c r="L75" s="148"/>
    </row>
    <row r="76" spans="2:12" x14ac:dyDescent="0.2">
      <c r="B76" s="107" t="str">
        <f>IF(G4="","","Cost of production per "&amp;H4)</f>
        <v>Cost of production per cwt</v>
      </c>
      <c r="K76" s="141">
        <f ca="1">IF(G4="","",K73/G4)</f>
        <v>20.04806730769231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4D00-000000000000}">
      <formula1>$B$112:$B$209</formula1>
    </dataValidation>
    <dataValidation type="list" allowBlank="1" showInputMessage="1" showErrorMessage="1" sqref="B62" xr:uid="{00000000-0002-0000-4D00-000001000000}">
      <formula1>$C$112:$C$230</formula1>
    </dataValidation>
    <dataValidation type="list" allowBlank="1" showInputMessage="1" showErrorMessage="1" sqref="K4" xr:uid="{00000000-0002-0000-4D00-000002000000}">
      <formula1>$K$112:$K$114</formula1>
    </dataValidation>
    <dataValidation type="list" allowBlank="1" showInputMessage="1" showErrorMessage="1" sqref="B37:B60" xr:uid="{00000000-0002-0000-4D00-000003000000}">
      <formula1>MaterialList</formula1>
    </dataValidation>
    <dataValidation type="list" allowBlank="1" showInputMessage="1" showErrorMessage="1" sqref="C71:E71" xr:uid="{00000000-0002-0000-4D00-000004000000}">
      <formula1>RealEstateList</formula1>
    </dataValidation>
    <dataValidation type="list" allowBlank="1" showInputMessage="1" showErrorMessage="1" sqref="B12:B31" xr:uid="{00000000-0002-0000-4D00-000005000000}">
      <formula1>OperationList</formula1>
    </dataValidation>
    <dataValidation type="list" allowBlank="1" showInputMessage="1" showErrorMessage="1" sqref="D12:D32" xr:uid="{00000000-0002-0000-4D00-000006000000}">
      <formula1>#REF!</formula1>
    </dataValidation>
    <dataValidation type="list" allowBlank="1" showInputMessage="1" showErrorMessage="1" sqref="K2" xr:uid="{00000000-0002-0000-4D00-000007000000}">
      <formula1>watersource</formula1>
    </dataValidation>
    <dataValidation type="list" allowBlank="1" showInputMessage="1" showErrorMessage="1" sqref="C3" xr:uid="{00000000-0002-0000-4D00-000008000000}">
      <formula1>TillageSystem</formula1>
    </dataValidation>
  </dataValidations>
  <pageMargins left="0.7" right="0.7" top="0.75" bottom="0.75" header="0.3" footer="0.3"/>
  <pageSetup scale="7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8">
    <pageSetUpPr fitToPage="1"/>
  </sheetPr>
  <dimension ref="A2:M257"/>
  <sheetViews>
    <sheetView topLeftCell="A7" zoomScaleNormal="100" workbookViewId="0">
      <selection activeCell="J20" sqref="J20"/>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783</v>
      </c>
      <c r="H2" s="392"/>
      <c r="J2" s="128" t="s">
        <v>649</v>
      </c>
      <c r="K2" s="401" t="s">
        <v>74</v>
      </c>
      <c r="L2" s="401"/>
    </row>
    <row r="3" spans="1:13" hidden="1" x14ac:dyDescent="0.2">
      <c r="B3" s="103" t="s">
        <v>38</v>
      </c>
      <c r="C3" s="391" t="s">
        <v>57</v>
      </c>
      <c r="D3" s="391"/>
      <c r="E3" s="391"/>
      <c r="G3" s="128" t="s">
        <v>650</v>
      </c>
      <c r="H3" s="187" t="s">
        <v>786</v>
      </c>
      <c r="J3" s="128" t="s">
        <v>651</v>
      </c>
      <c r="K3" s="187"/>
    </row>
    <row r="4" spans="1:13" hidden="1" x14ac:dyDescent="0.2">
      <c r="B4" s="103" t="s">
        <v>652</v>
      </c>
      <c r="C4" s="392" t="s">
        <v>753</v>
      </c>
      <c r="D4" s="392"/>
      <c r="E4" s="392"/>
      <c r="G4" s="103">
        <f>IFERROR(VALUE(LEFT($H$3,FIND(" ",$H$3))),"")</f>
        <v>16</v>
      </c>
      <c r="H4" s="103" t="str">
        <f>IFERROR(RIGHT(H3,LEN(H3)-LEN(G4)-1),"")</f>
        <v>cwt</v>
      </c>
      <c r="J4" s="128" t="s">
        <v>653</v>
      </c>
      <c r="K4" s="188"/>
    </row>
    <row r="5" spans="1:13" ht="15.75" hidden="1" customHeight="1" x14ac:dyDescent="0.2">
      <c r="B5" s="103" t="s">
        <v>655</v>
      </c>
      <c r="C5" s="103" t="str">
        <f ca="1">MID(CELL("filename",C5),FIND("]",CELL("filename",C5))+1,255)</f>
        <v>72-Sunflower</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72-Sunflower, Clearfield, Panhandle, Ecofallow, after Wheat, Two Crops in Three Years, 16 cwt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72-Sunflower, Clearfield, Panhandle, Ecofallow, after Wheat, Two Crops in Three Years, 16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546</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550</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0.33</v>
      </c>
      <c r="I14" s="109">
        <f>IF(B14=0,0,IF(C14&gt;9999,"",ROUND(VLOOKUP(VLOOKUP(B14,Operations!$A$2:$U$79,11,FALSE),PowerUnits[],16,FALSE)/VLOOKUP(B14,Operations!$A$2:$U$79,9,FALSE)*C14,2)))</f>
        <v>1.31</v>
      </c>
      <c r="J14" s="109">
        <f>IF(B14=0,"",IF(C14&gt;9999,"",ROUND(VLOOKUP($B14,Operations!$A$2:$U$79,21,FALSE)*$C14,2)))</f>
        <v>4.2</v>
      </c>
      <c r="K14" s="109">
        <f t="shared" si="0"/>
        <v>7.15</v>
      </c>
      <c r="L14" s="110"/>
    </row>
    <row r="15" spans="1:13" x14ac:dyDescent="0.2">
      <c r="A15" s="170">
        <v>4</v>
      </c>
      <c r="B15" s="213" t="s">
        <v>551</v>
      </c>
      <c r="C15" s="214">
        <v>0.5</v>
      </c>
      <c r="D15" s="214"/>
      <c r="E15" s="215">
        <f>IF(B15=0,"",IF(C15&gt;9999,"",ROUND('General Variables'!$B$4*VLOOKUP(B15,Operations!$A$2:$U$79,10,FALSE)/VLOOKUP(B15,Operations!$A$2:$U$79,9,FALSE)*C15,2)))</f>
        <v>0.51</v>
      </c>
      <c r="F15" s="215">
        <f>IF(B15=0,0,IF(C15&gt;9999,"",ROUND(IF(VLOOKUP(B15,Operations!$A$2:$U$79,12,FALSE)=0,VLOOKUP(B15,Operations!$A$2:$U$79,13,FALSE)*'General Variables'!$B$8,VLOOKUP(B15,Operations!$A$2:$U$79,12,FALSE)*'General Variables'!$B$7)/VLOOKUP(B15,Operations!$A$2:$U$79,9,FALSE)*C15,2)))</f>
        <v>0.13</v>
      </c>
      <c r="G15" s="215">
        <f>IF(B15=0,0,IF(C15&gt;9999,"",ROUND(VLOOKUP(VLOOKUP(B15,Operations!$A$2:$U$79,11,FALSE),PowerUnits[],10,FALSE)/VLOOKUP(B15,Operations!$A$2:$U$79,9,FALSE)*C15,2)))</f>
        <v>0.01</v>
      </c>
      <c r="H15" s="215">
        <f>IF(B15=0,"",IF(C15&gt;9999,"",ROUND(VLOOKUP($B15,Operations!$A$2:$U$79,15,FALSE)*C15,2)))</f>
        <v>0.55000000000000004</v>
      </c>
      <c r="I15" s="215">
        <f>IF(B15=0,0,IF(C15&gt;9999,"",ROUND(VLOOKUP(VLOOKUP(B15,Operations!$A$2:$U$79,11,FALSE),PowerUnits[],16,FALSE)/VLOOKUP(B15,Operations!$A$2:$U$79,9,FALSE)*C15,2)))</f>
        <v>0.66</v>
      </c>
      <c r="J15" s="215">
        <f>IF(B15=0,"",IF(C15&gt;9999,"",ROUND(VLOOKUP($B15,Operations!$A$2:$U$79,21,FALSE)*$C15,2)))</f>
        <v>1.01</v>
      </c>
      <c r="K15" s="215">
        <f t="shared" si="0"/>
        <v>2.87</v>
      </c>
      <c r="L15" s="216"/>
    </row>
    <row r="16" spans="1:13" x14ac:dyDescent="0.2">
      <c r="A16" s="170">
        <v>5</v>
      </c>
      <c r="B16" s="180" t="s">
        <v>526</v>
      </c>
      <c r="C16" s="174">
        <v>1</v>
      </c>
      <c r="D16" s="174"/>
      <c r="E16" s="109">
        <f>IF(B16=0,"",IF(C16&gt;9999,"",ROUND('General Variables'!$B$4*VLOOKUP(B16,Operations!$A$2:$U$79,10,FALSE)/VLOOKUP(B16,Operations!$A$2:$U$79,9,FALSE)*C16,2)))</f>
        <v>3.24</v>
      </c>
      <c r="F16" s="109">
        <f>IF(B16=0,0,IF(C16&gt;9999,"",ROUND(IF(VLOOKUP(B16,Operations!$A$2:$U$79,12,FALSE)=0,VLOOKUP(B16,Operations!$A$2:$U$79,13,FALSE)*'General Variables'!$B$8,VLOOKUP(B16,Operations!$A$2:$U$79,12,FALSE)*'General Variables'!$B$7)/VLOOKUP(B16,Operations!$A$2:$U$79,9,FALSE)*C16,2)))</f>
        <v>0.87</v>
      </c>
      <c r="G16" s="109">
        <f>IF(B16=0,0,IF(C16&gt;9999,"",ROUND(VLOOKUP(VLOOKUP(B16,Operations!$A$2:$U$79,11,FALSE),PowerUnits[],10,FALSE)/VLOOKUP(B16,Operations!$A$2:$U$79,9,FALSE)*C16,2)))</f>
        <v>0.08</v>
      </c>
      <c r="H16" s="109">
        <f>IF(B16=0,"",IF(C16&gt;9999,"",ROUND(VLOOKUP($B16,Operations!$A$2:$U$79,15,FALSE)*C16,2)))</f>
        <v>6.97</v>
      </c>
      <c r="I16" s="109">
        <f>IF(B16=0,0,IF(C16&gt;9999,"",ROUND(VLOOKUP(VLOOKUP(B16,Operations!$A$2:$U$79,11,FALSE),PowerUnits[],16,FALSE)/VLOOKUP(B16,Operations!$A$2:$U$79,9,FALSE)*C16,2)))</f>
        <v>4.33</v>
      </c>
      <c r="J16" s="109">
        <f>IF(B16=0,"",IF(C16&gt;9999,"",ROUND(VLOOKUP($B16,Operations!$A$2:$U$79,21,FALSE)*$C16,2)))</f>
        <v>6.61</v>
      </c>
      <c r="K16" s="109">
        <f t="shared" si="0"/>
        <v>22.1</v>
      </c>
      <c r="L16" s="110"/>
    </row>
    <row r="17" spans="1:12" x14ac:dyDescent="0.2">
      <c r="A17" s="170">
        <v>6</v>
      </c>
      <c r="B17" s="180" t="s">
        <v>551</v>
      </c>
      <c r="C17" s="174">
        <v>1</v>
      </c>
      <c r="D17" s="174"/>
      <c r="E17" s="109">
        <f>IF(B17=0,"",IF(C17&gt;9999,"",ROUND('General Variables'!$B$4*VLOOKUP(B17,Operations!$A$2:$U$79,10,FALSE)/VLOOKUP(B17,Operations!$A$2:$U$79,9,FALSE)*C17,2)))</f>
        <v>1.02</v>
      </c>
      <c r="F17" s="109">
        <f>IF(B17=0,0,IF(C17&gt;9999,"",ROUND(IF(VLOOKUP(B17,Operations!$A$2:$U$79,12,FALSE)=0,VLOOKUP(B17,Operations!$A$2:$U$79,13,FALSE)*'General Variables'!$B$8,VLOOKUP(B17,Operations!$A$2:$U$79,12,FALSE)*'General Variables'!$B$7)/VLOOKUP(B17,Operations!$A$2:$U$79,9,FALSE)*C17,2)))</f>
        <v>0.26</v>
      </c>
      <c r="G17" s="109">
        <f>IF(B17=0,0,IF(C17&gt;9999,"",ROUND(VLOOKUP(VLOOKUP(B17,Operations!$A$2:$U$79,11,FALSE),PowerUnits[],10,FALSE)/VLOOKUP(B17,Operations!$A$2:$U$79,9,FALSE)*C17,2)))</f>
        <v>0.03</v>
      </c>
      <c r="H17" s="109">
        <f>IF(B17=0,"",IF(C17&gt;9999,"",ROUND(VLOOKUP($B17,Operations!$A$2:$U$79,15,FALSE)*C17,2)))</f>
        <v>1.1100000000000001</v>
      </c>
      <c r="I17" s="109">
        <f>IF(B17=0,0,IF(C17&gt;9999,"",ROUND(VLOOKUP(VLOOKUP(B17,Operations!$A$2:$U$79,11,FALSE),PowerUnits[],16,FALSE)/VLOOKUP(B17,Operations!$A$2:$U$79,9,FALSE)*C17,2)))</f>
        <v>1.31</v>
      </c>
      <c r="J17" s="109">
        <f>IF(B17=0,"",IF(C17&gt;9999,"",ROUND(VLOOKUP($B17,Operations!$A$2:$U$79,21,FALSE)*$C17,2)))</f>
        <v>2.02</v>
      </c>
      <c r="K17" s="109">
        <f t="shared" si="0"/>
        <v>5.75</v>
      </c>
      <c r="L17" s="110"/>
    </row>
    <row r="18" spans="1:12" x14ac:dyDescent="0.2">
      <c r="A18" s="170">
        <v>7</v>
      </c>
      <c r="B18" s="180" t="s">
        <v>183</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x14ac:dyDescent="0.2">
      <c r="A19" s="170" t="s">
        <v>908</v>
      </c>
      <c r="B19" s="213" t="s">
        <v>945</v>
      </c>
      <c r="C19" s="295">
        <v>110</v>
      </c>
      <c r="D19" s="214"/>
      <c r="E19" s="215">
        <f>IF(B19=0,"",IF(C19&gt;9999,"",ROUND('General Variables'!$B$4*VLOOKUP(B19,Operations!$A$2:$U$79,10,FALSE)/VLOOKUP(B19,Operations!$A$2:$U$79,9,FALSE)*C19,2))/100)</f>
        <v>2.5131000000000001</v>
      </c>
      <c r="F19" s="215">
        <f>IF(B19=0,0,IF(C19&gt;9999,"",ROUND(IF(VLOOKUP(B19,Operations!$A$2:$U$79,12,FALSE)=0,VLOOKUP(B19,Operations!$A$2:$U$79,13,FALSE)*'General Variables'!$B$8,VLOOKUP(B19,Operations!$A$2:$U$79,12,FALSE)*'General Variables'!$B$7)/VLOOKUP(B19,Operations!$A$2:$U$79,9,FALSE)*C19,2))/100)</f>
        <v>2.8404000000000003</v>
      </c>
      <c r="G19" s="215">
        <f>IF(B19=0,0,IF(C19&gt;9999,"",ROUND(VLOOKUP(VLOOKUP(B19,Operations!$A$2:$U$79,11,FALSE),PowerUnits[],10,FALSE)/VLOOKUP(B19,Operations!$A$2:$U$79,9,FALSE)*C19,2))/100)</f>
        <v>4.3668000000000005</v>
      </c>
      <c r="H19" s="215">
        <f>IF(B19=0,"",IF(C19&gt;9999,"",ROUND(VLOOKUP($B19,Operations!$A$2:$U$79,15,FALSE)*C19,2))/100)</f>
        <v>0.46049999999999996</v>
      </c>
      <c r="I19" s="215">
        <f>IF(B19=0,0,IF(C19&gt;9999,"",ROUND(VLOOKUP(VLOOKUP(B19,Operations!$A$2:$U$79,11,FALSE),PowerUnits[],16,FALSE)/VLOOKUP(B19,Operations!$A$2:$U$79,9,FALSE)*C19,2))/80)</f>
        <v>13.145625000000001</v>
      </c>
      <c r="J19" s="215">
        <f>IF(B19=0,"",IF(C19&gt;9999,"",ROUND(VLOOKUP($B19,Operations!$A$2:$U$79,21,FALSE)*$C19,2))/80)</f>
        <v>6.76675</v>
      </c>
      <c r="K19" s="215">
        <f>IF(C19&gt;9999,"",ROUND(SUM(E19:J19),2))</f>
        <v>30.09</v>
      </c>
      <c r="L19" s="216"/>
    </row>
    <row r="20" spans="1:12" x14ac:dyDescent="0.2">
      <c r="A20" s="170">
        <v>9</v>
      </c>
      <c r="B20" s="180" t="s">
        <v>565</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10.3431</v>
      </c>
      <c r="F33" s="109">
        <f t="shared" ref="F33:K33" si="1">SUM(F12:F31)</f>
        <v>4.8803999999999998</v>
      </c>
      <c r="G33" s="109">
        <f t="shared" si="1"/>
        <v>4.5768000000000004</v>
      </c>
      <c r="H33" s="109">
        <f t="shared" si="1"/>
        <v>11.640499999999999</v>
      </c>
      <c r="I33" s="109">
        <f t="shared" si="1"/>
        <v>23.375624999999999</v>
      </c>
      <c r="J33" s="109">
        <f t="shared" si="1"/>
        <v>24.646749999999997</v>
      </c>
      <c r="K33" s="109">
        <f t="shared" si="1"/>
        <v>79.460000000000008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261</v>
      </c>
      <c r="C37" s="388" t="str">
        <f>IF(B37=0,"",VLOOKUP($B37,Table2[],2,FALSE))</f>
        <v>Herbicide</v>
      </c>
      <c r="D37" s="388"/>
      <c r="E37" s="388"/>
      <c r="F37" s="174">
        <v>1</v>
      </c>
      <c r="G37" s="175">
        <v>1</v>
      </c>
      <c r="H37" s="176">
        <v>54</v>
      </c>
      <c r="I37" s="120" t="str">
        <f>IF($B37=0,"",VLOOKUP($B37,Table2[],5,FALSE))</f>
        <v>ounce</v>
      </c>
      <c r="J37" s="109">
        <f>IF($B37=0,"",VLOOKUP($B37,Table2[],7,FALSE))</f>
        <v>0.1953125</v>
      </c>
      <c r="K37" s="109">
        <f>IF(B37=0,0,ROUND(G37*H37*J37,2))</f>
        <v>10.55</v>
      </c>
      <c r="L37" s="110"/>
    </row>
    <row r="38" spans="1:12" x14ac:dyDescent="0.2">
      <c r="A38" s="105"/>
      <c r="B38" s="180" t="s">
        <v>170</v>
      </c>
      <c r="C38" s="388" t="str">
        <f>IF(B38=0,"",VLOOKUP($B38,Table2[],2,FALSE))</f>
        <v>Additive</v>
      </c>
      <c r="D38" s="388"/>
      <c r="E38" s="388"/>
      <c r="F38" s="174">
        <v>1</v>
      </c>
      <c r="G38" s="175">
        <v>1</v>
      </c>
      <c r="H38" s="176">
        <v>2</v>
      </c>
      <c r="I38" s="120" t="str">
        <f>IF($B38=0,"",VLOOKUP($B38,Table2[],5,FALSE))</f>
        <v>pound</v>
      </c>
      <c r="J38" s="109">
        <f>IF($B38=0,"",VLOOKUP($B38,Table2[],7,FALSE))</f>
        <v>0.4</v>
      </c>
      <c r="K38" s="109">
        <f t="shared" ref="K38:K55" si="2">IF(B38=0,0,ROUND(G38*H38*J38,2))</f>
        <v>0.8</v>
      </c>
      <c r="L38" s="110"/>
    </row>
    <row r="39" spans="1:12" x14ac:dyDescent="0.2">
      <c r="A39" s="105"/>
      <c r="B39" s="180" t="s">
        <v>259</v>
      </c>
      <c r="C39" s="388" t="str">
        <f>IF(B39=0,"",VLOOKUP($B39,Table2[],2,FALSE))</f>
        <v>Herbicide</v>
      </c>
      <c r="D39" s="388"/>
      <c r="E39" s="388"/>
      <c r="F39" s="174">
        <v>2</v>
      </c>
      <c r="G39" s="175">
        <v>1</v>
      </c>
      <c r="H39" s="176">
        <v>32</v>
      </c>
      <c r="I39" s="120" t="str">
        <f>IF($B39=0,"",VLOOKUP($B39,Table2[],5,FALSE))</f>
        <v>ounce</v>
      </c>
      <c r="J39" s="109">
        <f>IF($B39=0,"",VLOOKUP($B39,Table2[],7,FALSE))</f>
        <v>0.1328125</v>
      </c>
      <c r="K39" s="109">
        <f t="shared" si="2"/>
        <v>4.25</v>
      </c>
      <c r="L39" s="110"/>
    </row>
    <row r="40" spans="1:12" x14ac:dyDescent="0.2">
      <c r="A40" s="105"/>
      <c r="B40" s="213" t="s">
        <v>170</v>
      </c>
      <c r="C40" s="387" t="str">
        <f>IF(B40=0,"",VLOOKUP($B40,Table2[],2,FALSE))</f>
        <v>Additive</v>
      </c>
      <c r="D40" s="387"/>
      <c r="E40" s="387"/>
      <c r="F40" s="214">
        <v>2</v>
      </c>
      <c r="G40" s="221">
        <v>1</v>
      </c>
      <c r="H40" s="222">
        <v>1.7</v>
      </c>
      <c r="I40" s="223" t="str">
        <f>IF($B40=0,"",VLOOKUP($B40,Table2[],5,FALSE))</f>
        <v>pound</v>
      </c>
      <c r="J40" s="215">
        <f>IF($B40=0,"",VLOOKUP($B40,Table2[],7,FALSE))</f>
        <v>0.4</v>
      </c>
      <c r="K40" s="215">
        <f t="shared" si="2"/>
        <v>0.68</v>
      </c>
      <c r="L40" s="216"/>
    </row>
    <row r="41" spans="1:12" x14ac:dyDescent="0.2">
      <c r="A41" s="105"/>
      <c r="B41" s="180" t="s">
        <v>259</v>
      </c>
      <c r="C41" s="388" t="str">
        <f>IF(B41=0,"",VLOOKUP($B41,Table2[],2,FALSE))</f>
        <v>Herbicide</v>
      </c>
      <c r="D41" s="388"/>
      <c r="E41" s="388"/>
      <c r="F41" s="174">
        <v>3</v>
      </c>
      <c r="G41" s="175">
        <v>1</v>
      </c>
      <c r="H41" s="176">
        <v>32</v>
      </c>
      <c r="I41" s="120" t="str">
        <f>IF($B41=0,"",VLOOKUP($B41,Table2[],5,FALSE))</f>
        <v>ounce</v>
      </c>
      <c r="J41" s="109">
        <f>IF($B41=0,"",VLOOKUP($B41,Table2[],7,FALSE))</f>
        <v>0.1328125</v>
      </c>
      <c r="K41" s="109">
        <f t="shared" si="2"/>
        <v>4.25</v>
      </c>
      <c r="L41" s="110"/>
    </row>
    <row r="42" spans="1:12" x14ac:dyDescent="0.2">
      <c r="A42" s="105"/>
      <c r="B42" s="180" t="s">
        <v>170</v>
      </c>
      <c r="C42" s="388" t="str">
        <f>IF(B42=0,"",VLOOKUP($B42,Table2[],2,FALSE))</f>
        <v>Additive</v>
      </c>
      <c r="D42" s="388"/>
      <c r="E42" s="388"/>
      <c r="F42" s="174">
        <v>3</v>
      </c>
      <c r="G42" s="175">
        <v>1</v>
      </c>
      <c r="H42" s="176">
        <v>1.7</v>
      </c>
      <c r="I42" s="120" t="str">
        <f>IF($B42=0,"",VLOOKUP($B42,Table2[],5,FALSE))</f>
        <v>pound</v>
      </c>
      <c r="J42" s="109">
        <f>IF($B42=0,"",VLOOKUP($B42,Table2[],7,FALSE))</f>
        <v>0.4</v>
      </c>
      <c r="K42" s="109">
        <f t="shared" si="2"/>
        <v>0.68</v>
      </c>
      <c r="L42" s="110"/>
    </row>
    <row r="43" spans="1:12" x14ac:dyDescent="0.2">
      <c r="A43" s="105"/>
      <c r="B43" s="182" t="s">
        <v>266</v>
      </c>
      <c r="C43" s="388" t="str">
        <f>IF(B43=0,"",VLOOKUP($B43,Table2[],2,FALSE))</f>
        <v>Herbicide</v>
      </c>
      <c r="D43" s="388"/>
      <c r="E43" s="388"/>
      <c r="F43" s="174">
        <v>3</v>
      </c>
      <c r="G43" s="175">
        <v>1</v>
      </c>
      <c r="H43" s="176">
        <v>2</v>
      </c>
      <c r="I43" s="120" t="str">
        <f>IF($B43=0,"",VLOOKUP($B43,Table2[],5,FALSE))</f>
        <v>pint</v>
      </c>
      <c r="J43" s="109">
        <f>IF($B43=0,"",VLOOKUP($B43,Table2[],7,FALSE))</f>
        <v>7.5</v>
      </c>
      <c r="K43" s="109">
        <f t="shared" si="2"/>
        <v>15</v>
      </c>
      <c r="L43" s="110"/>
    </row>
    <row r="44" spans="1:12" x14ac:dyDescent="0.2">
      <c r="A44" s="105"/>
      <c r="B44" s="213" t="s">
        <v>205</v>
      </c>
      <c r="C44" s="387" t="str">
        <f>IF(B44=0,"",VLOOKUP($B44,Table2[],2,FALSE))</f>
        <v>Fertilizer</v>
      </c>
      <c r="D44" s="387"/>
      <c r="E44" s="387"/>
      <c r="F44" s="214">
        <v>3</v>
      </c>
      <c r="G44" s="221">
        <v>1</v>
      </c>
      <c r="H44" s="222">
        <v>60</v>
      </c>
      <c r="I44" s="223" t="str">
        <f>IF($B44=0,"",VLOOKUP($B44,Table2[],5,FALSE))</f>
        <v>lbs N</v>
      </c>
      <c r="J44" s="215">
        <f>IF($B44=0,"",VLOOKUP($B44,Table2[],7,FALSE))</f>
        <v>0.5</v>
      </c>
      <c r="K44" s="215">
        <f t="shared" si="2"/>
        <v>30</v>
      </c>
      <c r="L44" s="216"/>
    </row>
    <row r="45" spans="1:12" x14ac:dyDescent="0.2">
      <c r="A45" s="105"/>
      <c r="B45" s="180" t="s">
        <v>275</v>
      </c>
      <c r="C45" s="388" t="str">
        <f>IF(B45=0,"",VLOOKUP($B45,Table2[],2,FALSE))</f>
        <v>Herbicide</v>
      </c>
      <c r="D45" s="388"/>
      <c r="E45" s="388"/>
      <c r="F45" s="174">
        <v>3</v>
      </c>
      <c r="G45" s="175">
        <v>1</v>
      </c>
      <c r="H45" s="176">
        <v>5</v>
      </c>
      <c r="I45" s="120" t="str">
        <f>IF($B45=0,"",VLOOKUP($B45,Table2[],5,FALSE))</f>
        <v>ounce</v>
      </c>
      <c r="J45" s="109">
        <f>IF($B45=0,"",VLOOKUP($B45,Table2[],7,FALSE))</f>
        <v>1.09375</v>
      </c>
      <c r="K45" s="109">
        <f t="shared" si="2"/>
        <v>5.47</v>
      </c>
      <c r="L45" s="110"/>
    </row>
    <row r="46" spans="1:12" x14ac:dyDescent="0.2">
      <c r="A46" s="105"/>
      <c r="B46" s="180" t="s">
        <v>259</v>
      </c>
      <c r="C46" s="388" t="str">
        <f>IF(B46=0,"",VLOOKUP($B46,Table2[],2,FALSE))</f>
        <v>Herbicide</v>
      </c>
      <c r="D46" s="388"/>
      <c r="E46" s="388"/>
      <c r="F46" s="174">
        <v>4</v>
      </c>
      <c r="G46" s="175">
        <v>0.5</v>
      </c>
      <c r="H46" s="176">
        <v>32</v>
      </c>
      <c r="I46" s="120" t="str">
        <f>IF($B46=0,"",VLOOKUP($B46,Table2[],5,FALSE))</f>
        <v>ounce</v>
      </c>
      <c r="J46" s="109">
        <f>IF($B46=0,"",VLOOKUP($B46,Table2[],7,FALSE))</f>
        <v>0.1328125</v>
      </c>
      <c r="K46" s="109">
        <f t="shared" si="2"/>
        <v>2.13</v>
      </c>
      <c r="L46" s="110"/>
    </row>
    <row r="47" spans="1:12" x14ac:dyDescent="0.2">
      <c r="A47" s="105"/>
      <c r="B47" s="180" t="s">
        <v>170</v>
      </c>
      <c r="C47" s="388" t="str">
        <f>IF(B47=0,"",VLOOKUP($B47,Table2[],2,FALSE))</f>
        <v>Additive</v>
      </c>
      <c r="D47" s="388"/>
      <c r="E47" s="388"/>
      <c r="F47" s="174">
        <v>4</v>
      </c>
      <c r="G47" s="175">
        <v>0.5</v>
      </c>
      <c r="H47" s="176">
        <v>1.7</v>
      </c>
      <c r="I47" s="120" t="str">
        <f>IF($B47=0,"",VLOOKUP($B47,Table2[],5,FALSE))</f>
        <v>pound</v>
      </c>
      <c r="J47" s="109">
        <f>IF($B47=0,"",VLOOKUP($B47,Table2[],7,FALSE))</f>
        <v>0.4</v>
      </c>
      <c r="K47" s="109">
        <f t="shared" si="2"/>
        <v>0.34</v>
      </c>
      <c r="L47" s="110"/>
    </row>
    <row r="48" spans="1:12" ht="13.5" x14ac:dyDescent="0.2">
      <c r="A48" s="105"/>
      <c r="B48" s="226" t="s">
        <v>787</v>
      </c>
      <c r="C48" s="387" t="str">
        <f>IF(B48=0,"",VLOOKUP($B48,Table2[],2,FALSE))</f>
        <v>Herbicide</v>
      </c>
      <c r="D48" s="387"/>
      <c r="E48" s="387"/>
      <c r="F48" s="214">
        <v>4</v>
      </c>
      <c r="G48" s="221">
        <v>0.5</v>
      </c>
      <c r="H48" s="222">
        <v>1</v>
      </c>
      <c r="I48" s="223" t="str">
        <f>IF($B48=0,"",VLOOKUP($B48,Table2[],5,FALSE))</f>
        <v>pint</v>
      </c>
      <c r="J48" s="215">
        <f>IF($B48=0,"",VLOOKUP($B48,Table2[],7,FALSE))</f>
        <v>7.5</v>
      </c>
      <c r="K48" s="215">
        <f t="shared" si="2"/>
        <v>3.75</v>
      </c>
      <c r="L48" s="216"/>
    </row>
    <row r="49" spans="1:12" x14ac:dyDescent="0.2">
      <c r="A49" s="105"/>
      <c r="B49" s="180" t="s">
        <v>349</v>
      </c>
      <c r="C49" s="388" t="str">
        <f>IF(B49=0,"",VLOOKUP($B49,Table2[],2,FALSE))</f>
        <v>Seed</v>
      </c>
      <c r="D49" s="388"/>
      <c r="E49" s="388"/>
      <c r="F49" s="174">
        <v>5</v>
      </c>
      <c r="G49" s="175">
        <v>1</v>
      </c>
      <c r="H49" s="176">
        <v>20</v>
      </c>
      <c r="I49" s="120" t="str">
        <f>IF($B49=0,"",VLOOKUP($B49,Table2[],5,FALSE))</f>
        <v>k seed</v>
      </c>
      <c r="J49" s="109">
        <f>IF($B49=0,"",VLOOKUP($B49,Table2[],7,FALSE))</f>
        <v>2.1</v>
      </c>
      <c r="K49" s="109">
        <f t="shared" si="2"/>
        <v>42</v>
      </c>
      <c r="L49" s="110"/>
    </row>
    <row r="50" spans="1:12" x14ac:dyDescent="0.2">
      <c r="A50" s="143"/>
      <c r="B50" s="180" t="s">
        <v>243</v>
      </c>
      <c r="C50" s="388" t="str">
        <f>IF(B50=0,"",VLOOKUP($B50,Table2[],2,FALSE))</f>
        <v>Herbicide</v>
      </c>
      <c r="D50" s="388"/>
      <c r="E50" s="388"/>
      <c r="F50" s="174">
        <v>6</v>
      </c>
      <c r="G50" s="175">
        <v>0.5</v>
      </c>
      <c r="H50" s="176">
        <v>4</v>
      </c>
      <c r="I50" s="120" t="str">
        <f>IF($B50=0,"",VLOOKUP($B50,Table2[],5,FALSE))</f>
        <v>ounce</v>
      </c>
      <c r="J50" s="109">
        <f>IF($B50=0,"",VLOOKUP($B50,Table2[],7,FALSE))</f>
        <v>3.671875</v>
      </c>
      <c r="K50" s="109">
        <f t="shared" si="2"/>
        <v>7.34</v>
      </c>
      <c r="L50" s="110"/>
    </row>
    <row r="51" spans="1:12" x14ac:dyDescent="0.2">
      <c r="A51" s="143"/>
      <c r="B51" s="180" t="s">
        <v>181</v>
      </c>
      <c r="C51" s="388" t="str">
        <f>IF(B51=0,"",VLOOKUP($B51,Table2[],2,FALSE))</f>
        <v>Additive</v>
      </c>
      <c r="D51" s="388"/>
      <c r="E51" s="388"/>
      <c r="F51" s="174">
        <v>6</v>
      </c>
      <c r="G51" s="175">
        <v>0.5</v>
      </c>
      <c r="H51" s="176">
        <v>5</v>
      </c>
      <c r="I51" s="120" t="str">
        <f>IF($B51=0,"",VLOOKUP($B51,Table2[],5,FALSE))</f>
        <v>ounce</v>
      </c>
      <c r="J51" s="109">
        <f>IF($B51=0,"",VLOOKUP($B51,Table2[],7,FALSE))</f>
        <v>0.203125</v>
      </c>
      <c r="K51" s="109">
        <f t="shared" si="2"/>
        <v>0.51</v>
      </c>
      <c r="L51" s="110"/>
    </row>
    <row r="52" spans="1:12" x14ac:dyDescent="0.2">
      <c r="A52" s="105"/>
      <c r="B52" s="213" t="s">
        <v>182</v>
      </c>
      <c r="C52" s="387" t="str">
        <f>IF(B52=0,"",VLOOKUP($B52,Table2[],2,FALSE))</f>
        <v>Additive</v>
      </c>
      <c r="D52" s="387"/>
      <c r="E52" s="387"/>
      <c r="F52" s="214">
        <v>6</v>
      </c>
      <c r="G52" s="221">
        <v>0.5</v>
      </c>
      <c r="H52" s="222">
        <v>3</v>
      </c>
      <c r="I52" s="223" t="str">
        <f>IF($B52=0,"",VLOOKUP($B52,Table2[],5,FALSE))</f>
        <v>pint</v>
      </c>
      <c r="J52" s="215">
        <f>IF($B52=0,"",VLOOKUP($B52,Table2[],7,FALSE))</f>
        <v>0.22500000000000001</v>
      </c>
      <c r="K52" s="215">
        <f t="shared" si="2"/>
        <v>0.34</v>
      </c>
      <c r="L52" s="216"/>
    </row>
    <row r="53" spans="1:12" x14ac:dyDescent="0.2">
      <c r="A53" s="143"/>
      <c r="B53" s="180" t="s">
        <v>183</v>
      </c>
      <c r="C53" s="388" t="str">
        <f>IF(B53=0,"",VLOOKUP($B53,Table2[],2,FALSE))</f>
        <v>Custom</v>
      </c>
      <c r="D53" s="388"/>
      <c r="E53" s="388"/>
      <c r="F53" s="174">
        <v>7</v>
      </c>
      <c r="G53" s="175">
        <v>0.5</v>
      </c>
      <c r="H53" s="176">
        <v>1</v>
      </c>
      <c r="I53" s="120" t="str">
        <f>IF($B53=0,"",VLOOKUP($B53,Table2[],5,FALSE))</f>
        <v>acre</v>
      </c>
      <c r="J53" s="109">
        <f>IF($B53=0,"",VLOOKUP($B53,Table2[],7,FALSE))</f>
        <v>11</v>
      </c>
      <c r="K53" s="109">
        <f t="shared" si="2"/>
        <v>5.5</v>
      </c>
      <c r="L53" s="110"/>
    </row>
    <row r="54" spans="1:12" x14ac:dyDescent="0.2">
      <c r="A54" s="143" t="s">
        <v>750</v>
      </c>
      <c r="B54" s="180" t="s">
        <v>290</v>
      </c>
      <c r="C54" s="388" t="str">
        <f>IF(B54=0,"",VLOOKUP($B54,Table2[],2,FALSE))</f>
        <v>Insecticide</v>
      </c>
      <c r="D54" s="388"/>
      <c r="E54" s="388"/>
      <c r="F54" s="174">
        <v>7</v>
      </c>
      <c r="G54" s="175">
        <v>0.5</v>
      </c>
      <c r="H54" s="176">
        <v>1.92</v>
      </c>
      <c r="I54" s="120" t="str">
        <f>IF($B54=0,"",VLOOKUP($B54,Table2[],5,FALSE))</f>
        <v>ounce</v>
      </c>
      <c r="J54" s="109">
        <f>IF($B54=0,"",VLOOKUP($B54,Table2[],7,FALSE))</f>
        <v>3.203125</v>
      </c>
      <c r="K54" s="109">
        <f t="shared" si="2"/>
        <v>3.08</v>
      </c>
      <c r="L54" s="110"/>
    </row>
    <row r="55" spans="1:12" x14ac:dyDescent="0.2">
      <c r="A55" s="105"/>
      <c r="B55" s="180" t="s">
        <v>197</v>
      </c>
      <c r="C55" s="388" t="str">
        <f>IF(B55=0,"",VLOOKUP($B55,Table2[],2,FALSE))</f>
        <v>Custom</v>
      </c>
      <c r="D55" s="388"/>
      <c r="E55" s="388"/>
      <c r="F55" s="174">
        <v>9</v>
      </c>
      <c r="G55" s="175">
        <v>1</v>
      </c>
      <c r="H55" s="176">
        <f>$G$4</f>
        <v>16</v>
      </c>
      <c r="I55" s="120" t="str">
        <f>IF($B55=0,"",VLOOKUP($B55,Table2[],5,FALSE))</f>
        <v>cwt</v>
      </c>
      <c r="J55" s="109">
        <f>IF($B55=0,"",VLOOKUP($B55,Table2[],7,FALSE))</f>
        <v>0.3</v>
      </c>
      <c r="K55" s="109">
        <f t="shared" si="2"/>
        <v>4.8</v>
      </c>
      <c r="L55" s="113"/>
    </row>
    <row r="56" spans="1:12" hidden="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idden="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idden="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idden="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idden="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260" t="s">
        <v>430</v>
      </c>
      <c r="C61" s="387" t="s">
        <v>655</v>
      </c>
      <c r="D61" s="387"/>
      <c r="E61" s="387"/>
      <c r="F61" s="218"/>
      <c r="G61" s="224"/>
      <c r="H61" s="225"/>
      <c r="I61" s="247"/>
      <c r="J61" s="215">
        <f ca="1">IF(F5=0,E5,F5)</f>
        <v>10</v>
      </c>
      <c r="K61" s="215">
        <f ca="1">IF(B61=0,0,J61)</f>
        <v>10</v>
      </c>
      <c r="L61" s="227"/>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151.47000000000003</v>
      </c>
      <c r="L63" s="110"/>
    </row>
    <row r="64" spans="1:12" x14ac:dyDescent="0.2">
      <c r="B64" s="358" t="s">
        <v>909</v>
      </c>
      <c r="C64" s="358"/>
      <c r="D64" s="358"/>
      <c r="E64" s="358"/>
      <c r="F64" s="352" t="s">
        <v>916</v>
      </c>
      <c r="G64" s="358"/>
      <c r="H64" s="358"/>
      <c r="I64" s="358"/>
      <c r="K64" s="127"/>
    </row>
    <row r="65" spans="2:12" x14ac:dyDescent="0.2">
      <c r="B65" s="358"/>
      <c r="C65" s="358"/>
      <c r="D65" s="358"/>
      <c r="E65" s="358"/>
      <c r="F65" s="352"/>
      <c r="G65" s="358"/>
      <c r="H65" s="358"/>
      <c r="I65" s="358"/>
      <c r="K65" s="127"/>
    </row>
    <row r="66" spans="2:12" x14ac:dyDescent="0.2">
      <c r="B66" s="107" t="s">
        <v>672</v>
      </c>
      <c r="K66" s="127">
        <f ca="1">K33+K63</f>
        <v>230.93000000000004</v>
      </c>
      <c r="L66" s="110"/>
    </row>
    <row r="67" spans="2:12" ht="13.5" thickBot="1" x14ac:dyDescent="0.25">
      <c r="D67" s="128" t="s">
        <v>673</v>
      </c>
      <c r="E67" s="129">
        <f ca="1">ROUND(SUM($E$33:$H$33)+$K$63,2)</f>
        <v>182.91</v>
      </c>
      <c r="F67" s="388" t="s">
        <v>674</v>
      </c>
      <c r="G67" s="388"/>
      <c r="H67" s="130">
        <f>'General Variables'!$B$11</f>
        <v>7.4999999999999997E-2</v>
      </c>
      <c r="I67" s="131" t="str">
        <f>CONCATENATE("for ",TEXT('General Variables'!$B$12,"0.0")," mo.")</f>
        <v>for 6.0 mo.</v>
      </c>
      <c r="K67" s="132">
        <f ca="1">E67*H67*'General Variables'!$B$12/12</f>
        <v>6.8591249999999997</v>
      </c>
      <c r="L67" s="133"/>
    </row>
    <row r="68" spans="2:12" ht="13.5" thickTop="1" x14ac:dyDescent="0.2">
      <c r="B68" s="107" t="s">
        <v>675</v>
      </c>
      <c r="K68" s="127">
        <f ca="1">SUM(K66:K67)</f>
        <v>237.78912500000004</v>
      </c>
      <c r="L68" s="110"/>
    </row>
    <row r="69" spans="2:12" x14ac:dyDescent="0.2">
      <c r="K69" s="127"/>
    </row>
    <row r="70" spans="2:12" x14ac:dyDescent="0.2">
      <c r="B70" s="104" t="s">
        <v>676</v>
      </c>
      <c r="C70" s="134"/>
      <c r="D70" s="134"/>
      <c r="E70" s="134"/>
      <c r="F70" s="134"/>
      <c r="G70" s="134"/>
      <c r="H70" s="134"/>
      <c r="I70" s="134"/>
      <c r="J70" s="134"/>
      <c r="K70" s="135">
        <f>'General Variables'!B15</f>
        <v>27</v>
      </c>
      <c r="L70" s="110"/>
    </row>
    <row r="71" spans="2:12" x14ac:dyDescent="0.2">
      <c r="B71" s="103" t="s">
        <v>687</v>
      </c>
      <c r="C71" s="398" t="s">
        <v>32</v>
      </c>
      <c r="D71" s="399"/>
      <c r="E71" s="400"/>
      <c r="F71" s="136">
        <f>IF(C71=0,0,VLOOKUP(C71,RETable,2,FALSE))</f>
        <v>920</v>
      </c>
      <c r="G71" s="388" t="s">
        <v>678</v>
      </c>
      <c r="H71" s="388"/>
      <c r="I71" s="130">
        <f>'General Variables'!$B$10</f>
        <v>0.03</v>
      </c>
      <c r="K71" s="137">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0">
        <f>ROUND(F72*I72,2)</f>
        <v>11.96</v>
      </c>
      <c r="L72" s="133"/>
    </row>
    <row r="73" spans="2:12" ht="13.5" thickTop="1" x14ac:dyDescent="0.2">
      <c r="B73" s="107" t="s">
        <v>680</v>
      </c>
      <c r="K73" s="127">
        <f ca="1">SUM(K68:K72)</f>
        <v>304.34912500000002</v>
      </c>
      <c r="L73" s="110"/>
    </row>
    <row r="74" spans="2:12" x14ac:dyDescent="0.2">
      <c r="K74" s="128"/>
    </row>
    <row r="75" spans="2:12" x14ac:dyDescent="0.2">
      <c r="B75" s="104" t="str">
        <f>IF(G4="","","Cash Cost per "&amp;H4)</f>
        <v>Cash Cost per cwt</v>
      </c>
      <c r="C75" s="261" t="s">
        <v>688</v>
      </c>
      <c r="D75" s="105"/>
      <c r="E75" s="105"/>
      <c r="F75" s="105"/>
      <c r="G75" s="105"/>
      <c r="H75" s="105"/>
      <c r="I75" s="105"/>
      <c r="J75" s="105"/>
      <c r="K75" s="142">
        <f ca="1">IF(G4=0,0,(E67+K67+K70+K72)/G4)</f>
        <v>14.295570312500001</v>
      </c>
      <c r="L75" s="148"/>
    </row>
    <row r="76" spans="2:12" x14ac:dyDescent="0.2">
      <c r="B76" s="107" t="str">
        <f>IF(G4="","","Cost of production per "&amp;H4)</f>
        <v>Cost of production per cwt</v>
      </c>
      <c r="K76" s="141">
        <f ca="1">IF(G4="","",K73/G4)</f>
        <v>19.021820312500001</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58:E58"/>
    <mergeCell ref="C60:E60"/>
    <mergeCell ref="C47:E47"/>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9:E59"/>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4E00-000000000000}">
      <formula1>$B$112:$B$209</formula1>
    </dataValidation>
    <dataValidation type="list" allowBlank="1" showInputMessage="1" showErrorMessage="1" sqref="B62" xr:uid="{00000000-0002-0000-4E00-000001000000}">
      <formula1>$C$112:$C$230</formula1>
    </dataValidation>
    <dataValidation type="list" allowBlank="1" showInputMessage="1" showErrorMessage="1" sqref="K4" xr:uid="{00000000-0002-0000-4E00-000002000000}">
      <formula1>$K$112:$K$114</formula1>
    </dataValidation>
    <dataValidation type="list" allowBlank="1" showInputMessage="1" showErrorMessage="1" sqref="B37:B60" xr:uid="{00000000-0002-0000-4E00-000003000000}">
      <formula1>MaterialList</formula1>
    </dataValidation>
    <dataValidation type="list" allowBlank="1" showInputMessage="1" showErrorMessage="1" sqref="C71:E71" xr:uid="{00000000-0002-0000-4E00-000004000000}">
      <formula1>RealEstateList</formula1>
    </dataValidation>
    <dataValidation type="list" allowBlank="1" showInputMessage="1" showErrorMessage="1" sqref="B12:B31" xr:uid="{00000000-0002-0000-4E00-000005000000}">
      <formula1>OperationList</formula1>
    </dataValidation>
    <dataValidation type="list" allowBlank="1" showInputMessage="1" showErrorMessage="1" sqref="D12:D32" xr:uid="{00000000-0002-0000-4E00-000006000000}">
      <formula1>#REF!</formula1>
    </dataValidation>
    <dataValidation type="list" allowBlank="1" showInputMessage="1" showErrorMessage="1" sqref="K2" xr:uid="{00000000-0002-0000-4E00-000007000000}">
      <formula1>watersource</formula1>
    </dataValidation>
    <dataValidation type="list" allowBlank="1" showInputMessage="1" showErrorMessage="1" sqref="C3" xr:uid="{00000000-0002-0000-4E00-000008000000}">
      <formula1>TillageSystem</formula1>
    </dataValidation>
  </dataValidations>
  <pageMargins left="0.7" right="0.7" top="0.75" bottom="0.75" header="0.3" footer="0.3"/>
  <pageSetup scale="7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9">
    <pageSetUpPr fitToPage="1"/>
  </sheetPr>
  <dimension ref="A2:M258"/>
  <sheetViews>
    <sheetView topLeftCell="A17" zoomScaleNormal="100" workbookViewId="0">
      <selection activeCell="F72" sqref="F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t="s">
        <v>783</v>
      </c>
      <c r="H2" s="392"/>
      <c r="J2" s="128" t="s">
        <v>649</v>
      </c>
      <c r="K2" s="401" t="s">
        <v>70</v>
      </c>
      <c r="L2" s="401"/>
    </row>
    <row r="3" spans="1:13" hidden="1" x14ac:dyDescent="0.2">
      <c r="B3" s="103" t="s">
        <v>38</v>
      </c>
      <c r="C3" s="391" t="s">
        <v>46</v>
      </c>
      <c r="D3" s="391"/>
      <c r="E3" s="391"/>
      <c r="G3" s="128" t="s">
        <v>650</v>
      </c>
      <c r="H3" s="187" t="s">
        <v>788</v>
      </c>
      <c r="J3" s="128" t="s">
        <v>651</v>
      </c>
      <c r="K3" s="187">
        <v>8</v>
      </c>
    </row>
    <row r="4" spans="1:13" hidden="1" x14ac:dyDescent="0.2">
      <c r="B4" s="103" t="s">
        <v>652</v>
      </c>
      <c r="C4" s="392"/>
      <c r="D4" s="392"/>
      <c r="E4" s="392"/>
      <c r="G4" s="103">
        <f>IFERROR(VALUE(LEFT($H$3,FIND(" ",$H$3))),"")</f>
        <v>30</v>
      </c>
      <c r="H4" s="103" t="str">
        <f>IFERROR(RIGHT(H3,LEN(H3)-LEN(G4)-1),"")</f>
        <v>cwt</v>
      </c>
      <c r="J4" s="128" t="s">
        <v>653</v>
      </c>
      <c r="K4" s="188"/>
    </row>
    <row r="5" spans="1:13" ht="15.75" hidden="1" customHeight="1" x14ac:dyDescent="0.2">
      <c r="B5" s="103" t="s">
        <v>655</v>
      </c>
      <c r="C5" s="103" t="str">
        <f ca="1">MID(CELL("filename",C5),FIND("]",CELL("filename",C5))+1,255)</f>
        <v>73-Sunflower</v>
      </c>
      <c r="E5" s="103">
        <f ca="1">VLOOKUP($C$5,CropInsurance,5,FALSE)</f>
        <v>11</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73-Sunflower, Clearfield, Panhandle, No Till, 30 cwt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73-Sunflower, Clearfield, Panhandle, No Till, 30 cwt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8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529</v>
      </c>
      <c r="C14" s="174">
        <v>1</v>
      </c>
      <c r="D14" s="174"/>
      <c r="E14" s="109">
        <f>IF(B14=0,"",IF(C14&gt;9999,"",ROUND('General Variables'!$B$4*VLOOKUP(B14,Operations!$A$2:$U$79,10,FALSE)/VLOOKUP(B14,Operations!$A$2:$U$79,9,FALSE)*C14,2)))</f>
        <v>3.24</v>
      </c>
      <c r="F14" s="109">
        <f>IF(B14=0,0,IF(C14&gt;9999,"",ROUND(IF(VLOOKUP(B14,Operations!$A$2:$U$79,12,FALSE)=0,VLOOKUP(B14,Operations!$A$2:$U$79,13,FALSE)*'General Variables'!$B$8,VLOOKUP(B14,Operations!$A$2:$U$79,12,FALSE)*'General Variables'!$B$7)/VLOOKUP(B14,Operations!$A$2:$U$79,9,FALSE)*C14,2)))</f>
        <v>1.08</v>
      </c>
      <c r="G14" s="109">
        <f>IF(B14=0,0,IF(C14&gt;9999,"",ROUND(VLOOKUP(VLOOKUP(B14,Operations!$A$2:$U$79,11,FALSE),PowerUnits[],10,FALSE)/VLOOKUP(B14,Operations!$A$2:$U$79,9,FALSE)*C14,2)))</f>
        <v>0.08</v>
      </c>
      <c r="H14" s="109">
        <f>IF(B14=0,"",IF(C14&gt;9999,"",ROUND(VLOOKUP($B14,Operations!$A$2:$U$79,15,FALSE)*C14,2)))</f>
        <v>6.97</v>
      </c>
      <c r="I14" s="109">
        <f>IF(B14=0,0,IF(C14&gt;9999,"",ROUND(VLOOKUP(VLOOKUP(B14,Operations!$A$2:$U$79,11,FALSE),PowerUnits[],16,FALSE)/VLOOKUP(B14,Operations!$A$2:$U$79,9,FALSE)*C14,2)))</f>
        <v>4.33</v>
      </c>
      <c r="J14" s="109">
        <f>IF(B14=0,"",IF(C14&gt;9999,"",ROUND(VLOOKUP($B14,Operations!$A$2:$U$79,21,FALSE)*$C14,2)))</f>
        <v>6.61</v>
      </c>
      <c r="K14" s="109">
        <f t="shared" si="0"/>
        <v>22.31</v>
      </c>
      <c r="L14" s="110"/>
    </row>
    <row r="15" spans="1:13" x14ac:dyDescent="0.2">
      <c r="A15" s="170">
        <v>4</v>
      </c>
      <c r="B15" s="213" t="s">
        <v>551</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525</v>
      </c>
      <c r="C17" s="174">
        <f>$K$3</f>
        <v>8</v>
      </c>
      <c r="D17" s="174" t="s">
        <v>693</v>
      </c>
      <c r="E17" s="109">
        <f>IF(B17=0,"",IF(C17&gt;9999,"",ROUND('General Variables'!$B$4*VLOOKUP(B17,Operations!$A$2:$U$79,10,FALSE)/VLOOKUP(B17,Operations!$A$2:$U$79,9,FALSE)*C17,2)))</f>
        <v>10</v>
      </c>
      <c r="F17" s="109">
        <f>IF(B17=0,0,IF(C17&gt;9999,"",ROUND(IF(VLOOKUP(B17,Operations!$A$2:$U$79,12,FALSE)=0,VLOOKUP(B17,Operations!$A$2:$U$79,13,FALSE)*'General Variables'!$B$8,VLOOKUP(B17,Operations!$A$2:$U$79,12,FALSE)*'General Variables'!$B$7)/VLOOKUP(B17,Operations!$A$2:$U$79,9,FALSE)*C17,2)))</f>
        <v>16.989999999999998</v>
      </c>
      <c r="G17" s="109">
        <f>IF(B17=0,0,IF(C17&gt;9999,"",ROUND(VLOOKUP(VLOOKUP(B17,Operations!$A$2:$U$79,11,FALSE),PowerUnits[],10,FALSE)/VLOOKUP(B17,Operations!$A$2:$U$79,9,FALSE)*C17,2)))</f>
        <v>4.46</v>
      </c>
      <c r="H17" s="109">
        <f>IF(B17=0,"",IF(C17&gt;9999,"",ROUND(VLOOKUP($B17,Operations!$A$2:$U$79,15,FALSE)*C17,2)))</f>
        <v>23.06</v>
      </c>
      <c r="I17" s="109">
        <f>IF(B17=0,0,IF(C17&gt;9999,"",ROUND(VLOOKUP(VLOOKUP(B17,Operations!$A$2:$U$79,11,FALSE),PowerUnits[],16,FALSE)/VLOOKUP(B17,Operations!$A$2:$U$79,9,FALSE)*C17,2)))</f>
        <v>7.81</v>
      </c>
      <c r="J17" s="109">
        <f>IF(B17=0,"",IF(C17&gt;9999,"",ROUND(VLOOKUP($B17,Operations!$A$2:$U$79,21,FALSE)*$C17,2)))</f>
        <v>12.66</v>
      </c>
      <c r="K17" s="109">
        <f t="shared" si="0"/>
        <v>74.98</v>
      </c>
      <c r="L17" s="110"/>
    </row>
    <row r="18" spans="1:12" x14ac:dyDescent="0.2">
      <c r="A18" s="170" t="s">
        <v>910</v>
      </c>
      <c r="B18" s="180" t="s">
        <v>945</v>
      </c>
      <c r="C18" s="295">
        <v>200</v>
      </c>
      <c r="D18" s="174"/>
      <c r="E18" s="109">
        <f>IF(B18=0,"",IF(C18&gt;9999,"",ROUND('General Variables'!$B$4*VLOOKUP(B18,Operations!$A$2:$U$79,10,FALSE)/VLOOKUP(B18,Operations!$A$2:$U$79,9,FALSE)*C18,2))/100)</f>
        <v>4.5692000000000004</v>
      </c>
      <c r="F18" s="109">
        <f>IF(B18=0,0,IF(C18&gt;9999,"",ROUND(IF(VLOOKUP(B18,Operations!$A$2:$U$79,12,FALSE)=0,VLOOKUP(B18,Operations!$A$2:$U$79,13,FALSE)*'General Variables'!$B$8,VLOOKUP(B18,Operations!$A$2:$U$79,12,FALSE)*'General Variables'!$B$7)/VLOOKUP(B18,Operations!$A$2:$U$79,9,FALSE)*C18,2))/100)</f>
        <v>5.1644000000000005</v>
      </c>
      <c r="G18" s="109">
        <f>IF(B18=0,0,IF(C18&gt;9999,"",ROUND(VLOOKUP(VLOOKUP(B18,Operations!$A$2:$U$79,11,FALSE),PowerUnits[],10,FALSE)/VLOOKUP(B18,Operations!$A$2:$U$79,9,FALSE)*C18,2))/100)</f>
        <v>7.9397000000000002</v>
      </c>
      <c r="H18" s="109">
        <f>IF(B18=0,"",IF(C18&gt;9999,"",ROUND(VLOOKUP($B18,Operations!$A$2:$U$79,15,FALSE)*C18,2))/100)</f>
        <v>0.83730000000000004</v>
      </c>
      <c r="I18" s="109">
        <f>IF(B18=0,0,IF(C18&gt;9999,"",ROUND(VLOOKUP(VLOOKUP(B18,Operations!$A$2:$U$79,11,FALSE),PowerUnits[],16,FALSE)/VLOOKUP(B18,Operations!$A$2:$U$79,9,FALSE)*C18,2))/100)</f>
        <v>19.120899999999999</v>
      </c>
      <c r="J18" s="109">
        <f>IF(B18=0,"",IF(C18&gt;9999,"",ROUND(VLOOKUP($B18,Operations!$A$2:$U$79,21,FALSE)*$C18,2))/100)</f>
        <v>9.8424999999999994</v>
      </c>
      <c r="K18" s="109">
        <f>IF(C18&gt;9999,"",ROUND(SUM(E18:J18),2))</f>
        <v>47.47</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19.849200000000003</v>
      </c>
      <c r="F33" s="109">
        <f t="shared" ref="F33:K33" si="1">SUM(F12:F31)</f>
        <v>23.7544</v>
      </c>
      <c r="G33" s="109">
        <f t="shared" si="1"/>
        <v>12.5397</v>
      </c>
      <c r="H33" s="109">
        <f t="shared" si="1"/>
        <v>32.307299999999998</v>
      </c>
      <c r="I33" s="109">
        <f t="shared" si="1"/>
        <v>33.880899999999997</v>
      </c>
      <c r="J33" s="109">
        <f t="shared" si="1"/>
        <v>35.332500000000003</v>
      </c>
      <c r="K33" s="109">
        <f t="shared" si="1"/>
        <v>157.66</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170</v>
      </c>
      <c r="C38" s="388" t="str">
        <f>IF(B38=0,"",VLOOKUP($B38,Table2[],2,FALSE))</f>
        <v>Additive</v>
      </c>
      <c r="D38" s="388"/>
      <c r="E38" s="388"/>
      <c r="F38" s="174">
        <v>1</v>
      </c>
      <c r="G38" s="175">
        <v>1</v>
      </c>
      <c r="H38" s="176">
        <v>1.7</v>
      </c>
      <c r="I38" s="120" t="str">
        <f>IF($B38=0,"",VLOOKUP($B38,Table2[],5,FALSE))</f>
        <v>pound</v>
      </c>
      <c r="J38" s="109">
        <f>IF($B38=0,"",VLOOKUP($B38,Table2[],7,FALSE))</f>
        <v>0.4</v>
      </c>
      <c r="K38" s="109">
        <f t="shared" ref="K38:K56" si="2">IF(B38=0,0,ROUND(G38*H38*J38,2))</f>
        <v>0.68</v>
      </c>
      <c r="L38" s="110"/>
    </row>
    <row r="39" spans="1:12" x14ac:dyDescent="0.2">
      <c r="A39" s="105"/>
      <c r="B39" s="180" t="s">
        <v>266</v>
      </c>
      <c r="C39" s="388" t="str">
        <f>IF(B39=0,"",VLOOKUP($B39,Table2[],2,FALSE))</f>
        <v>Herbicide</v>
      </c>
      <c r="D39" s="388"/>
      <c r="E39" s="388"/>
      <c r="F39" s="174">
        <v>2</v>
      </c>
      <c r="G39" s="175">
        <v>1</v>
      </c>
      <c r="H39" s="176">
        <v>2.2999999999999998</v>
      </c>
      <c r="I39" s="120" t="str">
        <f>IF($B39=0,"",VLOOKUP($B39,Table2[],5,FALSE))</f>
        <v>pint</v>
      </c>
      <c r="J39" s="109">
        <f>IF($B39=0,"",VLOOKUP($B39,Table2[],7,FALSE))</f>
        <v>7.5</v>
      </c>
      <c r="K39" s="109">
        <f t="shared" si="2"/>
        <v>17.25</v>
      </c>
      <c r="L39" s="110"/>
    </row>
    <row r="40" spans="1:12" x14ac:dyDescent="0.2">
      <c r="A40" s="105"/>
      <c r="B40" s="213" t="s">
        <v>275</v>
      </c>
      <c r="C40" s="387" t="str">
        <f>IF(B40=0,"",VLOOKUP($B40,Table2[],2,FALSE))</f>
        <v>Herbicide</v>
      </c>
      <c r="D40" s="387"/>
      <c r="E40" s="387"/>
      <c r="F40" s="214">
        <v>2</v>
      </c>
      <c r="G40" s="221">
        <v>1</v>
      </c>
      <c r="H40" s="222">
        <v>4</v>
      </c>
      <c r="I40" s="223" t="str">
        <f>IF($B40=0,"",VLOOKUP($B40,Table2[],5,FALSE))</f>
        <v>ounce</v>
      </c>
      <c r="J40" s="215">
        <f>IF($B40=0,"",VLOOKUP($B40,Table2[],7,FALSE))</f>
        <v>1.09375</v>
      </c>
      <c r="K40" s="215">
        <f t="shared" si="2"/>
        <v>4.38</v>
      </c>
      <c r="L40" s="216"/>
    </row>
    <row r="41" spans="1:12" x14ac:dyDescent="0.2">
      <c r="A41" s="105"/>
      <c r="B41" s="180" t="s">
        <v>205</v>
      </c>
      <c r="C41" s="388" t="str">
        <f>IF(B41=0,"",VLOOKUP($B41,Table2[],2,FALSE))</f>
        <v>Fertilizer</v>
      </c>
      <c r="D41" s="388"/>
      <c r="E41" s="388"/>
      <c r="F41" s="174">
        <v>2</v>
      </c>
      <c r="G41" s="175">
        <v>1</v>
      </c>
      <c r="H41" s="181">
        <v>100</v>
      </c>
      <c r="I41" s="120" t="str">
        <f>IF($B41=0,"",VLOOKUP($B41,Table2[],5,FALSE))</f>
        <v>lbs N</v>
      </c>
      <c r="J41" s="109">
        <f>IF($B41=0,"",VLOOKUP($B41,Table2[],7,FALSE))</f>
        <v>0.5</v>
      </c>
      <c r="K41" s="109">
        <f t="shared" si="2"/>
        <v>50</v>
      </c>
      <c r="L41" s="110"/>
    </row>
    <row r="42" spans="1:12" x14ac:dyDescent="0.2">
      <c r="A42" s="105"/>
      <c r="B42" s="180" t="s">
        <v>349</v>
      </c>
      <c r="C42" s="388" t="str">
        <f>IF(B42=0,"",VLOOKUP($B42,Table2[],2,FALSE))</f>
        <v>Seed</v>
      </c>
      <c r="D42" s="388"/>
      <c r="E42" s="388"/>
      <c r="F42" s="174">
        <v>3</v>
      </c>
      <c r="G42" s="175">
        <v>1</v>
      </c>
      <c r="H42" s="181">
        <v>35</v>
      </c>
      <c r="I42" s="120" t="str">
        <f>IF($B42=0,"",VLOOKUP($B42,Table2[],5,FALSE))</f>
        <v>k seed</v>
      </c>
      <c r="J42" s="109">
        <f>IF($B42=0,"",VLOOKUP($B42,Table2[],7,FALSE))</f>
        <v>2.1</v>
      </c>
      <c r="K42" s="109">
        <f t="shared" si="2"/>
        <v>73.5</v>
      </c>
      <c r="L42" s="110"/>
    </row>
    <row r="43" spans="1:12" x14ac:dyDescent="0.2">
      <c r="A43" s="143"/>
      <c r="B43" s="180" t="s">
        <v>201</v>
      </c>
      <c r="C43" s="388" t="str">
        <f>IF(B43=0,"",VLOOKUP($B43,Table2[],2,FALSE))</f>
        <v>Fertilizer</v>
      </c>
      <c r="D43" s="388"/>
      <c r="E43" s="388"/>
      <c r="F43" s="174">
        <v>3</v>
      </c>
      <c r="G43" s="175">
        <v>1</v>
      </c>
      <c r="H43" s="176">
        <v>4</v>
      </c>
      <c r="I43" s="120" t="str">
        <f>IF($B43=0,"",VLOOKUP($B43,Table2[],5,FALSE))</f>
        <v>gallon</v>
      </c>
      <c r="J43" s="109">
        <f>IF($B43=0,"",VLOOKUP($B43,Table2[],7,FALSE))</f>
        <v>3.1</v>
      </c>
      <c r="K43" s="109">
        <f t="shared" si="2"/>
        <v>12.4</v>
      </c>
      <c r="L43" s="110"/>
    </row>
    <row r="44" spans="1:12" x14ac:dyDescent="0.2">
      <c r="A44" s="143"/>
      <c r="B44" s="213" t="s">
        <v>200</v>
      </c>
      <c r="C44" s="387" t="s">
        <v>228</v>
      </c>
      <c r="D44" s="387"/>
      <c r="E44" s="387"/>
      <c r="F44" s="214">
        <v>4</v>
      </c>
      <c r="G44" s="221">
        <v>0.5</v>
      </c>
      <c r="H44" s="222">
        <v>1</v>
      </c>
      <c r="I44" s="223" t="s">
        <v>176</v>
      </c>
      <c r="J44" s="215">
        <f>IF($B44=0,"",VLOOKUP($B44,Table2[],7,FALSE))</f>
        <v>9</v>
      </c>
      <c r="K44" s="215">
        <f t="shared" ref="K44" si="3">IF(B44=0,0,ROUND(G44*H44*J44,2))</f>
        <v>4.5</v>
      </c>
      <c r="L44" s="216"/>
    </row>
    <row r="45" spans="1:12" x14ac:dyDescent="0.2">
      <c r="A45" s="143"/>
      <c r="B45" s="180" t="s">
        <v>243</v>
      </c>
      <c r="C45" s="388" t="str">
        <f>IF(B45=0,"",VLOOKUP($B45,Table2[],2,FALSE))</f>
        <v>Herbicide</v>
      </c>
      <c r="D45" s="388"/>
      <c r="E45" s="388"/>
      <c r="F45" s="174">
        <v>4</v>
      </c>
      <c r="G45" s="175">
        <v>0.5</v>
      </c>
      <c r="H45" s="176">
        <v>4</v>
      </c>
      <c r="I45" s="120" t="str">
        <f>IF($B45=0,"",VLOOKUP($B45,Table2[],5,FALSE))</f>
        <v>ounce</v>
      </c>
      <c r="J45" s="109">
        <f>IF($B45=0,"",VLOOKUP($B45,Table2[],7,FALSE))</f>
        <v>3.671875</v>
      </c>
      <c r="K45" s="109">
        <f t="shared" si="2"/>
        <v>7.34</v>
      </c>
      <c r="L45" s="110"/>
    </row>
    <row r="46" spans="1:12" x14ac:dyDescent="0.2">
      <c r="A46" s="143"/>
      <c r="B46" s="180" t="s">
        <v>181</v>
      </c>
      <c r="C46" s="388" t="str">
        <f>IF(B46=0,"",VLOOKUP($B46,Table2[],2,FALSE))</f>
        <v>Additive</v>
      </c>
      <c r="D46" s="388"/>
      <c r="E46" s="388"/>
      <c r="F46" s="174">
        <v>4</v>
      </c>
      <c r="G46" s="175">
        <v>0.5</v>
      </c>
      <c r="H46" s="176">
        <v>5</v>
      </c>
      <c r="I46" s="120" t="str">
        <f>IF($B46=0,"",VLOOKUP($B46,Table2[],5,FALSE))</f>
        <v>ounce</v>
      </c>
      <c r="J46" s="109">
        <f>IF($B46=0,"",VLOOKUP($B46,Table2[],7,FALSE))</f>
        <v>0.203125</v>
      </c>
      <c r="K46" s="109">
        <f t="shared" si="2"/>
        <v>0.51</v>
      </c>
      <c r="L46" s="110"/>
    </row>
    <row r="47" spans="1:12" x14ac:dyDescent="0.2">
      <c r="A47" s="143"/>
      <c r="B47" s="180" t="s">
        <v>182</v>
      </c>
      <c r="C47" s="388" t="str">
        <f>IF(B47=0,"",VLOOKUP($B47,Table2[],2,FALSE))</f>
        <v>Additive</v>
      </c>
      <c r="D47" s="388"/>
      <c r="E47" s="388"/>
      <c r="F47" s="174">
        <v>4</v>
      </c>
      <c r="G47" s="175">
        <v>0.5</v>
      </c>
      <c r="H47" s="176">
        <v>3</v>
      </c>
      <c r="I47" s="120" t="str">
        <f>IF($B47=0,"",VLOOKUP($B47,Table2[],5,FALSE))</f>
        <v>pint</v>
      </c>
      <c r="J47" s="109">
        <f>IF($B47=0,"",VLOOKUP($B47,Table2[],7,FALSE))</f>
        <v>0.22500000000000001</v>
      </c>
      <c r="K47" s="109">
        <f t="shared" si="2"/>
        <v>0.34</v>
      </c>
      <c r="L47" s="110"/>
    </row>
    <row r="48" spans="1:12" x14ac:dyDescent="0.2">
      <c r="A48" s="143"/>
      <c r="B48" s="213" t="s">
        <v>183</v>
      </c>
      <c r="C48" s="387" t="str">
        <f>IF(B48=0,"",VLOOKUP($B48,Table2[],2,FALSE))</f>
        <v>Custom</v>
      </c>
      <c r="D48" s="387"/>
      <c r="E48" s="387"/>
      <c r="F48" s="214">
        <v>5</v>
      </c>
      <c r="G48" s="221">
        <v>0.5</v>
      </c>
      <c r="H48" s="222">
        <v>1</v>
      </c>
      <c r="I48" s="223" t="str">
        <f>IF($B48=0,"",VLOOKUP($B48,Table2[],5,FALSE))</f>
        <v>acre</v>
      </c>
      <c r="J48" s="215">
        <f>IF($B48=0,"",VLOOKUP($B48,Table2[],7,FALSE))</f>
        <v>11</v>
      </c>
      <c r="K48" s="215">
        <f t="shared" si="2"/>
        <v>5.5</v>
      </c>
      <c r="L48" s="216"/>
    </row>
    <row r="49" spans="1:12" x14ac:dyDescent="0.2">
      <c r="A49" s="143" t="s">
        <v>750</v>
      </c>
      <c r="B49" s="180" t="s">
        <v>290</v>
      </c>
      <c r="C49" s="388" t="str">
        <f>IF(B49=0,"",VLOOKUP($B49,Table2[],2,FALSE))</f>
        <v>Insecticide</v>
      </c>
      <c r="D49" s="388"/>
      <c r="E49" s="388"/>
      <c r="F49" s="174">
        <v>5</v>
      </c>
      <c r="G49" s="175">
        <v>0.5</v>
      </c>
      <c r="H49" s="176">
        <v>3.84</v>
      </c>
      <c r="I49" s="120" t="str">
        <f>IF($B49=0,"",VLOOKUP($B49,Table2[],5,FALSE))</f>
        <v>ounce</v>
      </c>
      <c r="J49" s="109">
        <f>IF($B49=0,"",VLOOKUP($B49,Table2[],7,FALSE))</f>
        <v>3.203125</v>
      </c>
      <c r="K49" s="109">
        <f t="shared" si="2"/>
        <v>6.15</v>
      </c>
      <c r="L49" s="110"/>
    </row>
    <row r="50" spans="1:12" x14ac:dyDescent="0.2">
      <c r="A50" s="143"/>
      <c r="B50" s="180" t="s">
        <v>291</v>
      </c>
      <c r="C50" s="388" t="str">
        <f>IF(B50=0,"",VLOOKUP($B50,Table2[],2,FALSE))</f>
        <v>Other</v>
      </c>
      <c r="D50" s="388"/>
      <c r="E50" s="388"/>
      <c r="F50" s="174">
        <v>6</v>
      </c>
      <c r="G50" s="175">
        <v>1</v>
      </c>
      <c r="H50" s="176">
        <v>1</v>
      </c>
      <c r="I50" s="120" t="str">
        <f>IF($B50=0,"",VLOOKUP($B50,Table2[],5,FALSE))</f>
        <v>acre</v>
      </c>
      <c r="J50" s="109">
        <f>IF($B50=0,"",VLOOKUP($B50,Table2[],7,FALSE))</f>
        <v>52</v>
      </c>
      <c r="K50" s="109">
        <f t="shared" si="2"/>
        <v>52</v>
      </c>
      <c r="L50" s="110"/>
    </row>
    <row r="51" spans="1:12" x14ac:dyDescent="0.2">
      <c r="A51" s="143"/>
      <c r="B51" s="180" t="s">
        <v>197</v>
      </c>
      <c r="C51" s="388" t="str">
        <f>IF(B51=0,"",VLOOKUP($B51,Table2[],2,FALSE))</f>
        <v>Custom</v>
      </c>
      <c r="D51" s="388"/>
      <c r="E51" s="388"/>
      <c r="F51" s="174">
        <v>8</v>
      </c>
      <c r="G51" s="175">
        <v>1</v>
      </c>
      <c r="H51" s="176">
        <f>$G$4</f>
        <v>30</v>
      </c>
      <c r="I51" s="120" t="str">
        <f>IF($B51=0,"",VLOOKUP($B51,Table2[],5,FALSE))</f>
        <v>cwt</v>
      </c>
      <c r="J51" s="109">
        <f>IF($B51=0,"",VLOOKUP($B51,Table2[],7,FALSE))</f>
        <v>0.3</v>
      </c>
      <c r="K51" s="109">
        <f t="shared" si="2"/>
        <v>9</v>
      </c>
      <c r="L51" s="110"/>
    </row>
    <row r="52" spans="1:12" hidden="1" x14ac:dyDescent="0.2">
      <c r="B52" s="111"/>
      <c r="C52" s="388" t="str">
        <f>IF(B52=0,"",VLOOKUP($B52,Table2[],2,FALSE))</f>
        <v/>
      </c>
      <c r="D52" s="388"/>
      <c r="E52" s="388"/>
      <c r="F52" s="112"/>
      <c r="G52" s="175"/>
      <c r="H52" s="178"/>
      <c r="I52" s="120" t="str">
        <f>IF($B52=0,"",VLOOKUP($B52,Table2[],5,FALSE))</f>
        <v/>
      </c>
      <c r="J52" s="109" t="str">
        <f>IF($B52=0,"",VLOOKUP($B52,Table2[],7,FALSE))</f>
        <v/>
      </c>
      <c r="K52" s="109">
        <f t="shared" si="2"/>
        <v>0</v>
      </c>
      <c r="L52" s="110"/>
    </row>
    <row r="53" spans="1:12" hidden="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1:12" hidden="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1:12" hidden="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1:12" hidden="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1:12" hidden="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1:12" hidden="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idden="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idden="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idden="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1:12" x14ac:dyDescent="0.2">
      <c r="B62" s="260" t="s">
        <v>430</v>
      </c>
      <c r="C62" s="387" t="s">
        <v>655</v>
      </c>
      <c r="D62" s="387"/>
      <c r="E62" s="387"/>
      <c r="F62" s="218"/>
      <c r="G62" s="224"/>
      <c r="H62" s="225"/>
      <c r="I62" s="247"/>
      <c r="J62" s="215">
        <f ca="1">IF(F5=0,E5,F5)</f>
        <v>11</v>
      </c>
      <c r="K62" s="215">
        <f ca="1">IF(B62=0,0,J62)</f>
        <v>11</v>
      </c>
      <c r="L62" s="227"/>
    </row>
    <row r="63" spans="1:12" ht="3.75" customHeight="1" thickBot="1" x14ac:dyDescent="0.25">
      <c r="B63" s="114"/>
      <c r="C63" s="121"/>
      <c r="D63" s="121"/>
      <c r="E63" s="121"/>
      <c r="F63" s="115"/>
      <c r="G63" s="122"/>
      <c r="H63" s="114"/>
      <c r="I63" s="123"/>
      <c r="J63" s="124"/>
      <c r="K63" s="125"/>
      <c r="L63" s="117"/>
    </row>
    <row r="64" spans="1:12" ht="13.5" thickTop="1" x14ac:dyDescent="0.2">
      <c r="C64" s="108" t="s">
        <v>671</v>
      </c>
      <c r="D64" s="108"/>
      <c r="J64" s="126"/>
      <c r="K64" s="141">
        <f ca="1">SUM(K37:K62)</f>
        <v>258.8</v>
      </c>
      <c r="L64" s="110"/>
    </row>
    <row r="65" spans="2:12" x14ac:dyDescent="0.2">
      <c r="B65" s="358" t="s">
        <v>909</v>
      </c>
      <c r="C65" s="358"/>
      <c r="D65" s="358"/>
      <c r="E65" s="358"/>
      <c r="F65" s="352" t="s">
        <v>916</v>
      </c>
      <c r="G65" s="358"/>
      <c r="H65" s="358"/>
      <c r="I65" s="358"/>
      <c r="K65" s="128"/>
    </row>
    <row r="66" spans="2:12" x14ac:dyDescent="0.2">
      <c r="B66" s="358"/>
      <c r="C66" s="358"/>
      <c r="D66" s="358"/>
      <c r="E66" s="358"/>
      <c r="F66" s="352"/>
      <c r="G66" s="358"/>
      <c r="H66" s="358"/>
      <c r="I66" s="358"/>
      <c r="K66" s="128"/>
    </row>
    <row r="67" spans="2:12" x14ac:dyDescent="0.2">
      <c r="B67" s="107" t="s">
        <v>672</v>
      </c>
      <c r="K67" s="141">
        <f ca="1">K33+K64</f>
        <v>416.46000000000004</v>
      </c>
      <c r="L67" s="110"/>
    </row>
    <row r="68" spans="2:12" ht="13.5" thickBot="1" x14ac:dyDescent="0.25">
      <c r="D68" s="128" t="s">
        <v>673</v>
      </c>
      <c r="E68" s="129">
        <f ca="1">ROUND(SUM($E$33:$H$33)+$K$64,2)</f>
        <v>347.25</v>
      </c>
      <c r="F68" s="388" t="s">
        <v>674</v>
      </c>
      <c r="G68" s="388"/>
      <c r="H68" s="130">
        <f>'General Variables'!$B$11</f>
        <v>7.4999999999999997E-2</v>
      </c>
      <c r="I68" s="131" t="str">
        <f>CONCATENATE("for ",TEXT('General Variables'!$B$12,"0.0")," mo.")</f>
        <v>for 6.0 mo.</v>
      </c>
      <c r="K68" s="145">
        <f ca="1">E68*H68*'General Variables'!$B$12/12</f>
        <v>13.021875</v>
      </c>
      <c r="L68" s="133"/>
    </row>
    <row r="69" spans="2:12" ht="13.5" thickTop="1" x14ac:dyDescent="0.2">
      <c r="B69" s="107" t="s">
        <v>675</v>
      </c>
      <c r="K69" s="141">
        <f ca="1">SUM(K67:K68)</f>
        <v>429.48187500000006</v>
      </c>
      <c r="L69" s="110"/>
    </row>
    <row r="70" spans="2:12" x14ac:dyDescent="0.2">
      <c r="K70" s="128"/>
    </row>
    <row r="71" spans="2:12" x14ac:dyDescent="0.2">
      <c r="B71" s="104" t="s">
        <v>676</v>
      </c>
      <c r="C71" s="134"/>
      <c r="D71" s="134"/>
      <c r="E71" s="134"/>
      <c r="F71" s="134"/>
      <c r="G71" s="134"/>
      <c r="H71" s="134"/>
      <c r="I71" s="134"/>
      <c r="J71" s="134"/>
      <c r="K71" s="142">
        <f>'General Variables'!B14</f>
        <v>35</v>
      </c>
      <c r="L71" s="110"/>
    </row>
    <row r="72" spans="2:12" x14ac:dyDescent="0.2">
      <c r="B72" s="103" t="s">
        <v>687</v>
      </c>
      <c r="C72" s="402" t="s">
        <v>42</v>
      </c>
      <c r="D72" s="403"/>
      <c r="E72" s="404"/>
      <c r="F72" s="136">
        <f>IF(C72=0,0,VLOOKUP(C72,RETable,2,FALSE))</f>
        <v>3970</v>
      </c>
      <c r="G72" s="388" t="s">
        <v>678</v>
      </c>
      <c r="H72" s="388"/>
      <c r="I72" s="130">
        <f>'General Variables'!$B$10</f>
        <v>0.03</v>
      </c>
      <c r="K72" s="146">
        <f>ROUND(F72*I72,2)</f>
        <v>119.1</v>
      </c>
      <c r="L72" s="110"/>
    </row>
    <row r="73" spans="2:12" ht="13.5" thickBot="1" x14ac:dyDescent="0.25">
      <c r="B73" s="103" t="s">
        <v>679</v>
      </c>
      <c r="F73" s="138">
        <f>IF(C72=0,0,VLOOKUP(C72,RETable,2,FALSE))</f>
        <v>3970</v>
      </c>
      <c r="G73" s="397" t="s">
        <v>678</v>
      </c>
      <c r="H73" s="397"/>
      <c r="I73" s="139">
        <f>'General Variables'!$B$13</f>
        <v>1.2999999999999999E-2</v>
      </c>
      <c r="J73" s="105"/>
      <c r="K73" s="147">
        <f>ROUND(F73*I73,2)</f>
        <v>51.61</v>
      </c>
      <c r="L73" s="133"/>
    </row>
    <row r="74" spans="2:12" ht="13.5" thickTop="1" x14ac:dyDescent="0.2">
      <c r="B74" s="107" t="s">
        <v>680</v>
      </c>
      <c r="K74" s="141">
        <f ca="1">SUM(K69:K73)</f>
        <v>635.1918750000001</v>
      </c>
      <c r="L74" s="110"/>
    </row>
    <row r="75" spans="2:12" x14ac:dyDescent="0.2">
      <c r="K75" s="128"/>
    </row>
    <row r="76" spans="2:12" x14ac:dyDescent="0.2">
      <c r="B76" s="104" t="str">
        <f>IF(G4="","","Cash Cost per "&amp;H4)</f>
        <v>Cash Cost per cwt</v>
      </c>
      <c r="C76" s="261" t="s">
        <v>688</v>
      </c>
      <c r="D76" s="105"/>
      <c r="E76" s="105"/>
      <c r="F76" s="105"/>
      <c r="G76" s="105"/>
      <c r="H76" s="105"/>
      <c r="I76" s="105"/>
      <c r="J76" s="105"/>
      <c r="K76" s="142">
        <f ca="1">IF(G4=0,0,(E68+K68+K71+K73)/G4)</f>
        <v>14.896062500000001</v>
      </c>
      <c r="L76" s="148"/>
    </row>
    <row r="77" spans="2:12" x14ac:dyDescent="0.2">
      <c r="B77" s="107" t="str">
        <f>IF(G4="","","Cost of production per "&amp;H4)</f>
        <v>Cost of production per cwt</v>
      </c>
      <c r="K77" s="141">
        <f ca="1">IF(G4="","",K74/G4)</f>
        <v>21.173062500000004</v>
      </c>
      <c r="L77" s="110"/>
    </row>
    <row r="79" spans="2:12" x14ac:dyDescent="0.2">
      <c r="D79" s="103" t="s">
        <v>900</v>
      </c>
      <c r="G79" s="105"/>
      <c r="H79" s="105"/>
      <c r="I79" s="105"/>
      <c r="J79" s="105"/>
      <c r="K79" s="355" t="s">
        <v>901</v>
      </c>
      <c r="L79" s="105"/>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5"/>
      <c r="C113" s="105"/>
      <c r="D113" s="105"/>
      <c r="H113" s="103" t="e">
        <f>'General Variables'!#REF!</f>
        <v>#REF!</v>
      </c>
    </row>
    <row r="114" spans="2:11" x14ac:dyDescent="0.2">
      <c r="B114" s="105"/>
      <c r="C114" s="105"/>
      <c r="D114" s="105"/>
      <c r="H114" s="103" t="e">
        <f>'General Variables'!#REF!</f>
        <v>#REF!</v>
      </c>
      <c r="K114" s="103" t="s">
        <v>681</v>
      </c>
    </row>
    <row r="115" spans="2:11" x14ac:dyDescent="0.2">
      <c r="B115" s="105"/>
      <c r="C115" s="105"/>
      <c r="D115" s="105"/>
      <c r="H115" s="103" t="e">
        <f>'General Variables'!#REF!</f>
        <v>#REF!</v>
      </c>
      <c r="K115" s="103" t="s">
        <v>654</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t="str">
        <f>IF(Operations!A96="","",Operations!A96)</f>
        <v/>
      </c>
      <c r="C243" s="105" t="str">
        <f>IF(Materials!B140="","",Materials!B140)</f>
        <v>Alfalfa w/Inoculant</v>
      </c>
    </row>
    <row r="244" spans="2:3" x14ac:dyDescent="0.2">
      <c r="B244" s="105" t="str">
        <f>IF(Operations!A97="","",Operations!A97)</f>
        <v/>
      </c>
      <c r="C244" s="105" t="str">
        <f>IF(Materials!B141="","",Materials!B141)</f>
        <v>Corn</v>
      </c>
    </row>
    <row r="245" spans="2:3" x14ac:dyDescent="0.2">
      <c r="B245" s="105" t="str">
        <f>IF(Operations!A98="","",Operations!A98)</f>
        <v/>
      </c>
      <c r="C245" s="105" t="str">
        <f>IF(Materials!B142="","",Materials!B142)</f>
        <v>Corn Bt, ECB, &amp; RIB</v>
      </c>
    </row>
    <row r="246" spans="2:3" x14ac:dyDescent="0.2">
      <c r="B246" s="105" t="str">
        <f>IF(Operations!A99="","",Operations!A99)</f>
        <v/>
      </c>
      <c r="C246" s="105" t="str">
        <f>IF(Materials!B143="","",Materials!B143)</f>
        <v>Corn Bt, ECB, RR2, LL, &amp; RIB</v>
      </c>
    </row>
    <row r="247" spans="2:3" x14ac:dyDescent="0.2">
      <c r="B247" s="105" t="str">
        <f>IF(Operations!A100="","",Operations!A100)</f>
        <v/>
      </c>
      <c r="C247" s="105" t="str">
        <f>IF(Materials!B144="","",Materials!B144)</f>
        <v>Corn Bt, ECB, RW, &amp; RIB</v>
      </c>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2" x14ac:dyDescent="0.2">
      <c r="B257" s="105"/>
    </row>
    <row r="258" spans="2:2" x14ac:dyDescent="0.2">
      <c r="B258" s="105"/>
    </row>
  </sheetData>
  <mergeCells count="49">
    <mergeCell ref="C56:E56"/>
    <mergeCell ref="C45:E45"/>
    <mergeCell ref="C46:E46"/>
    <mergeCell ref="C47:E47"/>
    <mergeCell ref="C48:E48"/>
    <mergeCell ref="C54:E54"/>
    <mergeCell ref="C55:E55"/>
    <mergeCell ref="C49:E49"/>
    <mergeCell ref="C50:E50"/>
    <mergeCell ref="C51:E51"/>
    <mergeCell ref="C52:E52"/>
    <mergeCell ref="C53:E53"/>
    <mergeCell ref="F68:G68"/>
    <mergeCell ref="C72:E72"/>
    <mergeCell ref="G72:H72"/>
    <mergeCell ref="G73:H73"/>
    <mergeCell ref="C57:E57"/>
    <mergeCell ref="C58:E58"/>
    <mergeCell ref="C59:E59"/>
    <mergeCell ref="C60:E60"/>
    <mergeCell ref="C61:E61"/>
    <mergeCell ref="C62:E62"/>
    <mergeCell ref="C44:E44"/>
    <mergeCell ref="J35:J36"/>
    <mergeCell ref="C38:E38"/>
    <mergeCell ref="C39:E39"/>
    <mergeCell ref="C40:E40"/>
    <mergeCell ref="C37:E37"/>
    <mergeCell ref="C43:E43"/>
    <mergeCell ref="F35:F36"/>
    <mergeCell ref="G35:G36"/>
    <mergeCell ref="C41:E41"/>
    <mergeCell ref="C42:E42"/>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 ref="H35:I35"/>
  </mergeCells>
  <dataValidations count="9">
    <dataValidation type="list" allowBlank="1" showInputMessage="1" showErrorMessage="1" sqref="B32" xr:uid="{00000000-0002-0000-4F00-000000000000}">
      <formula1>$B$113:$B$210</formula1>
    </dataValidation>
    <dataValidation type="list" allowBlank="1" showInputMessage="1" showErrorMessage="1" sqref="B63" xr:uid="{00000000-0002-0000-4F00-000001000000}">
      <formula1>$C$113:$C$231</formula1>
    </dataValidation>
    <dataValidation type="list" allowBlank="1" showInputMessage="1" showErrorMessage="1" sqref="K4" xr:uid="{00000000-0002-0000-4F00-000002000000}">
      <formula1>$K$113:$K$115</formula1>
    </dataValidation>
    <dataValidation type="list" allowBlank="1" showInputMessage="1" showErrorMessage="1" sqref="B37:B61" xr:uid="{00000000-0002-0000-4F00-000003000000}">
      <formula1>MaterialList</formula1>
    </dataValidation>
    <dataValidation type="list" allowBlank="1" showInputMessage="1" showErrorMessage="1" sqref="C72:E72" xr:uid="{00000000-0002-0000-4F00-000004000000}">
      <formula1>RealEstateList</formula1>
    </dataValidation>
    <dataValidation type="list" allowBlank="1" showInputMessage="1" showErrorMessage="1" sqref="B12:B31" xr:uid="{00000000-0002-0000-4F00-000005000000}">
      <formula1>OperationList</formula1>
    </dataValidation>
    <dataValidation type="list" allowBlank="1" showInputMessage="1" showErrorMessage="1" sqref="D12:D32" xr:uid="{00000000-0002-0000-4F00-000006000000}">
      <formula1>#REF!</formula1>
    </dataValidation>
    <dataValidation type="list" allowBlank="1" showInputMessage="1" showErrorMessage="1" sqref="K2" xr:uid="{00000000-0002-0000-4F00-000007000000}">
      <formula1>watersource</formula1>
    </dataValidation>
    <dataValidation type="list" allowBlank="1" showInputMessage="1" showErrorMessage="1" sqref="C3" xr:uid="{00000000-0002-0000-4F00-000008000000}">
      <formula1>TillageSystem</formula1>
    </dataValidation>
  </dataValidations>
  <pageMargins left="0.7" right="0.7" top="0.75" bottom="0.75" header="0.3" footer="0.3"/>
  <pageSetup scale="7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2">
    <pageSetUpPr fitToPage="1"/>
  </sheetPr>
  <dimension ref="A2:M257"/>
  <sheetViews>
    <sheetView topLeftCell="A11" zoomScaleNormal="100" workbookViewId="0">
      <selection activeCell="B37" sqref="B37"/>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7109375" style="103" customWidth="1"/>
    <col min="12" max="16384" width="9.140625" style="103"/>
  </cols>
  <sheetData>
    <row r="2" spans="1:13" ht="14.25" hidden="1" customHeight="1" x14ac:dyDescent="0.2">
      <c r="B2" s="103" t="s">
        <v>20</v>
      </c>
      <c r="C2" s="187"/>
      <c r="D2" s="187"/>
      <c r="E2" s="187"/>
      <c r="F2" s="128" t="s">
        <v>648</v>
      </c>
      <c r="G2" s="392" t="s">
        <v>682</v>
      </c>
      <c r="H2" s="392"/>
      <c r="J2" s="128" t="s">
        <v>649</v>
      </c>
      <c r="K2" s="401" t="s">
        <v>74</v>
      </c>
      <c r="L2" s="401"/>
    </row>
    <row r="3" spans="1:13" hidden="1" x14ac:dyDescent="0.2">
      <c r="B3" s="103" t="s">
        <v>38</v>
      </c>
      <c r="C3" s="391" t="s">
        <v>46</v>
      </c>
      <c r="D3" s="391"/>
      <c r="E3" s="391"/>
      <c r="G3" s="128" t="s">
        <v>650</v>
      </c>
      <c r="H3" s="187"/>
      <c r="J3" s="128" t="s">
        <v>651</v>
      </c>
      <c r="K3" s="187"/>
    </row>
    <row r="4" spans="1:13" hidden="1" x14ac:dyDescent="0.2">
      <c r="B4" s="103" t="s">
        <v>652</v>
      </c>
      <c r="C4" s="392" t="s">
        <v>49</v>
      </c>
      <c r="D4" s="392"/>
      <c r="E4" s="392"/>
      <c r="G4" s="103" t="str">
        <f>IFERROR(VALUE(LEFT($H$3,FIND(" ",$H$3))),"")</f>
        <v/>
      </c>
      <c r="H4" s="103" t="str">
        <f>IFERROR(RIGHT(H3,LEN(H3)-LEN(G4)-1),"")</f>
        <v/>
      </c>
      <c r="J4" s="128" t="s">
        <v>653</v>
      </c>
      <c r="K4" s="188"/>
    </row>
    <row r="5" spans="1:13" ht="15.75" hidden="1" customHeight="1" x14ac:dyDescent="0.2">
      <c r="B5" s="103" t="s">
        <v>655</v>
      </c>
      <c r="C5" s="238" t="str">
        <f ca="1">MID(CELL("filename",C5),FIND("]",CELL("filename",C5))+1,255)</f>
        <v>2-Alfalfa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2-Alfalfa, Roundup Ready®, No Till, Fall Establishment,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2-Alfalfa, Roundup Ready®, No Till, Fall Establishment</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IF(C12&gt;9999,"",SUM(E12:J12))</f>
        <v>5.75</v>
      </c>
      <c r="L12" s="110"/>
    </row>
    <row r="13" spans="1:13" x14ac:dyDescent="0.2">
      <c r="A13" s="170">
        <v>2</v>
      </c>
      <c r="B13" s="180" t="s">
        <v>493</v>
      </c>
      <c r="C13" s="174">
        <v>1</v>
      </c>
      <c r="D13" s="174"/>
      <c r="E13" s="109">
        <f>IF(B13=0,"",IF(C13&gt;9999,"",ROUND('General Variables'!$B$4*VLOOKUP(B13,Operations!$A$2:$U$79,10,FALSE)/VLOOKUP(B13,Operations!$A$2:$U$79,9,FALSE)*C13,2)))</f>
        <v>2.95</v>
      </c>
      <c r="F13" s="109">
        <f>IF(B13=0,0,IF(C13&gt;9999,"",ROUND(IF(VLOOKUP(B13,Operations!$A$2:$U$79,12,FALSE)=0,VLOOKUP(B13,Operations!$A$2:$U$79,13,FALSE)*'General Variables'!$B$8,VLOOKUP(B13,Operations!$A$2:$U$79,12,FALSE)*'General Variables'!$B$7)/VLOOKUP(B13,Operations!$A$2:$U$79,9,FALSE)*C13,2)))</f>
        <v>1.45</v>
      </c>
      <c r="G13" s="109">
        <f>IF(B13=0,0,IF(C13&gt;9999,"",ROUND(VLOOKUP(VLOOKUP(B13,Operations!$A$2:$U$79,11,FALSE),PowerUnits[],10,FALSE)/VLOOKUP(B13,Operations!$A$2:$U$79,9,FALSE)*C13,2)))</f>
        <v>0.08</v>
      </c>
      <c r="H13" s="109">
        <f>IF(B13=0,"",IF(C13&gt;9999,"",ROUND(VLOOKUP($B13,Operations!$A$2:$U$79,15,FALSE)*C13,2)))</f>
        <v>5</v>
      </c>
      <c r="I13" s="109">
        <f>IF(B13=0,0,IF(C13&gt;9999,"",ROUND(VLOOKUP(VLOOKUP(B13,Operations!$A$2:$U$79,11,FALSE),PowerUnits[],16,FALSE)/VLOOKUP(B13,Operations!$A$2:$U$79,9,FALSE)*C13,2)))</f>
        <v>3.93</v>
      </c>
      <c r="J13" s="109">
        <f>IF(B13=0,"",IF(C13&gt;9999,"",ROUND(VLOOKUP($B13,Operations!$A$2:$U$79,21,FALSE)*$C13,2)))</f>
        <v>5.24</v>
      </c>
      <c r="K13" s="109">
        <f t="shared" ref="K13:K31" si="0">IF(C13&gt;9999,"",SUM(E13:J13))</f>
        <v>18.649999999999999</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552</v>
      </c>
      <c r="C15" s="214">
        <v>0.2</v>
      </c>
      <c r="D15" s="214"/>
      <c r="E15" s="215">
        <f>IF(B15=0,"",IF(C15&gt;9999,"",ROUND('General Variables'!$B$4*VLOOKUP(B15,Operations!$A$2:$U$79,10,FALSE)/VLOOKUP(B15,Operations!$A$2:$U$79,9,FALSE)*C15,2)))</f>
        <v>0.2</v>
      </c>
      <c r="F15" s="215">
        <f>IF(B15=0,0,IF(C15&gt;9999,"",ROUND(IF(VLOOKUP(B15,Operations!$A$2:$U$79,12,FALSE)=0,VLOOKUP(B15,Operations!$A$2:$U$79,13,FALSE)*'General Variables'!$B$8,VLOOKUP(B15,Operations!$A$2:$U$79,12,FALSE)*'General Variables'!$B$7)/VLOOKUP(B15,Operations!$A$2:$U$79,9,FALSE)*C15,2)))</f>
        <v>0.05</v>
      </c>
      <c r="G15" s="215">
        <f>IF(B15=0,0,IF(C15&gt;9999,"",ROUND(VLOOKUP(VLOOKUP(B15,Operations!$A$2:$U$79,11,FALSE),PowerUnits[],10,FALSE)/VLOOKUP(B15,Operations!$A$2:$U$79,9,FALSE)*C15,2)))</f>
        <v>0.01</v>
      </c>
      <c r="H15" s="215">
        <f>IF(B15=0,"",IF(C15&gt;9999,"",ROUND(VLOOKUP($B15,Operations!$A$2:$U$79,15,FALSE)*C15,2)))</f>
        <v>0.22</v>
      </c>
      <c r="I15" s="215">
        <f>IF(B15=0,0,IF(C15&gt;9999,"",ROUND(VLOOKUP(VLOOKUP(B15,Operations!$A$2:$U$79,11,FALSE),PowerUnits[],16,FALSE)/VLOOKUP(B15,Operations!$A$2:$U$79,9,FALSE)*C15,2)))</f>
        <v>0.26</v>
      </c>
      <c r="J15" s="215">
        <f>IF(B15=0,"",IF(C15&gt;9999,"",ROUND(VLOOKUP($B15,Operations!$A$2:$U$79,21,FALSE)*$C15,2)))</f>
        <v>0.4</v>
      </c>
      <c r="K15" s="215">
        <f t="shared" si="0"/>
        <v>1.1400000000000001</v>
      </c>
      <c r="L15" s="216"/>
    </row>
    <row r="16" spans="1:13" hidden="1" x14ac:dyDescent="0.2">
      <c r="A16" s="170">
        <v>5</v>
      </c>
      <c r="B16" s="180"/>
      <c r="C16" s="174"/>
      <c r="D16" s="174"/>
      <c r="E16" s="109" t="str">
        <f>IF(B16=0,"",IF(C16&gt;9999,"",ROUND('General Variables'!$B$4*VLOOKUP(B16,Operations!$A$2:$U$79,10,FALSE)/VLOOKUP(B16,Operations!$A$2:$U$79,9,FALSE)*C16,2)))</f>
        <v/>
      </c>
      <c r="F16" s="109">
        <f>IF(B16=0,0,IF(C16&gt;9999,"",ROUND(IF(VLOOKUP(B16,Operations!$A$2:$U$79,12,FALSE)=0,VLOOKUP(B16,Operations!$A$2:$U$79,13,FALSE)*'General Variables'!$B$8,VLOOKUP(B16,Operations!$A$2:$U$79,12,FALSE)*'General Variables'!$B$7)/VLOOKUP(B16,Operations!$A$2:$U$79,9,FALSE)*C16,2)))</f>
        <v>0</v>
      </c>
      <c r="G16" s="109">
        <f>IF(B16=0,0,IF(C16&gt;9999,"",ROUND(VLOOKUP(VLOOKUP(B16,Operations!$A$2:$U$79,11,FALSE),PowerUnits[],10,FALSE)/VLOOKUP(B16,Operations!$A$2:$U$79,9,FALSE)*C16,2)))</f>
        <v>0</v>
      </c>
      <c r="H16" s="109" t="str">
        <f>IF(B16=0,"",IF(C16&gt;9999,"",ROUND(VLOOKUP($B16,Operations!$A$2:$U$79,15,FALSE)*C16,2)))</f>
        <v/>
      </c>
      <c r="I16" s="109">
        <f>IF(B16=0,0,IF(C16&gt;9999,"",ROUND(VLOOKUP(VLOOKUP(B16,Operations!$A$2:$U$79,11,FALSE),PowerUnits[],16,FALSE)/VLOOKUP(B16,Operations!$A$2:$U$79,9,FALSE)*C16,2)))</f>
        <v>0</v>
      </c>
      <c r="J16" s="109" t="str">
        <f>IF(B16=0,"",IF(C16&gt;9999,"",ROUND(VLOOKUP($B16,Operations!$A$2:$U$79,21,FALSE)*$C16,2)))</f>
        <v/>
      </c>
      <c r="K16" s="109">
        <f t="shared" si="0"/>
        <v>0</v>
      </c>
      <c r="L16" s="110"/>
    </row>
    <row r="17" spans="1:12" hidden="1" x14ac:dyDescent="0.2">
      <c r="A17" s="170">
        <v>6</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11"/>
      <c r="C20" s="112"/>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5.19</v>
      </c>
      <c r="F33" s="109">
        <f t="shared" ref="F33:K33" si="1">SUM(F12:F31)</f>
        <v>2.02</v>
      </c>
      <c r="G33" s="109">
        <f t="shared" si="1"/>
        <v>0.15000000000000002</v>
      </c>
      <c r="H33" s="109">
        <f t="shared" si="1"/>
        <v>7.44</v>
      </c>
      <c r="I33" s="109">
        <f t="shared" si="1"/>
        <v>6.8100000000000005</v>
      </c>
      <c r="J33" s="109">
        <f t="shared" si="1"/>
        <v>9.68</v>
      </c>
      <c r="K33" s="109">
        <f t="shared" si="1"/>
        <v>31.29</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930</v>
      </c>
      <c r="C37" s="388" t="str">
        <f>IF(B37=0,"",VLOOKUP($B37,Table2[],2,FALSE))</f>
        <v>Herbicide</v>
      </c>
      <c r="D37" s="388"/>
      <c r="E37" s="388"/>
      <c r="F37" s="174">
        <v>1</v>
      </c>
      <c r="G37" s="175">
        <v>1</v>
      </c>
      <c r="H37" s="176">
        <v>2</v>
      </c>
      <c r="I37" s="120" t="str">
        <f>IF($B37=0,"",VLOOKUP($B37,Table2[],5,FALSE))</f>
        <v>pint</v>
      </c>
      <c r="J37" s="109">
        <f>IF($B37=0,"",VLOOKUP($B37,Table2[],7,FALSE))</f>
        <v>5.375</v>
      </c>
      <c r="K37" s="109">
        <f>IF(B37=0,0,ROUND(G37*H37*J37,2))</f>
        <v>10.75</v>
      </c>
      <c r="L37" s="110"/>
    </row>
    <row r="38" spans="2:12" x14ac:dyDescent="0.2">
      <c r="B38" s="180" t="s">
        <v>204</v>
      </c>
      <c r="C38" s="388" t="str">
        <f>IF(B38=0,"",VLOOKUP($B38,Table2[],2,FALSE))</f>
        <v>Fertilizer</v>
      </c>
      <c r="D38" s="388"/>
      <c r="E38" s="388"/>
      <c r="F38" s="174">
        <v>2</v>
      </c>
      <c r="G38" s="175">
        <v>1</v>
      </c>
      <c r="H38" s="176">
        <v>100</v>
      </c>
      <c r="I38" s="120" t="str">
        <f>IF($B38=0,"",VLOOKUP($B38,Table2[],5,FALSE))</f>
        <v>pound</v>
      </c>
      <c r="J38" s="109">
        <f>IF($B38=0,"",VLOOKUP($B38,Table2[],7,FALSE))</f>
        <v>0.4</v>
      </c>
      <c r="K38" s="109">
        <f t="shared" ref="K38:K62" si="2">IF(B38=0,0,ROUND(G38*H38*J38,2))</f>
        <v>40</v>
      </c>
      <c r="L38" s="110"/>
    </row>
    <row r="39" spans="2:12" x14ac:dyDescent="0.2">
      <c r="B39" s="180" t="s">
        <v>317</v>
      </c>
      <c r="C39" s="388" t="str">
        <f>IF(B39=0,"",VLOOKUP($B39,Table2[],2,FALSE))</f>
        <v>Seed</v>
      </c>
      <c r="D39" s="388"/>
      <c r="E39" s="388"/>
      <c r="F39" s="174">
        <v>2</v>
      </c>
      <c r="G39" s="175">
        <v>1</v>
      </c>
      <c r="H39" s="176">
        <v>12</v>
      </c>
      <c r="I39" s="120" t="str">
        <f>IF($B39=0,"",VLOOKUP($B39,Table2[],5,FALSE))</f>
        <v>pound</v>
      </c>
      <c r="J39" s="109">
        <f>IF($B39=0,"",VLOOKUP($B39,Table2[],7,FALSE))</f>
        <v>10.5</v>
      </c>
      <c r="K39" s="109">
        <f t="shared" si="2"/>
        <v>126</v>
      </c>
      <c r="L39" s="110"/>
    </row>
    <row r="40" spans="2:12" x14ac:dyDescent="0.2">
      <c r="B40" s="213" t="s">
        <v>245</v>
      </c>
      <c r="C40" s="387" t="s">
        <v>228</v>
      </c>
      <c r="D40" s="387"/>
      <c r="E40" s="387"/>
      <c r="F40" s="214">
        <v>3</v>
      </c>
      <c r="G40" s="221">
        <v>1</v>
      </c>
      <c r="H40" s="222">
        <v>1</v>
      </c>
      <c r="I40" s="223" t="s">
        <v>179</v>
      </c>
      <c r="J40" s="215">
        <f>IF($B40=0,"",VLOOKUP($B40,Table2[],7,FALSE))</f>
        <v>6.625</v>
      </c>
      <c r="K40" s="215">
        <f t="shared" ref="K40" si="3">IF(B40=0,0,ROUND(G40*H40*J40,2))</f>
        <v>6.63</v>
      </c>
      <c r="L40" s="216"/>
    </row>
    <row r="41" spans="2:12" x14ac:dyDescent="0.2">
      <c r="B41" s="180" t="s">
        <v>889</v>
      </c>
      <c r="C41" s="388" t="str">
        <f>IF(B41=0,"",VLOOKUP($B41,Table2[],2,FALSE))</f>
        <v>Herbicide</v>
      </c>
      <c r="D41" s="388"/>
      <c r="E41" s="388"/>
      <c r="F41" s="174">
        <v>3</v>
      </c>
      <c r="G41" s="175">
        <v>1</v>
      </c>
      <c r="H41" s="176">
        <v>32</v>
      </c>
      <c r="I41" s="120" t="str">
        <f>IF($B41=0,"",VLOOKUP($B41,Table2[],5,FALSE))</f>
        <v>ounce</v>
      </c>
      <c r="J41" s="109">
        <f>IF($B41=0,"",VLOOKUP($B41,Table2[],7,FALSE))</f>
        <v>0.1953125</v>
      </c>
      <c r="K41" s="109">
        <f t="shared" si="2"/>
        <v>6.25</v>
      </c>
      <c r="L41" s="110"/>
    </row>
    <row r="42" spans="2:12" x14ac:dyDescent="0.2">
      <c r="B42" s="180" t="s">
        <v>170</v>
      </c>
      <c r="C42" s="388" t="str">
        <f>IF(B42=0,"",VLOOKUP($B42,Table2[],2,FALSE))</f>
        <v>Additive</v>
      </c>
      <c r="D42" s="388"/>
      <c r="E42" s="388"/>
      <c r="F42" s="174">
        <v>3</v>
      </c>
      <c r="G42" s="175">
        <v>1</v>
      </c>
      <c r="H42" s="176">
        <v>1.7</v>
      </c>
      <c r="I42" s="120" t="str">
        <f>IF($B42=0,"",VLOOKUP($B42,Table2[],5,FALSE))</f>
        <v>pound</v>
      </c>
      <c r="J42" s="109">
        <f>IF($B42=0,"",VLOOKUP($B42,Table2[],7,FALSE))</f>
        <v>0.4</v>
      </c>
      <c r="K42" s="109">
        <f t="shared" si="2"/>
        <v>0.68</v>
      </c>
      <c r="L42" s="110"/>
    </row>
    <row r="43" spans="2:12" x14ac:dyDescent="0.2">
      <c r="B43" s="180" t="s">
        <v>288</v>
      </c>
      <c r="C43" s="388" t="str">
        <f>IF(B43=0,"",VLOOKUP($B43,Table2[],2,FALSE))</f>
        <v>Insecticide</v>
      </c>
      <c r="D43" s="388"/>
      <c r="E43" s="388"/>
      <c r="F43" s="174">
        <v>4</v>
      </c>
      <c r="G43" s="175">
        <v>0.2</v>
      </c>
      <c r="H43" s="176">
        <v>3</v>
      </c>
      <c r="I43" s="120" t="str">
        <f>IF($B43=0,"",VLOOKUP($B43,Table2[],5,FALSE))</f>
        <v>ounce</v>
      </c>
      <c r="J43" s="109">
        <f>IF($B43=0,"",VLOOKUP($B43,Table2[],7,FALSE))</f>
        <v>1.25</v>
      </c>
      <c r="K43" s="109">
        <f t="shared" si="2"/>
        <v>0.75</v>
      </c>
      <c r="L43" s="110"/>
    </row>
    <row r="44" spans="2:12" ht="12.75" hidden="1" customHeight="1" x14ac:dyDescent="0.2">
      <c r="B44" s="111"/>
      <c r="C44" s="388" t="str">
        <f>IF(B44=0,"",VLOOKUP($B44,Table2[],2,FALSE))</f>
        <v/>
      </c>
      <c r="D44" s="388"/>
      <c r="E44" s="388"/>
      <c r="F44" s="112"/>
      <c r="G44" s="177"/>
      <c r="H44" s="178"/>
      <c r="I44" s="120" t="str">
        <f>IF($B44=0,"",VLOOKUP($B44,Table2[],5,FALSE))</f>
        <v/>
      </c>
      <c r="J44" s="109" t="str">
        <f>IF($B44=0,"",VLOOKUP($B44,Table2[],7,FALSE))</f>
        <v/>
      </c>
      <c r="K44" s="109">
        <f t="shared" si="2"/>
        <v>0</v>
      </c>
      <c r="L44" s="110"/>
    </row>
    <row r="45" spans="2:12" ht="12.75" hidden="1" customHeight="1" x14ac:dyDescent="0.2">
      <c r="B45" s="217"/>
      <c r="C45" s="387" t="str">
        <f>IF(B45=0,"",VLOOKUP($B45,Table2[],2,FALSE))</f>
        <v/>
      </c>
      <c r="D45" s="387"/>
      <c r="E45" s="387"/>
      <c r="F45" s="218"/>
      <c r="G45" s="224"/>
      <c r="H45" s="225"/>
      <c r="I45" s="223" t="str">
        <f>IF($B45=0,"",VLOOKUP($B45,Table2[],5,FALSE))</f>
        <v/>
      </c>
      <c r="J45" s="215" t="str">
        <f>IF($B45=0,"",VLOOKUP($B45,Table2[],7,FALSE))</f>
        <v/>
      </c>
      <c r="K45" s="215">
        <f t="shared" si="2"/>
        <v>0</v>
      </c>
      <c r="L45" s="216"/>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2"/>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2"/>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2"/>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2"/>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191.06</v>
      </c>
      <c r="L64" s="110"/>
    </row>
    <row r="65" spans="2:12" x14ac:dyDescent="0.2">
      <c r="K65" s="127"/>
    </row>
    <row r="66" spans="2:12" x14ac:dyDescent="0.2">
      <c r="B66" s="107" t="s">
        <v>672</v>
      </c>
      <c r="K66" s="127">
        <f>K33+K64</f>
        <v>222.35</v>
      </c>
      <c r="L66" s="110"/>
    </row>
    <row r="67" spans="2:12" ht="13.5" thickBot="1" x14ac:dyDescent="0.25">
      <c r="D67" s="128" t="s">
        <v>673</v>
      </c>
      <c r="E67" s="129">
        <f>ROUND(SUM($E$33:$H$33)+$K$64,2)</f>
        <v>205.86</v>
      </c>
      <c r="F67" s="388" t="s">
        <v>674</v>
      </c>
      <c r="G67" s="388"/>
      <c r="H67" s="130">
        <f>'General Variables'!$B$11</f>
        <v>7.4999999999999997E-2</v>
      </c>
      <c r="I67" s="131" t="str">
        <f>CONCATENATE("for ",TEXT('General Variables'!$B$12,"0.0")," mo.")</f>
        <v>for 6.0 mo.</v>
      </c>
      <c r="K67" s="132">
        <f>E67*H67*'General Variables'!$B$12/12</f>
        <v>7.7197500000000003</v>
      </c>
      <c r="L67" s="133"/>
    </row>
    <row r="68" spans="2:12" ht="13.5" thickTop="1" x14ac:dyDescent="0.2">
      <c r="B68" s="107" t="s">
        <v>675</v>
      </c>
      <c r="K68" s="127">
        <f>SUM(K66:K67)</f>
        <v>230.06975</v>
      </c>
      <c r="L68" s="110"/>
    </row>
    <row r="69" spans="2:12" x14ac:dyDescent="0.2">
      <c r="K69" s="127"/>
    </row>
    <row r="70" spans="2:12" x14ac:dyDescent="0.2">
      <c r="B70" s="104" t="s">
        <v>676</v>
      </c>
      <c r="C70" s="134"/>
      <c r="D70" s="134"/>
      <c r="E70" s="134"/>
      <c r="F70" s="134"/>
      <c r="G70" s="134"/>
      <c r="H70" s="134"/>
      <c r="I70" s="134"/>
      <c r="J70" s="134"/>
      <c r="K70" s="135">
        <v>0</v>
      </c>
      <c r="L70" s="110"/>
    </row>
    <row r="71" spans="2:12" x14ac:dyDescent="0.2">
      <c r="B71" s="103" t="s">
        <v>677</v>
      </c>
      <c r="C71" s="398" t="s">
        <v>49</v>
      </c>
      <c r="D71" s="399"/>
      <c r="E71" s="400"/>
      <c r="F71" s="136">
        <f>IF(C71=0,0,VLOOKUP(C71,RETable,2,FALSE))</f>
        <v>0</v>
      </c>
      <c r="G71" s="388" t="s">
        <v>678</v>
      </c>
      <c r="H71" s="388"/>
      <c r="I71" s="130">
        <f>'General Variables'!$B$10</f>
        <v>0.03</v>
      </c>
      <c r="K71" s="137">
        <f>ROUND(F71*I71,2)</f>
        <v>0</v>
      </c>
      <c r="L71" s="110"/>
    </row>
    <row r="72" spans="2:12" ht="13.5" thickBot="1" x14ac:dyDescent="0.25">
      <c r="B72" s="103" t="s">
        <v>679</v>
      </c>
      <c r="F72" s="138">
        <f>IF(C71=0,0,VLOOKUP(C71,RETable,2,FALSE))</f>
        <v>0</v>
      </c>
      <c r="G72" s="397" t="s">
        <v>678</v>
      </c>
      <c r="H72" s="397"/>
      <c r="I72" s="139">
        <f>'General Variables'!$B$13</f>
        <v>1.2999999999999999E-2</v>
      </c>
      <c r="J72" s="105"/>
      <c r="K72" s="140">
        <f>ROUND(F72*I72,2)</f>
        <v>0</v>
      </c>
      <c r="L72" s="133"/>
    </row>
    <row r="73" spans="2:12" ht="13.5" thickTop="1" x14ac:dyDescent="0.2">
      <c r="B73" s="107" t="s">
        <v>680</v>
      </c>
      <c r="K73" s="127">
        <f>SUM(K68:K72)</f>
        <v>230.06975</v>
      </c>
      <c r="L73" s="110"/>
    </row>
    <row r="74" spans="2:12" x14ac:dyDescent="0.2">
      <c r="K74" s="128"/>
    </row>
    <row r="75" spans="2:12" x14ac:dyDescent="0.2">
      <c r="C75" s="105"/>
      <c r="D75" s="103" t="s">
        <v>900</v>
      </c>
      <c r="G75" s="105"/>
      <c r="H75" s="105"/>
      <c r="I75" s="105"/>
      <c r="J75" s="105"/>
      <c r="K75" s="355" t="s">
        <v>901</v>
      </c>
      <c r="L75" s="105"/>
    </row>
    <row r="76" spans="2:12" x14ac:dyDescent="0.2">
      <c r="B76" s="107" t="str">
        <f>IF(G4="","","Cost of production per "&amp;H4)</f>
        <v/>
      </c>
      <c r="K76" s="141" t="str">
        <f>IF(G4="","",K73/G4)</f>
        <v/>
      </c>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sheetProtection formatCells="0" formatRows="0"/>
  <mergeCells count="49">
    <mergeCell ref="F67:G67"/>
    <mergeCell ref="C71:E71"/>
    <mergeCell ref="G71:H71"/>
    <mergeCell ref="G72:H72"/>
    <mergeCell ref="C57:E57"/>
    <mergeCell ref="C58:E58"/>
    <mergeCell ref="C59:E59"/>
    <mergeCell ref="C60:E60"/>
    <mergeCell ref="C61:E61"/>
    <mergeCell ref="C62:E62"/>
    <mergeCell ref="C56:E56"/>
    <mergeCell ref="C45:E45"/>
    <mergeCell ref="C46:E46"/>
    <mergeCell ref="C47:E47"/>
    <mergeCell ref="C48:E48"/>
    <mergeCell ref="C49:E49"/>
    <mergeCell ref="C50:E50"/>
    <mergeCell ref="C51:E51"/>
    <mergeCell ref="C52:E52"/>
    <mergeCell ref="C53:E53"/>
    <mergeCell ref="C54:E54"/>
    <mergeCell ref="C55:E55"/>
    <mergeCell ref="C44:E44"/>
    <mergeCell ref="F35:F36"/>
    <mergeCell ref="G35:G36"/>
    <mergeCell ref="H35:I35"/>
    <mergeCell ref="J35:J36"/>
    <mergeCell ref="C38:E38"/>
    <mergeCell ref="C39:E39"/>
    <mergeCell ref="C41:E41"/>
    <mergeCell ref="C42:E42"/>
    <mergeCell ref="C43:E43"/>
    <mergeCell ref="C37:E37"/>
    <mergeCell ref="C40:E40"/>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0800-000000000000}">
      <formula1>$B$112:$B$211</formula1>
    </dataValidation>
    <dataValidation type="list" allowBlank="1" showInputMessage="1" showErrorMessage="1" sqref="B63" xr:uid="{00000000-0002-0000-0800-000001000000}">
      <formula1>$C$112:$C$211</formula1>
    </dataValidation>
    <dataValidation type="list" allowBlank="1" showInputMessage="1" showErrorMessage="1" sqref="K4" xr:uid="{00000000-0002-0000-0800-000002000000}">
      <formula1>$K$112:$K$114</formula1>
    </dataValidation>
    <dataValidation type="list" allowBlank="1" showInputMessage="1" showErrorMessage="1" sqref="B37:B61" xr:uid="{00000000-0002-0000-0800-000003000000}">
      <formula1>MaterialList</formula1>
    </dataValidation>
    <dataValidation type="list" allowBlank="1" showInputMessage="1" showErrorMessage="1" sqref="C71:E71" xr:uid="{00000000-0002-0000-0800-000004000000}">
      <formula1>RealEstateList</formula1>
    </dataValidation>
    <dataValidation type="list" allowBlank="1" showInputMessage="1" showErrorMessage="1" sqref="B12:B31" xr:uid="{00000000-0002-0000-0800-000005000000}">
      <formula1>OperationList</formula1>
    </dataValidation>
    <dataValidation type="list" allowBlank="1" showInputMessage="1" showErrorMessage="1" sqref="D12:D32" xr:uid="{00000000-0002-0000-0800-000006000000}">
      <formula1>#REF!</formula1>
    </dataValidation>
    <dataValidation type="list" allowBlank="1" showInputMessage="1" showErrorMessage="1" sqref="K2" xr:uid="{00000000-0002-0000-0800-000007000000}">
      <formula1>watersource</formula1>
    </dataValidation>
    <dataValidation type="list" allowBlank="1" showInputMessage="1" showErrorMessage="1" sqref="C3" xr:uid="{00000000-0002-0000-0800-000008000000}">
      <formula1>TillageSystem</formula1>
    </dataValidation>
  </dataValidations>
  <pageMargins left="0.7" right="0.7" top="0.75" bottom="0.75" header="0.3" footer="0.3"/>
  <pageSetup scale="71"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81">
    <pageSetUpPr fitToPage="1"/>
  </sheetPr>
  <dimension ref="A2:M257"/>
  <sheetViews>
    <sheetView topLeftCell="A37"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724</v>
      </c>
      <c r="D2" s="187"/>
      <c r="E2" s="187"/>
      <c r="F2" s="128" t="s">
        <v>648</v>
      </c>
      <c r="G2" s="392"/>
      <c r="H2" s="392"/>
      <c r="J2" s="128" t="s">
        <v>649</v>
      </c>
      <c r="K2" s="401" t="s">
        <v>74</v>
      </c>
      <c r="L2" s="401"/>
    </row>
    <row r="3" spans="1:13" hidden="1" x14ac:dyDescent="0.2">
      <c r="B3" s="103" t="s">
        <v>38</v>
      </c>
      <c r="C3" s="391" t="s">
        <v>46</v>
      </c>
      <c r="D3" s="391"/>
      <c r="E3" s="391"/>
      <c r="G3" s="128" t="s">
        <v>650</v>
      </c>
      <c r="H3" s="187" t="s">
        <v>789</v>
      </c>
      <c r="J3" s="128" t="s">
        <v>651</v>
      </c>
      <c r="K3" s="187"/>
    </row>
    <row r="4" spans="1:13" hidden="1" x14ac:dyDescent="0.2">
      <c r="B4" s="103" t="s">
        <v>652</v>
      </c>
      <c r="C4" s="392" t="s">
        <v>790</v>
      </c>
      <c r="D4" s="392"/>
      <c r="E4" s="392"/>
      <c r="G4" s="103">
        <v>40</v>
      </c>
      <c r="H4" s="103" t="str">
        <f>IFERROR(RIGHT(H3,LEN(H3)-LEN(G4)-1),"")</f>
        <v>bushel</v>
      </c>
      <c r="J4" s="128" t="s">
        <v>653</v>
      </c>
      <c r="K4" s="188"/>
    </row>
    <row r="5" spans="1:13" ht="15.75" hidden="1" customHeight="1" x14ac:dyDescent="0.2">
      <c r="B5" s="103" t="s">
        <v>655</v>
      </c>
      <c r="C5" s="103" t="str">
        <f ca="1">MID(CELL("filename",C5),FIND("]",CELL("filename",C5))+1,255)</f>
        <v>74-Wheat-Spring</v>
      </c>
      <c r="E5" s="103">
        <f ca="1">VLOOKUP($C$5,CropInsurance,5,FALSE)</f>
        <v>7</v>
      </c>
    </row>
    <row r="6" spans="1:13" ht="15.75" hidden="1" customHeight="1" x14ac:dyDescent="0.25">
      <c r="A6" s="390" t="str">
        <f ca="1">REPLACE(CELL("filename",$A$1),1,FIND("]",CELL("filename",$A$1)),"") &amp;  IF($G$2="","", ", " &amp; $G$2 ) &amp; IF($C$2="","",", "&amp;$C$2&amp;"") &amp; IF($C$3="","",", "&amp;$C$3) &amp; IF($C$4="","",", "&amp;$C$4) &amp; IF($H$3="","",", "&amp;$H$3 &amp; " Yield") &amp; IF(K2="","",", " &amp;K2)</f>
        <v>74-Wheat-Spring, Southwest, No Till, Wheat after Row Crop, 40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74-Wheat-Spring, Southwest, No Till, Wheat after Row Crop, 40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488</v>
      </c>
      <c r="C12" s="174">
        <v>1</v>
      </c>
      <c r="D12" s="174"/>
      <c r="E12" s="109">
        <f>IF(B12=0,"",IF(C12&gt;9999,"",ROUND('General Variables'!$B$4*VLOOKUP(B12,Operations!$A$2:$U$79,10,FALSE)/VLOOKUP(B12,Operations!$A$2:$U$79,9,FALSE)*C12,2)))</f>
        <v>2.38</v>
      </c>
      <c r="F12" s="109">
        <f>IF(B12=0,0,IF(C12&gt;9999,"",ROUND(IF(VLOOKUP(B12,Operations!$A$2:$U$79,12,FALSE)=0,VLOOKUP(B12,Operations!$A$2:$U$79,13,FALSE)*'General Variables'!$B$8,VLOOKUP(B12,Operations!$A$2:$U$79,12,FALSE)*'General Variables'!$B$7)/VLOOKUP(B12,Operations!$A$2:$U$79,9,FALSE)*C12,2)))</f>
        <v>1.28</v>
      </c>
      <c r="G12" s="109">
        <f>IF(B12=0,0,IF(C12&gt;9999,"",ROUND(VLOOKUP(VLOOKUP(B12,Operations!$A$2:$U$79,11,FALSE),PowerUnits[],10,FALSE)/VLOOKUP(B12,Operations!$A$2:$U$79,9,FALSE)*C12,2)))</f>
        <v>7.0000000000000007E-2</v>
      </c>
      <c r="H12" s="109">
        <f>IF(B12=0,"",IF(C12&gt;9999,"",ROUND(VLOOKUP($B12,Operations!$A$2:$U$79,15,FALSE)*C12,2)))</f>
        <v>7.18</v>
      </c>
      <c r="I12" s="109">
        <f>IF(B12=0,0,IF(C12&gt;9999,"",ROUND(VLOOKUP(VLOOKUP(B12,Operations!$A$2:$U$79,11,FALSE),PowerUnits[],16,FALSE)/VLOOKUP(B12,Operations!$A$2:$U$79,9,FALSE)*C12,2)))</f>
        <v>3.46</v>
      </c>
      <c r="J12" s="109">
        <f>IF(B12=0,"",IF(C12&gt;9999,"",ROUND(VLOOKUP($B12,Operations!$A$2:$U$79,21,FALSE)*$C12,2)))</f>
        <v>2.4500000000000002</v>
      </c>
      <c r="K12" s="109">
        <f>IF(C12&gt;9999,"",ROUND(SUM(E12:J12),2))</f>
        <v>16.82</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183</v>
      </c>
      <c r="C14" s="174" t="s">
        <v>184</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109" t="str">
        <f t="shared" si="0"/>
        <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ht="13.5" customHeight="1" x14ac:dyDescent="0.2">
      <c r="A16" s="170" t="s">
        <v>918</v>
      </c>
      <c r="B16" s="180" t="s">
        <v>942</v>
      </c>
      <c r="C16" s="174">
        <v>80</v>
      </c>
      <c r="D16" s="174"/>
      <c r="E16" s="109">
        <f>IF(B16=0,"",IF(C16&gt;9999,"",ROUND('General Variables'!$B$4*VLOOKUP(B16,Operations!$A$2:$U$79,10,FALSE)/VLOOKUP(B16,Operations!$A$2:$U$79,9,FALSE)*C16,2))/85)</f>
        <v>2.150235294117647</v>
      </c>
      <c r="F16" s="109">
        <f>IF(B16=0,0,IF(C16&gt;9999,"",ROUND(IF(VLOOKUP(B16,Operations!$A$2:$U$79,12,FALSE)=0,VLOOKUP(B16,Operations!$A$2:$U$79,13,FALSE)*'General Variables'!$B$8,VLOOKUP(B16,Operations!$A$2:$U$79,12,FALSE)*'General Variables'!$B$7)/VLOOKUP(B16,Operations!$A$2:$U$79,9,FALSE)*C16,2))/85)</f>
        <v>2.4229411764705882</v>
      </c>
      <c r="G16" s="109">
        <f>IF(B16=0,0,IF(C16&gt;9999,"",ROUND(VLOOKUP(VLOOKUP(B16,Operations!$A$2:$U$79,11,FALSE),PowerUnits[],10,FALSE)/VLOOKUP(B16,Operations!$A$2:$U$79,9,FALSE)*C16,2))/85)</f>
        <v>3.7363529411764702</v>
      </c>
      <c r="H16" s="109">
        <f>IF(B16=0,"",IF(C16&gt;9999,"",ROUND(VLOOKUP($B16,Operations!$A$2:$U$79,15,FALSE)*C16,2))/85)</f>
        <v>0.37517647058823528</v>
      </c>
      <c r="I16" s="109">
        <f>IF(B16=0,0,IF(C16&gt;9999,"",ROUND(VLOOKUP(VLOOKUP(B16,Operations!$A$2:$U$79,11,FALSE),PowerUnits[],16,FALSE)/VLOOKUP(B16,Operations!$A$2:$U$79,9,FALSE)*C16,2))/85)</f>
        <v>8.9981176470588231</v>
      </c>
      <c r="J16" s="109">
        <f>IF(B16=0,"",IF(C16&gt;9999,"",ROUND(VLOOKUP($B16,Operations!$A$2:$U$79,21,FALSE)*$C16,2))/85)</f>
        <v>2.8996470588235295</v>
      </c>
      <c r="K16" s="109">
        <f>IF(C16&gt;9999,"",ROUND(SUM(E16:J16),2))</f>
        <v>20.58</v>
      </c>
      <c r="L16" s="110"/>
    </row>
    <row r="17" spans="1:12" x14ac:dyDescent="0.2">
      <c r="A17" s="170">
        <v>6</v>
      </c>
      <c r="B17" s="180" t="s">
        <v>565</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5.5502352941176465</v>
      </c>
      <c r="F33" s="109">
        <f t="shared" ref="F33:K33" si="1">SUM(F12:F31)</f>
        <v>3.9629411764705882</v>
      </c>
      <c r="G33" s="109">
        <f t="shared" si="1"/>
        <v>3.8363529411764703</v>
      </c>
      <c r="H33" s="109">
        <f t="shared" si="1"/>
        <v>7.8851764705882355</v>
      </c>
      <c r="I33" s="109">
        <f t="shared" si="1"/>
        <v>13.768117647058823</v>
      </c>
      <c r="J33" s="109">
        <f t="shared" si="1"/>
        <v>9.5496470588235294</v>
      </c>
      <c r="K33" s="109">
        <f t="shared" si="1"/>
        <v>44.55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1</v>
      </c>
      <c r="G37" s="175">
        <v>1</v>
      </c>
      <c r="H37" s="176">
        <v>8</v>
      </c>
      <c r="I37" s="120" t="str">
        <f>IF($B37=0,"",VLOOKUP($B37,Table2[],5,FALSE))</f>
        <v>gallon</v>
      </c>
      <c r="J37" s="109">
        <f>IF($B37=0,"",VLOOKUP($B37,Table2[],7,FALSE))</f>
        <v>3.1</v>
      </c>
      <c r="K37" s="109">
        <f>IF(B37=0,0,ROUND(G37*H37*J37,2))</f>
        <v>24.8</v>
      </c>
      <c r="L37" s="110"/>
    </row>
    <row r="38" spans="1:12" x14ac:dyDescent="0.2">
      <c r="A38" s="105"/>
      <c r="B38" s="180" t="s">
        <v>350</v>
      </c>
      <c r="C38" s="388" t="str">
        <f>IF(B38=0,"",VLOOKUP($B38,Table2[],2,FALSE))</f>
        <v>Seed</v>
      </c>
      <c r="D38" s="388"/>
      <c r="E38" s="388"/>
      <c r="F38" s="174">
        <v>1</v>
      </c>
      <c r="G38" s="175">
        <v>1</v>
      </c>
      <c r="H38" s="176">
        <v>90</v>
      </c>
      <c r="I38" s="120" t="str">
        <f>IF($B38=0,"",VLOOKUP($B38,Table2[],5,FALSE))</f>
        <v>pound</v>
      </c>
      <c r="J38" s="109">
        <f>IF($B38=0,"",VLOOKUP($B38,Table2[],7,FALSE))</f>
        <v>0.41</v>
      </c>
      <c r="K38" s="109">
        <f t="shared" ref="K38:K55" si="2">IF(B38=0,0,ROUND(G38*H38*J38,2))</f>
        <v>36.9</v>
      </c>
      <c r="L38" s="110"/>
    </row>
    <row r="39" spans="1:12" x14ac:dyDescent="0.2">
      <c r="A39" s="105"/>
      <c r="B39" s="180" t="s">
        <v>205</v>
      </c>
      <c r="C39" s="388" t="str">
        <f>IF(B39=0,"",VLOOKUP($B39,Table2[],2,FALSE))</f>
        <v>Fertilizer</v>
      </c>
      <c r="D39" s="388"/>
      <c r="E39" s="388"/>
      <c r="F39" s="174">
        <v>2</v>
      </c>
      <c r="G39" s="175">
        <v>1</v>
      </c>
      <c r="H39" s="176">
        <v>75</v>
      </c>
      <c r="I39" s="120" t="str">
        <f>IF($B39=0,"",VLOOKUP($B39,Table2[],5,FALSE))</f>
        <v>lbs N</v>
      </c>
      <c r="J39" s="109">
        <f>IF($B39=0,"",VLOOKUP($B39,Table2[],7,FALSE))</f>
        <v>0.5</v>
      </c>
      <c r="K39" s="109">
        <f t="shared" si="2"/>
        <v>37.5</v>
      </c>
      <c r="L39" s="110"/>
    </row>
    <row r="40" spans="1:12" x14ac:dyDescent="0.2">
      <c r="A40" s="105"/>
      <c r="B40" s="213" t="s">
        <v>234</v>
      </c>
      <c r="C40" s="387" t="str">
        <f>IF(B40=0,"",VLOOKUP($B40,Table2[],2,FALSE))</f>
        <v>Herbicide</v>
      </c>
      <c r="D40" s="387"/>
      <c r="E40" s="387"/>
      <c r="F40" s="214">
        <v>2</v>
      </c>
      <c r="G40" s="221">
        <v>1</v>
      </c>
      <c r="H40" s="222">
        <v>0.3</v>
      </c>
      <c r="I40" s="223" t="str">
        <f>IF($B40=0,"",VLOOKUP($B40,Table2[],5,FALSE))</f>
        <v>ounce</v>
      </c>
      <c r="J40" s="215">
        <f>IF($B40=0,"",VLOOKUP($B40,Table2[],7,FALSE))</f>
        <v>11</v>
      </c>
      <c r="K40" s="215">
        <f t="shared" si="2"/>
        <v>3.3</v>
      </c>
      <c r="L40" s="216"/>
    </row>
    <row r="41" spans="1:12" x14ac:dyDescent="0.2">
      <c r="A41" s="105"/>
      <c r="B41" s="180" t="s">
        <v>229</v>
      </c>
      <c r="C41" s="388" t="str">
        <f>IF(B41=0,"",VLOOKUP($B41,Table2[],2,FALSE))</f>
        <v>Herbicide</v>
      </c>
      <c r="D41" s="388"/>
      <c r="E41" s="388"/>
      <c r="F41" s="174">
        <v>2</v>
      </c>
      <c r="G41" s="175">
        <v>1</v>
      </c>
      <c r="H41" s="176">
        <v>0.5</v>
      </c>
      <c r="I41" s="120" t="str">
        <f>IF($B41=0,"",VLOOKUP($B41,Table2[],5,FALSE))</f>
        <v>pint</v>
      </c>
      <c r="J41" s="109">
        <f>IF($B41=0,"",VLOOKUP($B41,Table2[],7,FALSE))</f>
        <v>2.5</v>
      </c>
      <c r="K41" s="109">
        <f t="shared" si="2"/>
        <v>1.25</v>
      </c>
      <c r="L41" s="110"/>
    </row>
    <row r="42" spans="1:12" x14ac:dyDescent="0.2">
      <c r="A42" s="105"/>
      <c r="B42" s="180" t="s">
        <v>181</v>
      </c>
      <c r="C42" s="388" t="str">
        <f>IF(B42=0,"",VLOOKUP($B42,Table2[],2,FALSE))</f>
        <v>Additive</v>
      </c>
      <c r="D42" s="388"/>
      <c r="E42" s="388"/>
      <c r="F42" s="174">
        <v>2</v>
      </c>
      <c r="G42" s="175">
        <v>1</v>
      </c>
      <c r="H42" s="176">
        <v>6</v>
      </c>
      <c r="I42" s="120" t="str">
        <f>IF($B42=0,"",VLOOKUP($B42,Table2[],5,FALSE))</f>
        <v>ounce</v>
      </c>
      <c r="J42" s="109">
        <f>IF($B42=0,"",VLOOKUP($B42,Table2[],7,FALSE))</f>
        <v>0.203125</v>
      </c>
      <c r="K42" s="109">
        <f t="shared" si="2"/>
        <v>1.22</v>
      </c>
      <c r="L42" s="110"/>
    </row>
    <row r="43" spans="1:12" x14ac:dyDescent="0.2">
      <c r="A43" s="128"/>
      <c r="B43" s="180" t="s">
        <v>183</v>
      </c>
      <c r="C43" s="388" t="str">
        <f>IF(B43=0,"",VLOOKUP($B43,Table2[],2,FALSE))</f>
        <v>Custom</v>
      </c>
      <c r="D43" s="388"/>
      <c r="E43" s="388"/>
      <c r="F43" s="174">
        <v>3</v>
      </c>
      <c r="G43" s="175">
        <v>0.25</v>
      </c>
      <c r="H43" s="176">
        <v>1</v>
      </c>
      <c r="I43" s="120" t="str">
        <f>IF($B43=0,"",VLOOKUP($B43,Table2[],5,FALSE))</f>
        <v>acre</v>
      </c>
      <c r="J43" s="109">
        <f>IF($B43=0,"",VLOOKUP($B43,Table2[],7,FALSE))</f>
        <v>11</v>
      </c>
      <c r="K43" s="109">
        <f t="shared" si="2"/>
        <v>2.75</v>
      </c>
      <c r="L43" s="110"/>
    </row>
    <row r="44" spans="1:12" x14ac:dyDescent="0.2">
      <c r="A44" s="128" t="s">
        <v>750</v>
      </c>
      <c r="B44" s="213" t="s">
        <v>223</v>
      </c>
      <c r="C44" s="387" t="str">
        <f>IF(B44=0,"",VLOOKUP($B44,Table2[],2,FALSE))</f>
        <v>Fungicide</v>
      </c>
      <c r="D44" s="387"/>
      <c r="E44" s="387"/>
      <c r="F44" s="214">
        <v>3</v>
      </c>
      <c r="G44" s="221">
        <v>0.25</v>
      </c>
      <c r="H44" s="222">
        <v>10.5</v>
      </c>
      <c r="I44" s="223" t="str">
        <f>IF($B44=0,"",VLOOKUP($B44,Table2[],5,FALSE))</f>
        <v>ounce</v>
      </c>
      <c r="J44" s="215">
        <f>IF($B44=0,"",VLOOKUP($B44,Table2[],7,FALSE))</f>
        <v>1.875</v>
      </c>
      <c r="K44" s="215">
        <f t="shared" si="2"/>
        <v>4.92</v>
      </c>
      <c r="L44" s="216"/>
    </row>
    <row r="45" spans="1:12" x14ac:dyDescent="0.2">
      <c r="A45" s="128"/>
      <c r="B45" s="180" t="s">
        <v>183</v>
      </c>
      <c r="C45" s="388" t="str">
        <f>IF(B45=0,"",VLOOKUP($B45,Table2[],2,FALSE))</f>
        <v>Custom</v>
      </c>
      <c r="D45" s="388"/>
      <c r="E45" s="388"/>
      <c r="F45" s="174">
        <v>4</v>
      </c>
      <c r="G45" s="175">
        <v>0.15</v>
      </c>
      <c r="H45" s="176">
        <v>1</v>
      </c>
      <c r="I45" s="120" t="str">
        <f>IF($B45=0,"",VLOOKUP($B45,Table2[],5,FALSE))</f>
        <v>acre</v>
      </c>
      <c r="J45" s="109">
        <f>IF($B45=0,"",VLOOKUP($B45,Table2[],7,FALSE))</f>
        <v>11</v>
      </c>
      <c r="K45" s="109">
        <f t="shared" si="2"/>
        <v>1.65</v>
      </c>
      <c r="L45" s="110"/>
    </row>
    <row r="46" spans="1:12" x14ac:dyDescent="0.2">
      <c r="A46" s="128" t="s">
        <v>906</v>
      </c>
      <c r="B46" s="180" t="s">
        <v>290</v>
      </c>
      <c r="C46" s="388" t="str">
        <f>IF(B46=0,"",VLOOKUP($B46,Table2[],2,FALSE))</f>
        <v>Insecticide</v>
      </c>
      <c r="D46" s="388"/>
      <c r="E46" s="388"/>
      <c r="F46" s="174">
        <v>4</v>
      </c>
      <c r="G46" s="175">
        <v>0.15</v>
      </c>
      <c r="H46" s="176">
        <v>1.92</v>
      </c>
      <c r="I46" s="120" t="str">
        <f>IF($B46=0,"",VLOOKUP($B46,Table2[],5,FALSE))</f>
        <v>ounce</v>
      </c>
      <c r="J46" s="109">
        <f>IF($B46=0,"",VLOOKUP($B46,Table2[],7,FALSE))</f>
        <v>3.203125</v>
      </c>
      <c r="K46" s="109">
        <f t="shared" si="2"/>
        <v>0.92</v>
      </c>
      <c r="L46" s="110"/>
    </row>
    <row r="47" spans="1:12" x14ac:dyDescent="0.2">
      <c r="A47" s="105"/>
      <c r="B47" s="180" t="s">
        <v>198</v>
      </c>
      <c r="C47" s="388" t="str">
        <f>IF(B47=0,"",VLOOKUP($B47,Table2[],2,FALSE))</f>
        <v>Custom</v>
      </c>
      <c r="D47" s="388"/>
      <c r="E47" s="388"/>
      <c r="F47" s="174">
        <v>5</v>
      </c>
      <c r="G47" s="175">
        <v>1</v>
      </c>
      <c r="H47" s="176">
        <f>$G$4</f>
        <v>40</v>
      </c>
      <c r="I47" s="120" t="str">
        <f>IF($B47=0,"",VLOOKUP($B47,Table2[],5,FALSE))</f>
        <v>bushel</v>
      </c>
      <c r="J47" s="109">
        <f>IF($B47=0,"",VLOOKUP($B47,Table2[],7,FALSE))</f>
        <v>0.15</v>
      </c>
      <c r="K47" s="109">
        <f t="shared" si="2"/>
        <v>6</v>
      </c>
      <c r="L47" s="110"/>
    </row>
    <row r="48" spans="1:12" x14ac:dyDescent="0.2">
      <c r="A48" s="143"/>
      <c r="B48" s="213" t="s">
        <v>311</v>
      </c>
      <c r="C48" s="387" t="str">
        <f>IF(B48=0,"",VLOOKUP($B48,Table2[],2,FALSE))</f>
        <v>Scouting</v>
      </c>
      <c r="D48" s="387"/>
      <c r="E48" s="387"/>
      <c r="F48" s="214"/>
      <c r="G48" s="221">
        <v>1</v>
      </c>
      <c r="H48" s="222">
        <v>1</v>
      </c>
      <c r="I48" s="223" t="str">
        <f>IF($B48=0,"",VLOOKUP($B48,Table2[],5,FALSE))</f>
        <v>acre</v>
      </c>
      <c r="J48" s="215">
        <f>IF($B48=0,"",VLOOKUP($B48,Table2[],7,FALSE))</f>
        <v>10</v>
      </c>
      <c r="K48" s="215">
        <f t="shared" si="2"/>
        <v>10</v>
      </c>
      <c r="L48" s="216"/>
    </row>
    <row r="49" spans="1:12" hidden="1" x14ac:dyDescent="0.2">
      <c r="A49" s="143"/>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A51" s="105"/>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7</v>
      </c>
      <c r="K61" s="109">
        <f ca="1">IF(B61=0,0,J61)</f>
        <v>7</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138.21</v>
      </c>
      <c r="L63" s="110"/>
    </row>
    <row r="64" spans="1:12" ht="13.5" customHeight="1" x14ac:dyDescent="0.2">
      <c r="B64" s="358" t="s">
        <v>909</v>
      </c>
      <c r="C64" s="358"/>
      <c r="D64" s="358"/>
      <c r="E64" s="364" t="s">
        <v>917</v>
      </c>
      <c r="F64" s="358"/>
      <c r="G64" s="358" t="s">
        <v>919</v>
      </c>
      <c r="H64" s="358"/>
      <c r="I64" s="358"/>
      <c r="J64" s="358"/>
      <c r="K64" s="127"/>
    </row>
    <row r="65" spans="2:12" ht="13.5" customHeight="1" x14ac:dyDescent="0.2">
      <c r="B65" s="358"/>
      <c r="E65" s="363"/>
      <c r="K65" s="127"/>
    </row>
    <row r="66" spans="2:12" x14ac:dyDescent="0.2">
      <c r="B66" s="107" t="s">
        <v>672</v>
      </c>
      <c r="G66" s="359"/>
      <c r="H66" s="359"/>
      <c r="I66" s="359"/>
      <c r="K66" s="127">
        <f ca="1">K33+K63</f>
        <v>182.76</v>
      </c>
      <c r="L66" s="110"/>
    </row>
    <row r="67" spans="2:12" ht="13.5" thickBot="1" x14ac:dyDescent="0.25">
      <c r="D67" s="128" t="s">
        <v>673</v>
      </c>
      <c r="E67" s="129">
        <f ca="1">ROUND(SUM($E$33:$H$33)+$K$63,2)</f>
        <v>159.44</v>
      </c>
      <c r="F67" s="388" t="s">
        <v>674</v>
      </c>
      <c r="G67" s="388"/>
      <c r="H67" s="130">
        <f>'General Variables'!$B$11</f>
        <v>7.4999999999999997E-2</v>
      </c>
      <c r="I67" s="131" t="str">
        <f>CONCATENATE("for ",TEXT('General Variables'!$B$12,"0.0")," mo.")</f>
        <v>for 6.0 mo.</v>
      </c>
      <c r="K67" s="132">
        <f ca="1">E67*H67*'General Variables'!$B$12/12</f>
        <v>5.9790000000000001</v>
      </c>
      <c r="L67" s="133"/>
    </row>
    <row r="68" spans="2:12" ht="13.5" thickTop="1" x14ac:dyDescent="0.2">
      <c r="B68" s="107" t="s">
        <v>675</v>
      </c>
      <c r="K68" s="127">
        <f ca="1">SUM(K66:K67)</f>
        <v>188.739</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45</v>
      </c>
      <c r="D71" s="399"/>
      <c r="E71" s="400"/>
      <c r="F71" s="136">
        <f>IF(C71=0,0,VLOOKUP(C71,RETable,2,FALSE))</f>
        <v>1825</v>
      </c>
      <c r="G71" s="388" t="s">
        <v>678</v>
      </c>
      <c r="H71" s="388"/>
      <c r="I71" s="130">
        <f>'General Variables'!$B$10</f>
        <v>0.03</v>
      </c>
      <c r="K71" s="137">
        <f>ROUND(F71*I71,2)</f>
        <v>54.75</v>
      </c>
      <c r="L71" s="110"/>
    </row>
    <row r="72" spans="2:12" ht="13.5" thickBot="1" x14ac:dyDescent="0.25">
      <c r="B72" s="103" t="s">
        <v>679</v>
      </c>
      <c r="F72" s="138">
        <f>IF(C71=0,0,VLOOKUP(C71,RETable,2,FALSE))</f>
        <v>1825</v>
      </c>
      <c r="G72" s="397" t="s">
        <v>678</v>
      </c>
      <c r="H72" s="397"/>
      <c r="I72" s="139">
        <f>'General Variables'!$B$13</f>
        <v>1.2999999999999999E-2</v>
      </c>
      <c r="J72" s="105"/>
      <c r="K72" s="140">
        <f>ROUND(F72*I72,2)</f>
        <v>23.73</v>
      </c>
      <c r="L72" s="133"/>
    </row>
    <row r="73" spans="2:12" ht="13.5" thickTop="1" x14ac:dyDescent="0.2">
      <c r="B73" s="107" t="s">
        <v>680</v>
      </c>
      <c r="K73" s="127">
        <f ca="1">SUM(K68:K72)</f>
        <v>285.21900000000005</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5.178725</v>
      </c>
      <c r="L75" s="148"/>
    </row>
    <row r="76" spans="2:12" x14ac:dyDescent="0.2">
      <c r="B76" s="107" t="str">
        <f>IF(G4="","","Cost of production per "&amp;H4)</f>
        <v>Cost of production per bushel</v>
      </c>
      <c r="K76" s="141">
        <f ca="1">IF(G4="","",K73/G4)</f>
        <v>7.1304750000000015</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B7:L7"/>
    <mergeCell ref="G2:H2"/>
    <mergeCell ref="K2:L2"/>
    <mergeCell ref="C3:E3"/>
    <mergeCell ref="C4:E4"/>
    <mergeCell ref="A6:M6"/>
    <mergeCell ref="B10:B11"/>
    <mergeCell ref="C10:C11"/>
    <mergeCell ref="E10:E11"/>
    <mergeCell ref="F10:F11"/>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C54:E54"/>
    <mergeCell ref="C43:E43"/>
    <mergeCell ref="C44:E44"/>
    <mergeCell ref="C45:E45"/>
    <mergeCell ref="C46:E46"/>
    <mergeCell ref="C47:E47"/>
    <mergeCell ref="C48:E48"/>
    <mergeCell ref="C49:E49"/>
    <mergeCell ref="C50:E50"/>
    <mergeCell ref="C51:E51"/>
    <mergeCell ref="C52:E52"/>
    <mergeCell ref="C53:E53"/>
    <mergeCell ref="G72:H72"/>
    <mergeCell ref="C55:E55"/>
    <mergeCell ref="C56:E56"/>
    <mergeCell ref="C57:E57"/>
    <mergeCell ref="C58:E58"/>
    <mergeCell ref="C59:E59"/>
    <mergeCell ref="C60:E60"/>
    <mergeCell ref="C61:E61"/>
    <mergeCell ref="F67:G67"/>
    <mergeCell ref="C71:E71"/>
    <mergeCell ref="G71:H71"/>
  </mergeCells>
  <dataValidations count="9">
    <dataValidation type="list" allowBlank="1" showInputMessage="1" showErrorMessage="1" sqref="C3" xr:uid="{00000000-0002-0000-5000-000000000000}">
      <formula1>TillageSystem</formula1>
    </dataValidation>
    <dataValidation type="list" allowBlank="1" showInputMessage="1" showErrorMessage="1" sqref="K2" xr:uid="{00000000-0002-0000-5000-000001000000}">
      <formula1>watersource</formula1>
    </dataValidation>
    <dataValidation type="list" allowBlank="1" showInputMessage="1" showErrorMessage="1" sqref="D12:D32" xr:uid="{00000000-0002-0000-5000-000002000000}">
      <formula1>#REF!</formula1>
    </dataValidation>
    <dataValidation type="list" allowBlank="1" showInputMessage="1" showErrorMessage="1" sqref="B12:B31" xr:uid="{00000000-0002-0000-5000-000003000000}">
      <formula1>OperationList</formula1>
    </dataValidation>
    <dataValidation type="list" allowBlank="1" showInputMessage="1" showErrorMessage="1" sqref="C71:E71" xr:uid="{00000000-0002-0000-5000-000004000000}">
      <formula1>RealEstateList</formula1>
    </dataValidation>
    <dataValidation type="list" allowBlank="1" showInputMessage="1" showErrorMessage="1" sqref="B37:B60" xr:uid="{00000000-0002-0000-5000-000005000000}">
      <formula1>MaterialList</formula1>
    </dataValidation>
    <dataValidation type="list" allowBlank="1" showInputMessage="1" showErrorMessage="1" sqref="K4" xr:uid="{00000000-0002-0000-5000-000006000000}">
      <formula1>$K$112:$K$114</formula1>
    </dataValidation>
    <dataValidation type="list" allowBlank="1" showInputMessage="1" showErrorMessage="1" sqref="B62" xr:uid="{00000000-0002-0000-5000-000007000000}">
      <formula1>$C$112:$C$230</formula1>
    </dataValidation>
    <dataValidation type="list" allowBlank="1" showInputMessage="1" showErrorMessage="1" sqref="B32" xr:uid="{00000000-0002-0000-5000-000008000000}">
      <formula1>$B$112:$B$209</formula1>
    </dataValidation>
  </dataValidations>
  <pageMargins left="0.7" right="0.7" top="0.75" bottom="0.75" header="0.3" footer="0.3"/>
  <pageSetup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60">
    <pageSetUpPr fitToPage="1"/>
  </sheetPr>
  <dimension ref="A2:M257"/>
  <sheetViews>
    <sheetView topLeftCell="A14"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724</v>
      </c>
      <c r="D2" s="187"/>
      <c r="E2" s="187"/>
      <c r="F2" s="128" t="s">
        <v>648</v>
      </c>
      <c r="G2" s="392"/>
      <c r="H2" s="392"/>
      <c r="J2" s="128" t="s">
        <v>649</v>
      </c>
      <c r="K2" s="401" t="s">
        <v>74</v>
      </c>
      <c r="L2" s="401"/>
    </row>
    <row r="3" spans="1:13" hidden="1" x14ac:dyDescent="0.2">
      <c r="B3" s="103" t="s">
        <v>38</v>
      </c>
      <c r="C3" s="391" t="s">
        <v>46</v>
      </c>
      <c r="D3" s="391"/>
      <c r="E3" s="391"/>
      <c r="G3" s="128" t="s">
        <v>650</v>
      </c>
      <c r="H3" s="187" t="s">
        <v>791</v>
      </c>
      <c r="J3" s="128" t="s">
        <v>651</v>
      </c>
      <c r="K3" s="187"/>
    </row>
    <row r="4" spans="1:13" hidden="1" x14ac:dyDescent="0.2">
      <c r="B4" s="103" t="s">
        <v>652</v>
      </c>
      <c r="C4" s="392" t="s">
        <v>790</v>
      </c>
      <c r="D4" s="392"/>
      <c r="E4" s="392"/>
      <c r="G4" s="103">
        <f>IFERROR(VALUE(LEFT($H$3,FIND(" ",$H$3))),"")</f>
        <v>55</v>
      </c>
      <c r="H4" s="103" t="str">
        <f>IFERROR(RIGHT(H3,LEN(H3)-LEN(G4)-1),"")</f>
        <v>bushel</v>
      </c>
      <c r="J4" s="128" t="s">
        <v>653</v>
      </c>
      <c r="K4" s="188"/>
    </row>
    <row r="5" spans="1:13" ht="15.75" hidden="1" customHeight="1" x14ac:dyDescent="0.2">
      <c r="B5" s="103" t="s">
        <v>655</v>
      </c>
      <c r="C5" s="103" t="str">
        <f ca="1">MID(CELL("filename",C5),FIND("]",CELL("filename",C5))+1,255)</f>
        <v>75-Wheat-Winter</v>
      </c>
      <c r="E5" s="103">
        <f ca="1">VLOOKUP($C$5,CropInsurance,5,FALSE)</f>
        <v>7</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75-Wheat-Winter, Southwest, No Till, Wheat after Row Crop, 55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75-Wheat-Winter, Southwest, No Till, Wheat after Row Crop, 55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493</v>
      </c>
      <c r="C12" s="174">
        <v>1</v>
      </c>
      <c r="D12" s="174"/>
      <c r="E12" s="109">
        <f>IF(B12=0,"",IF(C12&gt;9999,"",ROUND('General Variables'!$B$4*VLOOKUP(B12,Operations!$A$2:$U$79,10,FALSE)/VLOOKUP(B12,Operations!$A$2:$U$79,9,FALSE)*C12,2)))</f>
        <v>2.95</v>
      </c>
      <c r="F12" s="109">
        <f>IF(B12=0,0,IF(C12&gt;9999,"",ROUND(IF(VLOOKUP(B12,Operations!$A$2:$U$79,12,FALSE)=0,VLOOKUP(B12,Operations!$A$2:$U$79,13,FALSE)*'General Variables'!$B$8,VLOOKUP(B12,Operations!$A$2:$U$79,12,FALSE)*'General Variables'!$B$7)/VLOOKUP(B12,Operations!$A$2:$U$79,9,FALSE)*C12,2)))</f>
        <v>1.45</v>
      </c>
      <c r="G12" s="109">
        <f>IF(B12=0,0,IF(C12&gt;9999,"",ROUND(VLOOKUP(VLOOKUP(B12,Operations!$A$2:$U$79,11,FALSE),PowerUnits[],10,FALSE)/VLOOKUP(B12,Operations!$A$2:$U$79,9,FALSE)*C12,2)))</f>
        <v>0.08</v>
      </c>
      <c r="H12" s="109">
        <f>IF(B12=0,"",IF(C12&gt;9999,"",ROUND(VLOOKUP($B12,Operations!$A$2:$U$79,15,FALSE)*C12,2)))</f>
        <v>5</v>
      </c>
      <c r="I12" s="109">
        <f>IF(B12=0,0,IF(C12&gt;9999,"",ROUND(VLOOKUP(VLOOKUP(B12,Operations!$A$2:$U$79,11,FALSE),PowerUnits[],16,FALSE)/VLOOKUP(B12,Operations!$A$2:$U$79,9,FALSE)*C12,2)))</f>
        <v>3.93</v>
      </c>
      <c r="J12" s="109">
        <f>IF(B12=0,"",IF(C12&gt;9999,"",ROUND(VLOOKUP($B12,Operations!$A$2:$U$79,21,FALSE)*$C12,2)))</f>
        <v>5.24</v>
      </c>
      <c r="K12" s="109">
        <f>IF(C12&gt;9999,"",ROUND(SUM(E12:J12),2))</f>
        <v>18.649999999999999</v>
      </c>
      <c r="L12" s="110"/>
    </row>
    <row r="13" spans="1:13" x14ac:dyDescent="0.2">
      <c r="A13" s="170">
        <v>2</v>
      </c>
      <c r="B13" s="180" t="s">
        <v>550</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 t="shared" ref="K13:K31" si="0">IF(C13&gt;9999,"",ROUND(SUM(E13:J13),2))</f>
        <v>7.15</v>
      </c>
      <c r="L13" s="110"/>
    </row>
    <row r="14" spans="1:13" x14ac:dyDescent="0.2">
      <c r="A14" s="170">
        <v>3</v>
      </c>
      <c r="B14" s="180" t="s">
        <v>183</v>
      </c>
      <c r="C14" s="174" t="s">
        <v>184</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109" t="str">
        <f t="shared" si="0"/>
        <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ht="13.5" customHeight="1" x14ac:dyDescent="0.2">
      <c r="A16" s="170" t="s">
        <v>918</v>
      </c>
      <c r="B16" s="180" t="s">
        <v>942</v>
      </c>
      <c r="C16" s="174">
        <v>100</v>
      </c>
      <c r="D16" s="174"/>
      <c r="E16" s="109">
        <f>IF(B16=0,"",IF(C16&gt;9999,"",ROUND('General Variables'!$B$4*VLOOKUP(B16,Operations!$A$2:$U$79,10,FALSE)/VLOOKUP(B16,Operations!$A$2:$U$79,9,FALSE)*C16,2))/100)</f>
        <v>2.2846000000000002</v>
      </c>
      <c r="F16" s="109">
        <f>IF(B16=0,0,IF(C16&gt;9999,"",ROUND(IF(VLOOKUP(B16,Operations!$A$2:$U$79,12,FALSE)=0,VLOOKUP(B16,Operations!$A$2:$U$79,13,FALSE)*'General Variables'!$B$8,VLOOKUP(B16,Operations!$A$2:$U$79,12,FALSE)*'General Variables'!$B$7)/VLOOKUP(B16,Operations!$A$2:$U$79,9,FALSE)*C16,2))/100)</f>
        <v>2.5743</v>
      </c>
      <c r="G16" s="109">
        <f>IF(B16=0,0,IF(C16&gt;9999,"",ROUND(VLOOKUP(VLOOKUP(B16,Operations!$A$2:$U$79,11,FALSE),PowerUnits[],10,FALSE)/VLOOKUP(B16,Operations!$A$2:$U$79,9,FALSE)*C16,2))/100)</f>
        <v>3.9699</v>
      </c>
      <c r="H16" s="109">
        <f>IF(B16=0,"",IF(C16&gt;9999,"",ROUND(VLOOKUP($B16,Operations!$A$2:$U$79,15,FALSE)*C16,2))/100)</f>
        <v>0.39860000000000001</v>
      </c>
      <c r="I16" s="109">
        <f>IF(B16=0,0,IF(C16&gt;9999,"",ROUND(VLOOKUP(VLOOKUP(B16,Operations!$A$2:$U$79,11,FALSE),PowerUnits[],16,FALSE)/VLOOKUP(B16,Operations!$A$2:$U$79,9,FALSE)*C16,2))/85)</f>
        <v>11.247529411764706</v>
      </c>
      <c r="J16" s="109">
        <f>IF(B16=0,"",IF(C16&gt;9999,"",ROUND(VLOOKUP($B16,Operations!$A$2:$U$79,21,FALSE)*$C16,2))/85)</f>
        <v>3.6245882352941172</v>
      </c>
      <c r="K16" s="109">
        <f>IF(C16&gt;9999,"",ROUND(SUM(E16:J16),2))</f>
        <v>24.1</v>
      </c>
      <c r="L16" s="110"/>
    </row>
    <row r="17" spans="1:12" x14ac:dyDescent="0.2">
      <c r="A17" s="170">
        <v>6</v>
      </c>
      <c r="B17" s="180" t="s">
        <v>565</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6.2545999999999999</v>
      </c>
      <c r="F33" s="109">
        <f t="shared" ref="F33:K33" si="1">SUM(F12:F31)</f>
        <v>4.2843</v>
      </c>
      <c r="G33" s="109">
        <f t="shared" si="1"/>
        <v>4.0799000000000003</v>
      </c>
      <c r="H33" s="109">
        <f t="shared" si="1"/>
        <v>5.7286000000000001</v>
      </c>
      <c r="I33" s="109">
        <f t="shared" si="1"/>
        <v>16.487529411764704</v>
      </c>
      <c r="J33" s="109">
        <f t="shared" si="1"/>
        <v>13.064588235294119</v>
      </c>
      <c r="K33" s="109">
        <f t="shared" si="1"/>
        <v>49.9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1</v>
      </c>
      <c r="G37" s="175">
        <v>1</v>
      </c>
      <c r="H37" s="176">
        <v>8</v>
      </c>
      <c r="I37" s="120" t="str">
        <f>IF($B37=0,"",VLOOKUP($B37,Table2[],5,FALSE))</f>
        <v>gallon</v>
      </c>
      <c r="J37" s="109">
        <f>IF($B37=0,"",VLOOKUP($B37,Table2[],7,FALSE))</f>
        <v>3.1</v>
      </c>
      <c r="K37" s="109">
        <f>IF(B37=0,0,ROUND(G37*H37*J37,2))</f>
        <v>24.8</v>
      </c>
      <c r="L37" s="110"/>
    </row>
    <row r="38" spans="1:12" x14ac:dyDescent="0.2">
      <c r="A38" s="105"/>
      <c r="B38" s="180" t="s">
        <v>350</v>
      </c>
      <c r="C38" s="388" t="str">
        <f>IF(B38=0,"",VLOOKUP($B38,Table2[],2,FALSE))</f>
        <v>Seed</v>
      </c>
      <c r="D38" s="388"/>
      <c r="E38" s="388"/>
      <c r="F38" s="174">
        <v>1</v>
      </c>
      <c r="G38" s="175">
        <v>1</v>
      </c>
      <c r="H38" s="176">
        <v>90</v>
      </c>
      <c r="I38" s="120" t="str">
        <f>IF($B38=0,"",VLOOKUP($B38,Table2[],5,FALSE))</f>
        <v>pound</v>
      </c>
      <c r="J38" s="109">
        <f>IF($B38=0,"",VLOOKUP($B38,Table2[],7,FALSE))</f>
        <v>0.41</v>
      </c>
      <c r="K38" s="109">
        <f t="shared" ref="K38:K55" si="2">IF(B38=0,0,ROUND(G38*H38*J38,2))</f>
        <v>36.9</v>
      </c>
      <c r="L38" s="110"/>
    </row>
    <row r="39" spans="1:12" x14ac:dyDescent="0.2">
      <c r="A39" s="105"/>
      <c r="B39" s="180" t="s">
        <v>205</v>
      </c>
      <c r="C39" s="388" t="str">
        <f>IF(B39=0,"",VLOOKUP($B39,Table2[],2,FALSE))</f>
        <v>Fertilizer</v>
      </c>
      <c r="D39" s="388"/>
      <c r="E39" s="388"/>
      <c r="F39" s="174">
        <v>2</v>
      </c>
      <c r="G39" s="175">
        <v>1</v>
      </c>
      <c r="H39" s="176">
        <v>75</v>
      </c>
      <c r="I39" s="120" t="str">
        <f>IF($B39=0,"",VLOOKUP($B39,Table2[],5,FALSE))</f>
        <v>lbs N</v>
      </c>
      <c r="J39" s="109">
        <f>IF($B39=0,"",VLOOKUP($B39,Table2[],7,FALSE))</f>
        <v>0.5</v>
      </c>
      <c r="K39" s="109">
        <f t="shared" si="2"/>
        <v>37.5</v>
      </c>
      <c r="L39" s="110"/>
    </row>
    <row r="40" spans="1:12" x14ac:dyDescent="0.2">
      <c r="A40" s="105"/>
      <c r="B40" s="213" t="s">
        <v>234</v>
      </c>
      <c r="C40" s="387" t="str">
        <f>IF(B40=0,"",VLOOKUP($B40,Table2[],2,FALSE))</f>
        <v>Herbicide</v>
      </c>
      <c r="D40" s="387"/>
      <c r="E40" s="387"/>
      <c r="F40" s="214">
        <v>2</v>
      </c>
      <c r="G40" s="221">
        <v>1</v>
      </c>
      <c r="H40" s="222">
        <v>0.3</v>
      </c>
      <c r="I40" s="223" t="str">
        <f>IF($B40=0,"",VLOOKUP($B40,Table2[],5,FALSE))</f>
        <v>ounce</v>
      </c>
      <c r="J40" s="215">
        <f>IF($B40=0,"",VLOOKUP($B40,Table2[],7,FALSE))</f>
        <v>11</v>
      </c>
      <c r="K40" s="215">
        <f t="shared" si="2"/>
        <v>3.3</v>
      </c>
      <c r="L40" s="216"/>
    </row>
    <row r="41" spans="1:12" x14ac:dyDescent="0.2">
      <c r="A41" s="105"/>
      <c r="B41" s="180" t="s">
        <v>229</v>
      </c>
      <c r="C41" s="388" t="str">
        <f>IF(B41=0,"",VLOOKUP($B41,Table2[],2,FALSE))</f>
        <v>Herbicide</v>
      </c>
      <c r="D41" s="388"/>
      <c r="E41" s="388"/>
      <c r="F41" s="174">
        <v>2</v>
      </c>
      <c r="G41" s="175">
        <v>1</v>
      </c>
      <c r="H41" s="176">
        <v>0.5</v>
      </c>
      <c r="I41" s="120" t="str">
        <f>IF($B41=0,"",VLOOKUP($B41,Table2[],5,FALSE))</f>
        <v>pint</v>
      </c>
      <c r="J41" s="109">
        <f>IF($B41=0,"",VLOOKUP($B41,Table2[],7,FALSE))</f>
        <v>2.5</v>
      </c>
      <c r="K41" s="109">
        <f t="shared" si="2"/>
        <v>1.25</v>
      </c>
      <c r="L41" s="110"/>
    </row>
    <row r="42" spans="1:12" x14ac:dyDescent="0.2">
      <c r="A42" s="105"/>
      <c r="B42" s="180" t="s">
        <v>181</v>
      </c>
      <c r="C42" s="388" t="str">
        <f>IF(B42=0,"",VLOOKUP($B42,Table2[],2,FALSE))</f>
        <v>Additive</v>
      </c>
      <c r="D42" s="388"/>
      <c r="E42" s="388"/>
      <c r="F42" s="174">
        <v>2</v>
      </c>
      <c r="G42" s="175">
        <v>1</v>
      </c>
      <c r="H42" s="176">
        <v>6</v>
      </c>
      <c r="I42" s="120" t="str">
        <f>IF($B42=0,"",VLOOKUP($B42,Table2[],5,FALSE))</f>
        <v>ounce</v>
      </c>
      <c r="J42" s="109">
        <f>IF($B42=0,"",VLOOKUP($B42,Table2[],7,FALSE))</f>
        <v>0.203125</v>
      </c>
      <c r="K42" s="109">
        <f t="shared" si="2"/>
        <v>1.22</v>
      </c>
      <c r="L42" s="110"/>
    </row>
    <row r="43" spans="1:12" x14ac:dyDescent="0.2">
      <c r="A43" s="128"/>
      <c r="B43" s="180" t="s">
        <v>183</v>
      </c>
      <c r="C43" s="388" t="str">
        <f>IF(B43=0,"",VLOOKUP($B43,Table2[],2,FALSE))</f>
        <v>Custom</v>
      </c>
      <c r="D43" s="388"/>
      <c r="E43" s="388"/>
      <c r="F43" s="174">
        <v>3</v>
      </c>
      <c r="G43" s="175">
        <v>0.25</v>
      </c>
      <c r="H43" s="176">
        <v>1</v>
      </c>
      <c r="I43" s="120" t="str">
        <f>IF($B43=0,"",VLOOKUP($B43,Table2[],5,FALSE))</f>
        <v>acre</v>
      </c>
      <c r="J43" s="109">
        <f>IF($B43=0,"",VLOOKUP($B43,Table2[],7,FALSE))</f>
        <v>11</v>
      </c>
      <c r="K43" s="109">
        <f t="shared" si="2"/>
        <v>2.75</v>
      </c>
      <c r="L43" s="110"/>
    </row>
    <row r="44" spans="1:12" x14ac:dyDescent="0.2">
      <c r="A44" s="128" t="s">
        <v>750</v>
      </c>
      <c r="B44" s="213" t="s">
        <v>223</v>
      </c>
      <c r="C44" s="387" t="str">
        <f>IF(B44=0,"",VLOOKUP($B44,Table2[],2,FALSE))</f>
        <v>Fungicide</v>
      </c>
      <c r="D44" s="387"/>
      <c r="E44" s="387"/>
      <c r="F44" s="214">
        <v>3</v>
      </c>
      <c r="G44" s="221">
        <v>0.25</v>
      </c>
      <c r="H44" s="222">
        <v>10.5</v>
      </c>
      <c r="I44" s="223" t="str">
        <f>IF($B44=0,"",VLOOKUP($B44,Table2[],5,FALSE))</f>
        <v>ounce</v>
      </c>
      <c r="J44" s="215">
        <f>IF($B44=0,"",VLOOKUP($B44,Table2[],7,FALSE))</f>
        <v>1.875</v>
      </c>
      <c r="K44" s="215">
        <f t="shared" si="2"/>
        <v>4.92</v>
      </c>
      <c r="L44" s="216"/>
    </row>
    <row r="45" spans="1:12" x14ac:dyDescent="0.2">
      <c r="A45" s="128"/>
      <c r="B45" s="180" t="s">
        <v>183</v>
      </c>
      <c r="C45" s="388" t="str">
        <f>IF(B45=0,"",VLOOKUP($B45,Table2[],2,FALSE))</f>
        <v>Custom</v>
      </c>
      <c r="D45" s="388"/>
      <c r="E45" s="388"/>
      <c r="F45" s="174">
        <v>4</v>
      </c>
      <c r="G45" s="175">
        <v>0.15</v>
      </c>
      <c r="H45" s="176">
        <v>1</v>
      </c>
      <c r="I45" s="120" t="str">
        <f>IF($B45=0,"",VLOOKUP($B45,Table2[],5,FALSE))</f>
        <v>acre</v>
      </c>
      <c r="J45" s="109">
        <f>IF($B45=0,"",VLOOKUP($B45,Table2[],7,FALSE))</f>
        <v>11</v>
      </c>
      <c r="K45" s="109">
        <f t="shared" si="2"/>
        <v>1.65</v>
      </c>
      <c r="L45" s="110"/>
    </row>
    <row r="46" spans="1:12" x14ac:dyDescent="0.2">
      <c r="A46" s="128" t="s">
        <v>906</v>
      </c>
      <c r="B46" s="180" t="s">
        <v>290</v>
      </c>
      <c r="C46" s="388" t="str">
        <f>IF(B46=0,"",VLOOKUP($B46,Table2[],2,FALSE))</f>
        <v>Insecticide</v>
      </c>
      <c r="D46" s="388"/>
      <c r="E46" s="388"/>
      <c r="F46" s="174">
        <v>4</v>
      </c>
      <c r="G46" s="175">
        <v>0.15</v>
      </c>
      <c r="H46" s="176">
        <v>1.92</v>
      </c>
      <c r="I46" s="120" t="str">
        <f>IF($B46=0,"",VLOOKUP($B46,Table2[],5,FALSE))</f>
        <v>ounce</v>
      </c>
      <c r="J46" s="109">
        <f>IF($B46=0,"",VLOOKUP($B46,Table2[],7,FALSE))</f>
        <v>3.203125</v>
      </c>
      <c r="K46" s="109">
        <f t="shared" ref="K46:K48" si="3">IF(B46=0,0,ROUND(G46*H46*J46,2))</f>
        <v>0.92</v>
      </c>
      <c r="L46" s="110"/>
    </row>
    <row r="47" spans="1:12" x14ac:dyDescent="0.2">
      <c r="A47" s="105"/>
      <c r="B47" s="180" t="s">
        <v>198</v>
      </c>
      <c r="C47" s="388" t="str">
        <f>IF(B47=0,"",VLOOKUP($B47,Table2[],2,FALSE))</f>
        <v>Custom</v>
      </c>
      <c r="D47" s="388"/>
      <c r="E47" s="388"/>
      <c r="F47" s="174">
        <v>5</v>
      </c>
      <c r="G47" s="175">
        <v>1</v>
      </c>
      <c r="H47" s="176">
        <f>$G$4</f>
        <v>55</v>
      </c>
      <c r="I47" s="120" t="str">
        <f>IF($B47=0,"",VLOOKUP($B47,Table2[],5,FALSE))</f>
        <v>bushel</v>
      </c>
      <c r="J47" s="109">
        <f>IF($B47=0,"",VLOOKUP($B47,Table2[],7,FALSE))</f>
        <v>0.15</v>
      </c>
      <c r="K47" s="109">
        <f t="shared" si="3"/>
        <v>8.25</v>
      </c>
      <c r="L47" s="110"/>
    </row>
    <row r="48" spans="1:12" x14ac:dyDescent="0.2">
      <c r="A48" s="143"/>
      <c r="B48" s="213" t="s">
        <v>311</v>
      </c>
      <c r="C48" s="387" t="str">
        <f>IF(B48=0,"",VLOOKUP($B48,Table2[],2,FALSE))</f>
        <v>Scouting</v>
      </c>
      <c r="D48" s="387"/>
      <c r="E48" s="387"/>
      <c r="F48" s="214"/>
      <c r="G48" s="221">
        <v>1</v>
      </c>
      <c r="H48" s="222">
        <v>1</v>
      </c>
      <c r="I48" s="223" t="str">
        <f>IF($B48=0,"",VLOOKUP($B48,Table2[],5,FALSE))</f>
        <v>acre</v>
      </c>
      <c r="J48" s="215">
        <f>IF($B48=0,"",VLOOKUP($B48,Table2[],7,FALSE))</f>
        <v>10</v>
      </c>
      <c r="K48" s="215">
        <f t="shared" si="3"/>
        <v>10</v>
      </c>
      <c r="L48" s="216"/>
    </row>
    <row r="49" spans="1:12" hidden="1" x14ac:dyDescent="0.2">
      <c r="A49" s="143"/>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A51" s="105"/>
      <c r="B51" s="180"/>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7</v>
      </c>
      <c r="K61" s="109">
        <f ca="1">IF(B61=0,0,J61)</f>
        <v>7</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140.46</v>
      </c>
      <c r="L63" s="110"/>
    </row>
    <row r="64" spans="1:12" ht="13.5" customHeight="1" x14ac:dyDescent="0.2">
      <c r="B64" s="358" t="s">
        <v>909</v>
      </c>
      <c r="C64" s="358"/>
      <c r="D64" s="358"/>
      <c r="E64" s="364" t="s">
        <v>917</v>
      </c>
      <c r="F64" s="358"/>
      <c r="G64" s="358" t="s">
        <v>919</v>
      </c>
      <c r="H64" s="358"/>
      <c r="I64" s="358"/>
      <c r="J64" s="358"/>
      <c r="K64" s="127"/>
    </row>
    <row r="65" spans="2:12" ht="13.5" customHeight="1" x14ac:dyDescent="0.2">
      <c r="B65" s="358"/>
      <c r="C65" s="358"/>
      <c r="D65" s="358"/>
      <c r="E65" s="364"/>
      <c r="F65" s="358"/>
      <c r="G65" s="358"/>
      <c r="H65" s="358"/>
      <c r="I65" s="358"/>
      <c r="J65" s="358"/>
      <c r="K65" s="127"/>
    </row>
    <row r="66" spans="2:12" x14ac:dyDescent="0.2">
      <c r="B66" s="107" t="s">
        <v>672</v>
      </c>
      <c r="K66" s="127">
        <f ca="1">K33+K63</f>
        <v>190.36</v>
      </c>
      <c r="L66" s="110"/>
    </row>
    <row r="67" spans="2:12" ht="13.5" thickBot="1" x14ac:dyDescent="0.25">
      <c r="D67" s="128" t="s">
        <v>673</v>
      </c>
      <c r="E67" s="129">
        <f ca="1">ROUND(SUM($E$33:$H$33)+$K$63,2)</f>
        <v>160.81</v>
      </c>
      <c r="F67" s="388" t="s">
        <v>674</v>
      </c>
      <c r="G67" s="388"/>
      <c r="H67" s="130">
        <f>'General Variables'!$B$11</f>
        <v>7.4999999999999997E-2</v>
      </c>
      <c r="I67" s="131" t="str">
        <f>CONCATENATE("for ",TEXT('General Variables'!$B$12,"0.0")," mo.")</f>
        <v>for 6.0 mo.</v>
      </c>
      <c r="K67" s="132">
        <f ca="1">E67*H67*'General Variables'!$B$12/12</f>
        <v>6.0303750000000003</v>
      </c>
      <c r="L67" s="133"/>
    </row>
    <row r="68" spans="2:12" ht="13.5" thickTop="1" x14ac:dyDescent="0.2">
      <c r="B68" s="107" t="s">
        <v>675</v>
      </c>
      <c r="K68" s="127">
        <f ca="1">SUM(K66:K67)</f>
        <v>196.39037500000001</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45</v>
      </c>
      <c r="D71" s="399"/>
      <c r="E71" s="400"/>
      <c r="F71" s="136">
        <f>IF(C71=0,0,VLOOKUP(C71,RETable,2,FALSE))</f>
        <v>1825</v>
      </c>
      <c r="G71" s="388" t="s">
        <v>678</v>
      </c>
      <c r="H71" s="388"/>
      <c r="I71" s="130">
        <f>'General Variables'!$B$10</f>
        <v>0.03</v>
      </c>
      <c r="K71" s="137">
        <f>ROUND(F71*I71,2)</f>
        <v>54.75</v>
      </c>
      <c r="L71" s="110"/>
    </row>
    <row r="72" spans="2:12" ht="13.5" thickBot="1" x14ac:dyDescent="0.25">
      <c r="B72" s="103" t="s">
        <v>679</v>
      </c>
      <c r="F72" s="138">
        <f>IF(C71=0,0,VLOOKUP(C71,RETable,2,FALSE))</f>
        <v>1825</v>
      </c>
      <c r="G72" s="397" t="s">
        <v>678</v>
      </c>
      <c r="H72" s="397"/>
      <c r="I72" s="139">
        <f>'General Variables'!$B$13</f>
        <v>1.2999999999999999E-2</v>
      </c>
      <c r="J72" s="105"/>
      <c r="K72" s="140">
        <f>ROUND(F72*I72,2)</f>
        <v>23.73</v>
      </c>
      <c r="L72" s="133"/>
    </row>
    <row r="73" spans="2:12" ht="13.5" thickTop="1" x14ac:dyDescent="0.2">
      <c r="B73" s="107" t="s">
        <v>680</v>
      </c>
      <c r="K73" s="127">
        <f ca="1">SUM(K68:K72)</f>
        <v>292.87037500000002</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3.7921886363636359</v>
      </c>
      <c r="L75" s="148"/>
    </row>
    <row r="76" spans="2:12" x14ac:dyDescent="0.2">
      <c r="B76" s="107" t="str">
        <f>IF(G4="","","Cost of production per "&amp;H4)</f>
        <v>Cost of production per bushel</v>
      </c>
      <c r="K76" s="141">
        <f ca="1">IF(G4="","",K73/G4)</f>
        <v>5.3249159090909099</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58:E58"/>
    <mergeCell ref="C60:E60"/>
    <mergeCell ref="G10:H10"/>
    <mergeCell ref="C42:E42"/>
    <mergeCell ref="K10:K11"/>
    <mergeCell ref="L10:L11"/>
    <mergeCell ref="F35:F36"/>
    <mergeCell ref="G35:G36"/>
    <mergeCell ref="H35:I35"/>
    <mergeCell ref="J35:J36"/>
    <mergeCell ref="L35:L36"/>
    <mergeCell ref="I10:J10"/>
    <mergeCell ref="C37:E37"/>
    <mergeCell ref="C38:E38"/>
    <mergeCell ref="C39:E39"/>
    <mergeCell ref="C40:E40"/>
    <mergeCell ref="C41:E41"/>
    <mergeCell ref="F10:F11"/>
    <mergeCell ref="B10:B11"/>
    <mergeCell ref="C10:C11"/>
    <mergeCell ref="E10:E11"/>
    <mergeCell ref="C59:E59"/>
    <mergeCell ref="C48:E48"/>
    <mergeCell ref="C43:E43"/>
    <mergeCell ref="C44:E44"/>
    <mergeCell ref="C45:E45"/>
    <mergeCell ref="C46:E46"/>
    <mergeCell ref="C47:E47"/>
    <mergeCell ref="K2:L2"/>
    <mergeCell ref="G2:H2"/>
    <mergeCell ref="C4:E4"/>
    <mergeCell ref="B7:L7"/>
    <mergeCell ref="C3:E3"/>
    <mergeCell ref="A6:M6"/>
  </mergeCells>
  <dataValidations count="9">
    <dataValidation type="list" allowBlank="1" showInputMessage="1" showErrorMessage="1" sqref="B32" xr:uid="{00000000-0002-0000-5100-000000000000}">
      <formula1>$B$112:$B$209</formula1>
    </dataValidation>
    <dataValidation type="list" allowBlank="1" showInputMessage="1" showErrorMessage="1" sqref="B62" xr:uid="{00000000-0002-0000-5100-000001000000}">
      <formula1>$C$112:$C$230</formula1>
    </dataValidation>
    <dataValidation type="list" allowBlank="1" showInputMessage="1" showErrorMessage="1" sqref="K4" xr:uid="{00000000-0002-0000-5100-000002000000}">
      <formula1>$K$112:$K$114</formula1>
    </dataValidation>
    <dataValidation type="list" allowBlank="1" showInputMessage="1" showErrorMessage="1" sqref="B37:B60" xr:uid="{00000000-0002-0000-5100-000003000000}">
      <formula1>MaterialList</formula1>
    </dataValidation>
    <dataValidation type="list" allowBlank="1" showInputMessage="1" showErrorMessage="1" sqref="C71:E71" xr:uid="{00000000-0002-0000-5100-000004000000}">
      <formula1>RealEstateList</formula1>
    </dataValidation>
    <dataValidation type="list" allowBlank="1" showInputMessage="1" showErrorMessage="1" sqref="B12:B31" xr:uid="{00000000-0002-0000-5100-000005000000}">
      <formula1>OperationList</formula1>
    </dataValidation>
    <dataValidation type="list" allowBlank="1" showInputMessage="1" showErrorMessage="1" sqref="D12:D32" xr:uid="{00000000-0002-0000-5100-000006000000}">
      <formula1>#REF!</formula1>
    </dataValidation>
    <dataValidation type="list" allowBlank="1" showInputMessage="1" showErrorMessage="1" sqref="K2" xr:uid="{00000000-0002-0000-5100-000007000000}">
      <formula1>watersource</formula1>
    </dataValidation>
    <dataValidation type="list" allowBlank="1" showInputMessage="1" showErrorMessage="1" sqref="C3" xr:uid="{00000000-0002-0000-5100-000008000000}">
      <formula1>TillageSystem</formula1>
    </dataValidation>
  </dataValidations>
  <pageMargins left="0.7" right="0.7" top="0.75" bottom="0.75" header="0.3" footer="0.3"/>
  <pageSetup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1">
    <pageSetUpPr fitToPage="1"/>
  </sheetPr>
  <dimension ref="A2:M257"/>
  <sheetViews>
    <sheetView topLeftCell="A38"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46</v>
      </c>
      <c r="D3" s="391"/>
      <c r="E3" s="391"/>
      <c r="G3" s="128" t="s">
        <v>650</v>
      </c>
      <c r="H3" s="187" t="s">
        <v>772</v>
      </c>
      <c r="J3" s="128" t="s">
        <v>651</v>
      </c>
      <c r="K3" s="187"/>
    </row>
    <row r="4" spans="1:13" hidden="1" x14ac:dyDescent="0.2">
      <c r="B4" s="103" t="s">
        <v>652</v>
      </c>
      <c r="C4" s="392" t="s">
        <v>792</v>
      </c>
      <c r="D4" s="392"/>
      <c r="E4" s="392"/>
      <c r="G4" s="103">
        <f>IFERROR(VALUE(LEFT($H$3,FIND(" ",$H$3))),"")</f>
        <v>70</v>
      </c>
      <c r="H4" s="103" t="str">
        <f>IFERROR(RIGHT(H3,LEN(H3)-LEN(G4)-1),"")</f>
        <v>bushel</v>
      </c>
      <c r="J4" s="128" t="s">
        <v>653</v>
      </c>
      <c r="K4" s="188"/>
    </row>
    <row r="5" spans="1:13" ht="15.75" hidden="1" customHeight="1" x14ac:dyDescent="0.2">
      <c r="B5" s="103" t="s">
        <v>655</v>
      </c>
      <c r="C5" s="103" t="str">
        <f ca="1">MID(CELL("filename",C5),FIND("]",CELL("filename",C5))+1,255)</f>
        <v>76-Wheat-Winter</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76-Wheat-Winter, Panhandle, No Till, Fallow, One Crop in Two Years, 70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76-Wheat-Winter, Panhandle, No Till, Fallow, One Crop in Two Years, 70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546</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546</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551</v>
      </c>
      <c r="C16" s="174">
        <v>1</v>
      </c>
      <c r="D16" s="174"/>
      <c r="E16" s="109">
        <f>IF(B16=0,"",IF(C16&gt;9999,"",ROUND('General Variables'!$B$4*VLOOKUP(B16,Operations!$A$2:$U$79,10,FALSE)/VLOOKUP(B16,Operations!$A$2:$U$79,9,FALSE)*C16,2)))</f>
        <v>1.02</v>
      </c>
      <c r="F16" s="109">
        <f>IF(B16=0,0,IF(C16&gt;9999,"",ROUND(IF(VLOOKUP(B16,Operations!$A$2:$U$79,12,FALSE)=0,VLOOKUP(B16,Operations!$A$2:$U$79,13,FALSE)*'General Variables'!$B$8,VLOOKUP(B16,Operations!$A$2:$U$79,12,FALSE)*'General Variables'!$B$7)/VLOOKUP(B16,Operations!$A$2:$U$79,9,FALSE)*C16,2)))</f>
        <v>0.26</v>
      </c>
      <c r="G16" s="109">
        <f>IF(B16=0,0,IF(C16&gt;9999,"",ROUND(VLOOKUP(VLOOKUP(B16,Operations!$A$2:$U$79,11,FALSE),PowerUnits[],10,FALSE)/VLOOKUP(B16,Operations!$A$2:$U$79,9,FALSE)*C16,2)))</f>
        <v>0.03</v>
      </c>
      <c r="H16" s="109">
        <f>IF(B16=0,"",IF(C16&gt;9999,"",ROUND(VLOOKUP($B16,Operations!$A$2:$U$79,15,FALSE)*C16,2)))</f>
        <v>1.1100000000000001</v>
      </c>
      <c r="I16" s="109">
        <f>IF(B16=0,0,IF(C16&gt;9999,"",ROUND(VLOOKUP(VLOOKUP(B16,Operations!$A$2:$U$79,11,FALSE),PowerUnits[],16,FALSE)/VLOOKUP(B16,Operations!$A$2:$U$79,9,FALSE)*C16,2)))</f>
        <v>1.31</v>
      </c>
      <c r="J16" s="109">
        <f>IF(B16=0,"",IF(C16&gt;9999,"",ROUND(VLOOKUP($B16,Operations!$A$2:$U$79,21,FALSE)*$C16,2)))</f>
        <v>2.02</v>
      </c>
      <c r="K16" s="109">
        <f t="shared" si="0"/>
        <v>5.75</v>
      </c>
      <c r="L16" s="110"/>
    </row>
    <row r="17" spans="1:12" x14ac:dyDescent="0.2">
      <c r="A17" s="170">
        <v>6</v>
      </c>
      <c r="B17" s="180" t="s">
        <v>493</v>
      </c>
      <c r="C17" s="174">
        <v>1</v>
      </c>
      <c r="D17" s="174"/>
      <c r="E17" s="109">
        <f>IF(B17=0,"",IF(C17&gt;9999,"",ROUND('General Variables'!$B$4*VLOOKUP(B17,Operations!$A$2:$U$79,10,FALSE)/VLOOKUP(B17,Operations!$A$2:$U$79,9,FALSE)*C17,2)))</f>
        <v>2.95</v>
      </c>
      <c r="F17" s="109">
        <f>IF(B17=0,0,IF(C17&gt;9999,"",ROUND(IF(VLOOKUP(B17,Operations!$A$2:$U$79,12,FALSE)=0,VLOOKUP(B17,Operations!$A$2:$U$79,13,FALSE)*'General Variables'!$B$8,VLOOKUP(B17,Operations!$A$2:$U$79,12,FALSE)*'General Variables'!$B$7)/VLOOKUP(B17,Operations!$A$2:$U$79,9,FALSE)*C17,2)))</f>
        <v>1.45</v>
      </c>
      <c r="G17" s="109">
        <f>IF(B17=0,0,IF(C17&gt;9999,"",ROUND(VLOOKUP(VLOOKUP(B17,Operations!$A$2:$U$79,11,FALSE),PowerUnits[],10,FALSE)/VLOOKUP(B17,Operations!$A$2:$U$79,9,FALSE)*C17,2)))</f>
        <v>0.08</v>
      </c>
      <c r="H17" s="109">
        <f>IF(B17=0,"",IF(C17&gt;9999,"",ROUND(VLOOKUP($B17,Operations!$A$2:$U$79,15,FALSE)*C17,2)))</f>
        <v>5</v>
      </c>
      <c r="I17" s="109">
        <f>IF(B17=0,0,IF(C17&gt;9999,"",ROUND(VLOOKUP(VLOOKUP(B17,Operations!$A$2:$U$79,11,FALSE),PowerUnits[],16,FALSE)/VLOOKUP(B17,Operations!$A$2:$U$79,9,FALSE)*C17,2)))</f>
        <v>3.93</v>
      </c>
      <c r="J17" s="109">
        <f>IF(B17=0,"",IF(C17&gt;9999,"",ROUND(VLOOKUP($B17,Operations!$A$2:$U$79,21,FALSE)*$C17,2)))</f>
        <v>5.24</v>
      </c>
      <c r="K17" s="109">
        <f t="shared" si="0"/>
        <v>18.649999999999999</v>
      </c>
      <c r="L17" s="110"/>
    </row>
    <row r="18" spans="1:12" x14ac:dyDescent="0.2">
      <c r="A18" s="170">
        <v>7</v>
      </c>
      <c r="B18" s="180" t="s">
        <v>556</v>
      </c>
      <c r="C18" s="174">
        <v>1</v>
      </c>
      <c r="D18" s="174"/>
      <c r="E18" s="109">
        <f>IF(B18=0,"",IF(C18&gt;9999,"",ROUND('General Variables'!$B$4*VLOOKUP(B18,Operations!$A$2:$U$79,10,FALSE)/VLOOKUP(B18,Operations!$A$2:$U$79,9,FALSE)*C18,2)))</f>
        <v>2.13</v>
      </c>
      <c r="F18" s="109">
        <f>IF(B18=0,0,IF(C18&gt;9999,"",ROUND(IF(VLOOKUP(B18,Operations!$A$2:$U$79,12,FALSE)=0,VLOOKUP(B18,Operations!$A$2:$U$79,13,FALSE)*'General Variables'!$B$8,VLOOKUP(B18,Operations!$A$2:$U$79,12,FALSE)*'General Variables'!$B$7)/VLOOKUP(B18,Operations!$A$2:$U$79,9,FALSE)*C18,2)))</f>
        <v>0.97</v>
      </c>
      <c r="G18" s="109">
        <f>IF(B18=0,0,IF(C18&gt;9999,"",ROUND(VLOOKUP(VLOOKUP(B18,Operations!$A$2:$U$79,11,FALSE),PowerUnits[],10,FALSE)/VLOOKUP(B18,Operations!$A$2:$U$79,9,FALSE)*C18,2)))</f>
        <v>7.0000000000000007E-2</v>
      </c>
      <c r="H18" s="109">
        <f>IF(B18=0,"",IF(C18&gt;9999,"",ROUND(VLOOKUP($B18,Operations!$A$2:$U$79,15,FALSE)*C18,2)))</f>
        <v>0</v>
      </c>
      <c r="I18" s="109">
        <f>IF(B18=0,0,IF(C18&gt;9999,"",ROUND(VLOOKUP(VLOOKUP(B18,Operations!$A$2:$U$79,11,FALSE),PowerUnits[],16,FALSE)/VLOOKUP(B18,Operations!$A$2:$U$79,9,FALSE)*C18,2)))</f>
        <v>3.41</v>
      </c>
      <c r="J18" s="109">
        <f>IF(B18=0,"",IF(C18&gt;9999,"",ROUND(VLOOKUP($B18,Operations!$A$2:$U$79,21,FALSE)*$C18,2)))</f>
        <v>2.64</v>
      </c>
      <c r="K18" s="109">
        <f t="shared" si="0"/>
        <v>9.2200000000000006</v>
      </c>
      <c r="L18" s="110"/>
    </row>
    <row r="19" spans="1:12" x14ac:dyDescent="0.2">
      <c r="A19" s="170">
        <v>8</v>
      </c>
      <c r="B19" s="213" t="s">
        <v>551</v>
      </c>
      <c r="C19" s="214">
        <v>1</v>
      </c>
      <c r="D19" s="214"/>
      <c r="E19" s="215">
        <f>IF(B19=0,"",IF(C19&gt;9999,"",ROUND('General Variables'!$B$4*VLOOKUP(B19,Operations!$A$2:$U$79,10,FALSE)/VLOOKUP(B19,Operations!$A$2:$U$79,9,FALSE)*C19,2)))</f>
        <v>1.02</v>
      </c>
      <c r="F19" s="215">
        <f>IF(B19=0,0,IF(C19&gt;9999,"",ROUND(IF(VLOOKUP(B19,Operations!$A$2:$U$79,12,FALSE)=0,VLOOKUP(B19,Operations!$A$2:$U$79,13,FALSE)*'General Variables'!$B$8,VLOOKUP(B19,Operations!$A$2:$U$79,12,FALSE)*'General Variables'!$B$7)/VLOOKUP(B19,Operations!$A$2:$U$79,9,FALSE)*C19,2)))</f>
        <v>0.26</v>
      </c>
      <c r="G19" s="215">
        <f>IF(B19=0,0,IF(C19&gt;9999,"",ROUND(VLOOKUP(VLOOKUP(B19,Operations!$A$2:$U$79,11,FALSE),PowerUnits[],10,FALSE)/VLOOKUP(B19,Operations!$A$2:$U$79,9,FALSE)*C19,2)))</f>
        <v>0.03</v>
      </c>
      <c r="H19" s="215">
        <f>IF(B19=0,"",IF(C19&gt;9999,"",ROUND(VLOOKUP($B19,Operations!$A$2:$U$79,15,FALSE)*C19,2)))</f>
        <v>1.1100000000000001</v>
      </c>
      <c r="I19" s="215">
        <f>IF(B19=0,0,IF(C19&gt;9999,"",ROUND(VLOOKUP(VLOOKUP(B19,Operations!$A$2:$U$79,11,FALSE),PowerUnits[],16,FALSE)/VLOOKUP(B19,Operations!$A$2:$U$79,9,FALSE)*C19,2)))</f>
        <v>1.31</v>
      </c>
      <c r="J19" s="215">
        <f>IF(B19=0,"",IF(C19&gt;9999,"",ROUND(VLOOKUP($B19,Operations!$A$2:$U$79,21,FALSE)*$C19,2)))</f>
        <v>2.02</v>
      </c>
      <c r="K19" s="215">
        <f t="shared" si="0"/>
        <v>5.75</v>
      </c>
      <c r="L19" s="216"/>
    </row>
    <row r="20" spans="1:12" x14ac:dyDescent="0.2">
      <c r="A20" s="170">
        <v>9</v>
      </c>
      <c r="B20" s="180" t="s">
        <v>183</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183</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t="s">
        <v>920</v>
      </c>
      <c r="B22" s="180" t="s">
        <v>942</v>
      </c>
      <c r="C22" s="174">
        <v>125</v>
      </c>
      <c r="D22" s="112"/>
      <c r="E22" s="109">
        <f>IF(B22=0,"",IF(C22&gt;9999,"",ROUND('General Variables'!$B$4*VLOOKUP(B22,Operations!$A$2:$U$79,10,FALSE)/VLOOKUP(B22,Operations!$A$2:$U$79,9,FALSE)*C22,2))/100)</f>
        <v>2.8557999999999999</v>
      </c>
      <c r="F22" s="109">
        <f>IF(B22=0,0,IF(C22&gt;9999,"",ROUND(IF(VLOOKUP(B22,Operations!$A$2:$U$79,12,FALSE)=0,VLOOKUP(B22,Operations!$A$2:$U$79,13,FALSE)*'General Variables'!$B$8,VLOOKUP(B22,Operations!$A$2:$U$79,12,FALSE)*'General Variables'!$B$7)/VLOOKUP(B22,Operations!$A$2:$U$79,9,FALSE)*C22,2))/100)</f>
        <v>3.2179000000000002</v>
      </c>
      <c r="G22" s="109">
        <f>IF(B22=0,0,IF(C22&gt;9999,"",ROUND(VLOOKUP(VLOOKUP(B22,Operations!$A$2:$U$79,11,FALSE),PowerUnits[],10,FALSE)/VLOOKUP(B22,Operations!$A$2:$U$79,9,FALSE)*C22,2))/100)</f>
        <v>4.9622999999999999</v>
      </c>
      <c r="H22" s="109">
        <f>IF(B22=0,"",IF(C22&gt;9999,"",ROUND(VLOOKUP($B22,Operations!$A$2:$U$79,15,FALSE)*C22,2))/100)</f>
        <v>0.49829999999999997</v>
      </c>
      <c r="I22" s="109">
        <f>IF(B22=0,0,IF(C22&gt;9999,"",ROUND(VLOOKUP(VLOOKUP(B22,Operations!$A$2:$U$79,11,FALSE),PowerUnits[],16,FALSE)/VLOOKUP(B22,Operations!$A$2:$U$79,9,FALSE)*C22,2))/90)</f>
        <v>13.278333333333332</v>
      </c>
      <c r="J22" s="109">
        <f>IF(B22=0,"",IF(C22&gt;9999,"",ROUND(VLOOKUP($B22,Operations!$A$2:$U$79,21,FALSE)*$C22,2))/100)</f>
        <v>3.8511000000000002</v>
      </c>
      <c r="K22" s="109">
        <f>IF(C22&gt;9999,"",ROUND(SUM(E22:J22),2))</f>
        <v>28.66</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14.0558</v>
      </c>
      <c r="F33" s="109">
        <f t="shared" ref="F33:K33" si="1">SUM(F12:F31)</f>
        <v>7.1978999999999997</v>
      </c>
      <c r="G33" s="109">
        <f t="shared" si="1"/>
        <v>5.2923</v>
      </c>
      <c r="H33" s="109">
        <f t="shared" si="1"/>
        <v>12.158300000000001</v>
      </c>
      <c r="I33" s="109">
        <f t="shared" si="1"/>
        <v>28.478333333333332</v>
      </c>
      <c r="J33" s="109">
        <f t="shared" si="1"/>
        <v>23.851099999999999</v>
      </c>
      <c r="K33" s="109">
        <f t="shared" si="1"/>
        <v>91.03</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170</v>
      </c>
      <c r="C38" s="388" t="str">
        <f>IF(B38=0,"",VLOOKUP($B38,Table2[],2,FALSE))</f>
        <v>Additive</v>
      </c>
      <c r="D38" s="388"/>
      <c r="E38" s="388"/>
      <c r="F38" s="174">
        <v>1</v>
      </c>
      <c r="G38" s="175">
        <v>1</v>
      </c>
      <c r="H38" s="176">
        <v>1.7</v>
      </c>
      <c r="I38" s="120" t="str">
        <f>IF($B38=0,"",VLOOKUP($B38,Table2[],5,FALSE))</f>
        <v>pound</v>
      </c>
      <c r="J38" s="109">
        <f>IF($B38=0,"",VLOOKUP($B38,Table2[],7,FALSE))</f>
        <v>0.4</v>
      </c>
      <c r="K38" s="109">
        <f t="shared" ref="K38:K60" si="2">IF(B38=0,0,ROUND(G38*H38*J38,2))</f>
        <v>0.68</v>
      </c>
      <c r="L38" s="110"/>
    </row>
    <row r="39" spans="1:12" x14ac:dyDescent="0.2">
      <c r="A39" s="105"/>
      <c r="B39" s="180" t="s">
        <v>259</v>
      </c>
      <c r="C39" s="388" t="str">
        <f>IF(B39=0,"",VLOOKUP($B39,Table2[],2,FALSE))</f>
        <v>Herbicide</v>
      </c>
      <c r="D39" s="388"/>
      <c r="E39" s="388"/>
      <c r="F39" s="174">
        <v>2</v>
      </c>
      <c r="G39" s="175">
        <v>1</v>
      </c>
      <c r="H39" s="176">
        <v>32</v>
      </c>
      <c r="I39" s="120" t="str">
        <f>IF($B39=0,"",VLOOKUP($B39,Table2[],5,FALSE))</f>
        <v>ounce</v>
      </c>
      <c r="J39" s="109">
        <f>IF($B39=0,"",VLOOKUP($B39,Table2[],7,FALSE))</f>
        <v>0.1328125</v>
      </c>
      <c r="K39" s="109">
        <f t="shared" si="2"/>
        <v>4.25</v>
      </c>
      <c r="L39" s="110"/>
    </row>
    <row r="40" spans="1:12" x14ac:dyDescent="0.2">
      <c r="A40" s="105"/>
      <c r="B40" s="213" t="s">
        <v>170</v>
      </c>
      <c r="C40" s="387" t="str">
        <f>IF(B40=0,"",VLOOKUP($B40,Table2[],2,FALSE))</f>
        <v>Additive</v>
      </c>
      <c r="D40" s="387"/>
      <c r="E40" s="387"/>
      <c r="F40" s="214">
        <v>2</v>
      </c>
      <c r="G40" s="221">
        <v>1</v>
      </c>
      <c r="H40" s="222">
        <v>1.7</v>
      </c>
      <c r="I40" s="223" t="str">
        <f>IF($B40=0,"",VLOOKUP($B40,Table2[],5,FALSE))</f>
        <v>pound</v>
      </c>
      <c r="J40" s="215">
        <f>IF($B40=0,"",VLOOKUP($B40,Table2[],7,FALSE))</f>
        <v>0.4</v>
      </c>
      <c r="K40" s="215">
        <f t="shared" si="2"/>
        <v>0.68</v>
      </c>
      <c r="L40" s="216"/>
    </row>
    <row r="41" spans="1:12" x14ac:dyDescent="0.2">
      <c r="A41" s="105"/>
      <c r="B41" s="180" t="s">
        <v>230</v>
      </c>
      <c r="C41" s="388" t="str">
        <f>IF(B41=0,"",VLOOKUP($B41,Table2[],2,FALSE))</f>
        <v>Herbicide</v>
      </c>
      <c r="D41" s="388"/>
      <c r="E41" s="388"/>
      <c r="F41" s="174">
        <v>2</v>
      </c>
      <c r="G41" s="175">
        <v>1</v>
      </c>
      <c r="H41" s="176">
        <v>1</v>
      </c>
      <c r="I41" s="120" t="str">
        <f>IF($B41=0,"",VLOOKUP($B41,Table2[],5,FALSE))</f>
        <v>quart</v>
      </c>
      <c r="J41" s="109">
        <f>IF($B41=0,"",VLOOKUP($B41,Table2[],7,FALSE))</f>
        <v>5.5</v>
      </c>
      <c r="K41" s="109">
        <f t="shared" si="2"/>
        <v>5.5</v>
      </c>
      <c r="L41" s="110"/>
    </row>
    <row r="42" spans="1:12" x14ac:dyDescent="0.2">
      <c r="A42" s="105"/>
      <c r="B42" s="180" t="s">
        <v>259</v>
      </c>
      <c r="C42" s="388" t="str">
        <f>IF(B42=0,"",VLOOKUP($B42,Table2[],2,FALSE))</f>
        <v>Herbicide</v>
      </c>
      <c r="D42" s="388"/>
      <c r="E42" s="388"/>
      <c r="F42" s="174">
        <v>3</v>
      </c>
      <c r="G42" s="175">
        <v>1</v>
      </c>
      <c r="H42" s="176">
        <v>32</v>
      </c>
      <c r="I42" s="120" t="str">
        <f>IF($B42=0,"",VLOOKUP($B42,Table2[],5,FALSE))</f>
        <v>ounce</v>
      </c>
      <c r="J42" s="109">
        <f>IF($B42=0,"",VLOOKUP($B42,Table2[],7,FALSE))</f>
        <v>0.1328125</v>
      </c>
      <c r="K42" s="109">
        <f t="shared" si="2"/>
        <v>4.25</v>
      </c>
      <c r="L42" s="110"/>
    </row>
    <row r="43" spans="1:12" x14ac:dyDescent="0.2">
      <c r="A43" s="105"/>
      <c r="B43" s="180" t="s">
        <v>170</v>
      </c>
      <c r="C43" s="388" t="str">
        <f>IF(B43=0,"",VLOOKUP($B43,Table2[],2,FALSE))</f>
        <v>Additive</v>
      </c>
      <c r="D43" s="388"/>
      <c r="E43" s="388"/>
      <c r="F43" s="174">
        <v>3</v>
      </c>
      <c r="G43" s="175">
        <v>1</v>
      </c>
      <c r="H43" s="176">
        <v>1.7</v>
      </c>
      <c r="I43" s="120" t="str">
        <f>IF($B43=0,"",VLOOKUP($B43,Table2[],5,FALSE))</f>
        <v>pound</v>
      </c>
      <c r="J43" s="109">
        <f>IF($B43=0,"",VLOOKUP($B43,Table2[],7,FALSE))</f>
        <v>0.4</v>
      </c>
      <c r="K43" s="109">
        <f t="shared" si="2"/>
        <v>0.68</v>
      </c>
      <c r="L43" s="110"/>
    </row>
    <row r="44" spans="1:12" x14ac:dyDescent="0.2">
      <c r="A44" s="105"/>
      <c r="B44" s="213" t="s">
        <v>259</v>
      </c>
      <c r="C44" s="387" t="str">
        <f>IF(B44=0,"",VLOOKUP($B44,Table2[],2,FALSE))</f>
        <v>Herbicide</v>
      </c>
      <c r="D44" s="387"/>
      <c r="E44" s="387"/>
      <c r="F44" s="214">
        <v>4</v>
      </c>
      <c r="G44" s="221">
        <v>1</v>
      </c>
      <c r="H44" s="222">
        <v>32</v>
      </c>
      <c r="I44" s="223" t="str">
        <f>IF($B44=0,"",VLOOKUP($B44,Table2[],5,FALSE))</f>
        <v>ounce</v>
      </c>
      <c r="J44" s="215">
        <f>IF($B44=0,"",VLOOKUP($B44,Table2[],7,FALSE))</f>
        <v>0.1328125</v>
      </c>
      <c r="K44" s="215">
        <f t="shared" si="2"/>
        <v>4.25</v>
      </c>
      <c r="L44" s="216"/>
    </row>
    <row r="45" spans="1:12" x14ac:dyDescent="0.2">
      <c r="A45" s="105"/>
      <c r="B45" s="180" t="s">
        <v>170</v>
      </c>
      <c r="C45" s="388" t="str">
        <f>IF(B45=0,"",VLOOKUP($B45,Table2[],2,FALSE))</f>
        <v>Additive</v>
      </c>
      <c r="D45" s="388"/>
      <c r="E45" s="388"/>
      <c r="F45" s="174">
        <v>4</v>
      </c>
      <c r="G45" s="175">
        <v>1</v>
      </c>
      <c r="H45" s="176">
        <v>1.7</v>
      </c>
      <c r="I45" s="120" t="str">
        <f>IF($B45=0,"",VLOOKUP($B45,Table2[],5,FALSE))</f>
        <v>pound</v>
      </c>
      <c r="J45" s="109">
        <f>IF($B45=0,"",VLOOKUP($B45,Table2[],7,FALSE))</f>
        <v>0.4</v>
      </c>
      <c r="K45" s="109">
        <f t="shared" si="2"/>
        <v>0.68</v>
      </c>
      <c r="L45" s="110"/>
    </row>
    <row r="46" spans="1:12" x14ac:dyDescent="0.2">
      <c r="A46" s="105"/>
      <c r="B46" s="180" t="s">
        <v>259</v>
      </c>
      <c r="C46" s="388" t="str">
        <f>IF(B46=0,"",VLOOKUP($B46,Table2[],2,FALSE))</f>
        <v>Herbicide</v>
      </c>
      <c r="D46" s="388"/>
      <c r="E46" s="388"/>
      <c r="F46" s="174">
        <v>5</v>
      </c>
      <c r="G46" s="175">
        <v>1</v>
      </c>
      <c r="H46" s="176">
        <v>32</v>
      </c>
      <c r="I46" s="120" t="str">
        <f>IF($B46=0,"",VLOOKUP($B46,Table2[],5,FALSE))</f>
        <v>ounce</v>
      </c>
      <c r="J46" s="109">
        <f>IF($B46=0,"",VLOOKUP($B46,Table2[],7,FALSE))</f>
        <v>0.1328125</v>
      </c>
      <c r="K46" s="109">
        <f t="shared" si="2"/>
        <v>4.25</v>
      </c>
      <c r="L46" s="110"/>
    </row>
    <row r="47" spans="1:12" x14ac:dyDescent="0.2">
      <c r="A47" s="105"/>
      <c r="B47" s="180" t="s">
        <v>170</v>
      </c>
      <c r="C47" s="388" t="str">
        <f>IF(B47=0,"",VLOOKUP($B47,Table2[],2,FALSE))</f>
        <v>Additive</v>
      </c>
      <c r="D47" s="388"/>
      <c r="E47" s="388"/>
      <c r="F47" s="174">
        <v>5</v>
      </c>
      <c r="G47" s="175">
        <v>1</v>
      </c>
      <c r="H47" s="176">
        <v>1.7</v>
      </c>
      <c r="I47" s="120" t="str">
        <f>IF($B47=0,"",VLOOKUP($B47,Table2[],5,FALSE))</f>
        <v>pound</v>
      </c>
      <c r="J47" s="109">
        <f>IF($B47=0,"",VLOOKUP($B47,Table2[],7,FALSE))</f>
        <v>0.4</v>
      </c>
      <c r="K47" s="109">
        <f t="shared" si="2"/>
        <v>0.68</v>
      </c>
      <c r="L47" s="110"/>
    </row>
    <row r="48" spans="1:12" x14ac:dyDescent="0.2">
      <c r="A48" s="105"/>
      <c r="B48" s="213" t="s">
        <v>201</v>
      </c>
      <c r="C48" s="387" t="str">
        <f>IF(B48=0,"",VLOOKUP($B48,Table2[],2,FALSE))</f>
        <v>Fertilizer</v>
      </c>
      <c r="D48" s="387"/>
      <c r="E48" s="387"/>
      <c r="F48" s="214">
        <v>6</v>
      </c>
      <c r="G48" s="221">
        <v>1</v>
      </c>
      <c r="H48" s="222">
        <v>8</v>
      </c>
      <c r="I48" s="223" t="str">
        <f>IF($B48=0,"",VLOOKUP($B48,Table2[],5,FALSE))</f>
        <v>gallon</v>
      </c>
      <c r="J48" s="215">
        <f>IF($B48=0,"",VLOOKUP($B48,Table2[],7,FALSE))</f>
        <v>3.1</v>
      </c>
      <c r="K48" s="215">
        <f t="shared" si="2"/>
        <v>24.8</v>
      </c>
      <c r="L48" s="216"/>
    </row>
    <row r="49" spans="1:12" x14ac:dyDescent="0.2">
      <c r="A49" s="105"/>
      <c r="B49" s="180" t="s">
        <v>350</v>
      </c>
      <c r="C49" s="388" t="str">
        <f>IF(B49=0,"",VLOOKUP($B49,Table2[],2,FALSE))</f>
        <v>Seed</v>
      </c>
      <c r="D49" s="388"/>
      <c r="E49" s="388"/>
      <c r="F49" s="174">
        <v>6</v>
      </c>
      <c r="G49" s="175">
        <v>1</v>
      </c>
      <c r="H49" s="176">
        <v>60</v>
      </c>
      <c r="I49" s="120" t="str">
        <f>IF($B49=0,"",VLOOKUP($B49,Table2[],5,FALSE))</f>
        <v>pound</v>
      </c>
      <c r="J49" s="109">
        <f>IF($B49=0,"",VLOOKUP($B49,Table2[],7,FALSE))</f>
        <v>0.41</v>
      </c>
      <c r="K49" s="109">
        <f t="shared" si="2"/>
        <v>24.6</v>
      </c>
      <c r="L49" s="110"/>
    </row>
    <row r="50" spans="1:12" x14ac:dyDescent="0.2">
      <c r="A50" s="105"/>
      <c r="B50" s="180" t="s">
        <v>210</v>
      </c>
      <c r="C50" s="388" t="str">
        <f>IF(B50=0,"",VLOOKUP($B50,Table2[],2,FALSE))</f>
        <v>Fertilizer</v>
      </c>
      <c r="D50" s="388"/>
      <c r="E50" s="388"/>
      <c r="F50" s="174">
        <v>7</v>
      </c>
      <c r="G50" s="175">
        <v>1</v>
      </c>
      <c r="H50" s="176">
        <v>90</v>
      </c>
      <c r="I50" s="120" t="str">
        <f>IF($B50=0,"",VLOOKUP($B50,Table2[],5,FALSE))</f>
        <v>lbs N</v>
      </c>
      <c r="J50" s="109">
        <f>IF($B50=0,"",VLOOKUP($B50,Table2[],7,FALSE))</f>
        <v>0.55000000000000004</v>
      </c>
      <c r="K50" s="109">
        <f t="shared" si="2"/>
        <v>49.5</v>
      </c>
      <c r="L50" s="110"/>
    </row>
    <row r="51" spans="1:12" x14ac:dyDescent="0.2">
      <c r="A51" s="143"/>
      <c r="B51" s="180" t="s">
        <v>234</v>
      </c>
      <c r="C51" s="388" t="str">
        <f>IF(B51=0,"",VLOOKUP($B51,Table2[],2,FALSE))</f>
        <v>Herbicide</v>
      </c>
      <c r="D51" s="388"/>
      <c r="E51" s="388"/>
      <c r="F51" s="174">
        <v>8</v>
      </c>
      <c r="G51" s="175">
        <v>1</v>
      </c>
      <c r="H51" s="176">
        <v>0.3</v>
      </c>
      <c r="I51" s="120" t="str">
        <f>IF($B51=0,"",VLOOKUP($B51,Table2[],5,FALSE))</f>
        <v>ounce</v>
      </c>
      <c r="J51" s="109">
        <f>IF($B51=0,"",VLOOKUP($B51,Table2[],7,FALSE))</f>
        <v>11</v>
      </c>
      <c r="K51" s="109">
        <f t="shared" si="2"/>
        <v>3.3</v>
      </c>
      <c r="L51" s="110"/>
    </row>
    <row r="52" spans="1:12" x14ac:dyDescent="0.2">
      <c r="A52" s="143"/>
      <c r="B52" s="213" t="s">
        <v>229</v>
      </c>
      <c r="C52" s="387" t="str">
        <f>IF(B52=0,"",VLOOKUP($B52,Table2[],2,FALSE))</f>
        <v>Herbicide</v>
      </c>
      <c r="D52" s="387"/>
      <c r="E52" s="387"/>
      <c r="F52" s="214">
        <v>8</v>
      </c>
      <c r="G52" s="221">
        <v>0.1</v>
      </c>
      <c r="H52" s="222">
        <v>0.5</v>
      </c>
      <c r="I52" s="223" t="str">
        <f>IF($B52=0,"",VLOOKUP($B52,Table2[],5,FALSE))</f>
        <v>pint</v>
      </c>
      <c r="J52" s="215">
        <f>IF($B52=0,"",VLOOKUP($B52,Table2[],7,FALSE))</f>
        <v>2.5</v>
      </c>
      <c r="K52" s="215">
        <f t="shared" si="2"/>
        <v>0.13</v>
      </c>
      <c r="L52" s="216"/>
    </row>
    <row r="53" spans="1:12" x14ac:dyDescent="0.2">
      <c r="A53" s="143"/>
      <c r="B53" s="180" t="s">
        <v>181</v>
      </c>
      <c r="C53" s="388" t="str">
        <f>IF(B53=0,"",VLOOKUP($B53,Table2[],2,FALSE))</f>
        <v>Additive</v>
      </c>
      <c r="D53" s="388"/>
      <c r="E53" s="388"/>
      <c r="F53" s="174">
        <v>8</v>
      </c>
      <c r="G53" s="175">
        <v>0.2</v>
      </c>
      <c r="H53" s="176">
        <v>6</v>
      </c>
      <c r="I53" s="120" t="str">
        <f>IF($B53=0,"",VLOOKUP($B53,Table2[],5,FALSE))</f>
        <v>ounce</v>
      </c>
      <c r="J53" s="109">
        <f>IF($B53=0,"",VLOOKUP($B53,Table2[],7,FALSE))</f>
        <v>0.203125</v>
      </c>
      <c r="K53" s="109">
        <f t="shared" si="2"/>
        <v>0.24</v>
      </c>
      <c r="L53" s="110"/>
    </row>
    <row r="54" spans="1:12" x14ac:dyDescent="0.2">
      <c r="A54" s="128"/>
      <c r="B54" s="180" t="s">
        <v>183</v>
      </c>
      <c r="C54" s="388" t="str">
        <f>IF(B54=0,"",VLOOKUP($B54,Table2[],2,FALSE))</f>
        <v>Custom</v>
      </c>
      <c r="D54" s="388"/>
      <c r="E54" s="388"/>
      <c r="F54" s="174">
        <v>9</v>
      </c>
      <c r="G54" s="175">
        <v>0.25</v>
      </c>
      <c r="H54" s="176">
        <v>1</v>
      </c>
      <c r="I54" s="120" t="str">
        <f>IF($B54=0,"",VLOOKUP($B54,Table2[],5,FALSE))</f>
        <v>acre</v>
      </c>
      <c r="J54" s="109">
        <f>IF($B54=0,"",VLOOKUP($B54,Table2[],7,FALSE))</f>
        <v>11</v>
      </c>
      <c r="K54" s="109">
        <f t="shared" si="2"/>
        <v>2.75</v>
      </c>
      <c r="L54" s="110"/>
    </row>
    <row r="55" spans="1:12" x14ac:dyDescent="0.2">
      <c r="A55" s="128" t="s">
        <v>750</v>
      </c>
      <c r="B55" s="180" t="s">
        <v>223</v>
      </c>
      <c r="C55" s="388" t="str">
        <f>IF(B55=0,"",VLOOKUP($B55,Table2[],2,FALSE))</f>
        <v>Fungicide</v>
      </c>
      <c r="D55" s="388"/>
      <c r="E55" s="388"/>
      <c r="F55" s="174">
        <v>9</v>
      </c>
      <c r="G55" s="175">
        <v>0.25</v>
      </c>
      <c r="H55" s="176">
        <v>10.5</v>
      </c>
      <c r="I55" s="120" t="str">
        <f>IF($B55=0,"",VLOOKUP($B55,Table2[],5,FALSE))</f>
        <v>ounce</v>
      </c>
      <c r="J55" s="109">
        <f>IF($B55=0,"",VLOOKUP($B55,Table2[],7,FALSE))</f>
        <v>1.875</v>
      </c>
      <c r="K55" s="109">
        <f t="shared" si="2"/>
        <v>4.92</v>
      </c>
      <c r="L55" s="113"/>
    </row>
    <row r="56" spans="1:12" x14ac:dyDescent="0.2">
      <c r="A56" s="128"/>
      <c r="B56" s="213" t="s">
        <v>183</v>
      </c>
      <c r="C56" s="387" t="str">
        <f>IF(B56=0,"",VLOOKUP($B56,Table2[],2,FALSE))</f>
        <v>Custom</v>
      </c>
      <c r="D56" s="387"/>
      <c r="E56" s="387"/>
      <c r="F56" s="214">
        <v>10</v>
      </c>
      <c r="G56" s="221">
        <v>0.15</v>
      </c>
      <c r="H56" s="222">
        <v>1</v>
      </c>
      <c r="I56" s="223" t="str">
        <f>IF($B56=0,"",VLOOKUP($B56,Table2[],5,FALSE))</f>
        <v>acre</v>
      </c>
      <c r="J56" s="215">
        <f>IF($B56=0,"",VLOOKUP($B56,Table2[],7,FALSE))</f>
        <v>11</v>
      </c>
      <c r="K56" s="215">
        <f t="shared" si="2"/>
        <v>1.65</v>
      </c>
      <c r="L56" s="227"/>
    </row>
    <row r="57" spans="1:12" x14ac:dyDescent="0.2">
      <c r="A57" s="128" t="s">
        <v>906</v>
      </c>
      <c r="B57" s="180" t="s">
        <v>290</v>
      </c>
      <c r="C57" s="388" t="str">
        <f>IF(B57=0,"",VLOOKUP($B57,Table2[],2,FALSE))</f>
        <v>Insecticide</v>
      </c>
      <c r="D57" s="388"/>
      <c r="E57" s="388"/>
      <c r="F57" s="112">
        <v>10</v>
      </c>
      <c r="G57" s="175">
        <v>0.15</v>
      </c>
      <c r="H57" s="178">
        <v>1.92</v>
      </c>
      <c r="I57" s="120" t="str">
        <f>IF($B57=0,"",VLOOKUP($B57,Table2[],5,FALSE))</f>
        <v>ounce</v>
      </c>
      <c r="J57" s="109">
        <f>IF($B57=0,"",VLOOKUP($B57,Table2[],7,FALSE))</f>
        <v>3.203125</v>
      </c>
      <c r="K57" s="109">
        <f t="shared" si="2"/>
        <v>0.92</v>
      </c>
      <c r="L57" s="113"/>
    </row>
    <row r="58" spans="1:12" x14ac:dyDescent="0.2">
      <c r="B58" s="180" t="s">
        <v>198</v>
      </c>
      <c r="C58" s="388" t="str">
        <f>IF(B58=0,"",VLOOKUP($B58,Table2[],2,FALSE))</f>
        <v>Custom</v>
      </c>
      <c r="D58" s="388"/>
      <c r="E58" s="388"/>
      <c r="F58" s="112">
        <v>12</v>
      </c>
      <c r="G58" s="175">
        <v>1</v>
      </c>
      <c r="H58" s="178">
        <f>$G$4</f>
        <v>70</v>
      </c>
      <c r="I58" s="120" t="str">
        <f>IF($B58=0,"",VLOOKUP($B58,Table2[],5,FALSE))</f>
        <v>bushel</v>
      </c>
      <c r="J58" s="109">
        <f>IF($B58=0,"",VLOOKUP($B58,Table2[],7,FALSE))</f>
        <v>0.15</v>
      </c>
      <c r="K58" s="109">
        <f t="shared" si="2"/>
        <v>10.5</v>
      </c>
      <c r="L58" s="113"/>
    </row>
    <row r="59" spans="1:12" x14ac:dyDescent="0.2">
      <c r="B59" s="111" t="s">
        <v>311</v>
      </c>
      <c r="C59" s="388" t="str">
        <f>IF(B59=0,"",VLOOKUP($B59,Table2[],2,FALSE))</f>
        <v>Scouting</v>
      </c>
      <c r="D59" s="388"/>
      <c r="E59" s="388"/>
      <c r="F59" s="112"/>
      <c r="G59" s="175">
        <v>1</v>
      </c>
      <c r="H59" s="178">
        <v>1</v>
      </c>
      <c r="I59" s="120" t="str">
        <f>IF($B59=0,"",VLOOKUP($B59,Table2[],5,FALSE))</f>
        <v>acre</v>
      </c>
      <c r="J59" s="109">
        <f>IF($B59=0,"",VLOOKUP($B59,Table2[],7,FALSE))</f>
        <v>10</v>
      </c>
      <c r="K59" s="109">
        <f t="shared" si="2"/>
        <v>10</v>
      </c>
      <c r="L59" s="113"/>
    </row>
    <row r="60" spans="1:12" hidden="1" x14ac:dyDescent="0.2">
      <c r="B60" s="217"/>
      <c r="C60" s="387" t="str">
        <f>IF(B60=0,"",VLOOKUP($B60,Table2[],2,FALSE))</f>
        <v/>
      </c>
      <c r="D60" s="387"/>
      <c r="E60" s="387"/>
      <c r="F60" s="218"/>
      <c r="G60" s="221"/>
      <c r="H60" s="225"/>
      <c r="I60" s="223" t="str">
        <f>IF($B60=0,"",VLOOKUP($B60,Table2[],5,FALSE))</f>
        <v/>
      </c>
      <c r="J60" s="215" t="str">
        <f>IF($B60=0,"",VLOOKUP($B60,Table2[],7,FALSE))</f>
        <v/>
      </c>
      <c r="K60" s="215">
        <f t="shared" si="2"/>
        <v>0</v>
      </c>
      <c r="L60" s="227"/>
    </row>
    <row r="61" spans="1:12" x14ac:dyDescent="0.2">
      <c r="B61" s="260" t="s">
        <v>430</v>
      </c>
      <c r="C61" s="387" t="s">
        <v>655</v>
      </c>
      <c r="D61" s="387"/>
      <c r="E61" s="387"/>
      <c r="F61" s="218"/>
      <c r="G61" s="221"/>
      <c r="H61" s="225"/>
      <c r="I61" s="247"/>
      <c r="J61" s="215">
        <f ca="1">IF(F5=0,E5,F5)</f>
        <v>8</v>
      </c>
      <c r="K61" s="215">
        <f ca="1">IF(B61=0,0,J61)</f>
        <v>8</v>
      </c>
      <c r="L61" s="227"/>
    </row>
    <row r="62" spans="1:12" ht="3.75" customHeight="1" thickBot="1" x14ac:dyDescent="0.25">
      <c r="B62" s="114"/>
      <c r="C62" s="121"/>
      <c r="D62" s="121"/>
      <c r="E62" s="121"/>
      <c r="F62" s="115"/>
      <c r="G62" s="149"/>
      <c r="H62" s="114"/>
      <c r="I62" s="123"/>
      <c r="J62" s="124"/>
      <c r="K62" s="125"/>
      <c r="L62" s="117"/>
    </row>
    <row r="63" spans="1:12" ht="13.5" thickTop="1" x14ac:dyDescent="0.2">
      <c r="C63" s="108" t="s">
        <v>671</v>
      </c>
      <c r="D63" s="108"/>
      <c r="J63" s="126"/>
      <c r="K63" s="127">
        <f ca="1">SUM(K37:K61)</f>
        <v>171.46</v>
      </c>
      <c r="L63" s="110"/>
    </row>
    <row r="64" spans="1:12" x14ac:dyDescent="0.2">
      <c r="B64" s="358" t="s">
        <v>909</v>
      </c>
      <c r="C64" s="358"/>
      <c r="D64" s="358"/>
      <c r="E64" s="364" t="s">
        <v>917</v>
      </c>
      <c r="F64" s="358"/>
      <c r="G64" s="358" t="s">
        <v>919</v>
      </c>
      <c r="H64" s="358"/>
      <c r="I64" s="358"/>
      <c r="J64" s="358"/>
      <c r="K64" s="127"/>
      <c r="L64" s="110"/>
    </row>
    <row r="65" spans="2:12" x14ac:dyDescent="0.2">
      <c r="C65" s="108"/>
      <c r="D65" s="108"/>
      <c r="J65" s="126"/>
      <c r="K65" s="127"/>
      <c r="L65" s="110"/>
    </row>
    <row r="66" spans="2:12" x14ac:dyDescent="0.2">
      <c r="B66" s="107" t="s">
        <v>672</v>
      </c>
      <c r="K66" s="127">
        <f ca="1">K33+K63</f>
        <v>262.49</v>
      </c>
      <c r="L66" s="110"/>
    </row>
    <row r="67" spans="2:12" ht="13.5" thickBot="1" x14ac:dyDescent="0.25">
      <c r="D67" s="128" t="s">
        <v>673</v>
      </c>
      <c r="E67" s="129">
        <f ca="1">ROUND(SUM($E$33:$H$33)+$K$63,2)</f>
        <v>210.16</v>
      </c>
      <c r="F67" s="388" t="s">
        <v>674</v>
      </c>
      <c r="G67" s="388"/>
      <c r="H67" s="130">
        <f>'General Variables'!$B$11</f>
        <v>7.4999999999999997E-2</v>
      </c>
      <c r="I67" s="131" t="str">
        <f>CONCATENATE("for ",TEXT('General Variables'!$B$12,"0.0")," mo.")</f>
        <v>for 6.0 mo.</v>
      </c>
      <c r="K67" s="132">
        <f ca="1">E67*H67*'General Variables'!$B$12/12</f>
        <v>7.8809999999999993</v>
      </c>
      <c r="L67" s="133"/>
    </row>
    <row r="68" spans="2:12" ht="13.5" thickTop="1" x14ac:dyDescent="0.2">
      <c r="B68" s="107" t="s">
        <v>675</v>
      </c>
      <c r="K68" s="127">
        <f ca="1">SUM(K66:K67)</f>
        <v>270.37099999999998</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32</v>
      </c>
      <c r="D71" s="399"/>
      <c r="E71" s="400"/>
      <c r="F71" s="136">
        <f>IF(C71=0,0,VLOOKUP(C71,RETable,2,FALSE))</f>
        <v>920</v>
      </c>
      <c r="G71" s="388" t="s">
        <v>678</v>
      </c>
      <c r="H71" s="388"/>
      <c r="I71" s="130">
        <f>'General Variables'!$B$10</f>
        <v>0.03</v>
      </c>
      <c r="K71" s="137">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0">
        <f>ROUND(F72*I72,2)</f>
        <v>11.96</v>
      </c>
      <c r="L72" s="133"/>
    </row>
    <row r="73" spans="2:12" ht="13.5" thickTop="1" x14ac:dyDescent="0.2">
      <c r="B73" s="107" t="s">
        <v>680</v>
      </c>
      <c r="K73" s="127">
        <f ca="1">SUM(K68:K72)</f>
        <v>327.93099999999998</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3.5428714285714284</v>
      </c>
      <c r="L75" s="148"/>
    </row>
    <row r="76" spans="2:12" x14ac:dyDescent="0.2">
      <c r="B76" s="107" t="str">
        <f>IF(G4="","","Cost of production per "&amp;H4)</f>
        <v>Cost of production per bushel</v>
      </c>
      <c r="K76" s="141">
        <f ca="1">IF(G4="","",K73/G4)</f>
        <v>4.6847285714285709</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G72:H72"/>
    <mergeCell ref="C60:E60"/>
    <mergeCell ref="C49:E49"/>
    <mergeCell ref="C50:E50"/>
    <mergeCell ref="C51:E51"/>
    <mergeCell ref="C52:E52"/>
    <mergeCell ref="C53:E53"/>
    <mergeCell ref="C54:E54"/>
    <mergeCell ref="C55:E55"/>
    <mergeCell ref="C56:E56"/>
    <mergeCell ref="C57:E57"/>
    <mergeCell ref="C58:E58"/>
    <mergeCell ref="C59:E59"/>
    <mergeCell ref="F67:G67"/>
    <mergeCell ref="C71:E71"/>
    <mergeCell ref="G71:H71"/>
    <mergeCell ref="C10:C11"/>
    <mergeCell ref="E10:E11"/>
    <mergeCell ref="F10:F11"/>
    <mergeCell ref="G10:H10"/>
    <mergeCell ref="C48:E48"/>
    <mergeCell ref="C37:E37"/>
    <mergeCell ref="C38:E38"/>
    <mergeCell ref="C39:E39"/>
    <mergeCell ref="C40:E40"/>
    <mergeCell ref="C41:E41"/>
    <mergeCell ref="C42:E42"/>
    <mergeCell ref="C43:E43"/>
    <mergeCell ref="C44:E44"/>
    <mergeCell ref="C45:E45"/>
    <mergeCell ref="C46:E46"/>
    <mergeCell ref="C47:E47"/>
    <mergeCell ref="C3:E3"/>
    <mergeCell ref="K2:L2"/>
    <mergeCell ref="G2:H2"/>
    <mergeCell ref="C4:E4"/>
    <mergeCell ref="C61:E61"/>
    <mergeCell ref="F35:F36"/>
    <mergeCell ref="G35:G36"/>
    <mergeCell ref="H35:I35"/>
    <mergeCell ref="J35:J36"/>
    <mergeCell ref="L35:L36"/>
    <mergeCell ref="K10:K11"/>
    <mergeCell ref="L10:L11"/>
    <mergeCell ref="I10:J10"/>
    <mergeCell ref="B7:L7"/>
    <mergeCell ref="A6:M6"/>
    <mergeCell ref="B10:B11"/>
  </mergeCells>
  <dataValidations count="9">
    <dataValidation type="list" allowBlank="1" showInputMessage="1" showErrorMessage="1" sqref="B62" xr:uid="{00000000-0002-0000-5200-000000000000}">
      <formula1>$C$112:$C$230</formula1>
    </dataValidation>
    <dataValidation type="list" allowBlank="1" showInputMessage="1" showErrorMessage="1" sqref="B32" xr:uid="{00000000-0002-0000-5200-000001000000}">
      <formula1>$B$112:$B$209</formula1>
    </dataValidation>
    <dataValidation type="list" allowBlank="1" showInputMessage="1" showErrorMessage="1" sqref="K4" xr:uid="{00000000-0002-0000-5200-000002000000}">
      <formula1>$K$112:$K$114</formula1>
    </dataValidation>
    <dataValidation type="list" allowBlank="1" showInputMessage="1" showErrorMessage="1" sqref="B37:B60" xr:uid="{00000000-0002-0000-5200-000003000000}">
      <formula1>MaterialList</formula1>
    </dataValidation>
    <dataValidation type="list" allowBlank="1" showInputMessage="1" showErrorMessage="1" sqref="C71:E71" xr:uid="{00000000-0002-0000-5200-000004000000}">
      <formula1>RealEstateList</formula1>
    </dataValidation>
    <dataValidation type="list" allowBlank="1" showInputMessage="1" showErrorMessage="1" sqref="B12:B31" xr:uid="{00000000-0002-0000-5200-000005000000}">
      <formula1>OperationList</formula1>
    </dataValidation>
    <dataValidation type="list" allowBlank="1" showInputMessage="1" showErrorMessage="1" sqref="D12:D32" xr:uid="{00000000-0002-0000-5200-000006000000}">
      <formula1>#REF!</formula1>
    </dataValidation>
    <dataValidation type="list" allowBlank="1" showInputMessage="1" showErrorMessage="1" sqref="K2" xr:uid="{00000000-0002-0000-5200-000007000000}">
      <formula1>watersource</formula1>
    </dataValidation>
    <dataValidation type="list" allowBlank="1" showInputMessage="1" showErrorMessage="1" sqref="C3" xr:uid="{00000000-0002-0000-5200-000008000000}">
      <formula1>TillageSystem</formula1>
    </dataValidation>
  </dataValidations>
  <pageMargins left="0.7" right="0.7" top="0.75" bottom="0.75" header="0.3" footer="0.3"/>
  <pageSetup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2">
    <pageSetUpPr fitToPage="1"/>
  </sheetPr>
  <dimension ref="A2:M257"/>
  <sheetViews>
    <sheetView topLeftCell="A20"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55</v>
      </c>
      <c r="D3" s="391"/>
      <c r="E3" s="391"/>
      <c r="G3" s="128" t="s">
        <v>650</v>
      </c>
      <c r="H3" s="187" t="s">
        <v>793</v>
      </c>
      <c r="J3" s="128" t="s">
        <v>651</v>
      </c>
      <c r="K3" s="187"/>
    </row>
    <row r="4" spans="1:13" hidden="1" x14ac:dyDescent="0.2">
      <c r="B4" s="103" t="s">
        <v>652</v>
      </c>
      <c r="C4" s="392" t="s">
        <v>794</v>
      </c>
      <c r="D4" s="392"/>
      <c r="E4" s="392"/>
      <c r="G4" s="103">
        <f>IFERROR(VALUE(LEFT($H$3,FIND(" ",$H$3))),"")</f>
        <v>65</v>
      </c>
      <c r="H4" s="103" t="str">
        <f>IFERROR(RIGHT(H3,LEN(H3)-LEN(G4)-1),"")</f>
        <v>bushel</v>
      </c>
      <c r="J4" s="128" t="s">
        <v>653</v>
      </c>
      <c r="K4" s="188"/>
    </row>
    <row r="5" spans="1:13" ht="15.75" hidden="1" customHeight="1" x14ac:dyDescent="0.2">
      <c r="B5" s="103" t="s">
        <v>655</v>
      </c>
      <c r="C5" s="238" t="str">
        <f ca="1">MID(CELL("filename",C5),FIND("]",CELL("filename",C5))+1,255)</f>
        <v>77-Wheat-Winter</v>
      </c>
      <c r="E5" s="103">
        <f ca="1">VLOOKUP($C$5,CropInsurance,5,FALSE)</f>
        <v>8</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77-Wheat-Winter, Panhandle, Stubble Mulch Fallow, One Crop in Two Years, 65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77-Wheat-Winter, Panhandle, Stubble Mulch Fallow, One Crop in Two Years, 65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561</v>
      </c>
      <c r="C12" s="174">
        <v>1</v>
      </c>
      <c r="D12" s="174"/>
      <c r="E12" s="109">
        <f>IF(B12=0,"",IF(C12&gt;9999,"",ROUND('General Variables'!$B$4*VLOOKUP(B12,Operations!$A$2:$U$79,10,FALSE)/VLOOKUP(B12,Operations!$A$2:$U$79,9,FALSE)*C12,2)))</f>
        <v>2.38</v>
      </c>
      <c r="F12" s="109">
        <f>IF(B12=0,0,IF(C12&gt;9999,"",ROUND(IF(VLOOKUP(B12,Operations!$A$2:$U$79,12,FALSE)=0,VLOOKUP(B12,Operations!$A$2:$U$79,13,FALSE)*'General Variables'!$B$8,VLOOKUP(B12,Operations!$A$2:$U$79,12,FALSE)*'General Variables'!$B$7)/VLOOKUP(B12,Operations!$A$2:$U$79,9,FALSE)*C12,2)))</f>
        <v>2.21</v>
      </c>
      <c r="G12" s="109">
        <f>IF(B12=0,0,IF(C12&gt;9999,"",ROUND(VLOOKUP(VLOOKUP(B12,Operations!$A$2:$U$79,11,FALSE),PowerUnits[],10,FALSE)/VLOOKUP(B12,Operations!$A$2:$U$79,9,FALSE)*C12,2)))</f>
        <v>0.27</v>
      </c>
      <c r="H12" s="109">
        <f>IF(B12=0,"",IF(C12&gt;9999,"",ROUND(VLOOKUP($B12,Operations!$A$2:$U$79,15,FALSE)*C12,2)))</f>
        <v>0.79</v>
      </c>
      <c r="I12" s="109">
        <f>IF(B12=0,0,IF(C12&gt;9999,"",ROUND(VLOOKUP(VLOOKUP(B12,Operations!$A$2:$U$79,11,FALSE),PowerUnits[],16,FALSE)/VLOOKUP(B12,Operations!$A$2:$U$79,9,FALSE)*C12,2)))</f>
        <v>7.38</v>
      </c>
      <c r="J12" s="109">
        <f>IF(B12=0,"",IF(C12&gt;9999,"",ROUND(VLOOKUP($B12,Operations!$A$2:$U$79,21,FALSE)*$C12,2)))</f>
        <v>2.42</v>
      </c>
      <c r="K12" s="109">
        <f>IF(C12&gt;9999,"",ROUND(SUM(E12:J12),2))</f>
        <v>15.45</v>
      </c>
      <c r="L12" s="110"/>
    </row>
    <row r="13" spans="1:13" x14ac:dyDescent="0.2">
      <c r="A13" s="170">
        <v>2</v>
      </c>
      <c r="B13" s="180" t="s">
        <v>561</v>
      </c>
      <c r="C13" s="174">
        <v>1</v>
      </c>
      <c r="D13" s="174"/>
      <c r="E13" s="109">
        <f>IF(B13=0,"",IF(C13&gt;9999,"",ROUND('General Variables'!$B$4*VLOOKUP(B13,Operations!$A$2:$U$79,10,FALSE)/VLOOKUP(B13,Operations!$A$2:$U$79,9,FALSE)*C13,2)))</f>
        <v>2.38</v>
      </c>
      <c r="F13" s="109">
        <f>IF(B13=0,0,IF(C13&gt;9999,"",ROUND(IF(VLOOKUP(B13,Operations!$A$2:$U$79,12,FALSE)=0,VLOOKUP(B13,Operations!$A$2:$U$79,13,FALSE)*'General Variables'!$B$8,VLOOKUP(B13,Operations!$A$2:$U$79,12,FALSE)*'General Variables'!$B$7)/VLOOKUP(B13,Operations!$A$2:$U$79,9,FALSE)*C13,2)))</f>
        <v>2.21</v>
      </c>
      <c r="G13" s="109">
        <f>IF(B13=0,0,IF(C13&gt;9999,"",ROUND(VLOOKUP(VLOOKUP(B13,Operations!$A$2:$U$79,11,FALSE),PowerUnits[],10,FALSE)/VLOOKUP(B13,Operations!$A$2:$U$79,9,FALSE)*C13,2)))</f>
        <v>0.27</v>
      </c>
      <c r="H13" s="109">
        <f>IF(B13=0,"",IF(C13&gt;9999,"",ROUND(VLOOKUP($B13,Operations!$A$2:$U$79,15,FALSE)*C13,2)))</f>
        <v>0.79</v>
      </c>
      <c r="I13" s="109">
        <f>IF(B13=0,0,IF(C13&gt;9999,"",ROUND(VLOOKUP(VLOOKUP(B13,Operations!$A$2:$U$79,11,FALSE),PowerUnits[],16,FALSE)/VLOOKUP(B13,Operations!$A$2:$U$79,9,FALSE)*C13,2)))</f>
        <v>7.38</v>
      </c>
      <c r="J13" s="109">
        <f>IF(B13=0,"",IF(C13&gt;9999,"",ROUND(VLOOKUP($B13,Operations!$A$2:$U$79,21,FALSE)*$C13,2)))</f>
        <v>2.42</v>
      </c>
      <c r="K13" s="109">
        <f t="shared" ref="K13:K31" si="0">IF(C13&gt;9999,"",ROUND(SUM(E13:J13),2))</f>
        <v>15.45</v>
      </c>
      <c r="L13" s="110"/>
    </row>
    <row r="14" spans="1:13" x14ac:dyDescent="0.2">
      <c r="A14" s="170">
        <v>3</v>
      </c>
      <c r="B14" s="180" t="s">
        <v>561</v>
      </c>
      <c r="C14" s="174">
        <v>1</v>
      </c>
      <c r="D14" s="174"/>
      <c r="E14" s="109">
        <f>IF(B14=0,"",IF(C14&gt;9999,"",ROUND('General Variables'!$B$4*VLOOKUP(B14,Operations!$A$2:$U$79,10,FALSE)/VLOOKUP(B14,Operations!$A$2:$U$79,9,FALSE)*C14,2)))</f>
        <v>2.38</v>
      </c>
      <c r="F14" s="109">
        <f>IF(B14=0,0,IF(C14&gt;9999,"",ROUND(IF(VLOOKUP(B14,Operations!$A$2:$U$79,12,FALSE)=0,VLOOKUP(B14,Operations!$A$2:$U$79,13,FALSE)*'General Variables'!$B$8,VLOOKUP(B14,Operations!$A$2:$U$79,12,FALSE)*'General Variables'!$B$7)/VLOOKUP(B14,Operations!$A$2:$U$79,9,FALSE)*C14,2)))</f>
        <v>2.21</v>
      </c>
      <c r="G14" s="109">
        <f>IF(B14=0,0,IF(C14&gt;9999,"",ROUND(VLOOKUP(VLOOKUP(B14,Operations!$A$2:$U$79,11,FALSE),PowerUnits[],10,FALSE)/VLOOKUP(B14,Operations!$A$2:$U$79,9,FALSE)*C14,2)))</f>
        <v>0.27</v>
      </c>
      <c r="H14" s="109">
        <f>IF(B14=0,"",IF(C14&gt;9999,"",ROUND(VLOOKUP($B14,Operations!$A$2:$U$79,15,FALSE)*C14,2)))</f>
        <v>0.79</v>
      </c>
      <c r="I14" s="109">
        <f>IF(B14=0,0,IF(C14&gt;9999,"",ROUND(VLOOKUP(VLOOKUP(B14,Operations!$A$2:$U$79,11,FALSE),PowerUnits[],16,FALSE)/VLOOKUP(B14,Operations!$A$2:$U$79,9,FALSE)*C14,2)))</f>
        <v>7.38</v>
      </c>
      <c r="J14" s="109">
        <f>IF(B14=0,"",IF(C14&gt;9999,"",ROUND(VLOOKUP($B14,Operations!$A$2:$U$79,21,FALSE)*$C14,2)))</f>
        <v>2.42</v>
      </c>
      <c r="K14" s="109">
        <f t="shared" si="0"/>
        <v>15.45</v>
      </c>
      <c r="L14" s="110"/>
    </row>
    <row r="15" spans="1:13" x14ac:dyDescent="0.2">
      <c r="A15" s="170">
        <v>4</v>
      </c>
      <c r="B15" s="213" t="s">
        <v>537</v>
      </c>
      <c r="C15" s="214">
        <v>1</v>
      </c>
      <c r="D15" s="214"/>
      <c r="E15" s="215">
        <f>IF(B15=0,"",IF(C15&gt;9999,"",ROUND('General Variables'!$B$4*VLOOKUP(B15,Operations!$A$2:$U$79,10,FALSE)/VLOOKUP(B15,Operations!$A$2:$U$79,9,FALSE)*C15,2)))</f>
        <v>2.0499999999999998</v>
      </c>
      <c r="F15" s="215">
        <f>IF(B15=0,0,IF(C15&gt;9999,"",ROUND(IF(VLOOKUP(B15,Operations!$A$2:$U$79,12,FALSE)=0,VLOOKUP(B15,Operations!$A$2:$U$79,13,FALSE)*'General Variables'!$B$8,VLOOKUP(B15,Operations!$A$2:$U$79,12,FALSE)*'General Variables'!$B$7)/VLOOKUP(B15,Operations!$A$2:$U$79,9,FALSE)*C15,2)))</f>
        <v>1.29</v>
      </c>
      <c r="G15" s="215">
        <f>IF(B15=0,0,IF(C15&gt;9999,"",ROUND(VLOOKUP(VLOOKUP(B15,Operations!$A$2:$U$79,11,FALSE),PowerUnits[],10,FALSE)/VLOOKUP(B15,Operations!$A$2:$U$79,9,FALSE)*C15,2)))</f>
        <v>0.26</v>
      </c>
      <c r="H15" s="215">
        <f>IF(B15=0,"",IF(C15&gt;9999,"",ROUND(VLOOKUP($B15,Operations!$A$2:$U$79,15,FALSE)*C15,2)))</f>
        <v>0.92</v>
      </c>
      <c r="I15" s="215">
        <f>IF(B15=0,0,IF(C15&gt;9999,"",ROUND(VLOOKUP(VLOOKUP(B15,Operations!$A$2:$U$79,11,FALSE),PowerUnits[],16,FALSE)/VLOOKUP(B15,Operations!$A$2:$U$79,9,FALSE)*C15,2)))</f>
        <v>6.99</v>
      </c>
      <c r="J15" s="215">
        <f>IF(B15=0,"",IF(C15&gt;9999,"",ROUND(VLOOKUP($B15,Operations!$A$2:$U$79,21,FALSE)*$C15,2)))</f>
        <v>3.69</v>
      </c>
      <c r="K15" s="215">
        <f t="shared" si="0"/>
        <v>15.2</v>
      </c>
      <c r="L15" s="216"/>
    </row>
    <row r="16" spans="1:13" x14ac:dyDescent="0.2">
      <c r="A16" s="170">
        <v>5</v>
      </c>
      <c r="B16" s="180" t="s">
        <v>537</v>
      </c>
      <c r="C16" s="174">
        <v>1</v>
      </c>
      <c r="D16" s="174"/>
      <c r="E16" s="109">
        <f>IF(B16=0,"",IF(C16&gt;9999,"",ROUND('General Variables'!$B$4*VLOOKUP(B16,Operations!$A$2:$U$79,10,FALSE)/VLOOKUP(B16,Operations!$A$2:$U$79,9,FALSE)*C16,2)))</f>
        <v>2.0499999999999998</v>
      </c>
      <c r="F16" s="109">
        <f>IF(B16=0,0,IF(C16&gt;9999,"",ROUND(IF(VLOOKUP(B16,Operations!$A$2:$U$79,12,FALSE)=0,VLOOKUP(B16,Operations!$A$2:$U$79,13,FALSE)*'General Variables'!$B$8,VLOOKUP(B16,Operations!$A$2:$U$79,12,FALSE)*'General Variables'!$B$7)/VLOOKUP(B16,Operations!$A$2:$U$79,9,FALSE)*C16,2)))</f>
        <v>1.29</v>
      </c>
      <c r="G16" s="109">
        <f>IF(B16=0,0,IF(C16&gt;9999,"",ROUND(VLOOKUP(VLOOKUP(B16,Operations!$A$2:$U$79,11,FALSE),PowerUnits[],10,FALSE)/VLOOKUP(B16,Operations!$A$2:$U$79,9,FALSE)*C16,2)))</f>
        <v>0.26</v>
      </c>
      <c r="H16" s="109">
        <f>IF(B16=0,"",IF(C16&gt;9999,"",ROUND(VLOOKUP($B16,Operations!$A$2:$U$79,15,FALSE)*C16,2)))</f>
        <v>0.92</v>
      </c>
      <c r="I16" s="109">
        <f>IF(B16=0,0,IF(C16&gt;9999,"",ROUND(VLOOKUP(VLOOKUP(B16,Operations!$A$2:$U$79,11,FALSE),PowerUnits[],16,FALSE)/VLOOKUP(B16,Operations!$A$2:$U$79,9,FALSE)*C16,2)))</f>
        <v>6.99</v>
      </c>
      <c r="J16" s="109">
        <f>IF(B16=0,"",IF(C16&gt;9999,"",ROUND(VLOOKUP($B16,Operations!$A$2:$U$79,21,FALSE)*$C16,2)))</f>
        <v>3.69</v>
      </c>
      <c r="K16" s="109">
        <f t="shared" si="0"/>
        <v>15.2</v>
      </c>
      <c r="L16" s="110"/>
    </row>
    <row r="17" spans="1:12" x14ac:dyDescent="0.2">
      <c r="A17" s="170">
        <v>6</v>
      </c>
      <c r="B17" s="180" t="s">
        <v>488</v>
      </c>
      <c r="C17" s="174">
        <v>1</v>
      </c>
      <c r="D17" s="174"/>
      <c r="E17" s="109">
        <f>IF(B17=0,"",IF(C17&gt;9999,"",ROUND('General Variables'!$B$4*VLOOKUP(B17,Operations!$A$2:$U$79,10,FALSE)/VLOOKUP(B17,Operations!$A$2:$U$79,9,FALSE)*C17,2)))</f>
        <v>2.38</v>
      </c>
      <c r="F17" s="109">
        <f>IF(B17=0,0,IF(C17&gt;9999,"",ROUND(IF(VLOOKUP(B17,Operations!$A$2:$U$79,12,FALSE)=0,VLOOKUP(B17,Operations!$A$2:$U$79,13,FALSE)*'General Variables'!$B$8,VLOOKUP(B17,Operations!$A$2:$U$79,12,FALSE)*'General Variables'!$B$7)/VLOOKUP(B17,Operations!$A$2:$U$79,9,FALSE)*C17,2)))</f>
        <v>1.28</v>
      </c>
      <c r="G17" s="109">
        <f>IF(B17=0,0,IF(C17&gt;9999,"",ROUND(VLOOKUP(VLOOKUP(B17,Operations!$A$2:$U$79,11,FALSE),PowerUnits[],10,FALSE)/VLOOKUP(B17,Operations!$A$2:$U$79,9,FALSE)*C17,2)))</f>
        <v>7.0000000000000007E-2</v>
      </c>
      <c r="H17" s="109">
        <f>IF(B17=0,"",IF(C17&gt;9999,"",ROUND(VLOOKUP($B17,Operations!$A$2:$U$79,15,FALSE)*C17,2)))</f>
        <v>7.18</v>
      </c>
      <c r="I17" s="109">
        <f>IF(B17=0,0,IF(C17&gt;9999,"",ROUND(VLOOKUP(VLOOKUP(B17,Operations!$A$2:$U$79,11,FALSE),PowerUnits[],16,FALSE)/VLOOKUP(B17,Operations!$A$2:$U$79,9,FALSE)*C17,2)))</f>
        <v>3.46</v>
      </c>
      <c r="J17" s="109">
        <f>IF(B17=0,"",IF(C17&gt;9999,"",ROUND(VLOOKUP($B17,Operations!$A$2:$U$79,21,FALSE)*$C17,2)))</f>
        <v>2.4500000000000002</v>
      </c>
      <c r="K17" s="109">
        <f>IF(C17&gt;9999,"",ROUND(SUM(E17:J17),2))</f>
        <v>16.82</v>
      </c>
      <c r="L17" s="110"/>
    </row>
    <row r="18" spans="1:12" x14ac:dyDescent="0.2">
      <c r="A18" s="170">
        <v>7</v>
      </c>
      <c r="B18" s="180" t="s">
        <v>548</v>
      </c>
      <c r="C18" s="174">
        <v>1</v>
      </c>
      <c r="D18" s="174"/>
      <c r="E18" s="109">
        <f>IF(B18=0,"",IF(C18&gt;9999,"",ROUND('General Variables'!$B$4*VLOOKUP(B18,Operations!$A$2:$U$79,10,FALSE)/VLOOKUP(B18,Operations!$A$2:$U$79,9,FALSE)*C18,2)))</f>
        <v>1.02</v>
      </c>
      <c r="F18" s="109">
        <f>IF(B18=0,0,IF(C18&gt;9999,"",ROUND(IF(VLOOKUP(B18,Operations!$A$2:$U$79,12,FALSE)=0,VLOOKUP(B18,Operations!$A$2:$U$79,13,FALSE)*'General Variables'!$B$8,VLOOKUP(B18,Operations!$A$2:$U$79,12,FALSE)*'General Variables'!$B$7)/VLOOKUP(B18,Operations!$A$2:$U$79,9,FALSE)*C18,2)))</f>
        <v>0.26</v>
      </c>
      <c r="G18" s="109">
        <f>IF(B18=0,0,IF(C18&gt;9999,"",ROUND(VLOOKUP(VLOOKUP(B18,Operations!$A$2:$U$79,11,FALSE),PowerUnits[],10,FALSE)/VLOOKUP(B18,Operations!$A$2:$U$79,9,FALSE)*C18,2)))</f>
        <v>0.03</v>
      </c>
      <c r="H18" s="109">
        <f>IF(B18=0,"",IF(C18&gt;9999,"",ROUND(VLOOKUP($B18,Operations!$A$2:$U$79,15,FALSE)*C18,2)))</f>
        <v>0.33</v>
      </c>
      <c r="I18" s="109">
        <f>IF(B18=0,0,IF(C18&gt;9999,"",ROUND(VLOOKUP(VLOOKUP(B18,Operations!$A$2:$U$79,11,FALSE),PowerUnits[],16,FALSE)/VLOOKUP(B18,Operations!$A$2:$U$79,9,FALSE)*C18,2)))</f>
        <v>1.31</v>
      </c>
      <c r="J18" s="109">
        <f>IF(B18=0,"",IF(C18&gt;9999,"",ROUND(VLOOKUP($B18,Operations!$A$2:$U$79,21,FALSE)*$C18,2)))</f>
        <v>4.2</v>
      </c>
      <c r="K18" s="109">
        <f t="shared" si="0"/>
        <v>7.15</v>
      </c>
      <c r="L18" s="110"/>
    </row>
    <row r="19" spans="1:12" x14ac:dyDescent="0.2">
      <c r="A19" s="170">
        <v>8</v>
      </c>
      <c r="B19" s="213" t="s">
        <v>551</v>
      </c>
      <c r="C19" s="214">
        <v>1</v>
      </c>
      <c r="D19" s="214"/>
      <c r="E19" s="215">
        <f>IF(B19=0,"",IF(C19&gt;9999,"",ROUND('General Variables'!$B$4*VLOOKUP(B19,Operations!$A$2:$U$79,10,FALSE)/VLOOKUP(B19,Operations!$A$2:$U$79,9,FALSE)*C19,2)))</f>
        <v>1.02</v>
      </c>
      <c r="F19" s="215">
        <f>IF(B19=0,0,IF(C19&gt;9999,"",ROUND(IF(VLOOKUP(B19,Operations!$A$2:$U$79,12,FALSE)=0,VLOOKUP(B19,Operations!$A$2:$U$79,13,FALSE)*'General Variables'!$B$8,VLOOKUP(B19,Operations!$A$2:$U$79,12,FALSE)*'General Variables'!$B$7)/VLOOKUP(B19,Operations!$A$2:$U$79,9,FALSE)*C19,2)))</f>
        <v>0.26</v>
      </c>
      <c r="G19" s="215">
        <f>IF(B19=0,0,IF(C19&gt;9999,"",ROUND(VLOOKUP(VLOOKUP(B19,Operations!$A$2:$U$79,11,FALSE),PowerUnits[],10,FALSE)/VLOOKUP(B19,Operations!$A$2:$U$79,9,FALSE)*C19,2)))</f>
        <v>0.03</v>
      </c>
      <c r="H19" s="215">
        <f>IF(B19=0,"",IF(C19&gt;9999,"",ROUND(VLOOKUP($B19,Operations!$A$2:$U$79,15,FALSE)*C19,2)))</f>
        <v>1.1100000000000001</v>
      </c>
      <c r="I19" s="215">
        <f>IF(B19=0,0,IF(C19&gt;9999,"",ROUND(VLOOKUP(VLOOKUP(B19,Operations!$A$2:$U$79,11,FALSE),PowerUnits[],16,FALSE)/VLOOKUP(B19,Operations!$A$2:$U$79,9,FALSE)*C19,2)))</f>
        <v>1.31</v>
      </c>
      <c r="J19" s="215">
        <f>IF(B19=0,"",IF(C19&gt;9999,"",ROUND(VLOOKUP($B19,Operations!$A$2:$U$79,21,FALSE)*$C19,2)))</f>
        <v>2.02</v>
      </c>
      <c r="K19" s="215">
        <f t="shared" si="0"/>
        <v>5.75</v>
      </c>
      <c r="L19" s="216"/>
    </row>
    <row r="20" spans="1:12" x14ac:dyDescent="0.2">
      <c r="A20" s="170">
        <v>9</v>
      </c>
      <c r="B20" s="180" t="s">
        <v>183</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183</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t="s">
        <v>920</v>
      </c>
      <c r="B22" s="180" t="s">
        <v>942</v>
      </c>
      <c r="C22" s="174">
        <v>120</v>
      </c>
      <c r="D22" s="112"/>
      <c r="E22" s="109">
        <f>IF(B22=0,"",IF(C22&gt;9999,"",ROUND('General Variables'!$B$4*VLOOKUP(B22,Operations!$A$2:$U$79,10,FALSE)/VLOOKUP(B22,Operations!$A$2:$U$79,9,FALSE)*C22,2))/100)</f>
        <v>2.7414999999999998</v>
      </c>
      <c r="F22" s="109">
        <f>IF(B22=0,0,IF(C22&gt;9999,"",ROUND(IF(VLOOKUP(B22,Operations!$A$2:$U$79,12,FALSE)=0,VLOOKUP(B22,Operations!$A$2:$U$79,13,FALSE)*'General Variables'!$B$8,VLOOKUP(B22,Operations!$A$2:$U$79,12,FALSE)*'General Variables'!$B$7)/VLOOKUP(B22,Operations!$A$2:$U$79,9,FALSE)*C22,2))/100)</f>
        <v>3.0891999999999999</v>
      </c>
      <c r="G22" s="109">
        <f>IF(B22=0,0,IF(C22&gt;9999,"",ROUND(VLOOKUP(VLOOKUP(B22,Operations!$A$2:$U$79,11,FALSE),PowerUnits[],10,FALSE)/VLOOKUP(B22,Operations!$A$2:$U$79,9,FALSE)*C22,2))/100)</f>
        <v>4.7637999999999998</v>
      </c>
      <c r="H22" s="109">
        <f>IF(B22=0,"",IF(C22&gt;9999,"",ROUND(VLOOKUP($B22,Operations!$A$2:$U$79,15,FALSE)*C22,2))/100)</f>
        <v>0.47840000000000005</v>
      </c>
      <c r="I22" s="109">
        <f>IF(B22=0,0,IF(C22&gt;9999,"",ROUND(VLOOKUP(VLOOKUP(B22,Operations!$A$2:$U$79,11,FALSE),PowerUnits[],16,FALSE)/VLOOKUP(B22,Operations!$A$2:$U$79,9,FALSE)*C22,2))/90)</f>
        <v>12.747222222222222</v>
      </c>
      <c r="J22" s="109">
        <f>IF(B22=0,"",IF(C22&gt;9999,"",ROUND(VLOOKUP($B22,Operations!$A$2:$U$79,21,FALSE)*$C22,2))/100)</f>
        <v>3.6970999999999998</v>
      </c>
      <c r="K22" s="109">
        <f>IF(C22&gt;9999,"",ROUND(SUM(E22:J22),2))</f>
        <v>27.52</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1">SUM(E12:E31)</f>
        <v>18.401499999999995</v>
      </c>
      <c r="F33" s="109">
        <f t="shared" si="1"/>
        <v>14.0992</v>
      </c>
      <c r="G33" s="109">
        <f t="shared" si="1"/>
        <v>6.2237999999999998</v>
      </c>
      <c r="H33" s="109">
        <f t="shared" si="1"/>
        <v>13.308400000000001</v>
      </c>
      <c r="I33" s="109">
        <f t="shared" si="1"/>
        <v>54.94722222222223</v>
      </c>
      <c r="J33" s="109">
        <f t="shared" si="1"/>
        <v>27.007099999999998</v>
      </c>
      <c r="K33" s="109">
        <f t="shared" si="1"/>
        <v>133.99</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6</v>
      </c>
      <c r="G37" s="175">
        <v>1</v>
      </c>
      <c r="H37" s="176">
        <v>8</v>
      </c>
      <c r="I37" s="120" t="str">
        <f>IF($B37=0,"",VLOOKUP($B37,Table2[],5,FALSE))</f>
        <v>gallon</v>
      </c>
      <c r="J37" s="109">
        <f>IF($B37=0,"",VLOOKUP($B37,Table2[],7,FALSE))</f>
        <v>3.1</v>
      </c>
      <c r="K37" s="109">
        <f t="shared" ref="K37:K55" si="2">IF(B37=0,0,ROUND(G37*H37*J37,2))</f>
        <v>24.8</v>
      </c>
      <c r="L37" s="110"/>
    </row>
    <row r="38" spans="1:12" x14ac:dyDescent="0.2">
      <c r="A38" s="105"/>
      <c r="B38" s="180" t="s">
        <v>350</v>
      </c>
      <c r="C38" s="388" t="str">
        <f>IF(B38=0,"",VLOOKUP($B38,Table2[],2,FALSE))</f>
        <v>Seed</v>
      </c>
      <c r="D38" s="388"/>
      <c r="E38" s="388"/>
      <c r="F38" s="174">
        <v>6</v>
      </c>
      <c r="G38" s="175">
        <v>1</v>
      </c>
      <c r="H38" s="176">
        <v>55</v>
      </c>
      <c r="I38" s="120" t="str">
        <f>IF($B38=0,"",VLOOKUP($B38,Table2[],5,FALSE))</f>
        <v>pound</v>
      </c>
      <c r="J38" s="109">
        <f>IF($B38=0,"",VLOOKUP($B38,Table2[],7,FALSE))</f>
        <v>0.41</v>
      </c>
      <c r="K38" s="109">
        <f t="shared" si="2"/>
        <v>22.55</v>
      </c>
      <c r="L38" s="110"/>
    </row>
    <row r="39" spans="1:12" x14ac:dyDescent="0.2">
      <c r="A39" s="105"/>
      <c r="B39" s="180" t="s">
        <v>205</v>
      </c>
      <c r="C39" s="388" t="str">
        <f>IF(B39=0,"",VLOOKUP($B39,Table2[],2,FALSE))</f>
        <v>Fertilizer</v>
      </c>
      <c r="D39" s="388"/>
      <c r="E39" s="388"/>
      <c r="F39" s="174">
        <v>7</v>
      </c>
      <c r="G39" s="175">
        <v>1</v>
      </c>
      <c r="H39" s="176">
        <v>85</v>
      </c>
      <c r="I39" s="120" t="str">
        <f>IF($B39=0,"",VLOOKUP($B39,Table2[],5,FALSE))</f>
        <v>lbs N</v>
      </c>
      <c r="J39" s="109">
        <f>IF($B39=0,"",VLOOKUP($B39,Table2[],7,FALSE))</f>
        <v>0.5</v>
      </c>
      <c r="K39" s="109">
        <f>IF(B39=0,0,ROUND(G39*H39*J39,2))</f>
        <v>42.5</v>
      </c>
      <c r="L39" s="110"/>
    </row>
    <row r="40" spans="1:12" x14ac:dyDescent="0.2">
      <c r="A40" s="105"/>
      <c r="B40" s="213" t="s">
        <v>229</v>
      </c>
      <c r="C40" s="387" t="str">
        <f>IF(B40=0,"",VLOOKUP($B40,Table2[],2,FALSE))</f>
        <v>Herbicide</v>
      </c>
      <c r="D40" s="387"/>
      <c r="E40" s="387"/>
      <c r="F40" s="214">
        <v>8</v>
      </c>
      <c r="G40" s="221">
        <v>1</v>
      </c>
      <c r="H40" s="222">
        <v>0.5</v>
      </c>
      <c r="I40" s="223" t="str">
        <f>IF($B40=0,"",VLOOKUP($B40,Table2[],5,FALSE))</f>
        <v>pint</v>
      </c>
      <c r="J40" s="215">
        <f>IF($B40=0,"",VLOOKUP($B40,Table2[],7,FALSE))</f>
        <v>2.5</v>
      </c>
      <c r="K40" s="215">
        <f t="shared" si="2"/>
        <v>1.25</v>
      </c>
      <c r="L40" s="216"/>
    </row>
    <row r="41" spans="1:12" x14ac:dyDescent="0.2">
      <c r="A41" s="105"/>
      <c r="B41" s="180" t="s">
        <v>234</v>
      </c>
      <c r="C41" s="388" t="str">
        <f>IF(B41=0,"",VLOOKUP($B41,Table2[],2,FALSE))</f>
        <v>Herbicide</v>
      </c>
      <c r="D41" s="388"/>
      <c r="E41" s="388"/>
      <c r="F41" s="174">
        <v>8</v>
      </c>
      <c r="G41" s="175">
        <v>1</v>
      </c>
      <c r="H41" s="176">
        <v>0.3</v>
      </c>
      <c r="I41" s="120" t="str">
        <f>IF($B41=0,"",VLOOKUP($B41,Table2[],5,FALSE))</f>
        <v>ounce</v>
      </c>
      <c r="J41" s="109">
        <f>IF($B41=0,"",VLOOKUP($B41,Table2[],7,FALSE))</f>
        <v>11</v>
      </c>
      <c r="K41" s="109">
        <f t="shared" si="2"/>
        <v>3.3</v>
      </c>
      <c r="L41" s="110"/>
    </row>
    <row r="42" spans="1:12" x14ac:dyDescent="0.2">
      <c r="A42" s="105"/>
      <c r="B42" s="180" t="s">
        <v>181</v>
      </c>
      <c r="C42" s="388" t="str">
        <f>IF(B42=0,"",VLOOKUP($B42,Table2[],2,FALSE))</f>
        <v>Additive</v>
      </c>
      <c r="D42" s="388"/>
      <c r="E42" s="388"/>
      <c r="F42" s="174">
        <v>8</v>
      </c>
      <c r="G42" s="175">
        <v>1</v>
      </c>
      <c r="H42" s="176">
        <v>6</v>
      </c>
      <c r="I42" s="120" t="str">
        <f>IF($B42=0,"",VLOOKUP($B42,Table2[],5,FALSE))</f>
        <v>ounce</v>
      </c>
      <c r="J42" s="109">
        <f>IF($B42=0,"",VLOOKUP($B42,Table2[],7,FALSE))</f>
        <v>0.203125</v>
      </c>
      <c r="K42" s="109">
        <f t="shared" si="2"/>
        <v>1.22</v>
      </c>
      <c r="L42" s="110"/>
    </row>
    <row r="43" spans="1:12" x14ac:dyDescent="0.2">
      <c r="A43" s="128"/>
      <c r="B43" s="180" t="s">
        <v>183</v>
      </c>
      <c r="C43" s="388" t="str">
        <f>IF(B43=0,"",VLOOKUP($B43,Table2[],2,FALSE))</f>
        <v>Custom</v>
      </c>
      <c r="D43" s="388"/>
      <c r="E43" s="388"/>
      <c r="F43" s="174">
        <v>9</v>
      </c>
      <c r="G43" s="175">
        <v>0.25</v>
      </c>
      <c r="H43" s="176">
        <v>1</v>
      </c>
      <c r="I43" s="120" t="str">
        <f>IF($B43=0,"",VLOOKUP($B43,Table2[],5,FALSE))</f>
        <v>acre</v>
      </c>
      <c r="J43" s="109">
        <f>IF($B43=0,"",VLOOKUP($B43,Table2[],7,FALSE))</f>
        <v>11</v>
      </c>
      <c r="K43" s="109">
        <f t="shared" si="2"/>
        <v>2.75</v>
      </c>
      <c r="L43" s="110"/>
    </row>
    <row r="44" spans="1:12" x14ac:dyDescent="0.2">
      <c r="A44" s="128" t="s">
        <v>750</v>
      </c>
      <c r="B44" s="213" t="s">
        <v>223</v>
      </c>
      <c r="C44" s="387" t="str">
        <f>IF(B44=0,"",VLOOKUP($B44,Table2[],2,FALSE))</f>
        <v>Fungicide</v>
      </c>
      <c r="D44" s="387"/>
      <c r="E44" s="387"/>
      <c r="F44" s="214">
        <v>9</v>
      </c>
      <c r="G44" s="221">
        <v>0.25</v>
      </c>
      <c r="H44" s="222">
        <v>10.5</v>
      </c>
      <c r="I44" s="223" t="str">
        <f>IF($B44=0,"",VLOOKUP($B44,Table2[],5,FALSE))</f>
        <v>ounce</v>
      </c>
      <c r="J44" s="215">
        <f>IF($B44=0,"",VLOOKUP($B44,Table2[],7,FALSE))</f>
        <v>1.875</v>
      </c>
      <c r="K44" s="215">
        <f t="shared" si="2"/>
        <v>4.92</v>
      </c>
      <c r="L44" s="216"/>
    </row>
    <row r="45" spans="1:12" x14ac:dyDescent="0.2">
      <c r="A45" s="128"/>
      <c r="B45" s="180" t="s">
        <v>183</v>
      </c>
      <c r="C45" s="388" t="str">
        <f>IF(B45=0,"",VLOOKUP($B45,Table2[],2,FALSE))</f>
        <v>Custom</v>
      </c>
      <c r="D45" s="388"/>
      <c r="E45" s="388"/>
      <c r="F45" s="174">
        <v>10</v>
      </c>
      <c r="G45" s="175">
        <v>0.15</v>
      </c>
      <c r="H45" s="176">
        <v>1</v>
      </c>
      <c r="I45" s="120" t="str">
        <f>IF($B45=0,"",VLOOKUP($B45,Table2[],5,FALSE))</f>
        <v>acre</v>
      </c>
      <c r="J45" s="109">
        <f>IF($B45=0,"",VLOOKUP($B45,Table2[],7,FALSE))</f>
        <v>11</v>
      </c>
      <c r="K45" s="109">
        <f t="shared" si="2"/>
        <v>1.65</v>
      </c>
      <c r="L45" s="110"/>
    </row>
    <row r="46" spans="1:12" x14ac:dyDescent="0.2">
      <c r="A46" s="128" t="s">
        <v>906</v>
      </c>
      <c r="B46" s="180" t="s">
        <v>290</v>
      </c>
      <c r="C46" s="388" t="str">
        <f>IF(B46=0,"",VLOOKUP($B46,Table2[],2,FALSE))</f>
        <v>Insecticide</v>
      </c>
      <c r="D46" s="388"/>
      <c r="E46" s="388"/>
      <c r="F46" s="174">
        <v>10</v>
      </c>
      <c r="G46" s="175">
        <v>0.15</v>
      </c>
      <c r="H46" s="176">
        <v>1.92</v>
      </c>
      <c r="I46" s="120" t="str">
        <f>IF($B46=0,"",VLOOKUP($B46,Table2[],5,FALSE))</f>
        <v>ounce</v>
      </c>
      <c r="J46" s="109">
        <f>IF($B46=0,"",VLOOKUP($B46,Table2[],7,FALSE))</f>
        <v>3.203125</v>
      </c>
      <c r="K46" s="109">
        <f t="shared" si="2"/>
        <v>0.92</v>
      </c>
      <c r="L46" s="110"/>
    </row>
    <row r="47" spans="1:12" x14ac:dyDescent="0.2">
      <c r="A47" s="143"/>
      <c r="B47" s="180" t="s">
        <v>198</v>
      </c>
      <c r="C47" s="388" t="str">
        <f>IF(B47=0,"",VLOOKUP($B47,Table2[],2,FALSE))</f>
        <v>Custom</v>
      </c>
      <c r="D47" s="388"/>
      <c r="E47" s="388"/>
      <c r="F47" s="174">
        <v>12</v>
      </c>
      <c r="G47" s="175">
        <v>1</v>
      </c>
      <c r="H47" s="176">
        <f>$G$4</f>
        <v>65</v>
      </c>
      <c r="I47" s="120" t="str">
        <f>IF($B47=0,"",VLOOKUP($B47,Table2[],5,FALSE))</f>
        <v>bushel</v>
      </c>
      <c r="J47" s="109">
        <f>IF($B47=0,"",VLOOKUP($B47,Table2[],7,FALSE))</f>
        <v>0.15</v>
      </c>
      <c r="K47" s="109">
        <f t="shared" si="2"/>
        <v>9.75</v>
      </c>
      <c r="L47" s="110"/>
    </row>
    <row r="48" spans="1:12" x14ac:dyDescent="0.2">
      <c r="A48" s="143"/>
      <c r="B48" s="213" t="s">
        <v>311</v>
      </c>
      <c r="C48" s="387" t="str">
        <f>IF(B48=0,"",VLOOKUP($B48,Table2[],2,FALSE))</f>
        <v>Scouting</v>
      </c>
      <c r="D48" s="387"/>
      <c r="E48" s="387"/>
      <c r="F48" s="214"/>
      <c r="G48" s="221">
        <v>1</v>
      </c>
      <c r="H48" s="222">
        <v>1</v>
      </c>
      <c r="I48" s="223" t="str">
        <f>IF($B48=0,"",VLOOKUP($B48,Table2[],5,FALSE))</f>
        <v>acre</v>
      </c>
      <c r="J48" s="215">
        <f>IF($B48=0,"",VLOOKUP($B48,Table2[],7,FALSE))</f>
        <v>10</v>
      </c>
      <c r="K48" s="215">
        <f t="shared" si="2"/>
        <v>10</v>
      </c>
      <c r="L48" s="216"/>
    </row>
    <row r="49" spans="1:12" hidden="1" x14ac:dyDescent="0.2">
      <c r="A49" s="143"/>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8</v>
      </c>
      <c r="K61" s="109">
        <f ca="1">IF(B61=0,0,J61)</f>
        <v>8</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133.61000000000001</v>
      </c>
      <c r="L63" s="110"/>
    </row>
    <row r="64" spans="1:12" ht="13.5" customHeight="1" x14ac:dyDescent="0.2">
      <c r="B64" s="358" t="s">
        <v>909</v>
      </c>
      <c r="C64" s="358"/>
      <c r="D64" s="358"/>
      <c r="E64" s="364" t="s">
        <v>917</v>
      </c>
      <c r="F64" s="358"/>
      <c r="G64" s="358" t="s">
        <v>919</v>
      </c>
      <c r="H64" s="358"/>
      <c r="I64" s="358"/>
      <c r="J64" s="358"/>
      <c r="K64" s="127"/>
    </row>
    <row r="65" spans="2:12" ht="13.5" customHeight="1" x14ac:dyDescent="0.2">
      <c r="B65" s="358"/>
      <c r="C65" s="358"/>
      <c r="D65" s="358"/>
      <c r="E65" s="364"/>
      <c r="F65" s="358"/>
      <c r="G65" s="358"/>
      <c r="H65" s="358"/>
      <c r="I65" s="358"/>
      <c r="J65" s="358"/>
      <c r="K65" s="127"/>
    </row>
    <row r="66" spans="2:12" x14ac:dyDescent="0.2">
      <c r="B66" s="107" t="s">
        <v>672</v>
      </c>
      <c r="K66" s="127">
        <f ca="1">K33+K63</f>
        <v>267.60000000000002</v>
      </c>
      <c r="L66" s="110"/>
    </row>
    <row r="67" spans="2:12" ht="13.5" thickBot="1" x14ac:dyDescent="0.25">
      <c r="D67" s="128" t="s">
        <v>673</v>
      </c>
      <c r="E67" s="129">
        <f ca="1">ROUND(SUM($E$33:$H$33)+$K$63,2)</f>
        <v>185.64</v>
      </c>
      <c r="F67" s="388" t="s">
        <v>674</v>
      </c>
      <c r="G67" s="388"/>
      <c r="H67" s="130">
        <f>'General Variables'!$B$11</f>
        <v>7.4999999999999997E-2</v>
      </c>
      <c r="I67" s="131" t="str">
        <f>CONCATENATE("for ",TEXT('General Variables'!$B$12,"0.0")," mo.")</f>
        <v>for 6.0 mo.</v>
      </c>
      <c r="K67" s="132">
        <f ca="1">E67*H67*'General Variables'!$B$12/12</f>
        <v>6.9614999999999982</v>
      </c>
      <c r="L67" s="133"/>
    </row>
    <row r="68" spans="2:12" ht="13.5" thickTop="1" x14ac:dyDescent="0.2">
      <c r="B68" s="107" t="s">
        <v>675</v>
      </c>
      <c r="K68" s="127">
        <f ca="1">SUM(K66:K67)</f>
        <v>274.56150000000002</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32</v>
      </c>
      <c r="D71" s="399"/>
      <c r="E71" s="400"/>
      <c r="F71" s="136">
        <f>IF(C71=0,0,VLOOKUP(C71,RETable,2,FALSE))</f>
        <v>920</v>
      </c>
      <c r="G71" s="388" t="s">
        <v>678</v>
      </c>
      <c r="H71" s="388"/>
      <c r="I71" s="130">
        <f>'General Variables'!$B$10</f>
        <v>0.03</v>
      </c>
      <c r="K71" s="137">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0">
        <f>ROUND(F72*I72,2)</f>
        <v>11.96</v>
      </c>
      <c r="L72" s="133"/>
    </row>
    <row r="73" spans="2:12" ht="13.5" thickTop="1" x14ac:dyDescent="0.2">
      <c r="B73" s="107" t="s">
        <v>680</v>
      </c>
      <c r="K73" s="127">
        <f ca="1">SUM(K68:K72)</f>
        <v>332.12150000000003</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3.4240230769230768</v>
      </c>
      <c r="L75" s="148"/>
    </row>
    <row r="76" spans="2:12" x14ac:dyDescent="0.2">
      <c r="B76" s="107" t="str">
        <f>IF(G4="","","Cost of production per "&amp;H4)</f>
        <v>Cost of production per bushel</v>
      </c>
      <c r="K76" s="141">
        <f ca="1">IF(G4="","",K73/G4)</f>
        <v>5.1095615384615387</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58:E58"/>
    <mergeCell ref="C60:E60"/>
    <mergeCell ref="G10:H10"/>
    <mergeCell ref="C42:E42"/>
    <mergeCell ref="K10:K11"/>
    <mergeCell ref="L10:L11"/>
    <mergeCell ref="F35:F36"/>
    <mergeCell ref="G35:G36"/>
    <mergeCell ref="H35:I35"/>
    <mergeCell ref="J35:J36"/>
    <mergeCell ref="L35:L36"/>
    <mergeCell ref="I10:J10"/>
    <mergeCell ref="C39:E39"/>
    <mergeCell ref="C37:E37"/>
    <mergeCell ref="C38:E38"/>
    <mergeCell ref="C40:E40"/>
    <mergeCell ref="C41:E41"/>
    <mergeCell ref="F10:F11"/>
    <mergeCell ref="B10:B11"/>
    <mergeCell ref="C10:C11"/>
    <mergeCell ref="E10:E11"/>
    <mergeCell ref="C59:E59"/>
    <mergeCell ref="C48:E48"/>
    <mergeCell ref="C43:E43"/>
    <mergeCell ref="C44:E44"/>
    <mergeCell ref="C45:E45"/>
    <mergeCell ref="C46:E46"/>
    <mergeCell ref="C47:E47"/>
    <mergeCell ref="K2:L2"/>
    <mergeCell ref="G2:H2"/>
    <mergeCell ref="C4:E4"/>
    <mergeCell ref="B7:L7"/>
    <mergeCell ref="C3:E3"/>
    <mergeCell ref="A6:M6"/>
  </mergeCells>
  <dataValidations count="9">
    <dataValidation type="list" allowBlank="1" showInputMessage="1" showErrorMessage="1" sqref="B32" xr:uid="{00000000-0002-0000-5300-000000000000}">
      <formula1>$B$112:$B$209</formula1>
    </dataValidation>
    <dataValidation type="list" allowBlank="1" showInputMessage="1" showErrorMessage="1" sqref="B62" xr:uid="{00000000-0002-0000-5300-000001000000}">
      <formula1>$C$112:$C$230</formula1>
    </dataValidation>
    <dataValidation type="list" allowBlank="1" showInputMessage="1" showErrorMessage="1" sqref="K4" xr:uid="{00000000-0002-0000-5300-000002000000}">
      <formula1>$K$112:$K$114</formula1>
    </dataValidation>
    <dataValidation type="list" allowBlank="1" showInputMessage="1" showErrorMessage="1" sqref="B37:B60" xr:uid="{00000000-0002-0000-5300-000003000000}">
      <formula1>MaterialList</formula1>
    </dataValidation>
    <dataValidation type="list" allowBlank="1" showInputMessage="1" showErrorMessage="1" sqref="C71:E71" xr:uid="{00000000-0002-0000-5300-000004000000}">
      <formula1>RealEstateList</formula1>
    </dataValidation>
    <dataValidation type="list" allowBlank="1" showInputMessage="1" showErrorMessage="1" sqref="B12:B31" xr:uid="{00000000-0002-0000-5300-000005000000}">
      <formula1>OperationList</formula1>
    </dataValidation>
    <dataValidation type="list" allowBlank="1" showInputMessage="1" showErrorMessage="1" sqref="D12:D32" xr:uid="{00000000-0002-0000-5300-000006000000}">
      <formula1>#REF!</formula1>
    </dataValidation>
    <dataValidation type="list" allowBlank="1" showInputMessage="1" showErrorMessage="1" sqref="K2" xr:uid="{00000000-0002-0000-5300-000007000000}">
      <formula1>watersource</formula1>
    </dataValidation>
    <dataValidation type="list" allowBlank="1" showInputMessage="1" showErrorMessage="1" sqref="C3" xr:uid="{00000000-0002-0000-5300-000008000000}">
      <formula1>TillageSystem</formula1>
    </dataValidation>
  </dataValidations>
  <pageMargins left="0.7" right="0.7" top="0.75" bottom="0.75" header="0.3" footer="0.3"/>
  <pageSetup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3">
    <pageSetUpPr fitToPage="1"/>
  </sheetPr>
  <dimension ref="A2:M257"/>
  <sheetViews>
    <sheetView topLeftCell="A21"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74</v>
      </c>
      <c r="L2" s="401"/>
    </row>
    <row r="3" spans="1:13" hidden="1" x14ac:dyDescent="0.2">
      <c r="B3" s="103" t="s">
        <v>38</v>
      </c>
      <c r="C3" s="391" t="s">
        <v>43</v>
      </c>
      <c r="D3" s="391"/>
      <c r="E3" s="391"/>
      <c r="G3" s="128" t="s">
        <v>650</v>
      </c>
      <c r="H3" s="187" t="s">
        <v>795</v>
      </c>
      <c r="J3" s="128" t="s">
        <v>651</v>
      </c>
      <c r="K3" s="187"/>
    </row>
    <row r="4" spans="1:13" hidden="1" x14ac:dyDescent="0.2">
      <c r="B4" s="103" t="s">
        <v>652</v>
      </c>
      <c r="C4" s="392" t="s">
        <v>794</v>
      </c>
      <c r="D4" s="392"/>
      <c r="E4" s="392"/>
      <c r="G4" s="103">
        <f>IFERROR(VALUE(LEFT($H$3,FIND(" ",$H$3))),"")</f>
        <v>60</v>
      </c>
      <c r="H4" s="103" t="str">
        <f>IFERROR(RIGHT(H3,LEN(H3)-LEN(G4)-1),"")</f>
        <v>bushel</v>
      </c>
      <c r="J4" s="128" t="s">
        <v>653</v>
      </c>
      <c r="K4" s="188"/>
    </row>
    <row r="5" spans="1:13" ht="15.75" hidden="1" customHeight="1" x14ac:dyDescent="0.2">
      <c r="B5" s="103" t="s">
        <v>655</v>
      </c>
      <c r="C5" s="238" t="str">
        <f ca="1">MID(CELL("filename",C5),FIND("]",CELL("filename",C5))+1,255)</f>
        <v>78-Wheat-Winter</v>
      </c>
      <c r="E5" s="103">
        <f ca="1">VLOOKUP($C$5,CropInsurance,5,FALSE)</f>
        <v>7</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78-Wheat-Winter, Panhandle, Conventional Tillage, One Crop in Two Years, 60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78-Wheat-Winter, Panhandle, Conventional Tillage, One Crop in Two Years, 60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498</v>
      </c>
      <c r="C13" s="174">
        <v>1</v>
      </c>
      <c r="D13" s="174"/>
      <c r="E13" s="109">
        <f>IF(B13=0,"",IF(C13&gt;9999,"",ROUND('General Variables'!$B$4*VLOOKUP(B13,Operations!$A$2:$U$79,10,FALSE)/VLOOKUP(B13,Operations!$A$2:$U$79,9,FALSE)*C13,2)))</f>
        <v>1.98</v>
      </c>
      <c r="F13" s="109">
        <f>IF(B13=0,0,IF(C13&gt;9999,"",ROUND(IF(VLOOKUP(B13,Operations!$A$2:$U$79,12,FALSE)=0,VLOOKUP(B13,Operations!$A$2:$U$79,13,FALSE)*'General Variables'!$B$8,VLOOKUP(B13,Operations!$A$2:$U$79,12,FALSE)*'General Variables'!$B$7)/VLOOKUP(B13,Operations!$A$2:$U$79,9,FALSE)*C13,2)))</f>
        <v>1.75</v>
      </c>
      <c r="G13" s="109">
        <f>IF(B13=0,0,IF(C13&gt;9999,"",ROUND(VLOOKUP(VLOOKUP(B13,Operations!$A$2:$U$79,11,FALSE),PowerUnits[],10,FALSE)/VLOOKUP(B13,Operations!$A$2:$U$79,9,FALSE)*C13,2)))</f>
        <v>0.23</v>
      </c>
      <c r="H13" s="109">
        <f>IF(B13=0,"",IF(C13&gt;9999,"",ROUND(VLOOKUP($B13,Operations!$A$2:$U$79,15,FALSE)*C13,2)))</f>
        <v>2.14</v>
      </c>
      <c r="I13" s="109">
        <f>IF(B13=0,0,IF(C13&gt;9999,"",ROUND(VLOOKUP(VLOOKUP(B13,Operations!$A$2:$U$79,11,FALSE),PowerUnits[],16,FALSE)/VLOOKUP(B13,Operations!$A$2:$U$79,9,FALSE)*C13,2)))</f>
        <v>6.15</v>
      </c>
      <c r="J13" s="109">
        <f>IF(B13=0,"",IF(C13&gt;9999,"",ROUND(VLOOKUP($B13,Operations!$A$2:$U$79,21,FALSE)*$C13,2)))</f>
        <v>2.4300000000000002</v>
      </c>
      <c r="K13" s="109">
        <f t="shared" ref="K13:K25" si="0">IF(C13&gt;9999,"",ROUND(SUM(E13:J13),2))</f>
        <v>14.68</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498</v>
      </c>
      <c r="C15" s="214">
        <v>1</v>
      </c>
      <c r="D15" s="214"/>
      <c r="E15" s="215">
        <f>IF(B15=0,"",IF(C15&gt;9999,"",ROUND('General Variables'!$B$4*VLOOKUP(B15,Operations!$A$2:$U$79,10,FALSE)/VLOOKUP(B15,Operations!$A$2:$U$79,9,FALSE)*C15,2)))</f>
        <v>1.98</v>
      </c>
      <c r="F15" s="215">
        <f>IF(B15=0,0,IF(C15&gt;9999,"",ROUND(IF(VLOOKUP(B15,Operations!$A$2:$U$79,12,FALSE)=0,VLOOKUP(B15,Operations!$A$2:$U$79,13,FALSE)*'General Variables'!$B$8,VLOOKUP(B15,Operations!$A$2:$U$79,12,FALSE)*'General Variables'!$B$7)/VLOOKUP(B15,Operations!$A$2:$U$79,9,FALSE)*C15,2)))</f>
        <v>1.75</v>
      </c>
      <c r="G15" s="215">
        <f>IF(B15=0,0,IF(C15&gt;9999,"",ROUND(VLOOKUP(VLOOKUP(B15,Operations!$A$2:$U$79,11,FALSE),PowerUnits[],10,FALSE)/VLOOKUP(B15,Operations!$A$2:$U$79,9,FALSE)*C15,2)))</f>
        <v>0.23</v>
      </c>
      <c r="H15" s="215">
        <f>IF(B15=0,"",IF(C15&gt;9999,"",ROUND(VLOOKUP($B15,Operations!$A$2:$U$79,15,FALSE)*C15,2)))</f>
        <v>2.14</v>
      </c>
      <c r="I15" s="215">
        <f>IF(B15=0,0,IF(C15&gt;9999,"",ROUND(VLOOKUP(VLOOKUP(B15,Operations!$A$2:$U$79,11,FALSE),PowerUnits[],16,FALSE)/VLOOKUP(B15,Operations!$A$2:$U$79,9,FALSE)*C15,2)))</f>
        <v>6.15</v>
      </c>
      <c r="J15" s="215">
        <f>IF(B15=0,"",IF(C15&gt;9999,"",ROUND(VLOOKUP($B15,Operations!$A$2:$U$79,21,FALSE)*$C15,2)))</f>
        <v>2.4300000000000002</v>
      </c>
      <c r="K15" s="215">
        <f t="shared" si="0"/>
        <v>14.68</v>
      </c>
      <c r="L15" s="216"/>
    </row>
    <row r="16" spans="1:13" x14ac:dyDescent="0.2">
      <c r="A16" s="170">
        <v>5</v>
      </c>
      <c r="B16" s="180" t="s">
        <v>537</v>
      </c>
      <c r="C16" s="174">
        <v>1</v>
      </c>
      <c r="D16" s="174"/>
      <c r="E16" s="109">
        <f>IF(B16=0,"",IF(C16&gt;9999,"",ROUND('General Variables'!$B$4*VLOOKUP(B16,Operations!$A$2:$U$79,10,FALSE)/VLOOKUP(B16,Operations!$A$2:$U$79,9,FALSE)*C16,2)))</f>
        <v>2.0499999999999998</v>
      </c>
      <c r="F16" s="109">
        <f>IF(B16=0,0,IF(C16&gt;9999,"",ROUND(IF(VLOOKUP(B16,Operations!$A$2:$U$79,12,FALSE)=0,VLOOKUP(B16,Operations!$A$2:$U$79,13,FALSE)*'General Variables'!$B$8,VLOOKUP(B16,Operations!$A$2:$U$79,12,FALSE)*'General Variables'!$B$7)/VLOOKUP(B16,Operations!$A$2:$U$79,9,FALSE)*C16,2)))</f>
        <v>1.29</v>
      </c>
      <c r="G16" s="109">
        <f>IF(B16=0,0,IF(C16&gt;9999,"",ROUND(VLOOKUP(VLOOKUP(B16,Operations!$A$2:$U$79,11,FALSE),PowerUnits[],10,FALSE)/VLOOKUP(B16,Operations!$A$2:$U$79,9,FALSE)*C16,2)))</f>
        <v>0.26</v>
      </c>
      <c r="H16" s="109">
        <f>IF(B16=0,"",IF(C16&gt;9999,"",ROUND(VLOOKUP($B16,Operations!$A$2:$U$79,15,FALSE)*C16,2)))</f>
        <v>0.92</v>
      </c>
      <c r="I16" s="109">
        <f>IF(B16=0,0,IF(C16&gt;9999,"",ROUND(VLOOKUP(VLOOKUP(B16,Operations!$A$2:$U$79,11,FALSE),PowerUnits[],16,FALSE)/VLOOKUP(B16,Operations!$A$2:$U$79,9,FALSE)*C16,2)))</f>
        <v>6.99</v>
      </c>
      <c r="J16" s="109">
        <f>IF(B16=0,"",IF(C16&gt;9999,"",ROUND(VLOOKUP($B16,Operations!$A$2:$U$79,21,FALSE)*$C16,2)))</f>
        <v>3.69</v>
      </c>
      <c r="K16" s="109">
        <f t="shared" si="0"/>
        <v>15.2</v>
      </c>
      <c r="L16" s="110"/>
    </row>
    <row r="17" spans="1:12" x14ac:dyDescent="0.2">
      <c r="A17" s="170">
        <v>6</v>
      </c>
      <c r="B17" s="180" t="s">
        <v>539</v>
      </c>
      <c r="C17" s="174">
        <v>1</v>
      </c>
      <c r="D17" s="174"/>
      <c r="E17" s="109">
        <f>IF(B17=0,"",IF(C17&gt;9999,"",ROUND('General Variables'!$B$4*VLOOKUP(B17,Operations!$A$2:$U$79,10,FALSE)/VLOOKUP(B17,Operations!$A$2:$U$79,9,FALSE)*C17,2)))</f>
        <v>2.4500000000000002</v>
      </c>
      <c r="F17" s="109">
        <f>IF(B17=0,0,IF(C17&gt;9999,"",ROUND(IF(VLOOKUP(B17,Operations!$A$2:$U$79,12,FALSE)=0,VLOOKUP(B17,Operations!$A$2:$U$79,13,FALSE)*'General Variables'!$B$8,VLOOKUP(B17,Operations!$A$2:$U$79,12,FALSE)*'General Variables'!$B$7)/VLOOKUP(B17,Operations!$A$2:$U$79,9,FALSE)*C17,2)))</f>
        <v>1.29</v>
      </c>
      <c r="G17" s="109">
        <f>IF(B17=0,0,IF(C17&gt;9999,"",ROUND(VLOOKUP(VLOOKUP(B17,Operations!$A$2:$U$79,11,FALSE),PowerUnits[],10,FALSE)/VLOOKUP(B17,Operations!$A$2:$U$79,9,FALSE)*C17,2)))</f>
        <v>0.26</v>
      </c>
      <c r="H17" s="109">
        <f>IF(B17=0,"",IF(C17&gt;9999,"",ROUND(VLOOKUP($B17,Operations!$A$2:$U$79,15,FALSE)*C17,2)))</f>
        <v>0.94</v>
      </c>
      <c r="I17" s="109">
        <f>IF(B17=0,0,IF(C17&gt;9999,"",ROUND(VLOOKUP(VLOOKUP(B17,Operations!$A$2:$U$79,11,FALSE),PowerUnits[],16,FALSE)/VLOOKUP(B17,Operations!$A$2:$U$79,9,FALSE)*C17,2)))</f>
        <v>6.99</v>
      </c>
      <c r="J17" s="109">
        <f>IF(B17=0,"",IF(C17&gt;9999,"",ROUND(VLOOKUP($B17,Operations!$A$2:$U$79,21,FALSE)*$C17,2)))</f>
        <v>3.79</v>
      </c>
      <c r="K17" s="109">
        <f t="shared" si="0"/>
        <v>15.72</v>
      </c>
      <c r="L17" s="110"/>
    </row>
    <row r="18" spans="1:12" x14ac:dyDescent="0.2">
      <c r="A18" s="170">
        <v>7</v>
      </c>
      <c r="B18" s="180" t="s">
        <v>488</v>
      </c>
      <c r="C18" s="174">
        <v>1</v>
      </c>
      <c r="D18" s="174"/>
      <c r="E18" s="109">
        <f>IF(B18=0,"",IF(C18&gt;9999,"",ROUND('General Variables'!$B$4*VLOOKUP(B18,Operations!$A$2:$U$79,10,FALSE)/VLOOKUP(B18,Operations!$A$2:$U$79,9,FALSE)*C18,2)))</f>
        <v>2.38</v>
      </c>
      <c r="F18" s="109">
        <f>IF(B18=0,0,IF(C18&gt;9999,"",ROUND(IF(VLOOKUP(B18,Operations!$A$2:$U$79,12,FALSE)=0,VLOOKUP(B18,Operations!$A$2:$U$79,13,FALSE)*'General Variables'!$B$8,VLOOKUP(B18,Operations!$A$2:$U$79,12,FALSE)*'General Variables'!$B$7)/VLOOKUP(B18,Operations!$A$2:$U$79,9,FALSE)*C18,2)))</f>
        <v>1.28</v>
      </c>
      <c r="G18" s="109">
        <f>IF(B18=0,0,IF(C18&gt;9999,"",ROUND(VLOOKUP(VLOOKUP(B18,Operations!$A$2:$U$79,11,FALSE),PowerUnits[],10,FALSE)/VLOOKUP(B18,Operations!$A$2:$U$79,9,FALSE)*C18,2)))</f>
        <v>7.0000000000000007E-2</v>
      </c>
      <c r="H18" s="109">
        <f>IF(B18=0,"",IF(C18&gt;9999,"",ROUND(VLOOKUP($B18,Operations!$A$2:$U$79,15,FALSE)*C18,2)))</f>
        <v>7.18</v>
      </c>
      <c r="I18" s="109">
        <f>IF(B18=0,0,IF(C18&gt;9999,"",ROUND(VLOOKUP(VLOOKUP(B18,Operations!$A$2:$U$79,11,FALSE),PowerUnits[],16,FALSE)/VLOOKUP(B18,Operations!$A$2:$U$79,9,FALSE)*C18,2)))</f>
        <v>3.46</v>
      </c>
      <c r="J18" s="109">
        <f>IF(B18=0,"",IF(C18&gt;9999,"",ROUND(VLOOKUP($B18,Operations!$A$2:$U$79,21,FALSE)*$C18,2)))</f>
        <v>2.4500000000000002</v>
      </c>
      <c r="K18" s="109">
        <f t="shared" si="0"/>
        <v>16.82</v>
      </c>
      <c r="L18" s="110"/>
    </row>
    <row r="19" spans="1:12" x14ac:dyDescent="0.2">
      <c r="A19" s="170">
        <v>8</v>
      </c>
      <c r="B19" s="213" t="s">
        <v>551</v>
      </c>
      <c r="C19" s="214">
        <v>1</v>
      </c>
      <c r="D19" s="218"/>
      <c r="E19" s="215">
        <f>IF(B19=0,"",IF(C19&gt;9999,"",ROUND('General Variables'!$B$4*VLOOKUP(B19,Operations!$A$2:$U$79,10,FALSE)/VLOOKUP(B19,Operations!$A$2:$U$79,9,FALSE)*C19,2)))</f>
        <v>1.02</v>
      </c>
      <c r="F19" s="215">
        <f>IF(B19=0,0,IF(C19&gt;9999,"",ROUND(IF(VLOOKUP(B19,Operations!$A$2:$U$79,12,FALSE)=0,VLOOKUP(B19,Operations!$A$2:$U$79,13,FALSE)*'General Variables'!$B$8,VLOOKUP(B19,Operations!$A$2:$U$79,12,FALSE)*'General Variables'!$B$7)/VLOOKUP(B19,Operations!$A$2:$U$79,9,FALSE)*C19,2)))</f>
        <v>0.26</v>
      </c>
      <c r="G19" s="215">
        <f>IF(B19=0,0,IF(C19&gt;9999,"",ROUND(VLOOKUP(VLOOKUP(B19,Operations!$A$2:$U$79,11,FALSE),PowerUnits[],10,FALSE)/VLOOKUP(B19,Operations!$A$2:$U$79,9,FALSE)*C19,2)))</f>
        <v>0.03</v>
      </c>
      <c r="H19" s="215">
        <f>IF(B19=0,"",IF(C19&gt;9999,"",ROUND(VLOOKUP($B19,Operations!$A$2:$U$79,15,FALSE)*C19,2)))</f>
        <v>1.1100000000000001</v>
      </c>
      <c r="I19" s="215">
        <f>IF(B19=0,0,IF(C19&gt;9999,"",ROUND(VLOOKUP(VLOOKUP(B19,Operations!$A$2:$U$79,11,FALSE),PowerUnits[],16,FALSE)/VLOOKUP(B19,Operations!$A$2:$U$79,9,FALSE)*C19,2)))</f>
        <v>1.31</v>
      </c>
      <c r="J19" s="215">
        <f>IF(B19=0,"",IF(C19&gt;9999,"",ROUND(VLOOKUP($B19,Operations!$A$2:$U$79,21,FALSE)*$C19,2)))</f>
        <v>2.02</v>
      </c>
      <c r="K19" s="215">
        <f t="shared" si="0"/>
        <v>5.75</v>
      </c>
      <c r="L19" s="216"/>
    </row>
    <row r="20" spans="1:12" x14ac:dyDescent="0.2">
      <c r="A20" s="170">
        <v>9</v>
      </c>
      <c r="B20" s="180" t="s">
        <v>183</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v>10</v>
      </c>
      <c r="B21" s="180" t="s">
        <v>183</v>
      </c>
      <c r="C21" s="174" t="s">
        <v>184</v>
      </c>
      <c r="D21" s="112"/>
      <c r="E21" s="109" t="str">
        <f>IF(B21=0,"",IF(C21&gt;9999,"",ROUND('General Variables'!$B$4*VLOOKUP(B21,Operations!$A$2:$U$79,10,FALSE)/VLOOKUP(B21,Operations!$A$2:$U$79,9,FALSE)*C21,2)))</f>
        <v/>
      </c>
      <c r="F21" s="109" t="str">
        <f>IF(B21=0,0,IF(C21&gt;9999,"",ROUND(IF(VLOOKUP(B21,Operations!$A$2:$U$79,12,FALSE)=0,VLOOKUP(B21,Operations!$A$2:$U$79,13,FALSE)*'General Variables'!$B$8,VLOOKUP(B21,Operations!$A$2:$U$79,12,FALSE)*'General Variables'!$B$7)/VLOOKUP(B21,Operations!$A$2:$U$79,9,FALSE)*C21,2)))</f>
        <v/>
      </c>
      <c r="G21" s="109" t="str">
        <f>IF(B21=0,0,IF(C21&gt;9999,"",ROUND(VLOOKUP(VLOOKUP(B21,Operations!$A$2:$U$79,11,FALSE),PowerUnits[],10,FALSE)/VLOOKUP(B21,Operations!$A$2:$U$79,9,FALSE)*C21,2)))</f>
        <v/>
      </c>
      <c r="H21" s="109" t="str">
        <f>IF(B21=0,"",IF(C21&gt;9999,"",ROUND(VLOOKUP($B21,Operations!$A$2:$U$79,15,FALSE)*C21,2)))</f>
        <v/>
      </c>
      <c r="I21" s="109" t="str">
        <f>IF(B21=0,0,IF(C21&gt;9999,"",ROUND(VLOOKUP(VLOOKUP(B21,Operations!$A$2:$U$79,11,FALSE),PowerUnits[],16,FALSE)/VLOOKUP(B21,Operations!$A$2:$U$79,9,FALSE)*C21,2)))</f>
        <v/>
      </c>
      <c r="J21" s="109" t="str">
        <f>IF(B21=0,"",IF(C21&gt;9999,"",ROUND(VLOOKUP($B21,Operations!$A$2:$U$79,21,FALSE)*$C21,2)))</f>
        <v/>
      </c>
      <c r="K21" s="109" t="str">
        <f t="shared" si="0"/>
        <v/>
      </c>
      <c r="L21" s="110"/>
    </row>
    <row r="22" spans="1:12" x14ac:dyDescent="0.2">
      <c r="A22" s="170" t="s">
        <v>920</v>
      </c>
      <c r="B22" s="180" t="s">
        <v>942</v>
      </c>
      <c r="C22" s="174">
        <f>$G$4*1.6</f>
        <v>96</v>
      </c>
      <c r="D22" s="112"/>
      <c r="E22" s="109">
        <f>IF(B22=0,"",IF(C22&gt;9999,"",ROUND('General Variables'!$B$4*VLOOKUP(B22,Operations!$A$2:$U$79,10,FALSE)/VLOOKUP(B22,Operations!$A$2:$U$79,9,FALSE)*C22,2))/100)</f>
        <v>2.1932</v>
      </c>
      <c r="F22" s="109">
        <f>IF(B22=0,0,IF(C22&gt;9999,"",ROUND(IF(VLOOKUP(B22,Operations!$A$2:$U$79,12,FALSE)=0,VLOOKUP(B22,Operations!$A$2:$U$79,13,FALSE)*'General Variables'!$B$8,VLOOKUP(B22,Operations!$A$2:$U$79,12,FALSE)*'General Variables'!$B$7)/VLOOKUP(B22,Operations!$A$2:$U$79,9,FALSE)*C22,2))/100)</f>
        <v>2.4714</v>
      </c>
      <c r="G22" s="109">
        <f>IF(B22=0,0,IF(C22&gt;9999,"",ROUND(VLOOKUP(VLOOKUP(B22,Operations!$A$2:$U$79,11,FALSE),PowerUnits[],10,FALSE)/VLOOKUP(B22,Operations!$A$2:$U$79,9,FALSE)*C22,2))/100)</f>
        <v>3.8111000000000002</v>
      </c>
      <c r="H22" s="109">
        <f>IF(B22=0,"",IF(C22&gt;9999,"",ROUND(VLOOKUP($B22,Operations!$A$2:$U$79,15,FALSE)*C22,2))/100)</f>
        <v>0.38270000000000004</v>
      </c>
      <c r="I22" s="109">
        <f>IF(B22=0,0,IF(C22&gt;9999,"",ROUND(VLOOKUP(VLOOKUP(B22,Operations!$A$2:$U$79,11,FALSE),PowerUnits[],16,FALSE)/VLOOKUP(B22,Operations!$A$2:$U$79,9,FALSE)*C22,2))/80)</f>
        <v>11.4725</v>
      </c>
      <c r="J22" s="109">
        <f>IF(B22=0,"",IF(C22&gt;9999,"",ROUND(VLOOKUP($B22,Operations!$A$2:$U$79,21,FALSE)*$C22,2))/80)</f>
        <v>3.6971249999999998</v>
      </c>
      <c r="K22" s="109">
        <f>IF(C22&gt;9999,"",ROUND(SUM(E22:J22),2))</f>
        <v>24.03</v>
      </c>
      <c r="L22" s="110"/>
    </row>
    <row r="23" spans="1:12" x14ac:dyDescent="0.2">
      <c r="A23" s="170">
        <v>12</v>
      </c>
      <c r="B23" s="213" t="s">
        <v>565</v>
      </c>
      <c r="C23" s="214" t="s">
        <v>184</v>
      </c>
      <c r="D23" s="218"/>
      <c r="E23" s="215" t="str">
        <f>IF(B23=0,"",IF(C23&gt;9999,"",ROUND('General Variables'!$B$4*VLOOKUP(B23,Operations!$A$2:$U$79,10,FALSE)/VLOOKUP(B23,Operations!$A$2:$U$79,9,FALSE)*C23,2)))</f>
        <v/>
      </c>
      <c r="F23" s="215" t="str">
        <f>IF(B23=0,0,IF(C23&gt;9999,"",ROUND(IF(VLOOKUP(B23,Operations!$A$2:$U$79,12,FALSE)=0,VLOOKUP(B23,Operations!$A$2:$U$79,13,FALSE)*'General Variables'!$B$8,VLOOKUP(B23,Operations!$A$2:$U$79,12,FALSE)*'General Variables'!$B$7)/VLOOKUP(B23,Operations!$A$2:$U$79,9,FALSE)*C23,2)))</f>
        <v/>
      </c>
      <c r="G23" s="215" t="str">
        <f>IF(B23=0,0,IF(C23&gt;9999,"",ROUND(VLOOKUP(VLOOKUP(B23,Operations!$A$2:$U$79,11,FALSE),PowerUnits[],10,FALSE)/VLOOKUP(B23,Operations!$A$2:$U$79,9,FALSE)*C23,2)))</f>
        <v/>
      </c>
      <c r="H23" s="215" t="str">
        <f>IF(B23=0,"",IF(C23&gt;9999,"",ROUND(VLOOKUP($B23,Operations!$A$2:$U$79,15,FALSE)*C23,2)))</f>
        <v/>
      </c>
      <c r="I23" s="215" t="str">
        <f>IF(B23=0,0,IF(C23&gt;9999,"",ROUND(VLOOKUP(VLOOKUP(B23,Operations!$A$2:$U$79,11,FALSE),PowerUnits[],16,FALSE)/VLOOKUP(B23,Operations!$A$2:$U$79,9,FALSE)*C23,2)))</f>
        <v/>
      </c>
      <c r="J23" s="215" t="str">
        <f>IF(B23=0,"",IF(C23&gt;9999,"",ROUND(VLOOKUP($B23,Operations!$A$2:$U$79,21,FALSE)*$C23,2)))</f>
        <v/>
      </c>
      <c r="K23" s="215" t="str">
        <f t="shared" si="0"/>
        <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ref="K26:K31" si="1">IF(C26&gt;9999,"",ROUND(SUM(E26:J26),2))</f>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1"/>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1"/>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1"/>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1"/>
        <v>0</v>
      </c>
      <c r="L30" s="110"/>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1"/>
        <v>0</v>
      </c>
      <c r="L31" s="216"/>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 t="shared" ref="E33:K33" si="2">SUM(E12:E31)</f>
        <v>18.7532</v>
      </c>
      <c r="F33" s="109">
        <f t="shared" si="2"/>
        <v>14.271399999999996</v>
      </c>
      <c r="G33" s="109">
        <f t="shared" si="2"/>
        <v>5.4311000000000007</v>
      </c>
      <c r="H33" s="109">
        <f t="shared" si="2"/>
        <v>18.6327</v>
      </c>
      <c r="I33" s="109">
        <f t="shared" si="2"/>
        <v>57.132500000000007</v>
      </c>
      <c r="J33" s="109">
        <f t="shared" si="2"/>
        <v>25.397124999999999</v>
      </c>
      <c r="K33" s="109">
        <f t="shared" si="2"/>
        <v>139.62</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207</v>
      </c>
      <c r="C37" s="388" t="str">
        <f>IF(B37=0,"",VLOOKUP($B37,Table2[],2,FALSE))</f>
        <v>Fertilizer</v>
      </c>
      <c r="D37" s="388"/>
      <c r="E37" s="388"/>
      <c r="F37" s="174">
        <v>6</v>
      </c>
      <c r="G37" s="175">
        <v>1</v>
      </c>
      <c r="H37" s="176">
        <v>70</v>
      </c>
      <c r="I37" s="120" t="str">
        <f>IF($B37=0,"",VLOOKUP($B37,Table2[],5,FALSE))</f>
        <v>lbs N</v>
      </c>
      <c r="J37" s="109">
        <f>IF($B37=0,"",VLOOKUP($B37,Table2[],7,FALSE))</f>
        <v>0.5</v>
      </c>
      <c r="K37" s="109">
        <f>IF(B37=0,0,ROUND(G37*H37*J37,2))</f>
        <v>35</v>
      </c>
      <c r="L37" s="110"/>
    </row>
    <row r="38" spans="1:12" x14ac:dyDescent="0.2">
      <c r="A38" s="105"/>
      <c r="B38" s="180" t="s">
        <v>201</v>
      </c>
      <c r="C38" s="388" t="str">
        <f>IF(B38=0,"",VLOOKUP($B38,Table2[],2,FALSE))</f>
        <v>Fertilizer</v>
      </c>
      <c r="D38" s="388"/>
      <c r="E38" s="388"/>
      <c r="F38" s="174">
        <v>7</v>
      </c>
      <c r="G38" s="175">
        <v>1</v>
      </c>
      <c r="H38" s="176">
        <v>8</v>
      </c>
      <c r="I38" s="120" t="str">
        <f>IF($B38=0,"",VLOOKUP($B38,Table2[],5,FALSE))</f>
        <v>gallon</v>
      </c>
      <c r="J38" s="109">
        <f>IF($B38=0,"",VLOOKUP($B38,Table2[],7,FALSE))</f>
        <v>3.1</v>
      </c>
      <c r="K38" s="109">
        <f t="shared" ref="K38:K53" si="3">IF(B38=0,0,ROUND(G38*H38*J38,2))</f>
        <v>24.8</v>
      </c>
      <c r="L38" s="110"/>
    </row>
    <row r="39" spans="1:12" x14ac:dyDescent="0.2">
      <c r="A39" s="105"/>
      <c r="B39" s="180" t="s">
        <v>350</v>
      </c>
      <c r="C39" s="388" t="str">
        <f>IF(B39=0,"",VLOOKUP($B39,Table2[],2,FALSE))</f>
        <v>Seed</v>
      </c>
      <c r="D39" s="388"/>
      <c r="E39" s="388"/>
      <c r="F39" s="174">
        <v>7</v>
      </c>
      <c r="G39" s="175">
        <v>1</v>
      </c>
      <c r="H39" s="176">
        <v>50</v>
      </c>
      <c r="I39" s="120" t="str">
        <f>IF($B39=0,"",VLOOKUP($B39,Table2[],5,FALSE))</f>
        <v>pound</v>
      </c>
      <c r="J39" s="109">
        <f>IF($B39=0,"",VLOOKUP($B39,Table2[],7,FALSE))</f>
        <v>0.41</v>
      </c>
      <c r="K39" s="109">
        <f t="shared" si="3"/>
        <v>20.5</v>
      </c>
      <c r="L39" s="110"/>
    </row>
    <row r="40" spans="1:12" x14ac:dyDescent="0.2">
      <c r="A40" s="105"/>
      <c r="B40" s="213" t="s">
        <v>229</v>
      </c>
      <c r="C40" s="387" t="str">
        <f>IF(B40=0,"",VLOOKUP($B40,Table2[],2,FALSE))</f>
        <v>Herbicide</v>
      </c>
      <c r="D40" s="387"/>
      <c r="E40" s="387"/>
      <c r="F40" s="214">
        <v>8</v>
      </c>
      <c r="G40" s="221">
        <v>1</v>
      </c>
      <c r="H40" s="222">
        <v>0.5</v>
      </c>
      <c r="I40" s="223" t="str">
        <f>IF($B40=0,"",VLOOKUP($B40,Table2[],5,FALSE))</f>
        <v>pint</v>
      </c>
      <c r="J40" s="215">
        <f>IF($B40=0,"",VLOOKUP($B40,Table2[],7,FALSE))</f>
        <v>2.5</v>
      </c>
      <c r="K40" s="215">
        <f t="shared" si="3"/>
        <v>1.25</v>
      </c>
      <c r="L40" s="216"/>
    </row>
    <row r="41" spans="1:12" x14ac:dyDescent="0.2">
      <c r="A41" s="105"/>
      <c r="B41" s="180" t="s">
        <v>234</v>
      </c>
      <c r="C41" s="388" t="str">
        <f>IF(B41=0,"",VLOOKUP($B41,Table2[],2,FALSE))</f>
        <v>Herbicide</v>
      </c>
      <c r="D41" s="388"/>
      <c r="E41" s="388"/>
      <c r="F41" s="174">
        <v>8</v>
      </c>
      <c r="G41" s="175">
        <v>1</v>
      </c>
      <c r="H41" s="176">
        <v>0.3</v>
      </c>
      <c r="I41" s="120" t="str">
        <f>IF($B41=0,"",VLOOKUP($B41,Table2[],5,FALSE))</f>
        <v>ounce</v>
      </c>
      <c r="J41" s="109">
        <f>IF($B41=0,"",VLOOKUP($B41,Table2[],7,FALSE))</f>
        <v>11</v>
      </c>
      <c r="K41" s="109">
        <f t="shared" si="3"/>
        <v>3.3</v>
      </c>
      <c r="L41" s="110"/>
    </row>
    <row r="42" spans="1:12" x14ac:dyDescent="0.2">
      <c r="A42" s="105"/>
      <c r="B42" s="180" t="s">
        <v>181</v>
      </c>
      <c r="C42" s="388" t="str">
        <f>IF(B42=0,"",VLOOKUP($B42,Table2[],2,FALSE))</f>
        <v>Additive</v>
      </c>
      <c r="D42" s="388"/>
      <c r="E42" s="388"/>
      <c r="F42" s="174">
        <v>8</v>
      </c>
      <c r="G42" s="175">
        <v>1</v>
      </c>
      <c r="H42" s="176">
        <v>6</v>
      </c>
      <c r="I42" s="120" t="str">
        <f>IF($B42=0,"",VLOOKUP($B42,Table2[],5,FALSE))</f>
        <v>ounce</v>
      </c>
      <c r="J42" s="109">
        <f>IF($B42=0,"",VLOOKUP($B42,Table2[],7,FALSE))</f>
        <v>0.203125</v>
      </c>
      <c r="K42" s="109">
        <f t="shared" si="3"/>
        <v>1.22</v>
      </c>
      <c r="L42" s="110"/>
    </row>
    <row r="43" spans="1:12" x14ac:dyDescent="0.2">
      <c r="A43" s="128"/>
      <c r="B43" s="180" t="s">
        <v>183</v>
      </c>
      <c r="C43" s="388" t="str">
        <f>IF(B43=0,"",VLOOKUP($B43,Table2[],2,FALSE))</f>
        <v>Custom</v>
      </c>
      <c r="D43" s="388"/>
      <c r="E43" s="388"/>
      <c r="F43" s="174">
        <v>9</v>
      </c>
      <c r="G43" s="175">
        <v>0.25</v>
      </c>
      <c r="H43" s="176">
        <v>1</v>
      </c>
      <c r="I43" s="120" t="str">
        <f>IF($B43=0,"",VLOOKUP($B43,Table2[],5,FALSE))</f>
        <v>acre</v>
      </c>
      <c r="J43" s="109">
        <f>IF($B43=0,"",VLOOKUP($B43,Table2[],7,FALSE))</f>
        <v>11</v>
      </c>
      <c r="K43" s="109">
        <f t="shared" si="3"/>
        <v>2.75</v>
      </c>
      <c r="L43" s="110"/>
    </row>
    <row r="44" spans="1:12" x14ac:dyDescent="0.2">
      <c r="A44" s="128" t="s">
        <v>750</v>
      </c>
      <c r="B44" s="213" t="s">
        <v>223</v>
      </c>
      <c r="C44" s="387" t="str">
        <f>IF(B44=0,"",VLOOKUP($B44,Table2[],2,FALSE))</f>
        <v>Fungicide</v>
      </c>
      <c r="D44" s="387"/>
      <c r="E44" s="387"/>
      <c r="F44" s="214">
        <v>9</v>
      </c>
      <c r="G44" s="221">
        <v>0.25</v>
      </c>
      <c r="H44" s="222">
        <v>10.5</v>
      </c>
      <c r="I44" s="223" t="str">
        <f>IF($B44=0,"",VLOOKUP($B44,Table2[],5,FALSE))</f>
        <v>ounce</v>
      </c>
      <c r="J44" s="215">
        <f>IF($B44=0,"",VLOOKUP($B44,Table2[],7,FALSE))</f>
        <v>1.875</v>
      </c>
      <c r="K44" s="215">
        <f t="shared" si="3"/>
        <v>4.92</v>
      </c>
      <c r="L44" s="216"/>
    </row>
    <row r="45" spans="1:12" x14ac:dyDescent="0.2">
      <c r="A45" s="128"/>
      <c r="B45" s="180" t="s">
        <v>183</v>
      </c>
      <c r="C45" s="388" t="str">
        <f>IF(B45=0,"",VLOOKUP($B45,Table2[],2,FALSE))</f>
        <v>Custom</v>
      </c>
      <c r="D45" s="388"/>
      <c r="E45" s="388"/>
      <c r="F45" s="174">
        <v>10</v>
      </c>
      <c r="G45" s="175">
        <v>0.15</v>
      </c>
      <c r="H45" s="176">
        <v>1</v>
      </c>
      <c r="I45" s="120" t="str">
        <f>IF($B45=0,"",VLOOKUP($B45,Table2[],5,FALSE))</f>
        <v>acre</v>
      </c>
      <c r="J45" s="109">
        <f>IF($B45=0,"",VLOOKUP($B45,Table2[],7,FALSE))</f>
        <v>11</v>
      </c>
      <c r="K45" s="109">
        <f t="shared" si="3"/>
        <v>1.65</v>
      </c>
      <c r="L45" s="110"/>
    </row>
    <row r="46" spans="1:12" x14ac:dyDescent="0.2">
      <c r="A46" s="128" t="s">
        <v>906</v>
      </c>
      <c r="B46" s="180" t="s">
        <v>290</v>
      </c>
      <c r="C46" s="388" t="str">
        <f>IF(B46=0,"",VLOOKUP($B46,Table2[],2,FALSE))</f>
        <v>Insecticide</v>
      </c>
      <c r="D46" s="388"/>
      <c r="E46" s="388"/>
      <c r="F46" s="174">
        <v>10</v>
      </c>
      <c r="G46" s="175">
        <v>0.15</v>
      </c>
      <c r="H46" s="176">
        <v>1.92</v>
      </c>
      <c r="I46" s="120" t="str">
        <f>IF($B46=0,"",VLOOKUP($B46,Table2[],5,FALSE))</f>
        <v>ounce</v>
      </c>
      <c r="J46" s="109">
        <f>IF($B46=0,"",VLOOKUP($B46,Table2[],7,FALSE))</f>
        <v>3.203125</v>
      </c>
      <c r="K46" s="109">
        <f t="shared" si="3"/>
        <v>0.92</v>
      </c>
      <c r="L46" s="110"/>
    </row>
    <row r="47" spans="1:12" x14ac:dyDescent="0.2">
      <c r="A47" s="105"/>
      <c r="B47" s="180" t="s">
        <v>198</v>
      </c>
      <c r="C47" s="388" t="str">
        <f>IF(B47=0,"",VLOOKUP($B47,Table2[],2,FALSE))</f>
        <v>Custom</v>
      </c>
      <c r="D47" s="388"/>
      <c r="E47" s="388"/>
      <c r="F47" s="174">
        <v>12</v>
      </c>
      <c r="G47" s="175">
        <v>1</v>
      </c>
      <c r="H47" s="176">
        <f>$G$4</f>
        <v>60</v>
      </c>
      <c r="I47" s="120" t="str">
        <f>IF($B47=0,"",VLOOKUP($B47,Table2[],5,FALSE))</f>
        <v>bushel</v>
      </c>
      <c r="J47" s="109">
        <f>IF($B47=0,"",VLOOKUP($B47,Table2[],7,FALSE))</f>
        <v>0.15</v>
      </c>
      <c r="K47" s="109">
        <f t="shared" si="3"/>
        <v>9</v>
      </c>
      <c r="L47" s="110"/>
    </row>
    <row r="48" spans="1:12" x14ac:dyDescent="0.2">
      <c r="A48" s="143"/>
      <c r="B48" s="213" t="s">
        <v>311</v>
      </c>
      <c r="C48" s="387" t="str">
        <f>IF(B48=0,"",VLOOKUP($B48,Table2[],2,FALSE))</f>
        <v>Scouting</v>
      </c>
      <c r="D48" s="387"/>
      <c r="E48" s="387"/>
      <c r="F48" s="214"/>
      <c r="G48" s="221">
        <v>1</v>
      </c>
      <c r="H48" s="222">
        <v>1</v>
      </c>
      <c r="I48" s="223" t="str">
        <f>IF($B48=0,"",VLOOKUP($B48,Table2[],5,FALSE))</f>
        <v>acre</v>
      </c>
      <c r="J48" s="215">
        <f>IF($B48=0,"",VLOOKUP($B48,Table2[],7,FALSE))</f>
        <v>10</v>
      </c>
      <c r="K48" s="215">
        <f t="shared" si="3"/>
        <v>10</v>
      </c>
      <c r="L48" s="216"/>
    </row>
    <row r="49" spans="1:12" hidden="1" x14ac:dyDescent="0.2">
      <c r="A49" s="143"/>
      <c r="B49" s="180"/>
      <c r="C49" s="388" t="str">
        <f>IF(B49=0,"",VLOOKUP($B49,Table2[],2,FALSE))</f>
        <v/>
      </c>
      <c r="D49" s="388"/>
      <c r="E49" s="388"/>
      <c r="F49" s="174"/>
      <c r="G49" s="175"/>
      <c r="H49" s="176"/>
      <c r="I49" s="120" t="str">
        <f>IF($B49=0,"",VLOOKUP($B49,Table2[],5,FALSE))</f>
        <v/>
      </c>
      <c r="J49" s="109" t="str">
        <f>IF($B49=0,"",VLOOKUP($B49,Table2[],7,FALSE))</f>
        <v/>
      </c>
      <c r="K49" s="109">
        <f t="shared" si="3"/>
        <v>0</v>
      </c>
      <c r="L49" s="110"/>
    </row>
    <row r="50" spans="1:12" ht="12.75" hidden="1" customHeight="1" x14ac:dyDescent="0.2">
      <c r="A50" s="105"/>
      <c r="B50" s="180"/>
      <c r="C50" s="388" t="str">
        <f>IF(B50=0,"",VLOOKUP($B50,Table2[],2,FALSE))</f>
        <v/>
      </c>
      <c r="D50" s="388"/>
      <c r="E50" s="388"/>
      <c r="F50" s="174"/>
      <c r="G50" s="175"/>
      <c r="H50" s="176"/>
      <c r="I50" s="120" t="str">
        <f>IF($B50=0,"",VLOOKUP($B50,Table2[],5,FALSE))</f>
        <v/>
      </c>
      <c r="J50" s="109" t="str">
        <f>IF($B50=0,"",VLOOKUP($B50,Table2[],7,FALSE))</f>
        <v/>
      </c>
      <c r="K50" s="109">
        <f t="shared" si="3"/>
        <v>0</v>
      </c>
      <c r="L50" s="110"/>
    </row>
    <row r="51" spans="1: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3"/>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3"/>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3"/>
        <v>0</v>
      </c>
      <c r="L53" s="113"/>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IF(B54=0,0,ROUND(G54*H54*J54,2))</f>
        <v>0</v>
      </c>
      <c r="L54" s="113"/>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7</v>
      </c>
      <c r="K61" s="109">
        <f ca="1">IF(B61=0,0,J61)</f>
        <v>7</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122.31</v>
      </c>
      <c r="L63" s="110"/>
    </row>
    <row r="64" spans="1:12" x14ac:dyDescent="0.2">
      <c r="B64" s="358" t="s">
        <v>909</v>
      </c>
      <c r="C64" s="358"/>
      <c r="D64" s="358"/>
      <c r="E64" s="364" t="s">
        <v>917</v>
      </c>
      <c r="F64" s="358"/>
      <c r="G64" s="358" t="s">
        <v>919</v>
      </c>
      <c r="H64" s="358"/>
      <c r="I64" s="358"/>
      <c r="J64" s="358"/>
      <c r="K64" s="127"/>
    </row>
    <row r="65" spans="2:12" x14ac:dyDescent="0.2">
      <c r="B65" s="358"/>
      <c r="C65" s="358"/>
      <c r="D65" s="358"/>
      <c r="E65" s="364"/>
      <c r="F65" s="358"/>
      <c r="G65" s="358"/>
      <c r="H65" s="358"/>
      <c r="I65" s="358"/>
      <c r="J65" s="358"/>
      <c r="K65" s="127"/>
    </row>
    <row r="66" spans="2:12" x14ac:dyDescent="0.2">
      <c r="B66" s="107" t="s">
        <v>672</v>
      </c>
      <c r="K66" s="127">
        <f ca="1">K33+K63</f>
        <v>261.93</v>
      </c>
      <c r="L66" s="110"/>
    </row>
    <row r="67" spans="2:12" ht="13.5" thickBot="1" x14ac:dyDescent="0.25">
      <c r="D67" s="128" t="s">
        <v>673</v>
      </c>
      <c r="E67" s="129">
        <f ca="1">ROUND(SUM($E$33:$H$33)+$K$63,2)</f>
        <v>179.4</v>
      </c>
      <c r="F67" s="388" t="s">
        <v>674</v>
      </c>
      <c r="G67" s="388"/>
      <c r="H67" s="130">
        <f>'General Variables'!$B$11</f>
        <v>7.4999999999999997E-2</v>
      </c>
      <c r="I67" s="131" t="str">
        <f>CONCATENATE("for ",TEXT('General Variables'!$B$12,"0.0")," mo.")</f>
        <v>for 6.0 mo.</v>
      </c>
      <c r="K67" s="132">
        <f ca="1">E67*H67*'General Variables'!$B$12/12</f>
        <v>6.7275</v>
      </c>
      <c r="L67" s="133"/>
    </row>
    <row r="68" spans="2:12" ht="13.5" thickTop="1" x14ac:dyDescent="0.2">
      <c r="B68" s="107" t="s">
        <v>675</v>
      </c>
      <c r="K68" s="127">
        <f ca="1">SUM(K66:K67)</f>
        <v>268.65750000000003</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32</v>
      </c>
      <c r="D71" s="399"/>
      <c r="E71" s="400"/>
      <c r="F71" s="136">
        <f>IF(C71=0,0,VLOOKUP(C71,RETable,2,FALSE))</f>
        <v>920</v>
      </c>
      <c r="G71" s="388" t="s">
        <v>678</v>
      </c>
      <c r="H71" s="388"/>
      <c r="I71" s="130">
        <f>'General Variables'!$B$10</f>
        <v>0.03</v>
      </c>
      <c r="K71" s="137">
        <f>ROUND(F71*I71,2)</f>
        <v>27.6</v>
      </c>
      <c r="L71" s="110"/>
    </row>
    <row r="72" spans="2:12" ht="13.5" thickBot="1" x14ac:dyDescent="0.25">
      <c r="B72" s="103" t="s">
        <v>679</v>
      </c>
      <c r="F72" s="138">
        <f>IF(C71=0,0,VLOOKUP(C71,RETable,2,FALSE))</f>
        <v>920</v>
      </c>
      <c r="G72" s="397" t="s">
        <v>678</v>
      </c>
      <c r="H72" s="397"/>
      <c r="I72" s="139">
        <f>'General Variables'!$B$13</f>
        <v>1.2999999999999999E-2</v>
      </c>
      <c r="J72" s="105"/>
      <c r="K72" s="140">
        <f>ROUND(F72*I72,2)</f>
        <v>11.96</v>
      </c>
      <c r="L72" s="133"/>
    </row>
    <row r="73" spans="2:12" ht="13.5" thickTop="1" x14ac:dyDescent="0.2">
      <c r="B73" s="107" t="s">
        <v>680</v>
      </c>
      <c r="K73" s="127">
        <f ca="1">SUM(K68:K72)</f>
        <v>326.21750000000003</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3.6014583333333334</v>
      </c>
      <c r="L75" s="148"/>
    </row>
    <row r="76" spans="2:12" x14ac:dyDescent="0.2">
      <c r="B76" s="107" t="str">
        <f>IF(G4="","","Cost of production per "&amp;H4)</f>
        <v>Cost of production per bushel</v>
      </c>
      <c r="K76" s="141">
        <f ca="1">IF(G4="","",K73/G4)</f>
        <v>5.436958333333334</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7:E47"/>
    <mergeCell ref="C48:E48"/>
    <mergeCell ref="C49:E49"/>
    <mergeCell ref="C50:E50"/>
    <mergeCell ref="C51:E51"/>
    <mergeCell ref="C52:E52"/>
    <mergeCell ref="C53:E53"/>
    <mergeCell ref="C61:E61"/>
    <mergeCell ref="F67:G67"/>
    <mergeCell ref="C54:E54"/>
    <mergeCell ref="C57:E57"/>
    <mergeCell ref="C60:E60"/>
    <mergeCell ref="C59:E59"/>
    <mergeCell ref="L10:L11"/>
    <mergeCell ref="F35:F36"/>
    <mergeCell ref="G35:G36"/>
    <mergeCell ref="H35:I35"/>
    <mergeCell ref="J35:J36"/>
    <mergeCell ref="L35:L36"/>
    <mergeCell ref="I10:J10"/>
    <mergeCell ref="C45:E45"/>
    <mergeCell ref="G10:H10"/>
    <mergeCell ref="C42:E42"/>
    <mergeCell ref="K10:K11"/>
    <mergeCell ref="C37:E37"/>
    <mergeCell ref="C38:E38"/>
    <mergeCell ref="C39:E39"/>
    <mergeCell ref="C40:E40"/>
    <mergeCell ref="C41:E41"/>
    <mergeCell ref="C55:E55"/>
    <mergeCell ref="C56:E56"/>
    <mergeCell ref="C58:E58"/>
    <mergeCell ref="K2:L2"/>
    <mergeCell ref="G2:H2"/>
    <mergeCell ref="C4:E4"/>
    <mergeCell ref="B7:L7"/>
    <mergeCell ref="C3:E3"/>
    <mergeCell ref="A6:M6"/>
    <mergeCell ref="B10:B11"/>
    <mergeCell ref="C10:C11"/>
    <mergeCell ref="E10:E11"/>
    <mergeCell ref="F10:F11"/>
    <mergeCell ref="C46:E46"/>
    <mergeCell ref="C43:E43"/>
    <mergeCell ref="C44:E44"/>
  </mergeCells>
  <dataValidations count="9">
    <dataValidation type="list" allowBlank="1" showInputMessage="1" showErrorMessage="1" sqref="B32" xr:uid="{00000000-0002-0000-5400-000000000000}">
      <formula1>$B$112:$B$209</formula1>
    </dataValidation>
    <dataValidation type="list" allowBlank="1" showInputMessage="1" showErrorMessage="1" sqref="B62" xr:uid="{00000000-0002-0000-5400-000001000000}">
      <formula1>$C$112:$C$230</formula1>
    </dataValidation>
    <dataValidation type="list" allowBlank="1" showInputMessage="1" showErrorMessage="1" sqref="K4" xr:uid="{00000000-0002-0000-5400-000002000000}">
      <formula1>$K$112:$K$114</formula1>
    </dataValidation>
    <dataValidation type="list" allowBlank="1" showInputMessage="1" showErrorMessage="1" sqref="B37:B60" xr:uid="{00000000-0002-0000-5400-000003000000}">
      <formula1>MaterialList</formula1>
    </dataValidation>
    <dataValidation type="list" allowBlank="1" showInputMessage="1" showErrorMessage="1" sqref="C71:E71" xr:uid="{00000000-0002-0000-5400-000004000000}">
      <formula1>RealEstateList</formula1>
    </dataValidation>
    <dataValidation type="list" allowBlank="1" showInputMessage="1" showErrorMessage="1" sqref="B12:B31" xr:uid="{00000000-0002-0000-5400-000005000000}">
      <formula1>OperationList</formula1>
    </dataValidation>
    <dataValidation type="list" allowBlank="1" showInputMessage="1" showErrorMessage="1" sqref="D12:D32" xr:uid="{00000000-0002-0000-5400-000006000000}">
      <formula1>#REF!</formula1>
    </dataValidation>
    <dataValidation type="list" allowBlank="1" showInputMessage="1" showErrorMessage="1" sqref="K2" xr:uid="{00000000-0002-0000-5400-000007000000}">
      <formula1>watersource</formula1>
    </dataValidation>
    <dataValidation type="list" allowBlank="1" showInputMessage="1" showErrorMessage="1" sqref="C3" xr:uid="{00000000-0002-0000-5400-000008000000}">
      <formula1>TillageSystem</formula1>
    </dataValidation>
  </dataValidations>
  <pageMargins left="0.7" right="0.7" top="0.75" bottom="0.75" header="0.3" footer="0.3"/>
  <pageSetup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4">
    <pageSetUpPr fitToPage="1"/>
  </sheetPr>
  <dimension ref="A2:M257"/>
  <sheetViews>
    <sheetView topLeftCell="A41"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724</v>
      </c>
      <c r="D2" s="187"/>
      <c r="E2" s="187"/>
      <c r="F2" s="128" t="s">
        <v>648</v>
      </c>
      <c r="G2" s="392"/>
      <c r="H2" s="392"/>
      <c r="J2" s="128" t="s">
        <v>649</v>
      </c>
      <c r="K2" s="401" t="s">
        <v>74</v>
      </c>
      <c r="L2" s="401"/>
    </row>
    <row r="3" spans="1:13" hidden="1" x14ac:dyDescent="0.2">
      <c r="B3" s="103" t="s">
        <v>38</v>
      </c>
      <c r="C3" s="391" t="s">
        <v>46</v>
      </c>
      <c r="D3" s="391"/>
      <c r="E3" s="391"/>
      <c r="G3" s="128" t="s">
        <v>650</v>
      </c>
      <c r="H3" s="187" t="s">
        <v>796</v>
      </c>
      <c r="J3" s="128" t="s">
        <v>651</v>
      </c>
      <c r="K3" s="187"/>
    </row>
    <row r="4" spans="1:13" hidden="1" x14ac:dyDescent="0.2">
      <c r="B4" s="103" t="s">
        <v>652</v>
      </c>
      <c r="C4" s="392" t="s">
        <v>797</v>
      </c>
      <c r="D4" s="392"/>
      <c r="E4" s="392"/>
      <c r="G4" s="103">
        <f>IFERROR(VALUE(LEFT($H$3,FIND(" ",$H$3))),"")</f>
        <v>80</v>
      </c>
      <c r="H4" s="103" t="str">
        <f>IFERROR(RIGHT(H3,LEN(H3)-LEN(G4)-1),"")</f>
        <v>bushel</v>
      </c>
      <c r="J4" s="128" t="s">
        <v>653</v>
      </c>
      <c r="K4" s="188"/>
    </row>
    <row r="5" spans="1:13" ht="15.75" hidden="1" customHeight="1" x14ac:dyDescent="0.2">
      <c r="B5" s="103" t="s">
        <v>655</v>
      </c>
      <c r="C5" s="238" t="str">
        <f ca="1">MID(CELL("filename",C5),FIND("]",CELL("filename",C5))+1,255)</f>
        <v>79-Wheat-Winter</v>
      </c>
      <c r="E5" s="103">
        <f ca="1">VLOOKUP($C$5,CropInsurance,5,FALSE)</f>
        <v>10</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79-Wheat-Winter, Southwest, No Till, Wheat before Corn, Two Crops in Three Years, 80 bushel Yield,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79-Wheat-Winter, Southwest, No Till, Wheat before Corn, Two Crops in Three Years, 80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551</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1.1100000000000001</v>
      </c>
      <c r="I13" s="109">
        <f>IF(B13=0,0,IF(C13&gt;9999,"",ROUND(VLOOKUP(VLOOKUP(B13,Operations!$A$2:$U$79,11,FALSE),PowerUnits[],16,FALSE)/VLOOKUP(B13,Operations!$A$2:$U$79,9,FALSE)*C13,2)))</f>
        <v>1.31</v>
      </c>
      <c r="J13" s="109">
        <f>IF(B13=0,"",IF(C13&gt;9999,"",ROUND(VLOOKUP($B13,Operations!$A$2:$U$79,21,FALSE)*$C13,2)))</f>
        <v>2.02</v>
      </c>
      <c r="K13" s="109">
        <f t="shared" ref="K13:K31" si="0">IF(C13&gt;9999,"",ROUND(SUM(E13:J13),2))</f>
        <v>5.75</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551</v>
      </c>
      <c r="C15" s="214">
        <v>1</v>
      </c>
      <c r="D15" s="214"/>
      <c r="E15" s="215">
        <f>IF(B15=0,"",IF(C15&gt;9999,"",ROUND('General Variables'!$B$4*VLOOKUP(B15,Operations!$A$2:$U$79,10,FALSE)/VLOOKUP(B15,Operations!$A$2:$U$79,9,FALSE)*C15,2)))</f>
        <v>1.02</v>
      </c>
      <c r="F15" s="215">
        <f>IF(B15=0,0,IF(C15&gt;9999,"",ROUND(IF(VLOOKUP(B15,Operations!$A$2:$U$79,12,FALSE)=0,VLOOKUP(B15,Operations!$A$2:$U$79,13,FALSE)*'General Variables'!$B$8,VLOOKUP(B15,Operations!$A$2:$U$79,12,FALSE)*'General Variables'!$B$7)/VLOOKUP(B15,Operations!$A$2:$U$79,9,FALSE)*C15,2)))</f>
        <v>0.26</v>
      </c>
      <c r="G15" s="215">
        <f>IF(B15=0,0,IF(C15&gt;9999,"",ROUND(VLOOKUP(VLOOKUP(B15,Operations!$A$2:$U$79,11,FALSE),PowerUnits[],10,FALSE)/VLOOKUP(B15,Operations!$A$2:$U$79,9,FALSE)*C15,2)))</f>
        <v>0.03</v>
      </c>
      <c r="H15" s="215">
        <f>IF(B15=0,"",IF(C15&gt;9999,"",ROUND(VLOOKUP($B15,Operations!$A$2:$U$79,15,FALSE)*C15,2)))</f>
        <v>1.1100000000000001</v>
      </c>
      <c r="I15" s="215">
        <f>IF(B15=0,0,IF(C15&gt;9999,"",ROUND(VLOOKUP(VLOOKUP(B15,Operations!$A$2:$U$79,11,FALSE),PowerUnits[],16,FALSE)/VLOOKUP(B15,Operations!$A$2:$U$79,9,FALSE)*C15,2)))</f>
        <v>1.31</v>
      </c>
      <c r="J15" s="215">
        <f>IF(B15=0,"",IF(C15&gt;9999,"",ROUND(VLOOKUP($B15,Operations!$A$2:$U$79,21,FALSE)*$C15,2)))</f>
        <v>2.02</v>
      </c>
      <c r="K15" s="215">
        <f t="shared" si="0"/>
        <v>5.75</v>
      </c>
      <c r="L15" s="216"/>
    </row>
    <row r="16" spans="1:13" x14ac:dyDescent="0.2">
      <c r="A16" s="170">
        <v>5</v>
      </c>
      <c r="B16" s="180" t="s">
        <v>488</v>
      </c>
      <c r="C16" s="174">
        <v>1</v>
      </c>
      <c r="D16" s="174"/>
      <c r="E16" s="109">
        <f>IF(B16=0,"",IF(C16&gt;9999,"",ROUND('General Variables'!$B$4*VLOOKUP(B16,Operations!$A$2:$U$79,10,FALSE)/VLOOKUP(B16,Operations!$A$2:$U$79,9,FALSE)*C16,2)))</f>
        <v>2.38</v>
      </c>
      <c r="F16" s="109">
        <f>IF(B16=0,0,IF(C16&gt;9999,"",ROUND(IF(VLOOKUP(B16,Operations!$A$2:$U$79,12,FALSE)=0,VLOOKUP(B16,Operations!$A$2:$U$79,13,FALSE)*'General Variables'!$B$8,VLOOKUP(B16,Operations!$A$2:$U$79,12,FALSE)*'General Variables'!$B$7)/VLOOKUP(B16,Operations!$A$2:$U$79,9,FALSE)*C16,2)))</f>
        <v>1.28</v>
      </c>
      <c r="G16" s="109">
        <f>IF(B16=0,0,IF(C16&gt;9999,"",ROUND(VLOOKUP(VLOOKUP(B16,Operations!$A$2:$U$79,11,FALSE),PowerUnits[],10,FALSE)/VLOOKUP(B16,Operations!$A$2:$U$79,9,FALSE)*C16,2)))</f>
        <v>7.0000000000000007E-2</v>
      </c>
      <c r="H16" s="109">
        <f>IF(B16=0,"",IF(C16&gt;9999,"",ROUND(VLOOKUP($B16,Operations!$A$2:$U$79,15,FALSE)*C16,2)))</f>
        <v>7.18</v>
      </c>
      <c r="I16" s="109">
        <f>IF(B16=0,0,IF(C16&gt;9999,"",ROUND(VLOOKUP(VLOOKUP(B16,Operations!$A$2:$U$79,11,FALSE),PowerUnits[],16,FALSE)/VLOOKUP(B16,Operations!$A$2:$U$79,9,FALSE)*C16,2)))</f>
        <v>3.46</v>
      </c>
      <c r="J16" s="109">
        <f>IF(B16=0,"",IF(C16&gt;9999,"",ROUND(VLOOKUP($B16,Operations!$A$2:$U$79,21,FALSE)*$C16,2)))</f>
        <v>2.4500000000000002</v>
      </c>
      <c r="K16" s="109">
        <f t="shared" si="0"/>
        <v>16.82</v>
      </c>
      <c r="L16" s="110"/>
    </row>
    <row r="17" spans="1:12" x14ac:dyDescent="0.2">
      <c r="A17" s="170">
        <v>6</v>
      </c>
      <c r="B17" s="180" t="s">
        <v>556</v>
      </c>
      <c r="C17" s="174">
        <v>1</v>
      </c>
      <c r="D17" s="174"/>
      <c r="E17" s="109">
        <f>IF(B17=0,"",IF(C17&gt;9999,"",ROUND('General Variables'!$B$4*VLOOKUP(B17,Operations!$A$2:$U$79,10,FALSE)/VLOOKUP(B17,Operations!$A$2:$U$79,9,FALSE)*C17,2)))</f>
        <v>2.13</v>
      </c>
      <c r="F17" s="109">
        <f>IF(B17=0,0,IF(C17&gt;9999,"",ROUND(IF(VLOOKUP(B17,Operations!$A$2:$U$79,12,FALSE)=0,VLOOKUP(B17,Operations!$A$2:$U$79,13,FALSE)*'General Variables'!$B$8,VLOOKUP(B17,Operations!$A$2:$U$79,12,FALSE)*'General Variables'!$B$7)/VLOOKUP(B17,Operations!$A$2:$U$79,9,FALSE)*C17,2)))</f>
        <v>0.97</v>
      </c>
      <c r="G17" s="109">
        <f>IF(B17=0,0,IF(C17&gt;9999,"",ROUND(VLOOKUP(VLOOKUP(B17,Operations!$A$2:$U$79,11,FALSE),PowerUnits[],10,FALSE)/VLOOKUP(B17,Operations!$A$2:$U$79,9,FALSE)*C17,2)))</f>
        <v>7.0000000000000007E-2</v>
      </c>
      <c r="H17" s="109">
        <f>IF(B17=0,"",IF(C17&gt;9999,"",ROUND(VLOOKUP($B17,Operations!$A$2:$U$79,15,FALSE)*C17,2)))</f>
        <v>0</v>
      </c>
      <c r="I17" s="109">
        <f>IF(B17=0,0,IF(C17&gt;9999,"",ROUND(VLOOKUP(VLOOKUP(B17,Operations!$A$2:$U$79,11,FALSE),PowerUnits[],16,FALSE)/VLOOKUP(B17,Operations!$A$2:$U$79,9,FALSE)*C17,2)))</f>
        <v>3.41</v>
      </c>
      <c r="J17" s="109">
        <f>IF(B17=0,"",IF(C17&gt;9999,"",ROUND(VLOOKUP($B17,Operations!$A$2:$U$79,21,FALSE)*$C17,2)))</f>
        <v>2.64</v>
      </c>
      <c r="K17" s="109">
        <f t="shared" si="0"/>
        <v>9.2200000000000006</v>
      </c>
      <c r="L17" s="110"/>
    </row>
    <row r="18" spans="1:12" x14ac:dyDescent="0.2">
      <c r="A18" s="170">
        <v>7</v>
      </c>
      <c r="B18" s="180" t="s">
        <v>551</v>
      </c>
      <c r="C18" s="174">
        <v>1</v>
      </c>
      <c r="D18" s="174"/>
      <c r="E18" s="109">
        <f>IF(B18=0,"",IF(C18&gt;9999,"",ROUND('General Variables'!$B$4*VLOOKUP(B18,Operations!$A$2:$U$79,10,FALSE)/VLOOKUP(B18,Operations!$A$2:$U$79,9,FALSE)*C18,2)))</f>
        <v>1.02</v>
      </c>
      <c r="F18" s="109">
        <f>IF(B18=0,0,IF(C18&gt;9999,"",ROUND(IF(VLOOKUP(B18,Operations!$A$2:$U$79,12,FALSE)=0,VLOOKUP(B18,Operations!$A$2:$U$79,13,FALSE)*'General Variables'!$B$8,VLOOKUP(B18,Operations!$A$2:$U$79,12,FALSE)*'General Variables'!$B$7)/VLOOKUP(B18,Operations!$A$2:$U$79,9,FALSE)*C18,2)))</f>
        <v>0.26</v>
      </c>
      <c r="G18" s="109">
        <f>IF(B18=0,0,IF(C18&gt;9999,"",ROUND(VLOOKUP(VLOOKUP(B18,Operations!$A$2:$U$79,11,FALSE),PowerUnits[],10,FALSE)/VLOOKUP(B18,Operations!$A$2:$U$79,9,FALSE)*C18,2)))</f>
        <v>0.03</v>
      </c>
      <c r="H18" s="109">
        <f>IF(B18=0,"",IF(C18&gt;9999,"",ROUND(VLOOKUP($B18,Operations!$A$2:$U$79,15,FALSE)*C18,2)))</f>
        <v>1.1100000000000001</v>
      </c>
      <c r="I18" s="109">
        <f>IF(B18=0,0,IF(C18&gt;9999,"",ROUND(VLOOKUP(VLOOKUP(B18,Operations!$A$2:$U$79,11,FALSE),PowerUnits[],16,FALSE)/VLOOKUP(B18,Operations!$A$2:$U$79,9,FALSE)*C18,2)))</f>
        <v>1.31</v>
      </c>
      <c r="J18" s="109">
        <f>IF(B18=0,"",IF(C18&gt;9999,"",ROUND(VLOOKUP($B18,Operations!$A$2:$U$79,21,FALSE)*$C18,2)))</f>
        <v>2.02</v>
      </c>
      <c r="K18" s="109">
        <f t="shared" si="0"/>
        <v>5.75</v>
      </c>
      <c r="L18" s="110"/>
    </row>
    <row r="19" spans="1:12" x14ac:dyDescent="0.2">
      <c r="A19" s="170">
        <v>8</v>
      </c>
      <c r="B19" s="213" t="s">
        <v>183</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 t="shared" si="0"/>
        <v/>
      </c>
      <c r="L19" s="216"/>
    </row>
    <row r="20" spans="1:12" x14ac:dyDescent="0.2">
      <c r="A20" s="170">
        <v>9</v>
      </c>
      <c r="B20" s="180" t="s">
        <v>183</v>
      </c>
      <c r="C20" s="174" t="s">
        <v>184</v>
      </c>
      <c r="D20" s="112"/>
      <c r="E20" s="109" t="str">
        <f>IF(B20=0,"",IF(C20&gt;9999,"",ROUND('General Variables'!$B$4*VLOOKUP(B20,Operations!$A$2:$U$79,10,FALSE)/VLOOKUP(B20,Operations!$A$2:$U$79,9,FALSE)*C20,2)))</f>
        <v/>
      </c>
      <c r="F20" s="109" t="str">
        <f>IF(B20=0,0,IF(C20&gt;9999,"",ROUND(IF(VLOOKUP(B20,Operations!$A$2:$U$79,12,FALSE)=0,VLOOKUP(B20,Operations!$A$2:$U$79,13,FALSE)*'General Variables'!$B$8,VLOOKUP(B20,Operations!$A$2:$U$79,12,FALSE)*'General Variables'!$B$7)/VLOOKUP(B20,Operations!$A$2:$U$79,9,FALSE)*C20,2)))</f>
        <v/>
      </c>
      <c r="G20" s="109" t="str">
        <f>IF(B20=0,0,IF(C20&gt;9999,"",ROUND(VLOOKUP(VLOOKUP(B20,Operations!$A$2:$U$79,11,FALSE),PowerUnits[],10,FALSE)/VLOOKUP(B20,Operations!$A$2:$U$79,9,FALSE)*C20,2)))</f>
        <v/>
      </c>
      <c r="H20" s="109" t="str">
        <f>IF(B20=0,"",IF(C20&gt;9999,"",ROUND(VLOOKUP($B20,Operations!$A$2:$U$79,15,FALSE)*C20,2)))</f>
        <v/>
      </c>
      <c r="I20" s="109" t="str">
        <f>IF(B20=0,0,IF(C20&gt;9999,"",ROUND(VLOOKUP(VLOOKUP(B20,Operations!$A$2:$U$79,11,FALSE),PowerUnits[],16,FALSE)/VLOOKUP(B20,Operations!$A$2:$U$79,9,FALSE)*C20,2)))</f>
        <v/>
      </c>
      <c r="J20" s="109" t="str">
        <f>IF(B20=0,"",IF(C20&gt;9999,"",ROUND(VLOOKUP($B20,Operations!$A$2:$U$79,21,FALSE)*$C20,2)))</f>
        <v/>
      </c>
      <c r="K20" s="109" t="str">
        <f t="shared" si="0"/>
        <v/>
      </c>
      <c r="L20" s="110"/>
    </row>
    <row r="21" spans="1:12" x14ac:dyDescent="0.2">
      <c r="A21" s="170" t="s">
        <v>921</v>
      </c>
      <c r="B21" s="180" t="s">
        <v>942</v>
      </c>
      <c r="C21" s="174">
        <f>$G$4*1.6</f>
        <v>128</v>
      </c>
      <c r="D21" s="112"/>
      <c r="E21" s="109">
        <f>IF(B21=0,"",IF(C21&gt;9999,"",ROUND('General Variables'!$B$4*VLOOKUP(B21,Operations!$A$2:$U$79,10,FALSE)/VLOOKUP(B21,Operations!$A$2:$U$79,9,FALSE)*C21,2))/100)</f>
        <v>2.9243000000000001</v>
      </c>
      <c r="F21" s="109">
        <f>IF(B21=0,0,IF(C21&gt;9999,"",ROUND(IF(VLOOKUP(B21,Operations!$A$2:$U$79,12,FALSE)=0,VLOOKUP(B21,Operations!$A$2:$U$79,13,FALSE)*'General Variables'!$B$8,VLOOKUP(B21,Operations!$A$2:$U$79,12,FALSE)*'General Variables'!$B$7)/VLOOKUP(B21,Operations!$A$2:$U$79,9,FALSE)*C21,2))/100)</f>
        <v>3.2950999999999997</v>
      </c>
      <c r="G21" s="109">
        <f>IF(B21=0,0,IF(C21&gt;9999,"",ROUND(VLOOKUP(VLOOKUP(B21,Operations!$A$2:$U$79,11,FALSE),PowerUnits[],10,FALSE)/VLOOKUP(B21,Operations!$A$2:$U$79,9,FALSE)*C21,2))/100)</f>
        <v>5.0813999999999995</v>
      </c>
      <c r="H21" s="109">
        <f>IF(B21=0,"",IF(C21&gt;9999,"",ROUND(VLOOKUP($B21,Operations!$A$2:$U$79,15,FALSE)*C21,2))/100)</f>
        <v>0.51029999999999998</v>
      </c>
      <c r="I21" s="109">
        <f>IF(B21=0,0,IF(C21&gt;9999,"",ROUND(VLOOKUP(VLOOKUP(B21,Operations!$A$2:$U$79,11,FALSE),PowerUnits[],16,FALSE)/VLOOKUP(B21,Operations!$A$2:$U$79,9,FALSE)*C21,2))/90)</f>
        <v>13.597111111111111</v>
      </c>
      <c r="J21" s="109">
        <f>IF(B21=0,"",IF(C21&gt;9999,"",ROUND(VLOOKUP($B21,Operations!$A$2:$U$79,21,FALSE)*$C21,2))/100)</f>
        <v>3.9435000000000002</v>
      </c>
      <c r="K21" s="109">
        <f>IF(C21&gt;9999,"",ROUND(SUM(E21:J21),2))</f>
        <v>29.35</v>
      </c>
      <c r="L21" s="110"/>
    </row>
    <row r="22" spans="1:12" x14ac:dyDescent="0.2">
      <c r="A22" s="170">
        <v>11</v>
      </c>
      <c r="B22" s="180" t="s">
        <v>565</v>
      </c>
      <c r="C22" s="174" t="s">
        <v>184</v>
      </c>
      <c r="D22" s="112"/>
      <c r="E22" s="109" t="str">
        <f>IF(B22=0,"",IF(C22&gt;9999,"",ROUND('General Variables'!$B$4*VLOOKUP(B22,Operations!$A$2:$U$79,10,FALSE)/VLOOKUP(B22,Operations!$A$2:$U$79,9,FALSE)*C22,2)))</f>
        <v/>
      </c>
      <c r="F22" s="109" t="str">
        <f>IF(B22=0,0,IF(C22&gt;9999,"",ROUND(IF(VLOOKUP(B22,Operations!$A$2:$U$79,12,FALSE)=0,VLOOKUP(B22,Operations!$A$2:$U$79,13,FALSE)*'General Variables'!$B$8,VLOOKUP(B22,Operations!$A$2:$U$79,12,FALSE)*'General Variables'!$B$7)/VLOOKUP(B22,Operations!$A$2:$U$79,9,FALSE)*C22,2)))</f>
        <v/>
      </c>
      <c r="G22" s="109" t="str">
        <f>IF(B22=0,0,IF(C22&gt;9999,"",ROUND(VLOOKUP(VLOOKUP(B22,Operations!$A$2:$U$79,11,FALSE),PowerUnits[],10,FALSE)/VLOOKUP(B22,Operations!$A$2:$U$79,9,FALSE)*C22,2)))</f>
        <v/>
      </c>
      <c r="H22" s="109" t="str">
        <f>IF(B22=0,"",IF(C22&gt;9999,"",ROUND(VLOOKUP($B22,Operations!$A$2:$U$79,15,FALSE)*C22,2)))</f>
        <v/>
      </c>
      <c r="I22" s="109" t="str">
        <f>IF(B22=0,0,IF(C22&gt;9999,"",ROUND(VLOOKUP(VLOOKUP(B22,Operations!$A$2:$U$79,11,FALSE),PowerUnits[],16,FALSE)/VLOOKUP(B22,Operations!$A$2:$U$79,9,FALSE)*C22,2)))</f>
        <v/>
      </c>
      <c r="J22" s="109" t="str">
        <f>IF(B22=0,"",IF(C22&gt;9999,"",ROUND(VLOOKUP($B22,Operations!$A$2:$U$79,21,FALSE)*$C22,2)))</f>
        <v/>
      </c>
      <c r="K22" s="109" t="str">
        <f t="shared" si="0"/>
        <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12.5343</v>
      </c>
      <c r="F33" s="109">
        <f t="shared" ref="F33:K33" si="1">SUM(F12:F31)</f>
        <v>6.8450999999999995</v>
      </c>
      <c r="G33" s="109">
        <f t="shared" si="1"/>
        <v>5.3713999999999995</v>
      </c>
      <c r="H33" s="109">
        <f t="shared" si="1"/>
        <v>13.240300000000001</v>
      </c>
      <c r="I33" s="109">
        <f t="shared" si="1"/>
        <v>27.017111111111113</v>
      </c>
      <c r="J33" s="109">
        <f t="shared" si="1"/>
        <v>19.133500000000002</v>
      </c>
      <c r="K33" s="109">
        <f t="shared" si="1"/>
        <v>84.14</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170</v>
      </c>
      <c r="C38" s="388" t="str">
        <f>IF(B38=0,"",VLOOKUP($B38,Table2[],2,FALSE))</f>
        <v>Additive</v>
      </c>
      <c r="D38" s="388"/>
      <c r="E38" s="388"/>
      <c r="F38" s="174">
        <v>1</v>
      </c>
      <c r="G38" s="175">
        <v>1</v>
      </c>
      <c r="H38" s="176">
        <v>1.7</v>
      </c>
      <c r="I38" s="120" t="str">
        <f>IF($B38=0,"",VLOOKUP($B38,Table2[],5,FALSE))</f>
        <v>pound</v>
      </c>
      <c r="J38" s="109">
        <f>IF($B38=0,"",VLOOKUP($B38,Table2[],7,FALSE))</f>
        <v>0.4</v>
      </c>
      <c r="K38" s="109">
        <f t="shared" ref="K38:K58" si="2">IF(B38=0,0,ROUND(G38*H38*J38,2))</f>
        <v>0.68</v>
      </c>
      <c r="L38" s="110"/>
    </row>
    <row r="39" spans="1:12" x14ac:dyDescent="0.2">
      <c r="A39" s="105"/>
      <c r="B39" s="180" t="s">
        <v>229</v>
      </c>
      <c r="C39" s="388" t="str">
        <f>IF(B39=0,"",VLOOKUP($B39,Table2[],2,FALSE))</f>
        <v>Herbicide</v>
      </c>
      <c r="D39" s="388"/>
      <c r="E39" s="388"/>
      <c r="F39" s="174">
        <v>1</v>
      </c>
      <c r="G39" s="175">
        <v>1</v>
      </c>
      <c r="H39" s="176">
        <v>1</v>
      </c>
      <c r="I39" s="120" t="str">
        <f>IF($B39=0,"",VLOOKUP($B39,Table2[],5,FALSE))</f>
        <v>pint</v>
      </c>
      <c r="J39" s="109">
        <f>IF($B39=0,"",VLOOKUP($B39,Table2[],7,FALSE))</f>
        <v>2.5</v>
      </c>
      <c r="K39" s="109">
        <f>IF(B39=0,0,ROUND(G39*H39*J39,2))</f>
        <v>2.5</v>
      </c>
      <c r="L39" s="110"/>
    </row>
    <row r="40" spans="1:12" x14ac:dyDescent="0.2">
      <c r="A40" s="105"/>
      <c r="B40" s="213" t="s">
        <v>259</v>
      </c>
      <c r="C40" s="387" t="str">
        <f>IF(B40=0,"",VLOOKUP($B40,Table2[],2,FALSE))</f>
        <v>Herbicide</v>
      </c>
      <c r="D40" s="387"/>
      <c r="E40" s="387"/>
      <c r="F40" s="214">
        <v>2</v>
      </c>
      <c r="G40" s="221">
        <v>1</v>
      </c>
      <c r="H40" s="222">
        <v>32</v>
      </c>
      <c r="I40" s="223" t="str">
        <f>IF($B40=0,"",VLOOKUP($B40,Table2[],5,FALSE))</f>
        <v>ounce</v>
      </c>
      <c r="J40" s="215">
        <f>IF($B40=0,"",VLOOKUP($B40,Table2[],7,FALSE))</f>
        <v>0.1328125</v>
      </c>
      <c r="K40" s="215">
        <f t="shared" si="2"/>
        <v>4.25</v>
      </c>
      <c r="L40" s="216"/>
    </row>
    <row r="41" spans="1:12" x14ac:dyDescent="0.2">
      <c r="A41" s="105"/>
      <c r="B41" s="180" t="s">
        <v>170</v>
      </c>
      <c r="C41" s="388" t="str">
        <f>IF(B41=0,"",VLOOKUP($B41,Table2[],2,FALSE))</f>
        <v>Additive</v>
      </c>
      <c r="D41" s="388"/>
      <c r="E41" s="388"/>
      <c r="F41" s="174">
        <v>2</v>
      </c>
      <c r="G41" s="175">
        <v>1</v>
      </c>
      <c r="H41" s="176">
        <v>1.7</v>
      </c>
      <c r="I41" s="120" t="str">
        <f>IF($B41=0,"",VLOOKUP($B41,Table2[],5,FALSE))</f>
        <v>pound</v>
      </c>
      <c r="J41" s="109">
        <f>IF($B41=0,"",VLOOKUP($B41,Table2[],7,FALSE))</f>
        <v>0.4</v>
      </c>
      <c r="K41" s="109">
        <f t="shared" si="2"/>
        <v>0.68</v>
      </c>
      <c r="L41" s="110"/>
    </row>
    <row r="42" spans="1:12" x14ac:dyDescent="0.2">
      <c r="A42" s="105"/>
      <c r="B42" s="180" t="s">
        <v>229</v>
      </c>
      <c r="C42" s="388" t="str">
        <f>IF(B42=0,"",VLOOKUP($B42,Table2[],2,FALSE))</f>
        <v>Herbicide</v>
      </c>
      <c r="D42" s="388"/>
      <c r="E42" s="388"/>
      <c r="F42" s="174">
        <v>2</v>
      </c>
      <c r="G42" s="175">
        <v>1</v>
      </c>
      <c r="H42" s="176">
        <v>1</v>
      </c>
      <c r="I42" s="120" t="str">
        <f>IF($B42=0,"",VLOOKUP($B42,Table2[],5,FALSE))</f>
        <v>pint</v>
      </c>
      <c r="J42" s="109">
        <f>IF($B42=0,"",VLOOKUP($B42,Table2[],7,FALSE))</f>
        <v>2.5</v>
      </c>
      <c r="K42" s="109">
        <f>IF(B42=0,0,ROUND(G42*H42*J42,2))</f>
        <v>2.5</v>
      </c>
      <c r="L42" s="110"/>
    </row>
    <row r="43" spans="1:12" x14ac:dyDescent="0.2">
      <c r="A43" s="105"/>
      <c r="B43" s="180" t="s">
        <v>259</v>
      </c>
      <c r="C43" s="388" t="str">
        <f>IF(B43=0,"",VLOOKUP($B43,Table2[],2,FALSE))</f>
        <v>Herbicide</v>
      </c>
      <c r="D43" s="388"/>
      <c r="E43" s="388"/>
      <c r="F43" s="174">
        <v>3</v>
      </c>
      <c r="G43" s="175">
        <v>1</v>
      </c>
      <c r="H43" s="176">
        <v>32</v>
      </c>
      <c r="I43" s="120" t="str">
        <f>IF($B43=0,"",VLOOKUP($B43,Table2[],5,FALSE))</f>
        <v>ounce</v>
      </c>
      <c r="J43" s="109">
        <f>IF($B43=0,"",VLOOKUP($B43,Table2[],7,FALSE))</f>
        <v>0.1328125</v>
      </c>
      <c r="K43" s="109">
        <f t="shared" si="2"/>
        <v>4.25</v>
      </c>
      <c r="L43" s="110"/>
    </row>
    <row r="44" spans="1:12" x14ac:dyDescent="0.2">
      <c r="A44" s="105"/>
      <c r="B44" s="213" t="s">
        <v>170</v>
      </c>
      <c r="C44" s="387" t="str">
        <f>IF(B44=0,"",VLOOKUP($B44,Table2[],2,FALSE))</f>
        <v>Additive</v>
      </c>
      <c r="D44" s="387"/>
      <c r="E44" s="387"/>
      <c r="F44" s="214">
        <v>3</v>
      </c>
      <c r="G44" s="221">
        <v>1</v>
      </c>
      <c r="H44" s="222">
        <v>1.7</v>
      </c>
      <c r="I44" s="223" t="str">
        <f>IF($B44=0,"",VLOOKUP($B44,Table2[],5,FALSE))</f>
        <v>pound</v>
      </c>
      <c r="J44" s="215">
        <f>IF($B44=0,"",VLOOKUP($B44,Table2[],7,FALSE))</f>
        <v>0.4</v>
      </c>
      <c r="K44" s="215">
        <f t="shared" si="2"/>
        <v>0.68</v>
      </c>
      <c r="L44" s="216"/>
    </row>
    <row r="45" spans="1:12" x14ac:dyDescent="0.2">
      <c r="A45" s="105"/>
      <c r="B45" s="180" t="s">
        <v>229</v>
      </c>
      <c r="C45" s="388" t="str">
        <f>IF(B45=0,"",VLOOKUP($B45,Table2[],2,FALSE))</f>
        <v>Herbicide</v>
      </c>
      <c r="D45" s="388"/>
      <c r="E45" s="388"/>
      <c r="F45" s="174">
        <v>3</v>
      </c>
      <c r="G45" s="175">
        <v>1</v>
      </c>
      <c r="H45" s="176">
        <v>1</v>
      </c>
      <c r="I45" s="120" t="str">
        <f>IF($B45=0,"",VLOOKUP($B45,Table2[],5,FALSE))</f>
        <v>pint</v>
      </c>
      <c r="J45" s="109">
        <f>IF($B45=0,"",VLOOKUP($B45,Table2[],7,FALSE))</f>
        <v>2.5</v>
      </c>
      <c r="K45" s="109">
        <f>IF(B45=0,0,ROUND(G45*H45*J45,2))</f>
        <v>2.5</v>
      </c>
      <c r="L45" s="110"/>
    </row>
    <row r="46" spans="1:12" x14ac:dyDescent="0.2">
      <c r="A46" s="105"/>
      <c r="B46" s="180" t="s">
        <v>259</v>
      </c>
      <c r="C46" s="388" t="str">
        <f>IF(B46=0,"",VLOOKUP($B46,Table2[],2,FALSE))</f>
        <v>Herbicide</v>
      </c>
      <c r="D46" s="388"/>
      <c r="E46" s="388"/>
      <c r="F46" s="174">
        <v>4</v>
      </c>
      <c r="G46" s="175">
        <v>1</v>
      </c>
      <c r="H46" s="176">
        <v>32</v>
      </c>
      <c r="I46" s="120" t="str">
        <f>IF($B46=0,"",VLOOKUP($B46,Table2[],5,FALSE))</f>
        <v>ounce</v>
      </c>
      <c r="J46" s="109">
        <f>IF($B46=0,"",VLOOKUP($B46,Table2[],7,FALSE))</f>
        <v>0.1328125</v>
      </c>
      <c r="K46" s="109">
        <f t="shared" si="2"/>
        <v>4.25</v>
      </c>
      <c r="L46" s="110"/>
    </row>
    <row r="47" spans="1:12" x14ac:dyDescent="0.2">
      <c r="A47" s="105"/>
      <c r="B47" s="180" t="s">
        <v>170</v>
      </c>
      <c r="C47" s="388" t="str">
        <f>IF(B47=0,"",VLOOKUP($B47,Table2[],2,FALSE))</f>
        <v>Additive</v>
      </c>
      <c r="D47" s="388"/>
      <c r="E47" s="388"/>
      <c r="F47" s="174">
        <v>4</v>
      </c>
      <c r="G47" s="175">
        <v>1</v>
      </c>
      <c r="H47" s="176">
        <v>1.7</v>
      </c>
      <c r="I47" s="120" t="str">
        <f>IF($B47=0,"",VLOOKUP($B47,Table2[],5,FALSE))</f>
        <v>pound</v>
      </c>
      <c r="J47" s="109">
        <f>IF($B47=0,"",VLOOKUP($B47,Table2[],7,FALSE))</f>
        <v>0.4</v>
      </c>
      <c r="K47" s="109">
        <f t="shared" si="2"/>
        <v>0.68</v>
      </c>
      <c r="L47" s="110"/>
    </row>
    <row r="48" spans="1:12" x14ac:dyDescent="0.2">
      <c r="A48" s="105"/>
      <c r="B48" s="213" t="s">
        <v>201</v>
      </c>
      <c r="C48" s="387" t="str">
        <f>IF(B48=0,"",VLOOKUP($B48,Table2[],2,FALSE))</f>
        <v>Fertilizer</v>
      </c>
      <c r="D48" s="387"/>
      <c r="E48" s="387"/>
      <c r="F48" s="214">
        <v>5</v>
      </c>
      <c r="G48" s="221">
        <v>1</v>
      </c>
      <c r="H48" s="222">
        <v>8</v>
      </c>
      <c r="I48" s="223" t="str">
        <f>IF($B48=0,"",VLOOKUP($B48,Table2[],5,FALSE))</f>
        <v>gallon</v>
      </c>
      <c r="J48" s="215">
        <f>IF($B48=0,"",VLOOKUP($B48,Table2[],7,FALSE))</f>
        <v>3.1</v>
      </c>
      <c r="K48" s="215">
        <f t="shared" si="2"/>
        <v>24.8</v>
      </c>
      <c r="L48" s="216"/>
    </row>
    <row r="49" spans="1:12" x14ac:dyDescent="0.2">
      <c r="A49" s="105"/>
      <c r="B49" s="180" t="s">
        <v>350</v>
      </c>
      <c r="C49" s="388" t="str">
        <f>IF(B49=0,"",VLOOKUP($B49,Table2[],2,FALSE))</f>
        <v>Seed</v>
      </c>
      <c r="D49" s="388"/>
      <c r="E49" s="388"/>
      <c r="F49" s="174">
        <v>5</v>
      </c>
      <c r="G49" s="175">
        <v>1</v>
      </c>
      <c r="H49" s="176">
        <v>60</v>
      </c>
      <c r="I49" s="120" t="str">
        <f>IF($B49=0,"",VLOOKUP($B49,Table2[],5,FALSE))</f>
        <v>pound</v>
      </c>
      <c r="J49" s="109">
        <f>IF($B49=0,"",VLOOKUP($B49,Table2[],7,FALSE))</f>
        <v>0.41</v>
      </c>
      <c r="K49" s="109">
        <f t="shared" si="2"/>
        <v>24.6</v>
      </c>
      <c r="L49" s="110"/>
    </row>
    <row r="50" spans="1:12" x14ac:dyDescent="0.2">
      <c r="A50" s="105"/>
      <c r="B50" s="180" t="s">
        <v>210</v>
      </c>
      <c r="C50" s="388" t="str">
        <f>IF(B50=0,"",VLOOKUP($B50,Table2[],2,FALSE))</f>
        <v>Fertilizer</v>
      </c>
      <c r="D50" s="388"/>
      <c r="E50" s="388"/>
      <c r="F50" s="174">
        <v>6</v>
      </c>
      <c r="G50" s="175">
        <v>1</v>
      </c>
      <c r="H50" s="176">
        <v>120</v>
      </c>
      <c r="I50" s="120" t="str">
        <f>IF($B50=0,"",VLOOKUP($B50,Table2[],5,FALSE))</f>
        <v>lbs N</v>
      </c>
      <c r="J50" s="109">
        <f>IF($B50=0,"",VLOOKUP($B50,Table2[],7,FALSE))</f>
        <v>0.55000000000000004</v>
      </c>
      <c r="K50" s="109">
        <f t="shared" si="2"/>
        <v>66</v>
      </c>
      <c r="L50" s="110"/>
    </row>
    <row r="51" spans="1:12" x14ac:dyDescent="0.2">
      <c r="A51" s="105"/>
      <c r="B51" s="180" t="s">
        <v>234</v>
      </c>
      <c r="C51" s="388" t="str">
        <f>IF(B51=0,"",VLOOKUP($B51,Table2[],2,FALSE))</f>
        <v>Herbicide</v>
      </c>
      <c r="D51" s="388"/>
      <c r="E51" s="388"/>
      <c r="F51" s="174">
        <v>7</v>
      </c>
      <c r="G51" s="175">
        <v>1</v>
      </c>
      <c r="H51" s="176">
        <v>0.3</v>
      </c>
      <c r="I51" s="120" t="str">
        <f>IF($B51=0,"",VLOOKUP($B51,Table2[],5,FALSE))</f>
        <v>ounce</v>
      </c>
      <c r="J51" s="109">
        <f>IF($B51=0,"",VLOOKUP($B51,Table2[],7,FALSE))</f>
        <v>11</v>
      </c>
      <c r="K51" s="109">
        <f t="shared" si="2"/>
        <v>3.3</v>
      </c>
      <c r="L51" s="110"/>
    </row>
    <row r="52" spans="1:12" x14ac:dyDescent="0.2">
      <c r="A52" s="105"/>
      <c r="B52" s="213" t="s">
        <v>181</v>
      </c>
      <c r="C52" s="387" t="str">
        <f>IF(B52=0,"",VLOOKUP($B52,Table2[],2,FALSE))</f>
        <v>Additive</v>
      </c>
      <c r="D52" s="387"/>
      <c r="E52" s="387"/>
      <c r="F52" s="214">
        <v>7</v>
      </c>
      <c r="G52" s="221">
        <v>0.1</v>
      </c>
      <c r="H52" s="222">
        <v>6</v>
      </c>
      <c r="I52" s="223" t="str">
        <f>IF($B52=0,"",VLOOKUP($B52,Table2[],5,FALSE))</f>
        <v>ounce</v>
      </c>
      <c r="J52" s="215">
        <f>IF($B52=0,"",VLOOKUP($B52,Table2[],7,FALSE))</f>
        <v>0.203125</v>
      </c>
      <c r="K52" s="215">
        <f t="shared" si="2"/>
        <v>0.12</v>
      </c>
      <c r="L52" s="216"/>
    </row>
    <row r="53" spans="1:12" x14ac:dyDescent="0.2">
      <c r="A53" s="105"/>
      <c r="B53" s="180" t="s">
        <v>229</v>
      </c>
      <c r="C53" s="388" t="str">
        <f>IF(B53=0,"",VLOOKUP($B53,Table2[],2,FALSE))</f>
        <v>Herbicide</v>
      </c>
      <c r="D53" s="388"/>
      <c r="E53" s="388"/>
      <c r="F53" s="174">
        <v>7</v>
      </c>
      <c r="G53" s="175">
        <v>0.2</v>
      </c>
      <c r="H53" s="176">
        <v>0.5</v>
      </c>
      <c r="I53" s="120" t="str">
        <f>IF($B53=0,"",VLOOKUP($B53,Table2[],5,FALSE))</f>
        <v>pint</v>
      </c>
      <c r="J53" s="109">
        <f>IF($B53=0,"",VLOOKUP($B53,Table2[],7,FALSE))</f>
        <v>2.5</v>
      </c>
      <c r="K53" s="109">
        <f t="shared" si="2"/>
        <v>0.25</v>
      </c>
      <c r="L53" s="110"/>
    </row>
    <row r="54" spans="1:12" x14ac:dyDescent="0.2">
      <c r="A54" s="128"/>
      <c r="B54" s="180" t="s">
        <v>183</v>
      </c>
      <c r="C54" s="388" t="str">
        <f>IF(B54=0,"",VLOOKUP($B54,Table2[],2,FALSE))</f>
        <v>Custom</v>
      </c>
      <c r="D54" s="388"/>
      <c r="E54" s="388"/>
      <c r="F54" s="174">
        <v>8</v>
      </c>
      <c r="G54" s="175">
        <v>0.25</v>
      </c>
      <c r="H54" s="176">
        <v>1</v>
      </c>
      <c r="I54" s="120" t="str">
        <f>IF($B54=0,"",VLOOKUP($B54,Table2[],5,FALSE))</f>
        <v>acre</v>
      </c>
      <c r="J54" s="109">
        <f>IF($B54=0,"",VLOOKUP($B54,Table2[],7,FALSE))</f>
        <v>11</v>
      </c>
      <c r="K54" s="109">
        <f t="shared" si="2"/>
        <v>2.75</v>
      </c>
      <c r="L54" s="110"/>
    </row>
    <row r="55" spans="1:12" x14ac:dyDescent="0.2">
      <c r="A55" s="128" t="s">
        <v>638</v>
      </c>
      <c r="B55" s="180" t="s">
        <v>223</v>
      </c>
      <c r="C55" s="388" t="str">
        <f>IF(B55=0,"",VLOOKUP($B55,Table2[],2,FALSE))</f>
        <v>Fungicide</v>
      </c>
      <c r="D55" s="388"/>
      <c r="E55" s="388"/>
      <c r="F55" s="174">
        <v>8</v>
      </c>
      <c r="G55" s="175">
        <v>0.25</v>
      </c>
      <c r="H55" s="176">
        <v>10.5</v>
      </c>
      <c r="I55" s="120" t="str">
        <f>IF($B55=0,"",VLOOKUP($B55,Table2[],5,FALSE))</f>
        <v>ounce</v>
      </c>
      <c r="J55" s="109">
        <f>IF($B55=0,"",VLOOKUP($B55,Table2[],7,FALSE))</f>
        <v>1.875</v>
      </c>
      <c r="K55" s="109">
        <f t="shared" si="2"/>
        <v>4.92</v>
      </c>
      <c r="L55" s="110"/>
    </row>
    <row r="56" spans="1:12" x14ac:dyDescent="0.2">
      <c r="A56" s="128"/>
      <c r="B56" s="213" t="s">
        <v>183</v>
      </c>
      <c r="C56" s="387" t="str">
        <f>IF(B56=0,"",VLOOKUP($B56,Table2[],2,FALSE))</f>
        <v>Custom</v>
      </c>
      <c r="D56" s="387"/>
      <c r="E56" s="387"/>
      <c r="F56" s="214">
        <v>9</v>
      </c>
      <c r="G56" s="221">
        <v>0.15</v>
      </c>
      <c r="H56" s="222">
        <v>1</v>
      </c>
      <c r="I56" s="223" t="str">
        <f>IF($B56=0,"",VLOOKUP($B56,Table2[],5,FALSE))</f>
        <v>acre</v>
      </c>
      <c r="J56" s="215">
        <f>IF($B56=0,"",VLOOKUP($B56,Table2[],7,FALSE))</f>
        <v>11</v>
      </c>
      <c r="K56" s="215">
        <f t="shared" si="2"/>
        <v>1.65</v>
      </c>
      <c r="L56" s="216"/>
    </row>
    <row r="57" spans="1:12" x14ac:dyDescent="0.2">
      <c r="A57" s="128" t="s">
        <v>750</v>
      </c>
      <c r="B57" s="180" t="s">
        <v>290</v>
      </c>
      <c r="C57" s="388" t="str">
        <f>IF(B57=0,"",VLOOKUP($B57,Table2[],2,FALSE))</f>
        <v>Insecticide</v>
      </c>
      <c r="D57" s="388"/>
      <c r="E57" s="388"/>
      <c r="F57" s="174">
        <v>9</v>
      </c>
      <c r="G57" s="175">
        <v>0.15</v>
      </c>
      <c r="H57" s="176">
        <v>1.92</v>
      </c>
      <c r="I57" s="120" t="str">
        <f>IF($B57=0,"",VLOOKUP($B57,Table2[],5,FALSE))</f>
        <v>ounce</v>
      </c>
      <c r="J57" s="109">
        <f>IF($B57=0,"",VLOOKUP($B57,Table2[],7,FALSE))</f>
        <v>3.203125</v>
      </c>
      <c r="K57" s="109">
        <f t="shared" si="2"/>
        <v>0.92</v>
      </c>
      <c r="L57" s="110"/>
    </row>
    <row r="58" spans="1:12" x14ac:dyDescent="0.2">
      <c r="A58" s="105"/>
      <c r="B58" s="180" t="s">
        <v>198</v>
      </c>
      <c r="C58" s="388" t="str">
        <f>IF(B58=0,"",VLOOKUP($B58,Table2[],2,FALSE))</f>
        <v>Custom</v>
      </c>
      <c r="D58" s="388"/>
      <c r="E58" s="388"/>
      <c r="F58" s="174">
        <v>11</v>
      </c>
      <c r="G58" s="175">
        <v>1</v>
      </c>
      <c r="H58" s="176">
        <f>$G$4</f>
        <v>80</v>
      </c>
      <c r="I58" s="120" t="str">
        <f>IF($B58=0,"",VLOOKUP($B58,Table2[],5,FALSE))</f>
        <v>bushel</v>
      </c>
      <c r="J58" s="109">
        <f>IF($B58=0,"",VLOOKUP($B58,Table2[],7,FALSE))</f>
        <v>0.15</v>
      </c>
      <c r="K58" s="109">
        <f t="shared" si="2"/>
        <v>12</v>
      </c>
      <c r="L58" s="113"/>
    </row>
    <row r="59" spans="1:12" x14ac:dyDescent="0.2">
      <c r="B59" s="111" t="s">
        <v>311</v>
      </c>
      <c r="C59" s="388" t="str">
        <f>IF(B59=0,"",VLOOKUP($B59,Table2[],2,FALSE))</f>
        <v>Scouting</v>
      </c>
      <c r="D59" s="388"/>
      <c r="E59" s="388"/>
      <c r="F59" s="112"/>
      <c r="G59" s="175">
        <v>1</v>
      </c>
      <c r="H59" s="178">
        <v>1</v>
      </c>
      <c r="I59" s="120" t="str">
        <f>IF($B59=0,"",VLOOKUP($B59,Table2[],5,FALSE))</f>
        <v>acre</v>
      </c>
      <c r="J59" s="109">
        <f>IF($B59=0,"",VLOOKUP($B59,Table2[],7,FALSE))</f>
        <v>10</v>
      </c>
      <c r="K59" s="109">
        <f>IF(B59=0,0,ROUND(G59*H59*J59,2))</f>
        <v>10</v>
      </c>
      <c r="L59" s="113"/>
    </row>
    <row r="60" spans="1:12" hidden="1" x14ac:dyDescent="0.2">
      <c r="B60" s="217"/>
      <c r="C60" s="387" t="str">
        <f>IF(B60=0,"",VLOOKUP($B60,Table2[],2,FALSE))</f>
        <v/>
      </c>
      <c r="D60" s="387"/>
      <c r="E60" s="387"/>
      <c r="F60" s="218"/>
      <c r="G60" s="221"/>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5"/>
      <c r="H61" s="178"/>
      <c r="I61" s="170"/>
      <c r="J61" s="109">
        <f ca="1">IF(F5=0,E5,F5)</f>
        <v>10</v>
      </c>
      <c r="K61" s="109">
        <f ca="1">IF(B61=0,0,J61)</f>
        <v>10</v>
      </c>
      <c r="L61" s="113"/>
    </row>
    <row r="62" spans="1:12" ht="3.75" customHeight="1" thickBot="1" x14ac:dyDescent="0.25">
      <c r="B62" s="114"/>
      <c r="C62" s="121"/>
      <c r="D62" s="121"/>
      <c r="E62" s="121"/>
      <c r="F62" s="115"/>
      <c r="G62" s="149"/>
      <c r="H62" s="114"/>
      <c r="I62" s="123"/>
      <c r="J62" s="124"/>
      <c r="K62" s="125"/>
      <c r="L62" s="117"/>
    </row>
    <row r="63" spans="1:12" ht="13.5" thickTop="1" x14ac:dyDescent="0.2">
      <c r="C63" s="108" t="s">
        <v>671</v>
      </c>
      <c r="D63" s="108"/>
      <c r="J63" s="126"/>
      <c r="K63" s="127">
        <f ca="1">SUM(K37:K61)</f>
        <v>188.53</v>
      </c>
      <c r="L63" s="110"/>
    </row>
    <row r="64" spans="1:12" x14ac:dyDescent="0.2">
      <c r="B64" s="358" t="s">
        <v>909</v>
      </c>
      <c r="C64" s="358"/>
      <c r="D64" s="358"/>
      <c r="E64" s="364" t="s">
        <v>922</v>
      </c>
      <c r="F64" s="358" t="s">
        <v>923</v>
      </c>
      <c r="G64" s="358"/>
      <c r="H64" s="358"/>
      <c r="I64" s="358"/>
      <c r="K64" s="127"/>
    </row>
    <row r="65" spans="2:12" x14ac:dyDescent="0.2">
      <c r="B65" s="358"/>
      <c r="C65" s="358"/>
      <c r="D65" s="358"/>
      <c r="E65" s="364"/>
      <c r="F65" s="358"/>
      <c r="G65" s="358"/>
      <c r="H65" s="358"/>
      <c r="I65" s="358"/>
      <c r="K65" s="127"/>
    </row>
    <row r="66" spans="2:12" x14ac:dyDescent="0.2">
      <c r="B66" s="107" t="s">
        <v>672</v>
      </c>
      <c r="K66" s="127">
        <f ca="1">K33+K63</f>
        <v>272.67</v>
      </c>
      <c r="L66" s="110"/>
    </row>
    <row r="67" spans="2:12" ht="13.5" thickBot="1" x14ac:dyDescent="0.25">
      <c r="D67" s="128" t="s">
        <v>673</v>
      </c>
      <c r="E67" s="129">
        <f ca="1">ROUND(SUM($E$33:$H$33)+$K$63,2)</f>
        <v>226.52</v>
      </c>
      <c r="F67" s="388" t="s">
        <v>674</v>
      </c>
      <c r="G67" s="388"/>
      <c r="H67" s="130">
        <f>'General Variables'!$B$11</f>
        <v>7.4999999999999997E-2</v>
      </c>
      <c r="I67" s="131" t="str">
        <f>CONCATENATE("for ",TEXT('General Variables'!$B$12,"0.0")," mo.")</f>
        <v>for 6.0 mo.</v>
      </c>
      <c r="K67" s="132">
        <f ca="1">E67*H67*'General Variables'!$B$12/12</f>
        <v>8.4945000000000004</v>
      </c>
      <c r="L67" s="133"/>
    </row>
    <row r="68" spans="2:12" ht="13.5" thickTop="1" x14ac:dyDescent="0.2">
      <c r="B68" s="107" t="s">
        <v>675</v>
      </c>
      <c r="K68" s="127">
        <f ca="1">SUM(K66:K67)</f>
        <v>281.16450000000003</v>
      </c>
      <c r="L68" s="110"/>
    </row>
    <row r="69" spans="2:12" x14ac:dyDescent="0.2">
      <c r="K69" s="127"/>
    </row>
    <row r="70" spans="2:12" x14ac:dyDescent="0.2">
      <c r="B70" s="104" t="s">
        <v>676</v>
      </c>
      <c r="C70" s="134"/>
      <c r="D70" s="134"/>
      <c r="E70" s="134"/>
      <c r="F70" s="134"/>
      <c r="G70" s="134"/>
      <c r="H70" s="134"/>
      <c r="I70" s="134"/>
      <c r="J70" s="134"/>
      <c r="K70" s="135">
        <f>'General Variables'!B16</f>
        <v>18</v>
      </c>
      <c r="L70" s="110"/>
    </row>
    <row r="71" spans="2:12" x14ac:dyDescent="0.2">
      <c r="B71" s="103" t="s">
        <v>687</v>
      </c>
      <c r="C71" s="398" t="s">
        <v>45</v>
      </c>
      <c r="D71" s="399"/>
      <c r="E71" s="400"/>
      <c r="F71" s="136">
        <f>IF(C71=0,0,VLOOKUP(C71,RETable,2,FALSE))</f>
        <v>1825</v>
      </c>
      <c r="G71" s="388" t="s">
        <v>678</v>
      </c>
      <c r="H71" s="388"/>
      <c r="I71" s="130">
        <f>'General Variables'!$B$10</f>
        <v>0.03</v>
      </c>
      <c r="K71" s="137">
        <f>ROUND(F71*I71,2)</f>
        <v>54.75</v>
      </c>
      <c r="L71" s="110"/>
    </row>
    <row r="72" spans="2:12" ht="13.5" thickBot="1" x14ac:dyDescent="0.25">
      <c r="B72" s="103" t="s">
        <v>679</v>
      </c>
      <c r="F72" s="138">
        <f>IF(C71=0,0,VLOOKUP(C71,RETable,2,FALSE))</f>
        <v>1825</v>
      </c>
      <c r="G72" s="397" t="s">
        <v>678</v>
      </c>
      <c r="H72" s="397"/>
      <c r="I72" s="139">
        <f>'General Variables'!$B$13</f>
        <v>1.2999999999999999E-2</v>
      </c>
      <c r="J72" s="105"/>
      <c r="K72" s="140">
        <f>ROUND(F72*I72,2)</f>
        <v>23.73</v>
      </c>
      <c r="L72" s="133"/>
    </row>
    <row r="73" spans="2:12" ht="13.5" thickTop="1" x14ac:dyDescent="0.2">
      <c r="B73" s="107" t="s">
        <v>680</v>
      </c>
      <c r="K73" s="127">
        <f ca="1">SUM(K68:K72)</f>
        <v>377.64450000000005</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3.45930625</v>
      </c>
      <c r="L75" s="148"/>
    </row>
    <row r="76" spans="2:12" x14ac:dyDescent="0.2">
      <c r="B76" s="107" t="str">
        <f>IF(G4="","","Cost of production per "&amp;H4)</f>
        <v>Cost of production per bushel</v>
      </c>
      <c r="K76" s="141">
        <f ca="1">IF(G4="","",K73/G4)</f>
        <v>4.7205562500000005</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G72:H72"/>
    <mergeCell ref="C52:E52"/>
    <mergeCell ref="C53:E53"/>
    <mergeCell ref="C54:E54"/>
    <mergeCell ref="C55:E55"/>
    <mergeCell ref="C56:E56"/>
    <mergeCell ref="C57:E57"/>
    <mergeCell ref="C58:E58"/>
    <mergeCell ref="C61:E61"/>
    <mergeCell ref="F67:G67"/>
    <mergeCell ref="C59:E59"/>
    <mergeCell ref="C60:E60"/>
    <mergeCell ref="C71:E71"/>
    <mergeCell ref="G71:H71"/>
    <mergeCell ref="K10:K11"/>
    <mergeCell ref="L10:L11"/>
    <mergeCell ref="F35:F36"/>
    <mergeCell ref="G35:G36"/>
    <mergeCell ref="H35:I35"/>
    <mergeCell ref="J35:J36"/>
    <mergeCell ref="L35:L36"/>
    <mergeCell ref="I10:J10"/>
    <mergeCell ref="C51:E51"/>
    <mergeCell ref="C46:E46"/>
    <mergeCell ref="C47:E47"/>
    <mergeCell ref="C48:E48"/>
    <mergeCell ref="C49:E49"/>
    <mergeCell ref="C50:E50"/>
    <mergeCell ref="B10:B11"/>
    <mergeCell ref="C10:C11"/>
    <mergeCell ref="E10:E11"/>
    <mergeCell ref="F10:F11"/>
    <mergeCell ref="G10:H10"/>
    <mergeCell ref="C42:E42"/>
    <mergeCell ref="C45:E45"/>
    <mergeCell ref="C44:E44"/>
    <mergeCell ref="C37:E37"/>
    <mergeCell ref="C38:E38"/>
    <mergeCell ref="C40:E40"/>
    <mergeCell ref="C41:E41"/>
    <mergeCell ref="C43:E43"/>
    <mergeCell ref="C39:E39"/>
    <mergeCell ref="K2:L2"/>
    <mergeCell ref="G2:H2"/>
    <mergeCell ref="C4:E4"/>
    <mergeCell ref="B7:L7"/>
    <mergeCell ref="C3:E3"/>
    <mergeCell ref="A6:M6"/>
  </mergeCells>
  <dataValidations count="9">
    <dataValidation type="list" allowBlank="1" showInputMessage="1" showErrorMessage="1" sqref="B32" xr:uid="{00000000-0002-0000-5500-000000000000}">
      <formula1>$B$112:$B$209</formula1>
    </dataValidation>
    <dataValidation type="list" allowBlank="1" showInputMessage="1" showErrorMessage="1" sqref="B62" xr:uid="{00000000-0002-0000-5500-000001000000}">
      <formula1>$C$112:$C$230</formula1>
    </dataValidation>
    <dataValidation type="list" allowBlank="1" showInputMessage="1" showErrorMessage="1" sqref="K4" xr:uid="{00000000-0002-0000-5500-000002000000}">
      <formula1>$K$112:$K$114</formula1>
    </dataValidation>
    <dataValidation type="list" allowBlank="1" showInputMessage="1" showErrorMessage="1" sqref="B37:B60" xr:uid="{00000000-0002-0000-5500-000003000000}">
      <formula1>MaterialList</formula1>
    </dataValidation>
    <dataValidation type="list" allowBlank="1" showInputMessage="1" showErrorMessage="1" sqref="C71:E71" xr:uid="{00000000-0002-0000-5500-000004000000}">
      <formula1>RealEstateList</formula1>
    </dataValidation>
    <dataValidation type="list" allowBlank="1" showInputMessage="1" showErrorMessage="1" sqref="B12:B31" xr:uid="{00000000-0002-0000-5500-000005000000}">
      <formula1>OperationList</formula1>
    </dataValidation>
    <dataValidation type="list" allowBlank="1" showInputMessage="1" showErrorMessage="1" sqref="D12:D32" xr:uid="{00000000-0002-0000-5500-000006000000}">
      <formula1>#REF!</formula1>
    </dataValidation>
    <dataValidation type="list" allowBlank="1" showInputMessage="1" showErrorMessage="1" sqref="K2" xr:uid="{00000000-0002-0000-5500-000007000000}">
      <formula1>watersource</formula1>
    </dataValidation>
    <dataValidation type="list" allowBlank="1" showInputMessage="1" showErrorMessage="1" sqref="C3" xr:uid="{00000000-0002-0000-5500-000008000000}">
      <formula1>TillageSystem</formula1>
    </dataValidation>
  </dataValidations>
  <pageMargins left="0.7" right="0.7" top="0.75" bottom="0.75" header="0.3" footer="0.3"/>
  <pageSetup scale="71"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5">
    <pageSetUpPr fitToPage="1"/>
  </sheetPr>
  <dimension ref="A2:M257"/>
  <sheetViews>
    <sheetView topLeftCell="A17"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69</v>
      </c>
      <c r="L2" s="401"/>
    </row>
    <row r="3" spans="1:13" hidden="1" x14ac:dyDescent="0.2">
      <c r="B3" s="103" t="s">
        <v>38</v>
      </c>
      <c r="C3" s="391" t="s">
        <v>46</v>
      </c>
      <c r="D3" s="391"/>
      <c r="E3" s="391"/>
      <c r="G3" s="128" t="s">
        <v>650</v>
      </c>
      <c r="H3" s="187" t="s">
        <v>798</v>
      </c>
      <c r="J3" s="128" t="s">
        <v>651</v>
      </c>
      <c r="K3" s="187">
        <v>6</v>
      </c>
    </row>
    <row r="4" spans="1:13" hidden="1" x14ac:dyDescent="0.2">
      <c r="B4" s="103" t="s">
        <v>652</v>
      </c>
      <c r="C4" s="392" t="s">
        <v>799</v>
      </c>
      <c r="D4" s="392"/>
      <c r="E4" s="392"/>
      <c r="G4" s="103">
        <f>IFERROR(VALUE(LEFT($H$3,FIND(" ",$H$3))),"")</f>
        <v>105</v>
      </c>
      <c r="H4" s="103" t="str">
        <f>IFERROR(RIGHT(H3,LEN(H3)-LEN(G4)-1),"")</f>
        <v>bushel</v>
      </c>
      <c r="J4" s="128" t="s">
        <v>653</v>
      </c>
      <c r="K4" s="188"/>
    </row>
    <row r="5" spans="1:13" ht="15.75" hidden="1" customHeight="1" x14ac:dyDescent="0.2">
      <c r="B5" s="103" t="s">
        <v>655</v>
      </c>
      <c r="C5" s="238" t="str">
        <f ca="1">MID(CELL("filename",C5),FIND("]",CELL("filename",C5))+1,255)</f>
        <v>80-Wheat-Winter</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80-Wheat-Winter, Panhandle, No Till, after Dry Beans, 105 bushel Yield, Pivot Irrigated Diesel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80-Wheat-Winter, Panhandle, No Till, after Dry Beans, 105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Diesel,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493</v>
      </c>
      <c r="C12" s="174">
        <v>1</v>
      </c>
      <c r="D12" s="174"/>
      <c r="E12" s="109">
        <f>IF(B12=0,"",IF(C12&gt;9999,"",ROUND('General Variables'!$B$4*VLOOKUP(B12,Operations!$A$2:$U$79,10,FALSE)/VLOOKUP(B12,Operations!$A$2:$U$79,9,FALSE)*C12,2)))</f>
        <v>2.95</v>
      </c>
      <c r="F12" s="109">
        <f>IF(B12=0,0,IF(C12&gt;9999,"",ROUND(IF(VLOOKUP(B12,Operations!$A$2:$U$79,12,FALSE)=0,VLOOKUP(B12,Operations!$A$2:$U$79,13,FALSE)*'General Variables'!$B$8,VLOOKUP(B12,Operations!$A$2:$U$79,12,FALSE)*'General Variables'!$B$7)/VLOOKUP(B12,Operations!$A$2:$U$79,9,FALSE)*C12,2)))</f>
        <v>1.45</v>
      </c>
      <c r="G12" s="109">
        <f>IF(B12=0,0,IF(C12&gt;9999,"",ROUND(VLOOKUP(VLOOKUP(B12,Operations!$A$2:$U$79,11,FALSE),PowerUnits[],10,FALSE)/VLOOKUP(B12,Operations!$A$2:$U$79,9,FALSE)*C12,2)))</f>
        <v>0.08</v>
      </c>
      <c r="H12" s="109">
        <f>IF(B12=0,"",IF(C12&gt;9999,"",ROUND(VLOOKUP($B12,Operations!$A$2:$U$79,15,FALSE)*C12,2)))</f>
        <v>5</v>
      </c>
      <c r="I12" s="109">
        <f>IF(B12=0,0,IF(C12&gt;9999,"",ROUND(VLOOKUP(VLOOKUP(B12,Operations!$A$2:$U$79,11,FALSE),PowerUnits[],16,FALSE)/VLOOKUP(B12,Operations!$A$2:$U$79,9,FALSE)*C12,2)))</f>
        <v>3.93</v>
      </c>
      <c r="J12" s="109">
        <f>IF(B12=0,"",IF(C12&gt;9999,"",ROUND(VLOOKUP($B12,Operations!$A$2:$U$79,21,FALSE)*$C12,2)))</f>
        <v>5.24</v>
      </c>
      <c r="K12" s="109">
        <f>IF(C12&gt;9999,"",ROUND(SUM(E12:J12),2))</f>
        <v>18.649999999999999</v>
      </c>
      <c r="L12" s="110"/>
    </row>
    <row r="13" spans="1:13" x14ac:dyDescent="0.2">
      <c r="A13" s="170">
        <v>2</v>
      </c>
      <c r="B13" s="180" t="s">
        <v>522</v>
      </c>
      <c r="C13" s="174">
        <f>$K$3</f>
        <v>6</v>
      </c>
      <c r="D13" s="174" t="s">
        <v>693</v>
      </c>
      <c r="E13" s="109">
        <f>IF(B13=0,"",IF(C13&gt;9999,"",ROUND('General Variables'!$B$4*VLOOKUP(B13,Operations!$A$2:$U$79,10,FALSE)/VLOOKUP(B13,Operations!$A$2:$U$79,9,FALSE)*C13,2)))</f>
        <v>5.63</v>
      </c>
      <c r="F13" s="109">
        <f>IF(B13=0,0,IF(C13&gt;9999,"",ROUND(IF(VLOOKUP(B13,Operations!$A$2:$U$79,12,FALSE)=0,VLOOKUP(B13,Operations!$A$2:$U$79,13,FALSE)*'General Variables'!$B$8,VLOOKUP(B13,Operations!$A$2:$U$79,12,FALSE)*'General Variables'!$B$7)/VLOOKUP(B13,Operations!$A$2:$U$79,9,FALSE)*C13,2)))</f>
        <v>35.590000000000003</v>
      </c>
      <c r="G13" s="109">
        <f>IF(B13=0,0,IF(C13&gt;9999,"",ROUND(VLOOKUP(VLOOKUP(B13,Operations!$A$2:$U$79,11,FALSE),PowerUnits[],10,FALSE)/VLOOKUP(B13,Operations!$A$2:$U$79,9,FALSE)*C13,2)))</f>
        <v>3.27</v>
      </c>
      <c r="H13" s="109">
        <f>IF(B13=0,"",IF(C13&gt;9999,"",ROUND(VLOOKUP($B13,Operations!$A$2:$U$79,15,FALSE)*C13,2)))</f>
        <v>15.91</v>
      </c>
      <c r="I13" s="109">
        <f>IF(B13=0,0,IF(C13&gt;9999,"",ROUND(VLOOKUP(VLOOKUP(B13,Operations!$A$2:$U$79,11,FALSE),PowerUnits[],16,FALSE)/VLOOKUP(B13,Operations!$A$2:$U$79,9,FALSE)*C13,2)))</f>
        <v>6.2</v>
      </c>
      <c r="J13" s="109">
        <f>IF(B13=0,"",IF(C13&gt;9999,"",ROUND(VLOOKUP($B13,Operations!$A$2:$U$79,21,FALSE)*$C13,2)))</f>
        <v>8.73</v>
      </c>
      <c r="K13" s="109">
        <f>IF(C13&gt;9999,"",ROUND(SUM(E13:J13),2))</f>
        <v>75.33</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ref="K14:K31" si="0">IF(C14&gt;9999,"",ROUND(SUM(E14:J14),2))</f>
        <v>5.75</v>
      </c>
      <c r="L14" s="110"/>
    </row>
    <row r="15" spans="1:13" x14ac:dyDescent="0.2">
      <c r="A15" s="170">
        <v>4</v>
      </c>
      <c r="B15" s="213" t="s">
        <v>183</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t="s">
        <v>905</v>
      </c>
      <c r="B17" s="180" t="s">
        <v>942</v>
      </c>
      <c r="C17" s="174">
        <f>$G$4*1.6</f>
        <v>168</v>
      </c>
      <c r="D17" s="174"/>
      <c r="E17" s="109">
        <f>IF(B17=0,"",IF(C17&gt;9999,"",ROUND('General Variables'!$B$4*VLOOKUP(B17,Operations!$A$2:$U$79,10,FALSE)/VLOOKUP(B17,Operations!$A$2:$U$79,9,FALSE)*C17,2))/100)</f>
        <v>3.8382000000000001</v>
      </c>
      <c r="F17" s="109">
        <f>IF(B17=0,0,IF(C17&gt;9999,"",ROUND(IF(VLOOKUP(B17,Operations!$A$2:$U$79,12,FALSE)=0,VLOOKUP(B17,Operations!$A$2:$U$79,13,FALSE)*'General Variables'!$B$8,VLOOKUP(B17,Operations!$A$2:$U$79,12,FALSE)*'General Variables'!$B$7)/VLOOKUP(B17,Operations!$A$2:$U$79,9,FALSE)*C17,2))/100)</f>
        <v>4.3249000000000004</v>
      </c>
      <c r="G17" s="109">
        <f>IF(B17=0,0,IF(C17&gt;9999,"",ROUND(VLOOKUP(VLOOKUP(B17,Operations!$A$2:$U$79,11,FALSE),PowerUnits[],10,FALSE)/VLOOKUP(B17,Operations!$A$2:$U$79,9,FALSE)*C17,2))/100)</f>
        <v>6.6694000000000004</v>
      </c>
      <c r="H17" s="109">
        <f>IF(B17=0,"",IF(C17&gt;9999,"",ROUND(VLOOKUP($B17,Operations!$A$2:$U$79,15,FALSE)*C17,2))/100)</f>
        <v>0.66969999999999996</v>
      </c>
      <c r="I17" s="109">
        <f>IF(B17=0,0,IF(C17&gt;9999,"",ROUND(VLOOKUP(VLOOKUP(B17,Operations!$A$2:$U$79,11,FALSE),PowerUnits[],16,FALSE)/VLOOKUP(B17,Operations!$A$2:$U$79,9,FALSE)*C17,2))/100)</f>
        <v>16.061500000000002</v>
      </c>
      <c r="J17" s="109">
        <f>IF(B17=0,"",IF(C17&gt;9999,"",ROUND(VLOOKUP($B17,Operations!$A$2:$U$79,21,FALSE)*$C17,2))/100)</f>
        <v>5.1759000000000004</v>
      </c>
      <c r="K17" s="109">
        <f>IF(C17&gt;9999,"",ROUND(SUM(E17:J17),2))</f>
        <v>36.74</v>
      </c>
      <c r="L17" s="110"/>
    </row>
    <row r="18" spans="1:12" x14ac:dyDescent="0.2">
      <c r="A18" s="170">
        <v>7</v>
      </c>
      <c r="B18" s="180" t="s">
        <v>565</v>
      </c>
      <c r="C18" s="174" t="s">
        <v>184</v>
      </c>
      <c r="D18" s="174"/>
      <c r="E18" s="109" t="str">
        <f>IF(B18=0,"",IF(C18&gt;9999,"",ROUND('General Variables'!$B$4*VLOOKUP(B18,Operations!$A$2:$U$79,10,FALSE)/VLOOKUP(B18,Operations!$A$2:$U$79,9,FALSE)*C18,2)))</f>
        <v/>
      </c>
      <c r="F18" s="109" t="str">
        <f>IF(B18=0,0,IF(C18&gt;9999,"",ROUND(IF(VLOOKUP(B18,Operations!$A$2:$U$79,12,FALSE)=0,VLOOKUP(B18,Operations!$A$2:$U$79,13,FALSE)*'General Variables'!$B$8,VLOOKUP(B18,Operations!$A$2:$U$79,12,FALSE)*'General Variables'!$B$7)/VLOOKUP(B18,Operations!$A$2:$U$79,9,FALSE)*C18,2)))</f>
        <v/>
      </c>
      <c r="G18" s="109" t="str">
        <f>IF(B18=0,0,IF(C18&gt;9999,"",ROUND(VLOOKUP(VLOOKUP(B18,Operations!$A$2:$U$79,11,FALSE),PowerUnits[],10,FALSE)/VLOOKUP(B18,Operations!$A$2:$U$79,9,FALSE)*C18,2)))</f>
        <v/>
      </c>
      <c r="H18" s="109" t="str">
        <f>IF(B18=0,"",IF(C18&gt;9999,"",ROUND(VLOOKUP($B18,Operations!$A$2:$U$79,15,FALSE)*C18,2)))</f>
        <v/>
      </c>
      <c r="I18" s="109" t="str">
        <f>IF(B18=0,0,IF(C18&gt;9999,"",ROUND(VLOOKUP(VLOOKUP(B18,Operations!$A$2:$U$79,11,FALSE),PowerUnits[],16,FALSE)/VLOOKUP(B18,Operations!$A$2:$U$79,9,FALSE)*C18,2)))</f>
        <v/>
      </c>
      <c r="J18" s="109" t="str">
        <f>IF(B18=0,"",IF(C18&gt;9999,"",ROUND(VLOOKUP($B18,Operations!$A$2:$U$79,21,FALSE)*$C18,2)))</f>
        <v/>
      </c>
      <c r="K18" s="109" t="str">
        <f t="shared" si="0"/>
        <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 t="shared" si="0"/>
        <v>0</v>
      </c>
      <c r="L19" s="216"/>
    </row>
    <row r="20" spans="1:12" hidden="1" x14ac:dyDescent="0.2">
      <c r="A20" s="170">
        <v>9</v>
      </c>
      <c r="B20" s="180"/>
      <c r="C20" s="174"/>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13.4382</v>
      </c>
      <c r="F33" s="109">
        <f t="shared" ref="F33:K33" si="1">SUM(F12:F31)</f>
        <v>41.624900000000004</v>
      </c>
      <c r="G33" s="109">
        <f t="shared" si="1"/>
        <v>10.0494</v>
      </c>
      <c r="H33" s="109">
        <f t="shared" si="1"/>
        <v>22.689699999999998</v>
      </c>
      <c r="I33" s="109">
        <f t="shared" si="1"/>
        <v>27.501500000000004</v>
      </c>
      <c r="J33" s="109">
        <f t="shared" si="1"/>
        <v>21.165900000000001</v>
      </c>
      <c r="K33" s="109">
        <f t="shared" si="1"/>
        <v>136.47</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201</v>
      </c>
      <c r="C37" s="388" t="str">
        <f>IF(B37=0,"",VLOOKUP($B37,Table2[],2,FALSE))</f>
        <v>Fertilizer</v>
      </c>
      <c r="D37" s="388"/>
      <c r="E37" s="388"/>
      <c r="F37" s="174">
        <v>1</v>
      </c>
      <c r="G37" s="175">
        <v>1</v>
      </c>
      <c r="H37" s="176">
        <v>8</v>
      </c>
      <c r="I37" s="120" t="str">
        <f>IF($B37=0,"",VLOOKUP($B37,Table2[],5,FALSE))</f>
        <v>gallon</v>
      </c>
      <c r="J37" s="109">
        <f>IF($B37=0,"",VLOOKUP($B37,Table2[],7,FALSE))</f>
        <v>3.1</v>
      </c>
      <c r="K37" s="109">
        <f>IF(B37=0,0,ROUND(G37*H37*J37,2))</f>
        <v>24.8</v>
      </c>
      <c r="L37" s="110"/>
    </row>
    <row r="38" spans="1:12" x14ac:dyDescent="0.2">
      <c r="A38" s="105"/>
      <c r="B38" s="180" t="s">
        <v>350</v>
      </c>
      <c r="C38" s="388" t="str">
        <f>IF(B38=0,"",VLOOKUP($B38,Table2[],2,FALSE))</f>
        <v>Seed</v>
      </c>
      <c r="D38" s="388"/>
      <c r="E38" s="388"/>
      <c r="F38" s="174">
        <v>1</v>
      </c>
      <c r="G38" s="175">
        <v>1</v>
      </c>
      <c r="H38" s="176">
        <v>120</v>
      </c>
      <c r="I38" s="120" t="str">
        <f>IF($B38=0,"",VLOOKUP($B38,Table2[],5,FALSE))</f>
        <v>pound</v>
      </c>
      <c r="J38" s="109">
        <f>IF($B38=0,"",VLOOKUP($B38,Table2[],7,FALSE))</f>
        <v>0.41</v>
      </c>
      <c r="K38" s="109">
        <f t="shared" ref="K38:K55" si="2">IF(B38=0,0,ROUND(G38*H38*J38,2))</f>
        <v>49.2</v>
      </c>
      <c r="L38" s="110"/>
    </row>
    <row r="39" spans="1:12" x14ac:dyDescent="0.2">
      <c r="A39" s="105"/>
      <c r="B39" s="180" t="s">
        <v>205</v>
      </c>
      <c r="C39" s="388" t="str">
        <f>IF(B39=0,"",VLOOKUP($B39,Table2[],2,FALSE))</f>
        <v>Fertilizer</v>
      </c>
      <c r="D39" s="388"/>
      <c r="E39" s="388"/>
      <c r="F39" s="174">
        <v>2</v>
      </c>
      <c r="G39" s="175">
        <v>1</v>
      </c>
      <c r="H39" s="176">
        <v>130</v>
      </c>
      <c r="I39" s="120" t="str">
        <f>IF($B39=0,"",VLOOKUP($B39,Table2[],5,FALSE))</f>
        <v>lbs N</v>
      </c>
      <c r="J39" s="109">
        <f>IF($B39=0,"",VLOOKUP($B39,Table2[],7,FALSE))</f>
        <v>0.5</v>
      </c>
      <c r="K39" s="109">
        <f t="shared" si="2"/>
        <v>65</v>
      </c>
      <c r="L39" s="110"/>
    </row>
    <row r="40" spans="1:12" x14ac:dyDescent="0.2">
      <c r="A40" s="105"/>
      <c r="B40" s="213" t="s">
        <v>229</v>
      </c>
      <c r="C40" s="387" t="str">
        <f>IF(B40=0,"",VLOOKUP($B40,Table2[],2,FALSE))</f>
        <v>Herbicide</v>
      </c>
      <c r="D40" s="387"/>
      <c r="E40" s="387"/>
      <c r="F40" s="214">
        <v>3</v>
      </c>
      <c r="G40" s="221">
        <v>1</v>
      </c>
      <c r="H40" s="222">
        <v>0.5</v>
      </c>
      <c r="I40" s="223" t="str">
        <f>IF($B40=0,"",VLOOKUP($B40,Table2[],5,FALSE))</f>
        <v>pint</v>
      </c>
      <c r="J40" s="215">
        <f>IF($B40=0,"",VLOOKUP($B40,Table2[],7,FALSE))</f>
        <v>2.5</v>
      </c>
      <c r="K40" s="215">
        <f t="shared" si="2"/>
        <v>1.25</v>
      </c>
      <c r="L40" s="216"/>
    </row>
    <row r="41" spans="1:12" x14ac:dyDescent="0.2">
      <c r="A41" s="105"/>
      <c r="B41" s="180" t="s">
        <v>234</v>
      </c>
      <c r="C41" s="388" t="str">
        <f>IF(B41=0,"",VLOOKUP($B41,Table2[],2,FALSE))</f>
        <v>Herbicide</v>
      </c>
      <c r="D41" s="388"/>
      <c r="E41" s="388"/>
      <c r="F41" s="174">
        <v>3</v>
      </c>
      <c r="G41" s="175">
        <v>1</v>
      </c>
      <c r="H41" s="176">
        <v>0.3</v>
      </c>
      <c r="I41" s="120" t="str">
        <f>IF($B41=0,"",VLOOKUP($B41,Table2[],5,FALSE))</f>
        <v>ounce</v>
      </c>
      <c r="J41" s="109">
        <f>IF($B41=0,"",VLOOKUP($B41,Table2[],7,FALSE))</f>
        <v>11</v>
      </c>
      <c r="K41" s="109">
        <f t="shared" si="2"/>
        <v>3.3</v>
      </c>
      <c r="L41" s="110"/>
    </row>
    <row r="42" spans="1:12" x14ac:dyDescent="0.2">
      <c r="A42" s="105"/>
      <c r="B42" s="180" t="s">
        <v>181</v>
      </c>
      <c r="C42" s="388" t="str">
        <f>IF(B42=0,"",VLOOKUP($B42,Table2[],2,FALSE))</f>
        <v>Additive</v>
      </c>
      <c r="D42" s="388"/>
      <c r="E42" s="388"/>
      <c r="F42" s="174">
        <v>3</v>
      </c>
      <c r="G42" s="175">
        <v>1</v>
      </c>
      <c r="H42" s="176">
        <v>6</v>
      </c>
      <c r="I42" s="120" t="str">
        <f>IF($B42=0,"",VLOOKUP($B42,Table2[],5,FALSE))</f>
        <v>ounce</v>
      </c>
      <c r="J42" s="109">
        <f>IF($B42=0,"",VLOOKUP($B42,Table2[],7,FALSE))</f>
        <v>0.203125</v>
      </c>
      <c r="K42" s="109">
        <f t="shared" si="2"/>
        <v>1.22</v>
      </c>
      <c r="L42" s="110"/>
    </row>
    <row r="43" spans="1:12" x14ac:dyDescent="0.2">
      <c r="A43" s="128"/>
      <c r="B43" s="180" t="s">
        <v>183</v>
      </c>
      <c r="C43" s="388" t="str">
        <f>IF(B43=0,"",VLOOKUP($B43,Table2[],2,FALSE))</f>
        <v>Custom</v>
      </c>
      <c r="D43" s="388"/>
      <c r="E43" s="388"/>
      <c r="F43" s="174">
        <v>4</v>
      </c>
      <c r="G43" s="175">
        <v>1</v>
      </c>
      <c r="H43" s="176">
        <v>1</v>
      </c>
      <c r="I43" s="120" t="str">
        <f>IF($B43=0,"",VLOOKUP($B43,Table2[],5,FALSE))</f>
        <v>acre</v>
      </c>
      <c r="J43" s="109">
        <f>IF($B43=0,"",VLOOKUP($B43,Table2[],7,FALSE))</f>
        <v>11</v>
      </c>
      <c r="K43" s="109">
        <f t="shared" si="2"/>
        <v>11</v>
      </c>
      <c r="L43" s="110"/>
    </row>
    <row r="44" spans="1:12" x14ac:dyDescent="0.2">
      <c r="A44" s="128" t="s">
        <v>750</v>
      </c>
      <c r="B44" s="213" t="s">
        <v>221</v>
      </c>
      <c r="C44" s="387" t="str">
        <f>IF(B44=0,"",VLOOKUP($B44,Table2[],2,FALSE))</f>
        <v>Fungicide</v>
      </c>
      <c r="D44" s="387"/>
      <c r="E44" s="387"/>
      <c r="F44" s="214">
        <v>4</v>
      </c>
      <c r="G44" s="221">
        <v>1</v>
      </c>
      <c r="H44" s="222">
        <v>7</v>
      </c>
      <c r="I44" s="223" t="str">
        <f>IF($B44=0,"",VLOOKUP($B44,Table2[],5,FALSE))</f>
        <v>ounce</v>
      </c>
      <c r="J44" s="215">
        <f>IF($B44=0,"",VLOOKUP($B44,Table2[],7,FALSE))</f>
        <v>3.125</v>
      </c>
      <c r="K44" s="215">
        <f t="shared" si="2"/>
        <v>21.88</v>
      </c>
      <c r="L44" s="216"/>
    </row>
    <row r="45" spans="1:12" x14ac:dyDescent="0.2">
      <c r="A45" s="128"/>
      <c r="B45" s="180" t="s">
        <v>183</v>
      </c>
      <c r="C45" s="388" t="str">
        <f>IF(B45=0,"",VLOOKUP($B45,Table2[],2,FALSE))</f>
        <v>Custom</v>
      </c>
      <c r="D45" s="388"/>
      <c r="E45" s="388"/>
      <c r="F45" s="174">
        <v>5</v>
      </c>
      <c r="G45" s="175">
        <v>0.1</v>
      </c>
      <c r="H45" s="176">
        <v>1</v>
      </c>
      <c r="I45" s="120" t="str">
        <f>IF($B45=0,"",VLOOKUP($B45,Table2[],5,FALSE))</f>
        <v>acre</v>
      </c>
      <c r="J45" s="109">
        <f>IF($B45=0,"",VLOOKUP($B45,Table2[],7,FALSE))</f>
        <v>11</v>
      </c>
      <c r="K45" s="109">
        <f t="shared" si="2"/>
        <v>1.1000000000000001</v>
      </c>
      <c r="L45" s="110"/>
    </row>
    <row r="46" spans="1:12" x14ac:dyDescent="0.2">
      <c r="A46" s="128" t="s">
        <v>906</v>
      </c>
      <c r="B46" s="180" t="s">
        <v>288</v>
      </c>
      <c r="C46" s="388" t="str">
        <f>IF(B46=0,"",VLOOKUP($B46,Table2[],2,FALSE))</f>
        <v>Insecticide</v>
      </c>
      <c r="D46" s="388"/>
      <c r="E46" s="388"/>
      <c r="F46" s="174">
        <v>5</v>
      </c>
      <c r="G46" s="175">
        <v>0.1</v>
      </c>
      <c r="H46" s="176">
        <v>3</v>
      </c>
      <c r="I46" s="120" t="str">
        <f>IF($B46=0,"",VLOOKUP($B46,Table2[],5,FALSE))</f>
        <v>ounce</v>
      </c>
      <c r="J46" s="109">
        <f>IF($B46=0,"",VLOOKUP($B46,Table2[],7,FALSE))</f>
        <v>1.25</v>
      </c>
      <c r="K46" s="109">
        <f t="shared" si="2"/>
        <v>0.38</v>
      </c>
      <c r="L46" s="110"/>
    </row>
    <row r="47" spans="1:12" x14ac:dyDescent="0.2">
      <c r="A47" s="128"/>
      <c r="B47" s="180" t="s">
        <v>290</v>
      </c>
      <c r="C47" s="388" t="str">
        <f>IF(B47=0,"",VLOOKUP($B47,Table2[],2,FALSE))</f>
        <v>Insecticide</v>
      </c>
      <c r="D47" s="388"/>
      <c r="E47" s="388"/>
      <c r="F47" s="174">
        <v>5</v>
      </c>
      <c r="G47" s="175">
        <v>0.1</v>
      </c>
      <c r="H47" s="176">
        <v>1.92</v>
      </c>
      <c r="I47" s="120" t="str">
        <f>IF($B47=0,"",VLOOKUP($B47,Table2[],5,FALSE))</f>
        <v>ounce</v>
      </c>
      <c r="J47" s="109">
        <f>IF($B47=0,"",VLOOKUP($B47,Table2[],7,FALSE))</f>
        <v>3.203125</v>
      </c>
      <c r="K47" s="109">
        <f t="shared" si="2"/>
        <v>0.62</v>
      </c>
      <c r="L47" s="110"/>
    </row>
    <row r="48" spans="1:12" x14ac:dyDescent="0.2">
      <c r="A48" s="105"/>
      <c r="B48" s="213" t="s">
        <v>198</v>
      </c>
      <c r="C48" s="387" t="str">
        <f>IF(B48=0,"",VLOOKUP($B48,Table2[],2,FALSE))</f>
        <v>Custom</v>
      </c>
      <c r="D48" s="387"/>
      <c r="E48" s="387"/>
      <c r="F48" s="214">
        <v>7</v>
      </c>
      <c r="G48" s="221">
        <v>1</v>
      </c>
      <c r="H48" s="222">
        <f>$G$4</f>
        <v>105</v>
      </c>
      <c r="I48" s="223" t="str">
        <f>IF($B48=0,"",VLOOKUP($B48,Table2[],5,FALSE))</f>
        <v>bushel</v>
      </c>
      <c r="J48" s="215">
        <f>IF($B48=0,"",VLOOKUP($B48,Table2[],7,FALSE))</f>
        <v>0.15</v>
      </c>
      <c r="K48" s="215">
        <f t="shared" si="2"/>
        <v>15.75</v>
      </c>
      <c r="L48" s="216"/>
    </row>
    <row r="49" spans="1:12" x14ac:dyDescent="0.2">
      <c r="A49" s="105"/>
      <c r="B49" s="180" t="s">
        <v>315</v>
      </c>
      <c r="C49" s="388" t="str">
        <f>IF(B49=0,"",VLOOKUP($B49,Table2[],2,FALSE))</f>
        <v>Scouting</v>
      </c>
      <c r="D49" s="388"/>
      <c r="E49" s="388"/>
      <c r="F49" s="174"/>
      <c r="G49" s="175">
        <v>1</v>
      </c>
      <c r="H49" s="176">
        <v>1</v>
      </c>
      <c r="I49" s="120" t="str">
        <f>IF($B49=0,"",VLOOKUP($B49,Table2[],5,FALSE))</f>
        <v>acre</v>
      </c>
      <c r="J49" s="109">
        <f>IF($B49=0,"",VLOOKUP($B49,Table2[],7,FALSE))</f>
        <v>10</v>
      </c>
      <c r="K49" s="109">
        <f t="shared" ref="K49" si="3">IF(B49=0,0,ROUND(G49*H49*J49,2))</f>
        <v>10</v>
      </c>
      <c r="L49" s="110"/>
    </row>
    <row r="50" spans="1:12" ht="12.75" hidden="1" customHeight="1" x14ac:dyDescent="0.2">
      <c r="B50" s="111"/>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ht="12.75" hidden="1" customHeight="1" x14ac:dyDescent="0.2">
      <c r="B51" s="111"/>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ht="12.75" hidden="1" customHeight="1" x14ac:dyDescent="0.2">
      <c r="B52" s="217"/>
      <c r="C52" s="387" t="str">
        <f>IF(B52=0,"",VLOOKUP($B52,Table2[],2,FALSE))</f>
        <v/>
      </c>
      <c r="D52" s="387"/>
      <c r="E52" s="387"/>
      <c r="F52" s="218"/>
      <c r="G52" s="224">
        <v>0.1</v>
      </c>
      <c r="H52" s="225"/>
      <c r="I52" s="223" t="str">
        <f>IF($B52=0,"",VLOOKUP($B52,Table2[],5,FALSE))</f>
        <v/>
      </c>
      <c r="J52" s="215" t="str">
        <f>IF($B52=0,"",VLOOKUP($B52,Table2[],7,FALSE))</f>
        <v/>
      </c>
      <c r="K52" s="215">
        <f t="shared" si="2"/>
        <v>0</v>
      </c>
      <c r="L52" s="216"/>
    </row>
    <row r="53" spans="1:12" ht="12.75" hidden="1" customHeight="1" x14ac:dyDescent="0.2">
      <c r="B53" s="111"/>
      <c r="C53" s="388" t="str">
        <f>IF(B53=0,"",VLOOKUP($B53,Table2[],2,FALSE))</f>
        <v/>
      </c>
      <c r="D53" s="388"/>
      <c r="E53" s="388"/>
      <c r="F53" s="112"/>
      <c r="G53" s="177">
        <v>0.2</v>
      </c>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7">
        <v>0.3</v>
      </c>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9</v>
      </c>
      <c r="K61" s="109">
        <f ca="1">IF(B61=0,0,J61)</f>
        <v>9</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27">
        <f ca="1">SUM(K37:K61)</f>
        <v>214.5</v>
      </c>
      <c r="L63" s="110"/>
    </row>
    <row r="64" spans="1:12" ht="13.5" customHeight="1" x14ac:dyDescent="0.2">
      <c r="B64" s="358" t="s">
        <v>909</v>
      </c>
      <c r="C64" s="358"/>
      <c r="D64" s="358"/>
      <c r="E64" s="364" t="s">
        <v>917</v>
      </c>
      <c r="F64" s="358"/>
      <c r="G64" s="358" t="s">
        <v>919</v>
      </c>
      <c r="H64" s="358"/>
      <c r="I64" s="358"/>
      <c r="J64" s="358"/>
      <c r="K64" s="127"/>
    </row>
    <row r="65" spans="2:12" ht="13.5" customHeight="1" x14ac:dyDescent="0.2">
      <c r="B65" s="358"/>
      <c r="C65" s="358"/>
      <c r="D65" s="358"/>
      <c r="E65" s="364"/>
      <c r="F65" s="358"/>
      <c r="G65" s="358"/>
      <c r="H65" s="358"/>
      <c r="I65" s="358"/>
      <c r="J65" s="358"/>
      <c r="K65" s="127"/>
    </row>
    <row r="66" spans="2:12" x14ac:dyDescent="0.2">
      <c r="B66" s="107" t="s">
        <v>672</v>
      </c>
      <c r="K66" s="127">
        <f ca="1">K33+K63</f>
        <v>350.97</v>
      </c>
      <c r="L66" s="110"/>
    </row>
    <row r="67" spans="2:12" ht="13.5" thickBot="1" x14ac:dyDescent="0.25">
      <c r="D67" s="128" t="s">
        <v>673</v>
      </c>
      <c r="E67" s="129">
        <f ca="1">ROUND(SUM($E$33:$H$33)+$K$63,2)</f>
        <v>302.3</v>
      </c>
      <c r="F67" s="388" t="s">
        <v>674</v>
      </c>
      <c r="G67" s="388"/>
      <c r="H67" s="130">
        <f>'General Variables'!$B$11</f>
        <v>7.4999999999999997E-2</v>
      </c>
      <c r="I67" s="131" t="str">
        <f>CONCATENATE("for ",TEXT('General Variables'!$B$12,"0.0")," mo.")</f>
        <v>for 6.0 mo.</v>
      </c>
      <c r="K67" s="132">
        <f ca="1">E67*H67*'General Variables'!$B$12/12</f>
        <v>11.33625</v>
      </c>
      <c r="L67" s="133"/>
    </row>
    <row r="68" spans="2:12" ht="13.5" thickTop="1" x14ac:dyDescent="0.2">
      <c r="B68" s="107" t="s">
        <v>675</v>
      </c>
      <c r="K68" s="127">
        <f ca="1">SUM(K66:K67)</f>
        <v>362.30625000000003</v>
      </c>
      <c r="L68" s="110"/>
    </row>
    <row r="69" spans="2:12" x14ac:dyDescent="0.2">
      <c r="K69" s="127"/>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398" t="s">
        <v>42</v>
      </c>
      <c r="D71" s="399"/>
      <c r="E71" s="400"/>
      <c r="F71" s="136">
        <f>IF(C71=0,0,VLOOKUP(C71,RETable,2,FALSE))</f>
        <v>3970</v>
      </c>
      <c r="G71" s="388" t="s">
        <v>678</v>
      </c>
      <c r="H71" s="388"/>
      <c r="I71" s="130">
        <f>'General Variables'!$B$10</f>
        <v>0.03</v>
      </c>
      <c r="K71" s="137">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0">
        <f>ROUND(F72*I72,2)</f>
        <v>51.61</v>
      </c>
      <c r="L72" s="133"/>
    </row>
    <row r="73" spans="2:12" ht="13.5" thickTop="1" x14ac:dyDescent="0.2">
      <c r="B73" s="107" t="s">
        <v>680</v>
      </c>
      <c r="K73" s="127">
        <f ca="1">SUM(K68:K72)</f>
        <v>568.01625000000001</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3.811869047619048</v>
      </c>
      <c r="L75" s="148"/>
    </row>
    <row r="76" spans="2:12" x14ac:dyDescent="0.2">
      <c r="B76" s="107" t="str">
        <f>IF(G4="","","Cost of production per "&amp;H4)</f>
        <v>Cost of production per bushel</v>
      </c>
      <c r="K76" s="141">
        <f ca="1">IF(G4="","",K73/G4)</f>
        <v>5.4096785714285716</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C71:E71"/>
    <mergeCell ref="G71:H71"/>
    <mergeCell ref="G72:H72"/>
    <mergeCell ref="C49:E49"/>
    <mergeCell ref="C50:E50"/>
    <mergeCell ref="C51:E51"/>
    <mergeCell ref="C52:E52"/>
    <mergeCell ref="C53:E53"/>
    <mergeCell ref="C54:E54"/>
    <mergeCell ref="C55:E55"/>
    <mergeCell ref="C61:E61"/>
    <mergeCell ref="F67:G67"/>
    <mergeCell ref="C56:E56"/>
    <mergeCell ref="C57:E57"/>
    <mergeCell ref="C60:E60"/>
    <mergeCell ref="C59:E59"/>
    <mergeCell ref="L10:L11"/>
    <mergeCell ref="F35:F36"/>
    <mergeCell ref="G35:G36"/>
    <mergeCell ref="H35:I35"/>
    <mergeCell ref="J35:J36"/>
    <mergeCell ref="L35:L36"/>
    <mergeCell ref="I10:J10"/>
    <mergeCell ref="C47:E47"/>
    <mergeCell ref="G10:H10"/>
    <mergeCell ref="C42:E42"/>
    <mergeCell ref="K10:K11"/>
    <mergeCell ref="C37:E37"/>
    <mergeCell ref="C38:E38"/>
    <mergeCell ref="C39:E39"/>
    <mergeCell ref="C40:E40"/>
    <mergeCell ref="C41:E41"/>
    <mergeCell ref="C58:E58"/>
    <mergeCell ref="K2:L2"/>
    <mergeCell ref="G2:H2"/>
    <mergeCell ref="C4:E4"/>
    <mergeCell ref="B7:L7"/>
    <mergeCell ref="C3:E3"/>
    <mergeCell ref="A6:M6"/>
    <mergeCell ref="B10:B11"/>
    <mergeCell ref="C10:C11"/>
    <mergeCell ref="E10:E11"/>
    <mergeCell ref="F10:F11"/>
    <mergeCell ref="C48:E48"/>
    <mergeCell ref="C43:E43"/>
    <mergeCell ref="C44:E44"/>
    <mergeCell ref="C45:E45"/>
    <mergeCell ref="C46:E46"/>
  </mergeCells>
  <dataValidations count="9">
    <dataValidation type="list" allowBlank="1" showInputMessage="1" showErrorMessage="1" sqref="B32" xr:uid="{00000000-0002-0000-5600-000000000000}">
      <formula1>$B$112:$B$209</formula1>
    </dataValidation>
    <dataValidation type="list" allowBlank="1" showInputMessage="1" showErrorMessage="1" sqref="B62" xr:uid="{00000000-0002-0000-5600-000001000000}">
      <formula1>$C$112:$C$230</formula1>
    </dataValidation>
    <dataValidation type="list" allowBlank="1" showInputMessage="1" showErrorMessage="1" sqref="K4" xr:uid="{00000000-0002-0000-5600-000002000000}">
      <formula1>$K$112:$K$114</formula1>
    </dataValidation>
    <dataValidation type="list" allowBlank="1" showInputMessage="1" showErrorMessage="1" sqref="B37:B60" xr:uid="{00000000-0002-0000-5600-000003000000}">
      <formula1>MaterialList</formula1>
    </dataValidation>
    <dataValidation type="list" allowBlank="1" showInputMessage="1" showErrorMessage="1" sqref="C71:E71" xr:uid="{00000000-0002-0000-5600-000004000000}">
      <formula1>RealEstateList</formula1>
    </dataValidation>
    <dataValidation type="list" allowBlank="1" showInputMessage="1" showErrorMessage="1" sqref="B12:B31" xr:uid="{00000000-0002-0000-5600-000005000000}">
      <formula1>OperationList</formula1>
    </dataValidation>
    <dataValidation type="list" allowBlank="1" showInputMessage="1" showErrorMessage="1" sqref="D12:D32" xr:uid="{00000000-0002-0000-5600-000006000000}">
      <formula1>#REF!</formula1>
    </dataValidation>
    <dataValidation type="list" allowBlank="1" showInputMessage="1" showErrorMessage="1" sqref="K2" xr:uid="{00000000-0002-0000-5600-000007000000}">
      <formula1>watersource</formula1>
    </dataValidation>
    <dataValidation type="list" allowBlank="1" showInputMessage="1" showErrorMessage="1" sqref="C3" xr:uid="{00000000-0002-0000-5600-000008000000}">
      <formula1>TillageSystem</formula1>
    </dataValidation>
  </dataValidations>
  <pageMargins left="0.7" right="0.7" top="0.75" bottom="0.75" header="0.3" footer="0.3"/>
  <pageSetup scale="71" orientation="portrait" r:id="rId1"/>
  <ignoredErrors>
    <ignoredError sqref="H48" unlockedFormula="1"/>
    <ignoredError sqref="E17:J17" formula="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6">
    <pageSetUpPr fitToPage="1"/>
  </sheetPr>
  <dimension ref="A2:M257"/>
  <sheetViews>
    <sheetView topLeftCell="A33" zoomScaleNormal="100" workbookViewId="0">
      <selection activeCell="K72" sqref="K72"/>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t="s">
        <v>696</v>
      </c>
      <c r="D2" s="187"/>
      <c r="E2" s="187"/>
      <c r="F2" s="128" t="s">
        <v>648</v>
      </c>
      <c r="G2" s="392"/>
      <c r="H2" s="392"/>
      <c r="J2" s="128" t="s">
        <v>649</v>
      </c>
      <c r="K2" s="401" t="s">
        <v>70</v>
      </c>
      <c r="L2" s="401"/>
    </row>
    <row r="3" spans="1:13" hidden="1" x14ac:dyDescent="0.2">
      <c r="B3" s="103" t="s">
        <v>38</v>
      </c>
      <c r="C3" s="391" t="s">
        <v>46</v>
      </c>
      <c r="D3" s="391"/>
      <c r="E3" s="391"/>
      <c r="G3" s="128" t="s">
        <v>650</v>
      </c>
      <c r="H3" s="187" t="s">
        <v>800</v>
      </c>
      <c r="J3" s="128" t="s">
        <v>651</v>
      </c>
      <c r="K3" s="187">
        <v>6</v>
      </c>
    </row>
    <row r="4" spans="1:13" hidden="1" x14ac:dyDescent="0.2">
      <c r="B4" s="103" t="s">
        <v>652</v>
      </c>
      <c r="C4" s="392" t="s">
        <v>801</v>
      </c>
      <c r="D4" s="392"/>
      <c r="E4" s="392"/>
      <c r="G4" s="103">
        <f>IFERROR(VALUE(LEFT($H$3,FIND(" ",$H$3))),"")</f>
        <v>90</v>
      </c>
      <c r="H4" s="103" t="str">
        <f>IFERROR(RIGHT(H3,LEN(H3)-LEN(G4)-1),"")</f>
        <v>bushel</v>
      </c>
      <c r="J4" s="128" t="s">
        <v>653</v>
      </c>
      <c r="K4" s="188"/>
    </row>
    <row r="5" spans="1:13" ht="15.75" hidden="1" customHeight="1" x14ac:dyDescent="0.2">
      <c r="B5" s="103" t="s">
        <v>655</v>
      </c>
      <c r="C5" s="238" t="str">
        <f ca="1">MID(CELL("filename",C5),FIND("]",CELL("filename",C5))+1,255)</f>
        <v>81-Wheat-Winter</v>
      </c>
      <c r="E5" s="103">
        <f ca="1">VLOOKUP($C$5,CropInsurance,5,FALSE)</f>
        <v>9</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81-Wheat-Winter, Panhandle, No Till, in Rotation, 90 bushel Yield, Pivot Irrigated Electric</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81-Wheat-Winter, Panhandle, No Till, in Rotation, 90 bushel Yield</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Pivot Irrigated Electric, 800 GPM 35 PSI, 6 acre/inches</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551</v>
      </c>
      <c r="C12" s="174">
        <v>1</v>
      </c>
      <c r="D12" s="174"/>
      <c r="E12" s="109">
        <f>IF(B12=0,"",IF(C12&gt;9999,"",ROUND('General Variables'!$B$4*VLOOKUP(B12,Operations!$A$2:$U$79,10,FALSE)/VLOOKUP(B12,Operations!$A$2:$U$79,9,FALSE)*C12,2)))</f>
        <v>1.02</v>
      </c>
      <c r="F12" s="109">
        <f>IF(B12=0,0,IF(C12&gt;9999,"",ROUND(IF(VLOOKUP(B12,Operations!$A$2:$U$79,12,FALSE)=0,VLOOKUP(B12,Operations!$A$2:$U$79,13,FALSE)*'General Variables'!$B$8,VLOOKUP(B12,Operations!$A$2:$U$79,12,FALSE)*'General Variables'!$B$7)/VLOOKUP(B12,Operations!$A$2:$U$79,9,FALSE)*C12,2)))</f>
        <v>0.26</v>
      </c>
      <c r="G12" s="109">
        <f>IF(B12=0,0,IF(C12&gt;9999,"",ROUND(VLOOKUP(VLOOKUP(B12,Operations!$A$2:$U$79,11,FALSE),PowerUnits[],10,FALSE)/VLOOKUP(B12,Operations!$A$2:$U$79,9,FALSE)*C12,2)))</f>
        <v>0.03</v>
      </c>
      <c r="H12" s="109">
        <f>IF(B12=0,"",IF(C12&gt;9999,"",ROUND(VLOOKUP($B12,Operations!$A$2:$U$79,15,FALSE)*C12,2)))</f>
        <v>1.1100000000000001</v>
      </c>
      <c r="I12" s="109">
        <f>IF(B12=0,0,IF(C12&gt;9999,"",ROUND(VLOOKUP(VLOOKUP(B12,Operations!$A$2:$U$79,11,FALSE),PowerUnits[],16,FALSE)/VLOOKUP(B12,Operations!$A$2:$U$79,9,FALSE)*C12,2)))</f>
        <v>1.31</v>
      </c>
      <c r="J12" s="109">
        <f>IF(B12=0,"",IF(C12&gt;9999,"",ROUND(VLOOKUP($B12,Operations!$A$2:$U$79,21,FALSE)*$C12,2)))</f>
        <v>2.02</v>
      </c>
      <c r="K12" s="109">
        <f>IF(C12&gt;9999,"",ROUND(SUM(E12:J12),2))</f>
        <v>5.75</v>
      </c>
      <c r="L12" s="110"/>
    </row>
    <row r="13" spans="1:13" x14ac:dyDescent="0.2">
      <c r="A13" s="170">
        <v>2</v>
      </c>
      <c r="B13" s="180" t="s">
        <v>493</v>
      </c>
      <c r="C13" s="174">
        <v>1</v>
      </c>
      <c r="D13" s="174"/>
      <c r="E13" s="109">
        <f>IF(B13=0,"",IF(C13&gt;9999,"",ROUND('General Variables'!$B$4*VLOOKUP(B13,Operations!$A$2:$U$79,10,FALSE)/VLOOKUP(B13,Operations!$A$2:$U$79,9,FALSE)*C13,2)))</f>
        <v>2.95</v>
      </c>
      <c r="F13" s="109">
        <f>IF(B13=0,0,IF(C13&gt;9999,"",ROUND(IF(VLOOKUP(B13,Operations!$A$2:$U$79,12,FALSE)=0,VLOOKUP(B13,Operations!$A$2:$U$79,13,FALSE)*'General Variables'!$B$8,VLOOKUP(B13,Operations!$A$2:$U$79,12,FALSE)*'General Variables'!$B$7)/VLOOKUP(B13,Operations!$A$2:$U$79,9,FALSE)*C13,2)))</f>
        <v>1.45</v>
      </c>
      <c r="G13" s="109">
        <f>IF(B13=0,0,IF(C13&gt;9999,"",ROUND(VLOOKUP(VLOOKUP(B13,Operations!$A$2:$U$79,11,FALSE),PowerUnits[],10,FALSE)/VLOOKUP(B13,Operations!$A$2:$U$79,9,FALSE)*C13,2)))</f>
        <v>0.08</v>
      </c>
      <c r="H13" s="109">
        <f>IF(B13=0,"",IF(C13&gt;9999,"",ROUND(VLOOKUP($B13,Operations!$A$2:$U$79,15,FALSE)*C13,2)))</f>
        <v>5</v>
      </c>
      <c r="I13" s="109">
        <f>IF(B13=0,0,IF(C13&gt;9999,"",ROUND(VLOOKUP(VLOOKUP(B13,Operations!$A$2:$U$79,11,FALSE),PowerUnits[],16,FALSE)/VLOOKUP(B13,Operations!$A$2:$U$79,9,FALSE)*C13,2)))</f>
        <v>3.93</v>
      </c>
      <c r="J13" s="109">
        <f>IF(B13=0,"",IF(C13&gt;9999,"",ROUND(VLOOKUP($B13,Operations!$A$2:$U$79,21,FALSE)*$C13,2)))</f>
        <v>5.24</v>
      </c>
      <c r="K13" s="109">
        <f t="shared" ref="K13:K31" si="0">IF(C13&gt;9999,"",ROUND(SUM(E13:J13),2))</f>
        <v>18.649999999999999</v>
      </c>
      <c r="L13" s="110"/>
    </row>
    <row r="14" spans="1:13" x14ac:dyDescent="0.2">
      <c r="A14" s="170">
        <v>3</v>
      </c>
      <c r="B14" s="180" t="s">
        <v>551</v>
      </c>
      <c r="C14" s="174">
        <v>1</v>
      </c>
      <c r="D14" s="174"/>
      <c r="E14" s="109">
        <f>IF(B14=0,"",IF(C14&gt;9999,"",ROUND('General Variables'!$B$4*VLOOKUP(B14,Operations!$A$2:$U$79,10,FALSE)/VLOOKUP(B14,Operations!$A$2:$U$79,9,FALSE)*C14,2)))</f>
        <v>1.02</v>
      </c>
      <c r="F14" s="109">
        <f>IF(B14=0,0,IF(C14&gt;9999,"",ROUND(IF(VLOOKUP(B14,Operations!$A$2:$U$79,12,FALSE)=0,VLOOKUP(B14,Operations!$A$2:$U$79,13,FALSE)*'General Variables'!$B$8,VLOOKUP(B14,Operations!$A$2:$U$79,12,FALSE)*'General Variables'!$B$7)/VLOOKUP(B14,Operations!$A$2:$U$79,9,FALSE)*C14,2)))</f>
        <v>0.26</v>
      </c>
      <c r="G14" s="109">
        <f>IF(B14=0,0,IF(C14&gt;9999,"",ROUND(VLOOKUP(VLOOKUP(B14,Operations!$A$2:$U$79,11,FALSE),PowerUnits[],10,FALSE)/VLOOKUP(B14,Operations!$A$2:$U$79,9,FALSE)*C14,2)))</f>
        <v>0.03</v>
      </c>
      <c r="H14" s="109">
        <f>IF(B14=0,"",IF(C14&gt;9999,"",ROUND(VLOOKUP($B14,Operations!$A$2:$U$79,15,FALSE)*C14,2)))</f>
        <v>1.1100000000000001</v>
      </c>
      <c r="I14" s="109">
        <f>IF(B14=0,0,IF(C14&gt;9999,"",ROUND(VLOOKUP(VLOOKUP(B14,Operations!$A$2:$U$79,11,FALSE),PowerUnits[],16,FALSE)/VLOOKUP(B14,Operations!$A$2:$U$79,9,FALSE)*C14,2)))</f>
        <v>1.31</v>
      </c>
      <c r="J14" s="109">
        <f>IF(B14=0,"",IF(C14&gt;9999,"",ROUND(VLOOKUP($B14,Operations!$A$2:$U$79,21,FALSE)*$C14,2)))</f>
        <v>2.02</v>
      </c>
      <c r="K14" s="109">
        <f t="shared" si="0"/>
        <v>5.75</v>
      </c>
      <c r="L14" s="110"/>
    </row>
    <row r="15" spans="1:13" x14ac:dyDescent="0.2">
      <c r="A15" s="170">
        <v>4</v>
      </c>
      <c r="B15" s="213" t="s">
        <v>525</v>
      </c>
      <c r="C15" s="214">
        <f>$K$3</f>
        <v>6</v>
      </c>
      <c r="D15" s="214" t="s">
        <v>693</v>
      </c>
      <c r="E15" s="215">
        <f>IF(B15=0,"",IF(C15&gt;9999,"",ROUND('General Variables'!$B$4*VLOOKUP(B15,Operations!$A$2:$U$79,10,FALSE)/VLOOKUP(B15,Operations!$A$2:$U$79,9,FALSE)*C15,2)))</f>
        <v>7.5</v>
      </c>
      <c r="F15" s="215">
        <f>IF(B15=0,0,IF(C15&gt;9999,"",ROUND(IF(VLOOKUP(B15,Operations!$A$2:$U$79,12,FALSE)=0,VLOOKUP(B15,Operations!$A$2:$U$79,13,FALSE)*'General Variables'!$B$8,VLOOKUP(B15,Operations!$A$2:$U$79,12,FALSE)*'General Variables'!$B$7)/VLOOKUP(B15,Operations!$A$2:$U$79,9,FALSE)*C15,2)))</f>
        <v>12.74</v>
      </c>
      <c r="G15" s="215">
        <f>IF(B15=0,0,IF(C15&gt;9999,"",ROUND(VLOOKUP(VLOOKUP(B15,Operations!$A$2:$U$79,11,FALSE),PowerUnits[],10,FALSE)/VLOOKUP(B15,Operations!$A$2:$U$79,9,FALSE)*C15,2)))</f>
        <v>3.34</v>
      </c>
      <c r="H15" s="215">
        <f>IF(B15=0,"",IF(C15&gt;9999,"",ROUND(VLOOKUP($B15,Operations!$A$2:$U$79,15,FALSE)*C15,2)))</f>
        <v>17.29</v>
      </c>
      <c r="I15" s="215">
        <f>IF(B15=0,0,IF(C15&gt;9999,"",ROUND(VLOOKUP(VLOOKUP(B15,Operations!$A$2:$U$79,11,FALSE),PowerUnits[],16,FALSE)/VLOOKUP(B15,Operations!$A$2:$U$79,9,FALSE)*C15,2)))</f>
        <v>5.86</v>
      </c>
      <c r="J15" s="215">
        <f>IF(B15=0,"",IF(C15&gt;9999,"",ROUND(VLOOKUP($B15,Operations!$A$2:$U$79,21,FALSE)*$C15,2)))</f>
        <v>9.49</v>
      </c>
      <c r="K15" s="215">
        <f t="shared" si="0"/>
        <v>56.22</v>
      </c>
      <c r="L15" s="216"/>
    </row>
    <row r="16" spans="1:13" x14ac:dyDescent="0.2">
      <c r="A16" s="170">
        <v>5</v>
      </c>
      <c r="B16" s="180" t="s">
        <v>183</v>
      </c>
      <c r="C16" s="174" t="s">
        <v>184</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x14ac:dyDescent="0.2">
      <c r="A17" s="170">
        <v>6</v>
      </c>
      <c r="B17" s="180" t="s">
        <v>183</v>
      </c>
      <c r="C17" s="174" t="s">
        <v>184</v>
      </c>
      <c r="D17" s="174"/>
      <c r="E17" s="109" t="str">
        <f>IF(B17=0,"",IF(C17&gt;9999,"",ROUND('General Variables'!$B$4*VLOOKUP(B17,Operations!$A$2:$U$79,10,FALSE)/VLOOKUP(B17,Operations!$A$2:$U$79,9,FALSE)*C17,2)))</f>
        <v/>
      </c>
      <c r="F17" s="109" t="str">
        <f>IF(B17=0,0,IF(C17&gt;9999,"",ROUND(IF(VLOOKUP(B17,Operations!$A$2:$U$79,12,FALSE)=0,VLOOKUP(B17,Operations!$A$2:$U$79,13,FALSE)*'General Variables'!$B$8,VLOOKUP(B17,Operations!$A$2:$U$79,12,FALSE)*'General Variables'!$B$7)/VLOOKUP(B17,Operations!$A$2:$U$79,9,FALSE)*C17,2)))</f>
        <v/>
      </c>
      <c r="G17" s="109" t="str">
        <f>IF(B17=0,0,IF(C17&gt;9999,"",ROUND(VLOOKUP(VLOOKUP(B17,Operations!$A$2:$U$79,11,FALSE),PowerUnits[],10,FALSE)/VLOOKUP(B17,Operations!$A$2:$U$79,9,FALSE)*C17,2)))</f>
        <v/>
      </c>
      <c r="H17" s="109" t="str">
        <f>IF(B17=0,"",IF(C17&gt;9999,"",ROUND(VLOOKUP($B17,Operations!$A$2:$U$79,15,FALSE)*C17,2)))</f>
        <v/>
      </c>
      <c r="I17" s="109" t="str">
        <f>IF(B17=0,0,IF(C17&gt;9999,"",ROUND(VLOOKUP(VLOOKUP(B17,Operations!$A$2:$U$79,11,FALSE),PowerUnits[],16,FALSE)/VLOOKUP(B17,Operations!$A$2:$U$79,9,FALSE)*C17,2)))</f>
        <v/>
      </c>
      <c r="J17" s="109" t="str">
        <f>IF(B17=0,"",IF(C17&gt;9999,"",ROUND(VLOOKUP($B17,Operations!$A$2:$U$79,21,FALSE)*$C17,2)))</f>
        <v/>
      </c>
      <c r="K17" s="109" t="str">
        <f t="shared" si="0"/>
        <v/>
      </c>
      <c r="L17" s="110"/>
    </row>
    <row r="18" spans="1:12" x14ac:dyDescent="0.2">
      <c r="A18" s="170" t="s">
        <v>910</v>
      </c>
      <c r="B18" s="180" t="s">
        <v>942</v>
      </c>
      <c r="C18" s="174">
        <f>$G$4*1.6</f>
        <v>144</v>
      </c>
      <c r="D18" s="174"/>
      <c r="E18" s="109">
        <f>IF(B18=0,"",IF(C18&gt;9999,"",ROUND('General Variables'!$B$4*VLOOKUP(B18,Operations!$A$2:$U$79,10,FALSE)/VLOOKUP(B18,Operations!$A$2:$U$79,9,FALSE)*C18,2))/100)</f>
        <v>3.2898000000000001</v>
      </c>
      <c r="F18" s="109">
        <f>IF(B18=0,0,IF(C18&gt;9999,"",ROUND(IF(VLOOKUP(B18,Operations!$A$2:$U$79,12,FALSE)=0,VLOOKUP(B18,Operations!$A$2:$U$79,13,FALSE)*'General Variables'!$B$8,VLOOKUP(B18,Operations!$A$2:$U$79,12,FALSE)*'General Variables'!$B$7)/VLOOKUP(B18,Operations!$A$2:$U$79,9,FALSE)*C18,2))/100)</f>
        <v>3.7069999999999999</v>
      </c>
      <c r="G18" s="109">
        <f>IF(B18=0,0,IF(C18&gt;9999,"",ROUND(VLOOKUP(VLOOKUP(B18,Operations!$A$2:$U$79,11,FALSE),PowerUnits[],10,FALSE)/VLOOKUP(B18,Operations!$A$2:$U$79,9,FALSE)*C18,2))/100)</f>
        <v>5.7165999999999997</v>
      </c>
      <c r="H18" s="109">
        <f>IF(B18=0,"",IF(C18&gt;9999,"",ROUND(VLOOKUP($B18,Operations!$A$2:$U$79,15,FALSE)*C18,2))/100)</f>
        <v>0.57399999999999995</v>
      </c>
      <c r="I18" s="109">
        <f>IF(B18=0,0,IF(C18&gt;9999,"",ROUND(VLOOKUP(VLOOKUP(B18,Operations!$A$2:$U$79,11,FALSE),PowerUnits[],16,FALSE)/VLOOKUP(B18,Operations!$A$2:$U$79,9,FALSE)*C18,2))/90)</f>
        <v>15.296666666666667</v>
      </c>
      <c r="J18" s="109">
        <f>IF(B18=0,"",IF(C18&gt;9999,"",ROUND(VLOOKUP($B18,Operations!$A$2:$U$79,21,FALSE)*$C18,2))/90)</f>
        <v>4.9294444444444441</v>
      </c>
      <c r="K18" s="109">
        <f>IF(C18&gt;9999,"",ROUND(SUM(E18:J18),2))</f>
        <v>33.51</v>
      </c>
      <c r="L18" s="110"/>
    </row>
    <row r="19" spans="1:12" x14ac:dyDescent="0.2">
      <c r="A19" s="170">
        <v>8</v>
      </c>
      <c r="B19" s="213" t="s">
        <v>565</v>
      </c>
      <c r="C19" s="214" t="s">
        <v>184</v>
      </c>
      <c r="D19" s="214"/>
      <c r="E19" s="215" t="str">
        <f>IF(B19=0,"",IF(C19&gt;9999,"",ROUND('General Variables'!$B$4*VLOOKUP(B19,Operations!$A$2:$U$79,10,FALSE)/VLOOKUP(B19,Operations!$A$2:$U$79,9,FALSE)*C19,2)))</f>
        <v/>
      </c>
      <c r="F19" s="215" t="str">
        <f>IF(B19=0,0,IF(C19&gt;9999,"",ROUND(IF(VLOOKUP(B19,Operations!$A$2:$U$79,12,FALSE)=0,VLOOKUP(B19,Operations!$A$2:$U$79,13,FALSE)*'General Variables'!$B$8,VLOOKUP(B19,Operations!$A$2:$U$79,12,FALSE)*'General Variables'!$B$7)/VLOOKUP(B19,Operations!$A$2:$U$79,9,FALSE)*C19,2)))</f>
        <v/>
      </c>
      <c r="G19" s="215" t="str">
        <f>IF(B19=0,0,IF(C19&gt;9999,"",ROUND(VLOOKUP(VLOOKUP(B19,Operations!$A$2:$U$79,11,FALSE),PowerUnits[],10,FALSE)/VLOOKUP(B19,Operations!$A$2:$U$79,9,FALSE)*C19,2)))</f>
        <v/>
      </c>
      <c r="H19" s="215" t="str">
        <f>IF(B19=0,"",IF(C19&gt;9999,"",ROUND(VLOOKUP($B19,Operations!$A$2:$U$79,15,FALSE)*C19,2)))</f>
        <v/>
      </c>
      <c r="I19" s="215" t="str">
        <f>IF(B19=0,0,IF(C19&gt;9999,"",ROUND(VLOOKUP(VLOOKUP(B19,Operations!$A$2:$U$79,11,FALSE),PowerUnits[],16,FALSE)/VLOOKUP(B19,Operations!$A$2:$U$79,9,FALSE)*C19,2)))</f>
        <v/>
      </c>
      <c r="J19" s="215" t="str">
        <f>IF(B19=0,"",IF(C19&gt;9999,"",ROUND(VLOOKUP($B19,Operations!$A$2:$U$79,21,FALSE)*$C19,2)))</f>
        <v/>
      </c>
      <c r="K19" s="215" t="str">
        <f>IF(C19&gt;9999,"",ROUND(SUM(E19:J19),2))</f>
        <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15.7798</v>
      </c>
      <c r="F33" s="109">
        <f t="shared" ref="F33:K33" si="1">SUM(F12:F31)</f>
        <v>18.417000000000002</v>
      </c>
      <c r="G33" s="109">
        <f t="shared" si="1"/>
        <v>9.1966000000000001</v>
      </c>
      <c r="H33" s="109">
        <f t="shared" si="1"/>
        <v>25.084</v>
      </c>
      <c r="I33" s="109">
        <f t="shared" si="1"/>
        <v>27.706666666666667</v>
      </c>
      <c r="J33" s="109">
        <f t="shared" si="1"/>
        <v>23.699444444444445</v>
      </c>
      <c r="K33" s="109">
        <f t="shared" si="1"/>
        <v>119.88</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259</v>
      </c>
      <c r="C37" s="388" t="str">
        <f>IF(B37=0,"",VLOOKUP($B37,Table2[],2,FALSE))</f>
        <v>Herbicide</v>
      </c>
      <c r="D37" s="388"/>
      <c r="E37" s="388"/>
      <c r="F37" s="174">
        <v>1</v>
      </c>
      <c r="G37" s="175">
        <v>1</v>
      </c>
      <c r="H37" s="176">
        <v>32</v>
      </c>
      <c r="I37" s="120" t="str">
        <f>IF($B37=0,"",VLOOKUP($B37,Table2[],5,FALSE))</f>
        <v>ounce</v>
      </c>
      <c r="J37" s="109">
        <f>IF($B37=0,"",VLOOKUP($B37,Table2[],7,FALSE))</f>
        <v>0.1328125</v>
      </c>
      <c r="K37" s="109">
        <f>IF(B37=0,0,ROUND(G37*H37*J37,2))</f>
        <v>4.25</v>
      </c>
      <c r="L37" s="110"/>
    </row>
    <row r="38" spans="1:12" x14ac:dyDescent="0.2">
      <c r="A38" s="105"/>
      <c r="B38" s="180" t="s">
        <v>274</v>
      </c>
      <c r="C38" s="388" t="str">
        <f>IF(B38=0,"",VLOOKUP($B38,Table2[],2,FALSE))</f>
        <v>Herbicide</v>
      </c>
      <c r="D38" s="388"/>
      <c r="E38" s="388"/>
      <c r="F38" s="174">
        <v>1</v>
      </c>
      <c r="G38" s="175">
        <v>1</v>
      </c>
      <c r="H38" s="176">
        <v>2</v>
      </c>
      <c r="I38" s="120" t="str">
        <f>IF($B38=0,"",VLOOKUP($B38,Table2[],5,FALSE))</f>
        <v>ounce</v>
      </c>
      <c r="J38" s="109">
        <f>IF($B38=0,"",VLOOKUP($B38,Table2[],7,FALSE))</f>
        <v>8.515625</v>
      </c>
      <c r="K38" s="109">
        <f t="shared" ref="K38:K55" si="2">IF(B38=0,0,ROUND(G38*H38*J38,2))</f>
        <v>17.03</v>
      </c>
      <c r="L38" s="110"/>
    </row>
    <row r="39" spans="1:12" x14ac:dyDescent="0.2">
      <c r="A39" s="105"/>
      <c r="B39" s="180" t="s">
        <v>170</v>
      </c>
      <c r="C39" s="388" t="str">
        <f>IF(B39=0,"",VLOOKUP($B39,Table2[],2,FALSE))</f>
        <v>Additive</v>
      </c>
      <c r="D39" s="388"/>
      <c r="E39" s="388"/>
      <c r="F39" s="174">
        <v>2</v>
      </c>
      <c r="G39" s="175">
        <v>1</v>
      </c>
      <c r="H39" s="176">
        <v>1.7</v>
      </c>
      <c r="I39" s="120" t="str">
        <f>IF($B39=0,"",VLOOKUP($B39,Table2[],5,FALSE))</f>
        <v>pound</v>
      </c>
      <c r="J39" s="109">
        <f>IF($B39=0,"",VLOOKUP($B39,Table2[],7,FALSE))</f>
        <v>0.4</v>
      </c>
      <c r="K39" s="109">
        <f t="shared" si="2"/>
        <v>0.68</v>
      </c>
      <c r="L39" s="110"/>
    </row>
    <row r="40" spans="1:12" x14ac:dyDescent="0.2">
      <c r="A40" s="105"/>
      <c r="B40" s="213" t="s">
        <v>180</v>
      </c>
      <c r="C40" s="387" t="str">
        <f>IF(B40=0,"",VLOOKUP($B40,Table2[],2,FALSE))</f>
        <v>Additive</v>
      </c>
      <c r="D40" s="387"/>
      <c r="E40" s="387"/>
      <c r="F40" s="214">
        <v>2</v>
      </c>
      <c r="G40" s="221">
        <v>1</v>
      </c>
      <c r="H40" s="222">
        <v>16</v>
      </c>
      <c r="I40" s="223" t="str">
        <f>IF($B40=0,"",VLOOKUP($B40,Table2[],5,FALSE))</f>
        <v>ounce</v>
      </c>
      <c r="J40" s="215">
        <f>IF($B40=0,"",VLOOKUP($B40,Table2[],7,FALSE))</f>
        <v>0.234375</v>
      </c>
      <c r="K40" s="215">
        <f t="shared" si="2"/>
        <v>3.75</v>
      </c>
      <c r="L40" s="216"/>
    </row>
    <row r="41" spans="1:12" x14ac:dyDescent="0.2">
      <c r="A41" s="105"/>
      <c r="B41" s="180" t="s">
        <v>350</v>
      </c>
      <c r="C41" s="388" t="str">
        <f>IF(B41=0,"",VLOOKUP($B41,Table2[],2,FALSE))</f>
        <v>Seed</v>
      </c>
      <c r="D41" s="388"/>
      <c r="E41" s="388"/>
      <c r="F41" s="174">
        <v>2</v>
      </c>
      <c r="G41" s="175">
        <v>1</v>
      </c>
      <c r="H41" s="176">
        <v>120</v>
      </c>
      <c r="I41" s="120" t="str">
        <f>IF($B41=0,"",VLOOKUP($B41,Table2[],5,FALSE))</f>
        <v>pound</v>
      </c>
      <c r="J41" s="109">
        <f>IF($B41=0,"",VLOOKUP($B41,Table2[],7,FALSE))</f>
        <v>0.41</v>
      </c>
      <c r="K41" s="109">
        <f t="shared" si="2"/>
        <v>49.2</v>
      </c>
      <c r="L41" s="110"/>
    </row>
    <row r="42" spans="1:12" x14ac:dyDescent="0.2">
      <c r="A42" s="105"/>
      <c r="B42" s="180" t="s">
        <v>204</v>
      </c>
      <c r="C42" s="388" t="str">
        <f>IF(B42=0,"",VLOOKUP($B42,Table2[],2,FALSE))</f>
        <v>Fertilizer</v>
      </c>
      <c r="D42" s="388"/>
      <c r="E42" s="388"/>
      <c r="F42" s="174">
        <v>2</v>
      </c>
      <c r="G42" s="175">
        <v>1</v>
      </c>
      <c r="H42" s="176">
        <v>40</v>
      </c>
      <c r="I42" s="120" t="str">
        <f>IF($B42=0,"",VLOOKUP($B42,Table2[],5,FALSE))</f>
        <v>pound</v>
      </c>
      <c r="J42" s="109">
        <f>IF($B42=0,"",VLOOKUP($B42,Table2[],7,FALSE))</f>
        <v>0.4</v>
      </c>
      <c r="K42" s="109">
        <f t="shared" si="2"/>
        <v>16</v>
      </c>
      <c r="L42" s="110"/>
    </row>
    <row r="43" spans="1:12" x14ac:dyDescent="0.2">
      <c r="A43" s="105"/>
      <c r="B43" s="180" t="s">
        <v>229</v>
      </c>
      <c r="C43" s="388" t="str">
        <f>IF(B43=0,"",VLOOKUP($B43,Table2[],2,FALSE))</f>
        <v>Herbicide</v>
      </c>
      <c r="D43" s="388"/>
      <c r="E43" s="388"/>
      <c r="F43" s="174">
        <v>3</v>
      </c>
      <c r="G43" s="175">
        <v>1</v>
      </c>
      <c r="H43" s="181">
        <v>0.5</v>
      </c>
      <c r="I43" s="120" t="str">
        <f>IF($B43=0,"",VLOOKUP($B43,Table2[],5,FALSE))</f>
        <v>pint</v>
      </c>
      <c r="J43" s="109">
        <f>IF($B43=0,"",VLOOKUP($B43,Table2[],7,FALSE))</f>
        <v>2.5</v>
      </c>
      <c r="K43" s="109">
        <f t="shared" si="2"/>
        <v>1.25</v>
      </c>
      <c r="L43" s="110"/>
    </row>
    <row r="44" spans="1:12" x14ac:dyDescent="0.2">
      <c r="A44" s="105"/>
      <c r="B44" s="213" t="s">
        <v>234</v>
      </c>
      <c r="C44" s="387" t="str">
        <f>IF(B44=0,"",VLOOKUP($B44,Table2[],2,FALSE))</f>
        <v>Herbicide</v>
      </c>
      <c r="D44" s="387"/>
      <c r="E44" s="387"/>
      <c r="F44" s="214">
        <v>3</v>
      </c>
      <c r="G44" s="221">
        <v>1</v>
      </c>
      <c r="H44" s="304">
        <v>0.3</v>
      </c>
      <c r="I44" s="223" t="str">
        <f>IF($B44=0,"",VLOOKUP($B44,Table2[],5,FALSE))</f>
        <v>ounce</v>
      </c>
      <c r="J44" s="215">
        <f>IF($B44=0,"",VLOOKUP($B44,Table2[],7,FALSE))</f>
        <v>11</v>
      </c>
      <c r="K44" s="215">
        <f t="shared" si="2"/>
        <v>3.3</v>
      </c>
      <c r="L44" s="216"/>
    </row>
    <row r="45" spans="1:12" x14ac:dyDescent="0.2">
      <c r="A45" s="143"/>
      <c r="B45" s="180" t="s">
        <v>181</v>
      </c>
      <c r="C45" s="388" t="str">
        <f>IF(B45=0,"",VLOOKUP($B45,Table2[],2,FALSE))</f>
        <v>Additive</v>
      </c>
      <c r="D45" s="388"/>
      <c r="E45" s="388"/>
      <c r="F45" s="174">
        <v>3</v>
      </c>
      <c r="G45" s="175">
        <v>1</v>
      </c>
      <c r="H45" s="176">
        <v>6</v>
      </c>
      <c r="I45" s="120" t="str">
        <f>IF($B45=0,"",VLOOKUP($B45,Table2[],5,FALSE))</f>
        <v>ounce</v>
      </c>
      <c r="J45" s="109">
        <f>IF($B45=0,"",VLOOKUP($B45,Table2[],7,FALSE))</f>
        <v>0.203125</v>
      </c>
      <c r="K45" s="109">
        <f t="shared" si="2"/>
        <v>1.22</v>
      </c>
      <c r="L45" s="110"/>
    </row>
    <row r="46" spans="1:12" x14ac:dyDescent="0.2">
      <c r="A46" s="143"/>
      <c r="B46" s="180" t="s">
        <v>208</v>
      </c>
      <c r="C46" s="388" t="str">
        <f>IF(B46=0,"",VLOOKUP($B46,Table2[],2,FALSE))</f>
        <v>Fertilizer</v>
      </c>
      <c r="D46" s="388"/>
      <c r="E46" s="388"/>
      <c r="F46" s="174">
        <v>4</v>
      </c>
      <c r="G46" s="175">
        <v>1</v>
      </c>
      <c r="H46" s="181">
        <v>125</v>
      </c>
      <c r="I46" s="120" t="str">
        <f>IF($B46=0,"",VLOOKUP($B46,Table2[],5,FALSE))</f>
        <v>lbs N</v>
      </c>
      <c r="J46" s="109">
        <f>IF($B46=0,"",VLOOKUP($B46,Table2[],7,FALSE))</f>
        <v>0.5</v>
      </c>
      <c r="K46" s="109">
        <f t="shared" si="2"/>
        <v>62.5</v>
      </c>
      <c r="L46" s="110"/>
    </row>
    <row r="47" spans="1:12" x14ac:dyDescent="0.2">
      <c r="A47" s="143"/>
      <c r="B47" s="180" t="s">
        <v>291</v>
      </c>
      <c r="C47" s="388" t="str">
        <f>IF(B47=0,"",VLOOKUP($B47,Table2[],2,FALSE))</f>
        <v>Other</v>
      </c>
      <c r="D47" s="388"/>
      <c r="E47" s="388"/>
      <c r="F47" s="174">
        <v>4</v>
      </c>
      <c r="G47" s="175">
        <v>1</v>
      </c>
      <c r="H47" s="176">
        <v>1</v>
      </c>
      <c r="I47" s="120" t="str">
        <f>IF($B47=0,"",VLOOKUP($B47,Table2[],5,FALSE))</f>
        <v>acre</v>
      </c>
      <c r="J47" s="109">
        <f>IF($B47=0,"",VLOOKUP($B47,Table2[],7,FALSE))</f>
        <v>52</v>
      </c>
      <c r="K47" s="109">
        <f t="shared" si="2"/>
        <v>52</v>
      </c>
      <c r="L47" s="110"/>
    </row>
    <row r="48" spans="1:12" x14ac:dyDescent="0.2">
      <c r="A48" s="143"/>
      <c r="B48" s="213" t="s">
        <v>183</v>
      </c>
      <c r="C48" s="387" t="str">
        <f>IF(B48=0,"",VLOOKUP($B48,Table2[],2,FALSE))</f>
        <v>Custom</v>
      </c>
      <c r="D48" s="387"/>
      <c r="E48" s="387"/>
      <c r="F48" s="214">
        <v>5</v>
      </c>
      <c r="G48" s="221">
        <v>1</v>
      </c>
      <c r="H48" s="222">
        <v>1</v>
      </c>
      <c r="I48" s="223" t="str">
        <f>IF($B48=0,"",VLOOKUP($B48,Table2[],5,FALSE))</f>
        <v>acre</v>
      </c>
      <c r="J48" s="215">
        <f>IF($B48=0,"",VLOOKUP($B48,Table2[],7,FALSE))</f>
        <v>11</v>
      </c>
      <c r="K48" s="215">
        <f t="shared" si="2"/>
        <v>11</v>
      </c>
      <c r="L48" s="216"/>
    </row>
    <row r="49" spans="1:12" x14ac:dyDescent="0.2">
      <c r="A49" s="143" t="s">
        <v>750</v>
      </c>
      <c r="B49" s="180" t="s">
        <v>221</v>
      </c>
      <c r="C49" s="388" t="str">
        <f>IF(B49=0,"",VLOOKUP($B49,Table2[],2,FALSE))</f>
        <v>Fungicide</v>
      </c>
      <c r="D49" s="388"/>
      <c r="E49" s="388"/>
      <c r="F49" s="174">
        <v>5</v>
      </c>
      <c r="G49" s="175">
        <v>1</v>
      </c>
      <c r="H49" s="176">
        <v>7</v>
      </c>
      <c r="I49" s="120" t="str">
        <f>IF($B49=0,"",VLOOKUP($B49,Table2[],5,FALSE))</f>
        <v>ounce</v>
      </c>
      <c r="J49" s="109">
        <f>IF($B49=0,"",VLOOKUP($B49,Table2[],7,FALSE))</f>
        <v>3.125</v>
      </c>
      <c r="K49" s="109">
        <f t="shared" si="2"/>
        <v>21.88</v>
      </c>
      <c r="L49" s="110"/>
    </row>
    <row r="50" spans="1:12" x14ac:dyDescent="0.2">
      <c r="A50" s="143"/>
      <c r="B50" s="180" t="s">
        <v>183</v>
      </c>
      <c r="C50" s="388" t="str">
        <f>IF(B50=0,"",VLOOKUP($B50,Table2[],2,FALSE))</f>
        <v>Custom</v>
      </c>
      <c r="D50" s="388"/>
      <c r="E50" s="388"/>
      <c r="F50" s="174">
        <v>6</v>
      </c>
      <c r="G50" s="175">
        <v>0.2</v>
      </c>
      <c r="H50" s="176">
        <v>1</v>
      </c>
      <c r="I50" s="120" t="str">
        <f>IF($B50=0,"",VLOOKUP($B50,Table2[],5,FALSE))</f>
        <v>acre</v>
      </c>
      <c r="J50" s="109">
        <f>IF($B50=0,"",VLOOKUP($B50,Table2[],7,FALSE))</f>
        <v>11</v>
      </c>
      <c r="K50" s="109">
        <f t="shared" si="2"/>
        <v>2.2000000000000002</v>
      </c>
      <c r="L50" s="110"/>
    </row>
    <row r="51" spans="1:12" ht="13.5" customHeight="1" x14ac:dyDescent="0.2">
      <c r="A51" s="143" t="s">
        <v>906</v>
      </c>
      <c r="B51" s="180" t="s">
        <v>288</v>
      </c>
      <c r="C51" s="388" t="str">
        <f>IF(B51=0,"",VLOOKUP($B51,Table2[],2,FALSE))</f>
        <v>Insecticide</v>
      </c>
      <c r="D51" s="388"/>
      <c r="E51" s="388"/>
      <c r="F51" s="174">
        <v>6</v>
      </c>
      <c r="G51" s="175">
        <v>0.1</v>
      </c>
      <c r="H51" s="176">
        <v>3</v>
      </c>
      <c r="I51" s="120" t="str">
        <f>IF($B51=0,"",VLOOKUP($B51,Table2[],5,FALSE))</f>
        <v>ounce</v>
      </c>
      <c r="J51" s="109">
        <f>IF($B51=0,"",VLOOKUP($B51,Table2[],7,FALSE))</f>
        <v>1.25</v>
      </c>
      <c r="K51" s="109">
        <f t="shared" si="2"/>
        <v>0.38</v>
      </c>
      <c r="L51" s="110"/>
    </row>
    <row r="52" spans="1:12" x14ac:dyDescent="0.2">
      <c r="A52" s="143"/>
      <c r="B52" s="213" t="s">
        <v>290</v>
      </c>
      <c r="C52" s="387" t="str">
        <f>IF(B52=0,"",VLOOKUP($B52,Table2[],2,FALSE))</f>
        <v>Insecticide</v>
      </c>
      <c r="D52" s="387"/>
      <c r="E52" s="387"/>
      <c r="F52" s="214">
        <v>6</v>
      </c>
      <c r="G52" s="221">
        <v>0.1</v>
      </c>
      <c r="H52" s="222">
        <v>1.92</v>
      </c>
      <c r="I52" s="223" t="str">
        <f>IF($B52=0,"",VLOOKUP($B52,Table2[],5,FALSE))</f>
        <v>ounce</v>
      </c>
      <c r="J52" s="215">
        <f>IF($B52=0,"",VLOOKUP($B52,Table2[],7,FALSE))</f>
        <v>3.203125</v>
      </c>
      <c r="K52" s="215">
        <f t="shared" si="2"/>
        <v>0.62</v>
      </c>
      <c r="L52" s="216"/>
    </row>
    <row r="53" spans="1:12" ht="12.75" customHeight="1" x14ac:dyDescent="0.2">
      <c r="B53" s="111" t="s">
        <v>315</v>
      </c>
      <c r="C53" s="388" t="str">
        <f>IF(B53=0,"",VLOOKUP($B53,Table2[],2,FALSE))</f>
        <v>Scouting</v>
      </c>
      <c r="D53" s="388"/>
      <c r="E53" s="388"/>
      <c r="F53" s="112"/>
      <c r="G53" s="175">
        <v>1</v>
      </c>
      <c r="H53" s="178">
        <v>1</v>
      </c>
      <c r="I53" s="120" t="str">
        <f>IF($B53=0,"",VLOOKUP($B53,Table2[],5,FALSE))</f>
        <v>acre</v>
      </c>
      <c r="J53" s="109">
        <f>IF($B53=0,"",VLOOKUP($B53,Table2[],7,FALSE))</f>
        <v>10</v>
      </c>
      <c r="K53" s="109">
        <f t="shared" ref="K53" si="3">IF(B53=0,0,ROUND(G53*H53*J53,2))</f>
        <v>10</v>
      </c>
      <c r="L53" s="110"/>
    </row>
    <row r="54" spans="1:12" ht="12.75" customHeight="1" x14ac:dyDescent="0.2">
      <c r="B54" s="111" t="s">
        <v>198</v>
      </c>
      <c r="C54" s="388" t="str">
        <f>IF(B54=0,"",VLOOKUP($B54,Table2[],2,FALSE))</f>
        <v>Custom</v>
      </c>
      <c r="D54" s="388"/>
      <c r="E54" s="388"/>
      <c r="F54" s="112">
        <v>8</v>
      </c>
      <c r="G54" s="175">
        <v>1</v>
      </c>
      <c r="H54" s="178">
        <f>$G$4</f>
        <v>90</v>
      </c>
      <c r="I54" s="120" t="str">
        <f>IF($B54=0,"",VLOOKUP($B54,Table2[],5,FALSE))</f>
        <v>bushel</v>
      </c>
      <c r="J54" s="109">
        <f>IF($B54=0,"",VLOOKUP($B54,Table2[],7,FALSE))</f>
        <v>0.15</v>
      </c>
      <c r="K54" s="109">
        <f t="shared" si="2"/>
        <v>13.5</v>
      </c>
      <c r="L54" s="110"/>
    </row>
    <row r="55" spans="1:12" ht="12.75" hidden="1" customHeight="1" x14ac:dyDescent="0.2">
      <c r="B55" s="111"/>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ht="12.75" hidden="1" customHeight="1" x14ac:dyDescent="0.2">
      <c r="B56" s="2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ht="12.75" hidden="1" customHeight="1" x14ac:dyDescent="0.2">
      <c r="B57" s="111"/>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f ca="1">IF(F5=0,E5,F5)</f>
        <v>9</v>
      </c>
      <c r="K61" s="109">
        <f ca="1">IF(B61=0,0,J61)</f>
        <v>9</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41">
        <f ca="1">SUM(K37:K61)</f>
        <v>279.76</v>
      </c>
      <c r="L63" s="110"/>
    </row>
    <row r="64" spans="1:12" x14ac:dyDescent="0.2">
      <c r="B64" s="358" t="s">
        <v>909</v>
      </c>
      <c r="C64" s="358"/>
      <c r="D64" s="358"/>
      <c r="E64" s="364" t="s">
        <v>917</v>
      </c>
      <c r="F64" s="358"/>
      <c r="G64" s="358" t="s">
        <v>919</v>
      </c>
      <c r="H64" s="358"/>
      <c r="I64" s="358"/>
      <c r="J64" s="358"/>
      <c r="K64" s="128"/>
    </row>
    <row r="65" spans="2:12" x14ac:dyDescent="0.2">
      <c r="B65" s="358"/>
      <c r="C65" s="358"/>
      <c r="D65" s="358"/>
      <c r="E65" s="364"/>
      <c r="F65" s="358"/>
      <c r="G65" s="358"/>
      <c r="H65" s="358"/>
      <c r="I65" s="358"/>
      <c r="J65" s="358"/>
      <c r="K65" s="128"/>
    </row>
    <row r="66" spans="2:12" x14ac:dyDescent="0.2">
      <c r="B66" s="107" t="s">
        <v>672</v>
      </c>
      <c r="K66" s="141">
        <f ca="1">K33+K63</f>
        <v>399.64</v>
      </c>
      <c r="L66" s="110"/>
    </row>
    <row r="67" spans="2:12" ht="13.5" thickBot="1" x14ac:dyDescent="0.25">
      <c r="D67" s="128" t="s">
        <v>673</v>
      </c>
      <c r="E67" s="129">
        <f ca="1">ROUND(SUM($E$33:$H$33)+$K$63,2)</f>
        <v>348.24</v>
      </c>
      <c r="F67" s="388" t="s">
        <v>674</v>
      </c>
      <c r="G67" s="388"/>
      <c r="H67" s="130">
        <f>'General Variables'!$B$11</f>
        <v>7.4999999999999997E-2</v>
      </c>
      <c r="I67" s="131" t="str">
        <f>CONCATENATE("for ",TEXT('General Variables'!$B$12,"0.0")," mo.")</f>
        <v>for 6.0 mo.</v>
      </c>
      <c r="K67" s="145">
        <f ca="1">E67*H67*'General Variables'!$B$12/12</f>
        <v>13.058999999999999</v>
      </c>
      <c r="L67" s="133"/>
    </row>
    <row r="68" spans="2:12" ht="13.5" thickTop="1" x14ac:dyDescent="0.2">
      <c r="B68" s="107" t="s">
        <v>675</v>
      </c>
      <c r="K68" s="141">
        <f ca="1">SUM(K66:K67)</f>
        <v>412.69900000000001</v>
      </c>
      <c r="L68" s="110"/>
    </row>
    <row r="69" spans="2:12" x14ac:dyDescent="0.2">
      <c r="K69" s="128"/>
    </row>
    <row r="70" spans="2:12" x14ac:dyDescent="0.2">
      <c r="B70" s="104" t="s">
        <v>676</v>
      </c>
      <c r="C70" s="134"/>
      <c r="D70" s="134"/>
      <c r="E70" s="134"/>
      <c r="F70" s="134"/>
      <c r="G70" s="134"/>
      <c r="H70" s="134"/>
      <c r="I70" s="134"/>
      <c r="J70" s="134"/>
      <c r="K70" s="135">
        <f>'General Variables'!B14</f>
        <v>35</v>
      </c>
      <c r="L70" s="110"/>
    </row>
    <row r="71" spans="2:12" x14ac:dyDescent="0.2">
      <c r="B71" s="103" t="s">
        <v>687</v>
      </c>
      <c r="C71" s="402" t="s">
        <v>42</v>
      </c>
      <c r="D71" s="403"/>
      <c r="E71" s="404"/>
      <c r="F71" s="136">
        <f>IF(C71=0,0,VLOOKUP(C71,RETable,2,FALSE))</f>
        <v>3970</v>
      </c>
      <c r="G71" s="388" t="s">
        <v>678</v>
      </c>
      <c r="H71" s="388"/>
      <c r="I71" s="130">
        <f>'General Variables'!$B$10</f>
        <v>0.03</v>
      </c>
      <c r="K71" s="146">
        <f>ROUND(F71*I71,2)</f>
        <v>119.1</v>
      </c>
      <c r="L71" s="110"/>
    </row>
    <row r="72" spans="2:12" ht="13.5" thickBot="1" x14ac:dyDescent="0.25">
      <c r="B72" s="103" t="s">
        <v>679</v>
      </c>
      <c r="F72" s="138">
        <f>IF(C71=0,0,VLOOKUP(C71,RETable,2,FALSE))</f>
        <v>3970</v>
      </c>
      <c r="G72" s="397" t="s">
        <v>678</v>
      </c>
      <c r="H72" s="397"/>
      <c r="I72" s="139">
        <f>'General Variables'!$B$13</f>
        <v>1.2999999999999999E-2</v>
      </c>
      <c r="J72" s="105"/>
      <c r="K72" s="140">
        <f>ROUND(F72*I72,2)</f>
        <v>51.61</v>
      </c>
      <c r="L72" s="133"/>
    </row>
    <row r="73" spans="2:12" ht="13.5" thickTop="1" x14ac:dyDescent="0.2">
      <c r="B73" s="107" t="s">
        <v>680</v>
      </c>
      <c r="K73" s="141">
        <f ca="1">SUM(K68:K72)</f>
        <v>618.40899999999999</v>
      </c>
      <c r="L73" s="110"/>
    </row>
    <row r="74" spans="2:12" x14ac:dyDescent="0.2">
      <c r="K74" s="128"/>
    </row>
    <row r="75" spans="2:12" x14ac:dyDescent="0.2">
      <c r="B75" s="104" t="str">
        <f>IF(G4="","","Cash Cost per "&amp;H4)</f>
        <v>Cash Cost per bushel</v>
      </c>
      <c r="C75" s="261" t="s">
        <v>688</v>
      </c>
      <c r="D75" s="105"/>
      <c r="E75" s="105"/>
      <c r="F75" s="105"/>
      <c r="G75" s="105"/>
      <c r="H75" s="105"/>
      <c r="I75" s="105"/>
      <c r="J75" s="105"/>
      <c r="K75" s="142">
        <f ca="1">IF(G4=0,0,(E67+K67+K70+K72)/G4)</f>
        <v>4.9767666666666672</v>
      </c>
      <c r="L75" s="148"/>
    </row>
    <row r="76" spans="2:12" x14ac:dyDescent="0.2">
      <c r="B76" s="107" t="str">
        <f>IF(G4="","","Cost of production per "&amp;H4)</f>
        <v>Cost of production per bushel</v>
      </c>
      <c r="K76" s="141">
        <f ca="1">IF(G4="","",K73/G4)</f>
        <v>6.8712111111111112</v>
      </c>
      <c r="L76" s="110"/>
    </row>
    <row r="78" spans="2:12" x14ac:dyDescent="0.2">
      <c r="D78" s="103" t="s">
        <v>900</v>
      </c>
      <c r="G78" s="105"/>
      <c r="H78" s="105"/>
      <c r="I78" s="105"/>
      <c r="J78" s="105"/>
      <c r="K78" s="355" t="s">
        <v>901</v>
      </c>
      <c r="L78" s="105"/>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8" x14ac:dyDescent="0.2">
      <c r="B97" s="106"/>
      <c r="C97" s="106"/>
      <c r="D97" s="106"/>
    </row>
    <row r="98" spans="2:8" x14ac:dyDescent="0.2">
      <c r="B98" s="106"/>
      <c r="C98" s="106"/>
      <c r="D98" s="106"/>
    </row>
    <row r="99" spans="2:8" x14ac:dyDescent="0.2">
      <c r="B99" s="106"/>
      <c r="C99" s="106"/>
      <c r="D99" s="106"/>
    </row>
    <row r="100" spans="2:8" x14ac:dyDescent="0.2">
      <c r="B100" s="106"/>
      <c r="C100" s="106"/>
      <c r="D100" s="106"/>
    </row>
    <row r="101" spans="2:8" x14ac:dyDescent="0.2">
      <c r="B101" s="106"/>
      <c r="C101" s="106"/>
      <c r="D101" s="106"/>
    </row>
    <row r="102" spans="2:8" x14ac:dyDescent="0.2">
      <c r="B102" s="106"/>
      <c r="C102" s="106"/>
      <c r="D102" s="106"/>
    </row>
    <row r="103" spans="2:8" x14ac:dyDescent="0.2">
      <c r="B103" s="106"/>
      <c r="C103" s="106"/>
      <c r="D103" s="106"/>
    </row>
    <row r="104" spans="2:8" x14ac:dyDescent="0.2">
      <c r="B104" s="106"/>
      <c r="C104" s="106"/>
      <c r="D104" s="106"/>
    </row>
    <row r="105" spans="2:8" x14ac:dyDescent="0.2">
      <c r="B105" s="106"/>
      <c r="C105" s="106"/>
      <c r="D105" s="106"/>
    </row>
    <row r="106" spans="2:8" x14ac:dyDescent="0.2">
      <c r="B106" s="106"/>
      <c r="C106" s="106"/>
      <c r="D106" s="106"/>
    </row>
    <row r="107" spans="2:8" x14ac:dyDescent="0.2">
      <c r="B107" s="106"/>
      <c r="C107" s="106"/>
      <c r="D107" s="106"/>
    </row>
    <row r="108" spans="2:8" x14ac:dyDescent="0.2">
      <c r="B108" s="106"/>
      <c r="C108" s="106"/>
      <c r="D108" s="106"/>
    </row>
    <row r="109" spans="2:8" x14ac:dyDescent="0.2">
      <c r="B109" s="106"/>
      <c r="C109" s="106"/>
      <c r="D109" s="106"/>
    </row>
    <row r="110" spans="2:8" x14ac:dyDescent="0.2">
      <c r="B110" s="106"/>
      <c r="C110" s="106"/>
      <c r="D110" s="106"/>
    </row>
    <row r="111" spans="2:8" x14ac:dyDescent="0.2">
      <c r="B111" s="106"/>
      <c r="C111" s="106"/>
      <c r="D111" s="106"/>
    </row>
    <row r="112" spans="2:8" x14ac:dyDescent="0.2">
      <c r="B112" s="105"/>
      <c r="C112" s="105"/>
      <c r="D112" s="105"/>
      <c r="H112" s="103" t="e">
        <f>'General Variables'!#REF!</f>
        <v>#REF!</v>
      </c>
    </row>
    <row r="113" spans="2:11" x14ac:dyDescent="0.2">
      <c r="B113" s="105"/>
      <c r="C113" s="105"/>
      <c r="D113" s="105"/>
      <c r="H113" s="103" t="e">
        <f>'General Variables'!#REF!</f>
        <v>#REF!</v>
      </c>
      <c r="K113" s="103" t="s">
        <v>681</v>
      </c>
    </row>
    <row r="114" spans="2:11" x14ac:dyDescent="0.2">
      <c r="B114" s="105"/>
      <c r="C114" s="105"/>
      <c r="D114" s="105"/>
      <c r="H114" s="103" t="e">
        <f>'General Variables'!#REF!</f>
        <v>#REF!</v>
      </c>
      <c r="K114" s="103" t="s">
        <v>654</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mergeCells count="48">
    <mergeCell ref="F67:G67"/>
    <mergeCell ref="C71:E71"/>
    <mergeCell ref="G71:H71"/>
    <mergeCell ref="G72:H72"/>
    <mergeCell ref="C56:E56"/>
    <mergeCell ref="C57:E57"/>
    <mergeCell ref="C58:E58"/>
    <mergeCell ref="C59:E59"/>
    <mergeCell ref="C60:E60"/>
    <mergeCell ref="C61:E61"/>
    <mergeCell ref="C55:E55"/>
    <mergeCell ref="C44:E44"/>
    <mergeCell ref="C45:E45"/>
    <mergeCell ref="C46:E46"/>
    <mergeCell ref="C47:E47"/>
    <mergeCell ref="C48:E48"/>
    <mergeCell ref="C49:E49"/>
    <mergeCell ref="C50:E50"/>
    <mergeCell ref="C51:E51"/>
    <mergeCell ref="C52:E52"/>
    <mergeCell ref="C53:E53"/>
    <mergeCell ref="C54:E54"/>
    <mergeCell ref="C43:E43"/>
    <mergeCell ref="F35:F36"/>
    <mergeCell ref="G35:G36"/>
    <mergeCell ref="H35:I35"/>
    <mergeCell ref="J35:J36"/>
    <mergeCell ref="C38:E38"/>
    <mergeCell ref="C39:E39"/>
    <mergeCell ref="C40:E40"/>
    <mergeCell ref="C41:E41"/>
    <mergeCell ref="C42:E42"/>
    <mergeCell ref="C37:E37"/>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32" xr:uid="{00000000-0002-0000-5700-000000000000}">
      <formula1>$B$112:$B$209</formula1>
    </dataValidation>
    <dataValidation type="list" allowBlank="1" showInputMessage="1" showErrorMessage="1" sqref="B62" xr:uid="{00000000-0002-0000-5700-000001000000}">
      <formula1>$C$112:$C$230</formula1>
    </dataValidation>
    <dataValidation type="list" allowBlank="1" showInputMessage="1" showErrorMessage="1" sqref="K4" xr:uid="{00000000-0002-0000-5700-000002000000}">
      <formula1>$K$112:$K$114</formula1>
    </dataValidation>
    <dataValidation type="list" allowBlank="1" showInputMessage="1" showErrorMessage="1" sqref="B37:B60" xr:uid="{00000000-0002-0000-5700-000003000000}">
      <formula1>MaterialList</formula1>
    </dataValidation>
    <dataValidation type="list" allowBlank="1" showInputMessage="1" showErrorMessage="1" sqref="C71:E71" xr:uid="{00000000-0002-0000-5700-000004000000}">
      <formula1>RealEstateList</formula1>
    </dataValidation>
    <dataValidation type="list" allowBlank="1" showInputMessage="1" showErrorMessage="1" sqref="B12:B31" xr:uid="{00000000-0002-0000-5700-000005000000}">
      <formula1>OperationList</formula1>
    </dataValidation>
    <dataValidation type="list" allowBlank="1" showInputMessage="1" showErrorMessage="1" sqref="D12:D32" xr:uid="{00000000-0002-0000-5700-000006000000}">
      <formula1>#REF!</formula1>
    </dataValidation>
    <dataValidation type="list" allowBlank="1" showInputMessage="1" showErrorMessage="1" sqref="K2" xr:uid="{00000000-0002-0000-5700-000007000000}">
      <formula1>watersource</formula1>
    </dataValidation>
    <dataValidation type="list" allowBlank="1" showInputMessage="1" showErrorMessage="1" sqref="C3" xr:uid="{00000000-0002-0000-5700-000008000000}">
      <formula1>TillageSystem</formula1>
    </dataValidation>
  </dataValidations>
  <pageMargins left="0.7" right="0.7" top="0.75" bottom="0.75" header="0.3" footer="0.3"/>
  <pageSetup scale="7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0">
    <pageSetUpPr fitToPage="1"/>
  </sheetPr>
  <dimension ref="A2:M259"/>
  <sheetViews>
    <sheetView zoomScaleNormal="100" workbookViewId="0">
      <selection activeCell="N41" sqref="N41"/>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c r="L2" s="401"/>
    </row>
    <row r="3" spans="1:13" hidden="1" x14ac:dyDescent="0.2">
      <c r="B3" s="103" t="s">
        <v>38</v>
      </c>
      <c r="C3" s="391" t="s">
        <v>43</v>
      </c>
      <c r="D3" s="391"/>
      <c r="E3" s="391"/>
      <c r="G3" s="128" t="s">
        <v>650</v>
      </c>
      <c r="H3" s="187"/>
      <c r="J3" s="128" t="s">
        <v>651</v>
      </c>
      <c r="K3" s="187"/>
    </row>
    <row r="4" spans="1:13" hidden="1" x14ac:dyDescent="0.2">
      <c r="B4" s="103" t="s">
        <v>652</v>
      </c>
      <c r="C4" s="392"/>
      <c r="D4" s="392"/>
      <c r="E4" s="392"/>
      <c r="G4" s="103" t="str">
        <f>IFERROR(VALUE(LEFT($H$3,FIND(" ",$H$3))),"")</f>
        <v/>
      </c>
      <c r="H4" s="103" t="str">
        <f>IFERROR(RIGHT(H3,LEN(H3)-LEN(G4)-1),"")</f>
        <v/>
      </c>
      <c r="J4" s="128" t="s">
        <v>653</v>
      </c>
      <c r="K4" s="188"/>
    </row>
    <row r="5" spans="1:13" ht="15.75" hidden="1" customHeight="1" x14ac:dyDescent="0.2">
      <c r="B5" s="103" t="s">
        <v>655</v>
      </c>
      <c r="C5" s="238" t="str">
        <f ca="1">MID(CELL("filename",C5),FIND("]",CELL("filename",C5))+1,255)</f>
        <v>82-Cover Crop</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82-Cover Crop, Conventional Tillage</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82-Cover Crop, Conventional Tillage</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478</v>
      </c>
      <c r="C12" s="174">
        <v>1</v>
      </c>
      <c r="D12" s="174"/>
      <c r="E12" s="109">
        <f>IF(B12=0,"",IF(C12&gt;9999,"",ROUND('General Variables'!$B$4*VLOOKUP(B12,Operations!$A$2:$U$79,10,FALSE)/VLOOKUP(B12,Operations!$A$2:$U$79,9,FALSE)*C12,2)))</f>
        <v>2.72</v>
      </c>
      <c r="F12" s="109">
        <f>IF(B12=0,0,IF(C12&gt;9999,"",ROUND(IF(VLOOKUP(B12,Operations!$A$2:$U$79,12,FALSE)=0,VLOOKUP(B12,Operations!$A$2:$U$79,13,FALSE)*'General Variables'!$B$8,VLOOKUP(B12,Operations!$A$2:$U$79,12,FALSE)*'General Variables'!$B$7)/VLOOKUP(B12,Operations!$A$2:$U$79,9,FALSE)*C12,2)))</f>
        <v>2.4300000000000002</v>
      </c>
      <c r="G12" s="109">
        <f>IF(B12=0,0,IF(C12&gt;9999,"",ROUND(VLOOKUP(VLOOKUP(B12,Operations!$A$2:$U$79,11,FALSE),PowerUnits[],10,FALSE)/VLOOKUP(B12,Operations!$A$2:$U$79,9,FALSE)*C12,2)))</f>
        <v>0.31</v>
      </c>
      <c r="H12" s="109">
        <f>IF(B12=0,"",IF(C12&gt;9999,"",ROUND(VLOOKUP($B12,Operations!$A$2:$U$79,15,FALSE)*C12,2)))</f>
        <v>1.68</v>
      </c>
      <c r="I12" s="109">
        <f>IF(B12=0,0,IF(C12&gt;9999,"",ROUND(VLOOKUP(VLOOKUP(B12,Operations!$A$2:$U$79,11,FALSE),PowerUnits[],16,FALSE)/VLOOKUP(B12,Operations!$A$2:$U$79,9,FALSE)*C12,2)))</f>
        <v>8.4600000000000009</v>
      </c>
      <c r="J12" s="109">
        <f>IF(B12=0,"",IF(C12&gt;9999,"",ROUND(VLOOKUP($B12,Operations!$A$2:$U$79,21,FALSE)*$C12,2)))</f>
        <v>2.46</v>
      </c>
      <c r="K12" s="109">
        <f>IF(C12&gt;9999,"",ROUND(SUM(E12:J12),2))</f>
        <v>18.059999999999999</v>
      </c>
      <c r="L12" s="110"/>
    </row>
    <row r="13" spans="1:13" x14ac:dyDescent="0.2">
      <c r="A13" s="170">
        <v>2</v>
      </c>
      <c r="B13" s="180" t="s">
        <v>188</v>
      </c>
      <c r="C13" s="174" t="s">
        <v>184</v>
      </c>
      <c r="D13" s="174"/>
      <c r="E13" s="109" t="str">
        <f>IF(B13=0,"",IF(C13&gt;9999,"",ROUND('General Variables'!$B$4*VLOOKUP(B13,Operations!$A$2:$U$79,10,FALSE)/VLOOKUP(B13,Operations!$A$2:$U$79,9,FALSE)*C13,2)))</f>
        <v/>
      </c>
      <c r="F13" s="109" t="str">
        <f>IF(B13=0,0,IF(C13&gt;9999,"",ROUND(IF(VLOOKUP(B13,Operations!$A$2:$U$79,12,FALSE)=0,VLOOKUP(B13,Operations!$A$2:$U$79,13,FALSE)*'General Variables'!$B$8,VLOOKUP(B13,Operations!$A$2:$U$79,12,FALSE)*'General Variables'!$B$7)/VLOOKUP(B13,Operations!$A$2:$U$79,9,FALSE)*C13,2)))</f>
        <v/>
      </c>
      <c r="G13" s="109" t="str">
        <f>IF(B13=0,0,IF(C13&gt;9999,"",ROUND(VLOOKUP(VLOOKUP(B13,Operations!$A$2:$U$79,11,FALSE),PowerUnits[],10,FALSE)/VLOOKUP(B13,Operations!$A$2:$U$79,9,FALSE)*C13,2)))</f>
        <v/>
      </c>
      <c r="H13" s="109" t="str">
        <f>IF(B13=0,"",IF(C13&gt;9999,"",ROUND(VLOOKUP($B13,Operations!$A$2:$U$79,15,FALSE)*C13,2)))</f>
        <v/>
      </c>
      <c r="I13" s="109" t="str">
        <f>IF(B13=0,0,IF(C13&gt;9999,"",ROUND(VLOOKUP(VLOOKUP(B13,Operations!$A$2:$U$79,11,FALSE),PowerUnits[],16,FALSE)/VLOOKUP(B13,Operations!$A$2:$U$79,9,FALSE)*C13,2)))</f>
        <v/>
      </c>
      <c r="J13" s="109" t="str">
        <f>IF(B13=0,"",IF(C13&gt;9999,"",ROUND(VLOOKUP($B13,Operations!$A$2:$U$79,21,FALSE)*$C13,2)))</f>
        <v/>
      </c>
      <c r="K13" s="109" t="str">
        <f t="shared" ref="K13:K31" si="0">IF(C13&gt;9999,"",ROUND(SUM(E13:J13),2))</f>
        <v/>
      </c>
      <c r="L13" s="110"/>
    </row>
    <row r="14" spans="1:13" x14ac:dyDescent="0.2">
      <c r="A14" s="170">
        <v>3</v>
      </c>
      <c r="B14" s="180" t="s">
        <v>498</v>
      </c>
      <c r="C14" s="174">
        <v>1</v>
      </c>
      <c r="D14" s="174"/>
      <c r="E14" s="109">
        <f>IF(B14=0,"",IF(C14&gt;9999,"",ROUND('General Variables'!$B$4*VLOOKUP(B14,Operations!$A$2:$U$79,10,FALSE)/VLOOKUP(B14,Operations!$A$2:$U$79,9,FALSE)*C14,2)))</f>
        <v>1.98</v>
      </c>
      <c r="F14" s="109">
        <f>IF(B14=0,0,IF(C14&gt;9999,"",ROUND(IF(VLOOKUP(B14,Operations!$A$2:$U$79,12,FALSE)=0,VLOOKUP(B14,Operations!$A$2:$U$79,13,FALSE)*'General Variables'!$B$8,VLOOKUP(B14,Operations!$A$2:$U$79,12,FALSE)*'General Variables'!$B$7)/VLOOKUP(B14,Operations!$A$2:$U$79,9,FALSE)*C14,2)))</f>
        <v>1.75</v>
      </c>
      <c r="G14" s="109">
        <f>IF(B14=0,0,IF(C14&gt;9999,"",ROUND(VLOOKUP(VLOOKUP(B14,Operations!$A$2:$U$79,11,FALSE),PowerUnits[],10,FALSE)/VLOOKUP(B14,Operations!$A$2:$U$79,9,FALSE)*C14,2)))</f>
        <v>0.23</v>
      </c>
      <c r="H14" s="109">
        <f>IF(B14=0,"",IF(C14&gt;9999,"",ROUND(VLOOKUP($B14,Operations!$A$2:$U$79,15,FALSE)*C14,2)))</f>
        <v>2.14</v>
      </c>
      <c r="I14" s="109">
        <f>IF(B14=0,0,IF(C14&gt;9999,"",ROUND(VLOOKUP(VLOOKUP(B14,Operations!$A$2:$U$79,11,FALSE),PowerUnits[],16,FALSE)/VLOOKUP(B14,Operations!$A$2:$U$79,9,FALSE)*C14,2)))</f>
        <v>6.15</v>
      </c>
      <c r="J14" s="109">
        <f>IF(B14=0,"",IF(C14&gt;9999,"",ROUND(VLOOKUP($B14,Operations!$A$2:$U$79,21,FALSE)*$C14,2)))</f>
        <v>2.4300000000000002</v>
      </c>
      <c r="K14" s="109">
        <f t="shared" si="0"/>
        <v>14.68</v>
      </c>
      <c r="L14" s="110"/>
    </row>
    <row r="15" spans="1:13" x14ac:dyDescent="0.2">
      <c r="A15" s="170">
        <v>4</v>
      </c>
      <c r="B15" s="213" t="s">
        <v>556</v>
      </c>
      <c r="C15" s="214" t="s">
        <v>184</v>
      </c>
      <c r="D15" s="214"/>
      <c r="E15" s="215" t="str">
        <f>IF(B15=0,"",IF(C15&gt;9999,"",ROUND('General Variables'!$B$4*VLOOKUP(B15,Operations!$A$2:$U$79,10,FALSE)/VLOOKUP(B15,Operations!$A$2:$U$79,9,FALSE)*C15,2)))</f>
        <v/>
      </c>
      <c r="F15" s="215" t="str">
        <f>IF(B15=0,0,IF(C15&gt;9999,"",ROUND(IF(VLOOKUP(B15,Operations!$A$2:$U$79,12,FALSE)=0,VLOOKUP(B15,Operations!$A$2:$U$79,13,FALSE)*'General Variables'!$B$8,VLOOKUP(B15,Operations!$A$2:$U$79,12,FALSE)*'General Variables'!$B$7)/VLOOKUP(B15,Operations!$A$2:$U$79,9,FALSE)*C15,2)))</f>
        <v/>
      </c>
      <c r="G15" s="215" t="str">
        <f>IF(B15=0,0,IF(C15&gt;9999,"",ROUND(VLOOKUP(VLOOKUP(B15,Operations!$A$2:$U$79,11,FALSE),PowerUnits[],10,FALSE)/VLOOKUP(B15,Operations!$A$2:$U$79,9,FALSE)*C15,2)))</f>
        <v/>
      </c>
      <c r="H15" s="215" t="str">
        <f>IF(B15=0,"",IF(C15&gt;9999,"",ROUND(VLOOKUP($B15,Operations!$A$2:$U$79,15,FALSE)*C15,2)))</f>
        <v/>
      </c>
      <c r="I15" s="215" t="str">
        <f>IF(B15=0,0,IF(C15&gt;9999,"",ROUND(VLOOKUP(VLOOKUP(B15,Operations!$A$2:$U$79,11,FALSE),PowerUnits[],16,FALSE)/VLOOKUP(B15,Operations!$A$2:$U$79,9,FALSE)*C15,2)))</f>
        <v/>
      </c>
      <c r="J15" s="215" t="str">
        <f>IF(B15=0,"",IF(C15&gt;9999,"",ROUND(VLOOKUP($B15,Operations!$A$2:$U$79,21,FALSE)*$C15,2)))</f>
        <v/>
      </c>
      <c r="K15" s="215" t="str">
        <f t="shared" si="0"/>
        <v/>
      </c>
      <c r="L15" s="216"/>
    </row>
    <row r="16" spans="1:13" x14ac:dyDescent="0.2">
      <c r="A16" s="170">
        <v>5</v>
      </c>
      <c r="B16" s="180" t="s">
        <v>551</v>
      </c>
      <c r="C16" s="174" t="s">
        <v>897</v>
      </c>
      <c r="D16" s="174"/>
      <c r="E16" s="109" t="str">
        <f>IF(B16=0,"",IF(C16&gt;9999,"",ROUND('General Variables'!$B$4*VLOOKUP(B16,Operations!$A$2:$U$79,10,FALSE)/VLOOKUP(B16,Operations!$A$2:$U$79,9,FALSE)*C16,2)))</f>
        <v/>
      </c>
      <c r="F16" s="109" t="str">
        <f>IF(B16=0,0,IF(C16&gt;9999,"",ROUND(IF(VLOOKUP(B16,Operations!$A$2:$U$79,12,FALSE)=0,VLOOKUP(B16,Operations!$A$2:$U$79,13,FALSE)*'General Variables'!$B$8,VLOOKUP(B16,Operations!$A$2:$U$79,12,FALSE)*'General Variables'!$B$7)/VLOOKUP(B16,Operations!$A$2:$U$79,9,FALSE)*C16,2)))</f>
        <v/>
      </c>
      <c r="G16" s="109" t="str">
        <f>IF(B16=0,0,IF(C16&gt;9999,"",ROUND(VLOOKUP(VLOOKUP(B16,Operations!$A$2:$U$79,11,FALSE),PowerUnits[],10,FALSE)/VLOOKUP(B16,Operations!$A$2:$U$79,9,FALSE)*C16,2)))</f>
        <v/>
      </c>
      <c r="H16" s="109" t="str">
        <f>IF(B16=0,"",IF(C16&gt;9999,"",ROUND(VLOOKUP($B16,Operations!$A$2:$U$79,15,FALSE)*C16,2)))</f>
        <v/>
      </c>
      <c r="I16" s="109" t="str">
        <f>IF(B16=0,0,IF(C16&gt;9999,"",ROUND(VLOOKUP(VLOOKUP(B16,Operations!$A$2:$U$79,11,FALSE),PowerUnits[],16,FALSE)/VLOOKUP(B16,Operations!$A$2:$U$79,9,FALSE)*C16,2)))</f>
        <v/>
      </c>
      <c r="J16" s="109" t="str">
        <f>IF(B16=0,"",IF(C16&gt;9999,"",ROUND(VLOOKUP($B16,Operations!$A$2:$U$79,21,FALSE)*$C16,2)))</f>
        <v/>
      </c>
      <c r="K16" s="109" t="str">
        <f t="shared" si="0"/>
        <v/>
      </c>
      <c r="L16" s="110"/>
    </row>
    <row r="17" spans="1:12" hidden="1" x14ac:dyDescent="0.2">
      <c r="A17" s="170">
        <v>6</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7</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8</v>
      </c>
      <c r="B19" s="213"/>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IF(C19&gt;9999,"",ROUND(SUM(E19:J19),2))</f>
        <v>0</v>
      </c>
      <c r="L19" s="216"/>
    </row>
    <row r="20" spans="1:12" hidden="1" x14ac:dyDescent="0.2">
      <c r="A20" s="170">
        <v>9</v>
      </c>
      <c r="B20" s="180"/>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hidden="1" x14ac:dyDescent="0.2">
      <c r="A21" s="170">
        <v>10</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11</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12</v>
      </c>
      <c r="B23" s="213"/>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hidden="1" x14ac:dyDescent="0.2">
      <c r="A24" s="170">
        <v>13</v>
      </c>
      <c r="B24" s="180"/>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hidden="1" x14ac:dyDescent="0.2">
      <c r="A25" s="170">
        <v>14</v>
      </c>
      <c r="B25" s="111"/>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15</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16</v>
      </c>
      <c r="B27" s="2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hidden="1" x14ac:dyDescent="0.2">
      <c r="A28" s="170">
        <v>17</v>
      </c>
      <c r="B28" s="111"/>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hidden="1" x14ac:dyDescent="0.2">
      <c r="A29" s="170">
        <v>18</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19</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hidden="1" x14ac:dyDescent="0.2">
      <c r="A31" s="170">
        <v>20</v>
      </c>
      <c r="B31" s="2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4.7</v>
      </c>
      <c r="F33" s="109">
        <f t="shared" ref="F33:K33" si="1">SUM(F12:F31)</f>
        <v>4.18</v>
      </c>
      <c r="G33" s="109">
        <f t="shared" si="1"/>
        <v>0.54</v>
      </c>
      <c r="H33" s="109">
        <f t="shared" si="1"/>
        <v>3.8200000000000003</v>
      </c>
      <c r="I33" s="109">
        <f t="shared" si="1"/>
        <v>14.610000000000001</v>
      </c>
      <c r="J33" s="109">
        <f t="shared" si="1"/>
        <v>4.8900000000000006</v>
      </c>
      <c r="K33" s="109">
        <f t="shared" si="1"/>
        <v>32.739999999999995</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52" t="s">
        <v>669</v>
      </c>
      <c r="I36" s="153" t="s">
        <v>352</v>
      </c>
      <c r="J36" s="386"/>
      <c r="K36" s="171" t="s">
        <v>670</v>
      </c>
      <c r="L36" s="386"/>
    </row>
    <row r="37" spans="1:12" ht="13.5" thickTop="1" x14ac:dyDescent="0.2">
      <c r="A37" s="105"/>
      <c r="B37" s="180" t="s">
        <v>330</v>
      </c>
      <c r="C37" s="388" t="str">
        <f>IF(B37=0,"",VLOOKUP($B37,Table2[],2,FALSE))</f>
        <v>Seed</v>
      </c>
      <c r="D37" s="388"/>
      <c r="E37" s="388"/>
      <c r="F37" s="174">
        <v>2</v>
      </c>
      <c r="G37" s="175">
        <v>1</v>
      </c>
      <c r="H37" s="176">
        <v>1</v>
      </c>
      <c r="I37" s="120" t="str">
        <f>IF($B37=0,"",VLOOKUP($B37,Table2[],5,FALSE))</f>
        <v>acre</v>
      </c>
      <c r="J37" s="109">
        <v>22</v>
      </c>
      <c r="K37" s="109">
        <f>IF(B37=0,0,ROUND(G37*H37*J37,2))</f>
        <v>22</v>
      </c>
      <c r="L37" s="110"/>
    </row>
    <row r="38" spans="1:12" ht="12.75" customHeight="1" x14ac:dyDescent="0.2">
      <c r="A38" s="105"/>
      <c r="B38" s="180" t="s">
        <v>188</v>
      </c>
      <c r="C38" s="388" t="str">
        <f>IF(B38=0,"",VLOOKUP($B38,Table2[],2,FALSE))</f>
        <v>Custom</v>
      </c>
      <c r="D38" s="388"/>
      <c r="E38" s="388"/>
      <c r="F38" s="174">
        <v>2</v>
      </c>
      <c r="G38" s="175">
        <v>1</v>
      </c>
      <c r="H38" s="176">
        <v>1</v>
      </c>
      <c r="I38" s="120" t="str">
        <f>IF($B38=0,"",VLOOKUP($B38,Table2[],5,FALSE))</f>
        <v>acre</v>
      </c>
      <c r="J38" s="109">
        <f>IF($B38=0,"",VLOOKUP($B38,Table2[],7,FALSE))</f>
        <v>15</v>
      </c>
      <c r="K38" s="109">
        <f t="shared" ref="K38:K58" si="2">IF(B38=0,0,ROUND(G38*H38*J38,2))</f>
        <v>15</v>
      </c>
      <c r="L38" s="110"/>
    </row>
    <row r="39" spans="1:12" ht="12.75" customHeight="1" x14ac:dyDescent="0.2">
      <c r="A39" s="105"/>
      <c r="B39" s="180" t="s">
        <v>200</v>
      </c>
      <c r="C39" s="170"/>
      <c r="D39" s="170" t="s">
        <v>184</v>
      </c>
      <c r="E39" s="170"/>
      <c r="F39" s="174">
        <v>4</v>
      </c>
      <c r="G39" s="175">
        <v>1</v>
      </c>
      <c r="H39" s="176">
        <v>1</v>
      </c>
      <c r="I39" s="120" t="s">
        <v>176</v>
      </c>
      <c r="J39" s="109">
        <f>IF($B39=0,"",VLOOKUP($B39,Table2[],7,FALSE))</f>
        <v>9</v>
      </c>
      <c r="K39" s="109">
        <f t="shared" si="2"/>
        <v>9</v>
      </c>
      <c r="L39" s="110"/>
    </row>
    <row r="40" spans="1:12" ht="12.75" customHeight="1" x14ac:dyDescent="0.2">
      <c r="A40" s="105"/>
      <c r="B40" s="180" t="s">
        <v>207</v>
      </c>
      <c r="C40" s="388" t="str">
        <f>IF(B40=0,"",VLOOKUP($B40,Table2[],2,FALSE))</f>
        <v>Fertilizer</v>
      </c>
      <c r="D40" s="388"/>
      <c r="E40" s="388"/>
      <c r="F40" s="174">
        <v>4</v>
      </c>
      <c r="G40" s="175">
        <v>1</v>
      </c>
      <c r="H40" s="176">
        <v>50</v>
      </c>
      <c r="I40" s="120" t="s">
        <v>206</v>
      </c>
      <c r="J40" s="109">
        <f>IF($B40=0,"",VLOOKUP($B40,Table2[],7,FALSE))</f>
        <v>0.5</v>
      </c>
      <c r="K40" s="109">
        <f t="shared" si="2"/>
        <v>25</v>
      </c>
      <c r="L40" s="110"/>
    </row>
    <row r="41" spans="1:12" ht="12.75" customHeight="1" x14ac:dyDescent="0.2">
      <c r="A41" s="143" t="s">
        <v>638</v>
      </c>
      <c r="B41" s="213" t="s">
        <v>200</v>
      </c>
      <c r="C41" s="387"/>
      <c r="D41" s="387" t="s">
        <v>184</v>
      </c>
      <c r="E41" s="387"/>
      <c r="F41" s="214">
        <v>5</v>
      </c>
      <c r="G41" s="221">
        <v>1</v>
      </c>
      <c r="H41" s="222">
        <v>1</v>
      </c>
      <c r="I41" s="223" t="s">
        <v>176</v>
      </c>
      <c r="J41" s="215">
        <f>IF($B41=0,"",VLOOKUP($B41,Table2[],7,FALSE))</f>
        <v>9</v>
      </c>
      <c r="K41" s="215">
        <f t="shared" ref="K41" si="3">IF(B41=0,0,ROUND(G41*H41*J41,2))</f>
        <v>9</v>
      </c>
      <c r="L41" s="110"/>
    </row>
    <row r="42" spans="1:12" ht="12.75" customHeight="1" x14ac:dyDescent="0.2">
      <c r="A42" s="105"/>
      <c r="B42" s="180" t="s">
        <v>259</v>
      </c>
      <c r="C42" s="388" t="str">
        <f>IF(B42=0,"",VLOOKUP($B42,Table2[],2,FALSE))</f>
        <v>Herbicide</v>
      </c>
      <c r="D42" s="388"/>
      <c r="E42" s="388"/>
      <c r="F42" s="174">
        <v>5</v>
      </c>
      <c r="G42" s="175">
        <v>1</v>
      </c>
      <c r="H42" s="176">
        <v>32</v>
      </c>
      <c r="I42" s="120" t="str">
        <f>IF($B42=0,"",VLOOKUP($B42,Table2[],5,FALSE))</f>
        <v>ounce</v>
      </c>
      <c r="J42" s="109">
        <f>IF($B42=0,"",VLOOKUP($B42,Table2[],7,FALSE))</f>
        <v>0.1328125</v>
      </c>
      <c r="K42" s="109">
        <f t="shared" si="2"/>
        <v>4.25</v>
      </c>
      <c r="L42" s="257"/>
    </row>
    <row r="43" spans="1:12" ht="12.75" customHeight="1" x14ac:dyDescent="0.2">
      <c r="A43" s="105"/>
      <c r="B43" s="180" t="s">
        <v>229</v>
      </c>
      <c r="C43" s="388" t="str">
        <f>IF(B43=0,"",VLOOKUP($B43,Table2[],2,FALSE))</f>
        <v>Herbicide</v>
      </c>
      <c r="D43" s="388"/>
      <c r="E43" s="388"/>
      <c r="F43" s="174">
        <v>5</v>
      </c>
      <c r="G43" s="175">
        <v>1</v>
      </c>
      <c r="H43" s="176">
        <v>1</v>
      </c>
      <c r="I43" s="120" t="s">
        <v>179</v>
      </c>
      <c r="J43" s="109">
        <f>IF($B43=0,"",VLOOKUP($B43,Table2[],7,FALSE))</f>
        <v>2.5</v>
      </c>
      <c r="K43" s="109">
        <f t="shared" ref="K43" si="4">IF(B43=0,0,ROUND(G43*H43*J43,2))</f>
        <v>2.5</v>
      </c>
      <c r="L43" s="257"/>
    </row>
    <row r="44" spans="1:12" ht="12.75" customHeight="1" x14ac:dyDescent="0.2">
      <c r="A44" s="105"/>
      <c r="B44" s="180" t="s">
        <v>170</v>
      </c>
      <c r="C44" s="388" t="str">
        <f>IF(B44=0,"",VLOOKUP($B44,Table2[],2,FALSE))</f>
        <v>Additive</v>
      </c>
      <c r="D44" s="388"/>
      <c r="E44" s="388"/>
      <c r="F44" s="174">
        <v>5</v>
      </c>
      <c r="G44" s="175">
        <v>1</v>
      </c>
      <c r="H44" s="181">
        <v>1.7</v>
      </c>
      <c r="I44" s="120" t="str">
        <f>IF($B44=0,"",VLOOKUP($B44,Table2[],5,FALSE))</f>
        <v>pound</v>
      </c>
      <c r="J44" s="109">
        <f>IF($B44=0,"",VLOOKUP($B44,Table2[],7,FALSE))</f>
        <v>0.4</v>
      </c>
      <c r="K44" s="109">
        <f t="shared" si="2"/>
        <v>0.68</v>
      </c>
      <c r="L44" s="110"/>
    </row>
    <row r="45" spans="1:12" ht="12.75" hidden="1" customHeight="1" x14ac:dyDescent="0.2">
      <c r="A45" s="105"/>
      <c r="B45" s="180"/>
      <c r="C45" s="388" t="str">
        <f>IF(B45=0,"",VLOOKUP($B45,Table2[],2,FALSE))</f>
        <v/>
      </c>
      <c r="D45" s="388"/>
      <c r="E45" s="388"/>
      <c r="F45" s="174"/>
      <c r="G45" s="175"/>
      <c r="H45" s="181"/>
      <c r="I45" s="120" t="str">
        <f>IF($B45=0,"",VLOOKUP($B45,Table2[],5,FALSE))</f>
        <v/>
      </c>
      <c r="J45" s="109" t="str">
        <f>IF($B45=0,"",VLOOKUP($B45,Table2[],7,FALSE))</f>
        <v/>
      </c>
      <c r="K45" s="109">
        <f t="shared" si="2"/>
        <v>0</v>
      </c>
      <c r="L45" s="110"/>
    </row>
    <row r="46" spans="1:12" ht="12.75" hidden="1" customHeight="1" x14ac:dyDescent="0.2">
      <c r="A46" s="143"/>
      <c r="B46" s="180"/>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ht="12.75" hidden="1" customHeight="1" x14ac:dyDescent="0.2">
      <c r="A47" s="143"/>
      <c r="B47" s="213"/>
      <c r="C47" s="387" t="str">
        <f>IF(B47=0,"",VLOOKUP($B47,Table2[],2,FALSE))</f>
        <v/>
      </c>
      <c r="D47" s="387"/>
      <c r="E47" s="387"/>
      <c r="F47" s="214"/>
      <c r="G47" s="221"/>
      <c r="H47" s="222"/>
      <c r="I47" s="223" t="str">
        <f>IF($B47=0,"",VLOOKUP($B47,Table2[],5,FALSE))</f>
        <v/>
      </c>
      <c r="J47" s="215" t="str">
        <f>IF($B47=0,"",VLOOKUP($B47,Table2[],7,FALSE))</f>
        <v/>
      </c>
      <c r="K47" s="215">
        <f t="shared" si="2"/>
        <v>0</v>
      </c>
      <c r="L47" s="216"/>
    </row>
    <row r="48" spans="1:12" ht="12.75" hidden="1" customHeight="1" x14ac:dyDescent="0.2">
      <c r="A48" s="143"/>
      <c r="B48" s="180"/>
      <c r="C48" s="388" t="str">
        <f>IF(B48=0,"",VLOOKUP($B48,Table2[],2,FALSE))</f>
        <v/>
      </c>
      <c r="D48" s="388"/>
      <c r="E48" s="388"/>
      <c r="F48" s="174"/>
      <c r="G48" s="175"/>
      <c r="H48" s="176"/>
      <c r="I48" s="120" t="str">
        <f>IF($B48=0,"",VLOOKUP($B48,Table2[],5,FALSE))</f>
        <v/>
      </c>
      <c r="J48" s="109" t="str">
        <f>IF($B48=0,"",VLOOKUP($B48,Table2[],7,FALSE))</f>
        <v/>
      </c>
      <c r="K48" s="109">
        <f t="shared" si="2"/>
        <v>0</v>
      </c>
      <c r="L48" s="110"/>
    </row>
    <row r="49" spans="1:12" ht="12.75" hidden="1" customHeight="1" x14ac:dyDescent="0.2">
      <c r="A49" s="143"/>
      <c r="B49" s="180"/>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A50" s="143"/>
      <c r="B50" s="180"/>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A51" s="105"/>
      <c r="B51" s="213"/>
      <c r="C51" s="387" t="str">
        <f>IF(B51=0,"",VLOOKUP($B51,Table2[],2,FALSE))</f>
        <v/>
      </c>
      <c r="D51" s="387"/>
      <c r="E51" s="387"/>
      <c r="F51" s="214"/>
      <c r="G51" s="221"/>
      <c r="H51" s="222"/>
      <c r="I51" s="223" t="str">
        <f>IF($B51=0,"",VLOOKUP($B51,Table2[],5,FALSE))</f>
        <v/>
      </c>
      <c r="J51" s="215" t="str">
        <f>IF($B51=0,"",VLOOKUP($B51,Table2[],7,FALSE))</f>
        <v/>
      </c>
      <c r="K51" s="215">
        <f t="shared" si="2"/>
        <v>0</v>
      </c>
      <c r="L51" s="216"/>
    </row>
    <row r="52" spans="1:12" ht="12.75" hidden="1" customHeight="1" x14ac:dyDescent="0.2">
      <c r="A52" s="105"/>
      <c r="B52" s="180"/>
      <c r="C52" s="388" t="str">
        <f>IF(B52=0,"",VLOOKUP($B52,Table2[],2,FALSE))</f>
        <v/>
      </c>
      <c r="D52" s="388"/>
      <c r="E52" s="388"/>
      <c r="F52" s="174"/>
      <c r="G52" s="175"/>
      <c r="H52" s="176"/>
      <c r="I52" s="120" t="str">
        <f>IF($B52=0,"",VLOOKUP($B52,Table2[],5,FALSE))</f>
        <v/>
      </c>
      <c r="J52" s="109" t="str">
        <f>IF($B52=0,"",VLOOKUP($B52,Table2[],7,FALSE))</f>
        <v/>
      </c>
      <c r="K52" s="109">
        <f t="shared" si="2"/>
        <v>0</v>
      </c>
      <c r="L52" s="110"/>
    </row>
    <row r="53" spans="1:12" ht="12.75" hidden="1" customHeight="1" x14ac:dyDescent="0.2">
      <c r="B53" s="111"/>
      <c r="C53" s="388" t="str">
        <f>IF(B53=0,"",VLOOKUP($B53,Table2[],2,FALSE))</f>
        <v/>
      </c>
      <c r="D53" s="388"/>
      <c r="E53" s="388"/>
      <c r="F53" s="112"/>
      <c r="G53" s="175"/>
      <c r="H53" s="178"/>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5"/>
      <c r="H54" s="178"/>
      <c r="I54" s="120" t="str">
        <f>IF($B54=0,"",VLOOKUP($B54,Table2[],5,FALSE))</f>
        <v/>
      </c>
      <c r="J54" s="109" t="str">
        <f>IF($B54=0,"",VLOOKUP($B54,Table2[],7,FALSE))</f>
        <v/>
      </c>
      <c r="K54" s="109">
        <f t="shared" si="2"/>
        <v>0</v>
      </c>
      <c r="L54" s="110"/>
    </row>
    <row r="55" spans="1:12" ht="12.75" hidden="1" customHeight="1" x14ac:dyDescent="0.2">
      <c r="B55" s="217"/>
      <c r="C55" s="387" t="str">
        <f>IF(B55=0,"",VLOOKUP($B55,Table2[],2,FALSE))</f>
        <v/>
      </c>
      <c r="D55" s="387"/>
      <c r="E55" s="387"/>
      <c r="F55" s="218"/>
      <c r="G55" s="224">
        <v>0.1</v>
      </c>
      <c r="H55" s="225"/>
      <c r="I55" s="223" t="str">
        <f>IF($B55=0,"",VLOOKUP($B55,Table2[],5,FALSE))</f>
        <v/>
      </c>
      <c r="J55" s="215" t="str">
        <f>IF($B55=0,"",VLOOKUP($B55,Table2[],7,FALSE))</f>
        <v/>
      </c>
      <c r="K55" s="215">
        <f t="shared" si="2"/>
        <v>0</v>
      </c>
      <c r="L55" s="216"/>
    </row>
    <row r="56" spans="1:12" ht="12.75" hidden="1" customHeight="1" x14ac:dyDescent="0.2">
      <c r="B56" s="111"/>
      <c r="C56" s="388" t="str">
        <f>IF(B56=0,"",VLOOKUP($B56,Table2[],2,FALSE))</f>
        <v/>
      </c>
      <c r="D56" s="388"/>
      <c r="E56" s="388"/>
      <c r="F56" s="112"/>
      <c r="G56" s="177">
        <v>0.2</v>
      </c>
      <c r="H56" s="178"/>
      <c r="I56" s="120" t="str">
        <f>IF($B56=0,"",VLOOKUP($B56,Table2[],5,FALSE))</f>
        <v/>
      </c>
      <c r="J56" s="109" t="str">
        <f>IF($B56=0,"",VLOOKUP($B56,Table2[],7,FALSE))</f>
        <v/>
      </c>
      <c r="K56" s="109">
        <f t="shared" si="2"/>
        <v>0</v>
      </c>
      <c r="L56" s="110"/>
    </row>
    <row r="57" spans="1:12" ht="12.75" hidden="1" customHeight="1" x14ac:dyDescent="0.2">
      <c r="B57" s="111"/>
      <c r="C57" s="388" t="str">
        <f>IF(B57=0,"",VLOOKUP($B57,Table2[],2,FALSE))</f>
        <v/>
      </c>
      <c r="D57" s="388"/>
      <c r="E57" s="388"/>
      <c r="F57" s="112"/>
      <c r="G57" s="177">
        <v>0.3</v>
      </c>
      <c r="H57" s="178"/>
      <c r="I57" s="120" t="str">
        <f>IF($B57=0,"",VLOOKUP($B57,Table2[],5,FALSE))</f>
        <v/>
      </c>
      <c r="J57" s="109" t="str">
        <f>IF($B57=0,"",VLOOKUP($B57,Table2[],7,FALSE))</f>
        <v/>
      </c>
      <c r="K57" s="109">
        <f t="shared" si="2"/>
        <v>0</v>
      </c>
      <c r="L57" s="110"/>
    </row>
    <row r="58" spans="1: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 t="shared" si="2"/>
        <v>0</v>
      </c>
      <c r="L58" s="113"/>
    </row>
    <row r="59" spans="1:12" ht="12.75" hidden="1" customHeight="1" x14ac:dyDescent="0.2">
      <c r="B59" s="217"/>
      <c r="C59" s="387" t="str">
        <f>IF(B59=0,"",VLOOKUP($B59,Table2[],2,FALSE))</f>
        <v/>
      </c>
      <c r="D59" s="387"/>
      <c r="E59" s="387"/>
      <c r="F59" s="218"/>
      <c r="G59" s="224"/>
      <c r="H59" s="225"/>
      <c r="I59" s="223" t="str">
        <f>IF($B59=0,"",VLOOKUP($B59,Table2[],5,FALSE))</f>
        <v/>
      </c>
      <c r="J59" s="215" t="str">
        <f>IF($B59=0,"",VLOOKUP($B59,Table2[],7,FALSE))</f>
        <v/>
      </c>
      <c r="K59" s="215">
        <f>IF(B59=0,0,ROUND(G59*H59*J59,2))</f>
        <v>0</v>
      </c>
      <c r="L59" s="227"/>
    </row>
    <row r="60" spans="1: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217"/>
      <c r="C63" s="387" t="str">
        <f>IF(B63=0,"",VLOOKUP($B63,Table2[],2,FALSE))</f>
        <v/>
      </c>
      <c r="D63" s="387"/>
      <c r="E63" s="387"/>
      <c r="F63" s="218"/>
      <c r="G63" s="224"/>
      <c r="H63" s="225"/>
      <c r="I63" s="223" t="str">
        <f>IF($B63=0,"",VLOOKUP($B63,Table2[],5,FALSE))</f>
        <v/>
      </c>
      <c r="J63" s="215" t="str">
        <f>IF($B63=0,"",VLOOKUP($B63,Table2[],7,FALSE))</f>
        <v/>
      </c>
      <c r="K63" s="215">
        <f>IF(B63=0,0,ROUND(G63*H63*J63,2))</f>
        <v>0</v>
      </c>
      <c r="L63" s="227"/>
    </row>
    <row r="64" spans="1:12" x14ac:dyDescent="0.2">
      <c r="B64" s="185" t="s">
        <v>430</v>
      </c>
      <c r="C64" s="388" t="s">
        <v>655</v>
      </c>
      <c r="D64" s="388"/>
      <c r="E64" s="388"/>
      <c r="F64" s="112"/>
      <c r="G64" s="177"/>
      <c r="H64" s="178"/>
      <c r="I64" s="170"/>
      <c r="J64" s="109" t="str">
        <f ca="1">IF(F5=0,E5,F5)</f>
        <v>N/A</v>
      </c>
      <c r="K64" s="109" t="str">
        <f ca="1">IF(B64=0,0,J64)</f>
        <v>N/A</v>
      </c>
      <c r="L64" s="113"/>
    </row>
    <row r="65" spans="1:12" ht="3.75" customHeight="1" thickBot="1" x14ac:dyDescent="0.25">
      <c r="B65" s="114"/>
      <c r="C65" s="121"/>
      <c r="D65" s="121"/>
      <c r="E65" s="121"/>
      <c r="F65" s="115"/>
      <c r="G65" s="122"/>
      <c r="H65" s="114"/>
      <c r="I65" s="123"/>
      <c r="J65" s="124"/>
      <c r="K65" s="125"/>
      <c r="L65" s="117"/>
    </row>
    <row r="66" spans="1:12" ht="13.5" thickTop="1" x14ac:dyDescent="0.2">
      <c r="C66" s="108" t="s">
        <v>671</v>
      </c>
      <c r="D66" s="108"/>
      <c r="J66" s="126"/>
      <c r="K66" s="141">
        <f>SUM(K37:K63)</f>
        <v>87.43</v>
      </c>
      <c r="L66" s="110"/>
    </row>
    <row r="67" spans="1:12" x14ac:dyDescent="0.2">
      <c r="B67" s="144"/>
      <c r="K67" s="128"/>
    </row>
    <row r="68" spans="1:12" x14ac:dyDescent="0.2">
      <c r="B68" s="107" t="s">
        <v>672</v>
      </c>
      <c r="K68" s="141">
        <f>K33+K66</f>
        <v>120.17</v>
      </c>
      <c r="L68" s="110"/>
    </row>
    <row r="69" spans="1:12" ht="13.5" thickBot="1" x14ac:dyDescent="0.25">
      <c r="D69" s="128" t="s">
        <v>673</v>
      </c>
      <c r="E69" s="129">
        <f>ROUND(SUM($E$33:$H$33)+$K$66,2)</f>
        <v>100.67</v>
      </c>
      <c r="F69" s="388" t="s">
        <v>674</v>
      </c>
      <c r="G69" s="388"/>
      <c r="H69" s="130">
        <f>'General Variables'!$B$11</f>
        <v>7.4999999999999997E-2</v>
      </c>
      <c r="I69" s="131" t="str">
        <f>CONCATENATE("for ",TEXT('General Variables'!$B$12,"0.0")," mo.")</f>
        <v>for 6.0 mo.</v>
      </c>
      <c r="K69" s="145">
        <f>E69*H69*'General Variables'!$B$12/12</f>
        <v>3.7751250000000005</v>
      </c>
      <c r="L69" s="133"/>
    </row>
    <row r="70" spans="1:12" ht="13.5" thickTop="1" x14ac:dyDescent="0.2">
      <c r="B70" s="107" t="s">
        <v>675</v>
      </c>
      <c r="K70" s="141">
        <f>SUM(K68:K69)</f>
        <v>123.945125</v>
      </c>
      <c r="L70" s="110"/>
    </row>
    <row r="71" spans="1:12" x14ac:dyDescent="0.2">
      <c r="K71" s="128"/>
    </row>
    <row r="72" spans="1:12" x14ac:dyDescent="0.2">
      <c r="B72" s="104" t="s">
        <v>676</v>
      </c>
      <c r="C72" s="134"/>
      <c r="D72" s="134"/>
      <c r="E72" s="134"/>
      <c r="F72" s="134"/>
      <c r="G72" s="134"/>
      <c r="H72" s="134"/>
      <c r="I72" s="134"/>
      <c r="J72" s="134"/>
      <c r="K72" s="142">
        <v>0</v>
      </c>
      <c r="L72" s="110"/>
    </row>
    <row r="73" spans="1:12" x14ac:dyDescent="0.2">
      <c r="B73" s="103" t="s">
        <v>677</v>
      </c>
      <c r="C73" s="402"/>
      <c r="D73" s="403"/>
      <c r="E73" s="404"/>
      <c r="F73" s="136">
        <f>IF(C73=0,0,VLOOKUP(C73,RETable,2,FALSE))</f>
        <v>0</v>
      </c>
      <c r="G73" s="388" t="s">
        <v>678</v>
      </c>
      <c r="H73" s="388"/>
      <c r="I73" s="130">
        <f>'General Variables'!$B$10</f>
        <v>0.03</v>
      </c>
      <c r="K73" s="146">
        <f>ROUND(F73*I73,2)</f>
        <v>0</v>
      </c>
      <c r="L73" s="110"/>
    </row>
    <row r="74" spans="1:12" ht="13.5" thickBot="1" x14ac:dyDescent="0.25">
      <c r="B74" s="103" t="s">
        <v>679</v>
      </c>
      <c r="F74" s="138">
        <f>IF(C73=0,0,VLOOKUP(C73,RETable,2,FALSE))</f>
        <v>0</v>
      </c>
      <c r="G74" s="397" t="s">
        <v>678</v>
      </c>
      <c r="H74" s="397"/>
      <c r="I74" s="139">
        <f>'General Variables'!$B$13</f>
        <v>1.2999999999999999E-2</v>
      </c>
      <c r="J74" s="105"/>
      <c r="K74" s="147">
        <f>ROUND(F74*I74,2)</f>
        <v>0</v>
      </c>
      <c r="L74" s="133"/>
    </row>
    <row r="75" spans="1:12" ht="13.5" thickTop="1" x14ac:dyDescent="0.2">
      <c r="B75" s="107" t="s">
        <v>680</v>
      </c>
      <c r="K75" s="141">
        <f>SUM(K70:K74)</f>
        <v>123.945125</v>
      </c>
      <c r="L75" s="110"/>
    </row>
    <row r="76" spans="1:12" x14ac:dyDescent="0.2">
      <c r="K76" s="128"/>
    </row>
    <row r="77" spans="1:12" x14ac:dyDescent="0.2">
      <c r="A77" s="128" t="s">
        <v>638</v>
      </c>
      <c r="B77" s="352" t="s">
        <v>899</v>
      </c>
      <c r="C77" s="261"/>
      <c r="D77" s="105"/>
      <c r="E77" s="105"/>
      <c r="F77" s="105"/>
      <c r="G77" s="105"/>
      <c r="H77" s="105"/>
      <c r="I77" s="105"/>
      <c r="J77" s="105"/>
      <c r="K77" s="142"/>
      <c r="L77" s="105"/>
    </row>
    <row r="78" spans="1:12" x14ac:dyDescent="0.2">
      <c r="B78" s="107" t="str">
        <f>IF(G4="","","Cost of production per "&amp;H4)</f>
        <v/>
      </c>
      <c r="D78" s="103" t="s">
        <v>900</v>
      </c>
      <c r="G78" s="105"/>
      <c r="H78" s="105"/>
      <c r="I78" s="105"/>
      <c r="J78" s="105"/>
      <c r="K78" s="355" t="s">
        <v>901</v>
      </c>
      <c r="L78" s="105"/>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5"/>
      <c r="C114" s="105"/>
      <c r="D114" s="105"/>
      <c r="H114" s="103" t="e">
        <f>'General Variables'!#REF!</f>
        <v>#REF!</v>
      </c>
    </row>
    <row r="115" spans="2:11" x14ac:dyDescent="0.2">
      <c r="B115" s="105"/>
      <c r="C115" s="105"/>
      <c r="D115" s="105"/>
      <c r="H115" s="103" t="e">
        <f>'General Variables'!#REF!</f>
        <v>#REF!</v>
      </c>
      <c r="K115" s="103" t="s">
        <v>681</v>
      </c>
    </row>
    <row r="116" spans="2:11" x14ac:dyDescent="0.2">
      <c r="B116" s="105"/>
      <c r="C116" s="105"/>
      <c r="D116" s="105"/>
      <c r="H116" s="103" t="e">
        <f>'General Variables'!#REF!</f>
        <v>#REF!</v>
      </c>
      <c r="K116" s="103" t="s">
        <v>654</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t="str">
        <f>IF(Operations!A96="","",Operations!A96)</f>
        <v/>
      </c>
      <c r="C244" s="105" t="str">
        <f>IF(Materials!B140="","",Materials!B140)</f>
        <v>Alfalfa w/Inoculant</v>
      </c>
    </row>
    <row r="245" spans="2:3" x14ac:dyDescent="0.2">
      <c r="B245" s="105" t="str">
        <f>IF(Operations!A97="","",Operations!A97)</f>
        <v/>
      </c>
      <c r="C245" s="105" t="str">
        <f>IF(Materials!B141="","",Materials!B141)</f>
        <v>Corn</v>
      </c>
    </row>
    <row r="246" spans="2:3" x14ac:dyDescent="0.2">
      <c r="B246" s="105" t="str">
        <f>IF(Operations!A98="","",Operations!A98)</f>
        <v/>
      </c>
      <c r="C246" s="105" t="str">
        <f>IF(Materials!B142="","",Materials!B142)</f>
        <v>Corn Bt, ECB, &amp; RIB</v>
      </c>
    </row>
    <row r="247" spans="2:3" x14ac:dyDescent="0.2">
      <c r="B247" s="105" t="str">
        <f>IF(Operations!A99="","",Operations!A99)</f>
        <v/>
      </c>
      <c r="C247" s="105" t="str">
        <f>IF(Materials!B143="","",Materials!B143)</f>
        <v>Corn Bt, ECB, RR2, LL, &amp; RIB</v>
      </c>
    </row>
    <row r="248" spans="2:3" x14ac:dyDescent="0.2">
      <c r="B248" s="105" t="str">
        <f>IF(Operations!A100="","",Operations!A100)</f>
        <v/>
      </c>
      <c r="C248" s="105" t="str">
        <f>IF(Materials!B144="","",Materials!B144)</f>
        <v>Corn Bt, ECB, RW, &amp; RIB</v>
      </c>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row>
    <row r="259" spans="2:3" x14ac:dyDescent="0.2">
      <c r="B259" s="105"/>
    </row>
  </sheetData>
  <mergeCells count="50">
    <mergeCell ref="F69:G69"/>
    <mergeCell ref="C73:E73"/>
    <mergeCell ref="G73:H73"/>
    <mergeCell ref="G74:H74"/>
    <mergeCell ref="C59:E59"/>
    <mergeCell ref="C60:E60"/>
    <mergeCell ref="C61:E61"/>
    <mergeCell ref="C62:E62"/>
    <mergeCell ref="C63:E63"/>
    <mergeCell ref="C64:E64"/>
    <mergeCell ref="C58:E58"/>
    <mergeCell ref="C47:E47"/>
    <mergeCell ref="C48:E48"/>
    <mergeCell ref="C49:E49"/>
    <mergeCell ref="C50:E50"/>
    <mergeCell ref="C51:E51"/>
    <mergeCell ref="C52:E52"/>
    <mergeCell ref="C53:E53"/>
    <mergeCell ref="C54:E54"/>
    <mergeCell ref="C55:E55"/>
    <mergeCell ref="C56:E56"/>
    <mergeCell ref="C57:E57"/>
    <mergeCell ref="C46:E46"/>
    <mergeCell ref="F35:F36"/>
    <mergeCell ref="G35:G36"/>
    <mergeCell ref="H35:I35"/>
    <mergeCell ref="J35:J36"/>
    <mergeCell ref="C38:E38"/>
    <mergeCell ref="C40:E40"/>
    <mergeCell ref="C42:E42"/>
    <mergeCell ref="C44:E44"/>
    <mergeCell ref="C45:E45"/>
    <mergeCell ref="C37:E37"/>
    <mergeCell ref="C43:E43"/>
    <mergeCell ref="C41:E41"/>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K4" xr:uid="{00000000-0002-0000-5800-000000000000}">
      <formula1>$K$114:$K$116</formula1>
    </dataValidation>
    <dataValidation type="list" allowBlank="1" showInputMessage="1" showErrorMessage="1" sqref="B32" xr:uid="{00000000-0002-0000-5800-000001000000}">
      <formula1>$B$114:$B$211</formula1>
    </dataValidation>
    <dataValidation type="list" allowBlank="1" showInputMessage="1" showErrorMessage="1" sqref="B65" xr:uid="{00000000-0002-0000-5800-000002000000}">
      <formula1>$C$114:$C$232</formula1>
    </dataValidation>
    <dataValidation type="list" allowBlank="1" showInputMessage="1" showErrorMessage="1" sqref="B37:B63" xr:uid="{00000000-0002-0000-5800-000003000000}">
      <formula1>MaterialList</formula1>
    </dataValidation>
    <dataValidation type="list" allowBlank="1" showInputMessage="1" showErrorMessage="1" sqref="C73:E73" xr:uid="{00000000-0002-0000-5800-000004000000}">
      <formula1>RealEstateList</formula1>
    </dataValidation>
    <dataValidation type="list" allowBlank="1" showInputMessage="1" showErrorMessage="1" sqref="B12:B31" xr:uid="{00000000-0002-0000-5800-000005000000}">
      <formula1>OperationList</formula1>
    </dataValidation>
    <dataValidation type="list" allowBlank="1" showInputMessage="1" showErrorMessage="1" sqref="D12:D32" xr:uid="{00000000-0002-0000-5800-000006000000}">
      <formula1>#REF!</formula1>
    </dataValidation>
    <dataValidation type="list" allowBlank="1" showInputMessage="1" showErrorMessage="1" sqref="K2" xr:uid="{00000000-0002-0000-5800-000007000000}">
      <formula1>watersource</formula1>
    </dataValidation>
    <dataValidation type="list" allowBlank="1" showInputMessage="1" showErrorMessage="1" sqref="C3" xr:uid="{00000000-0002-0000-5800-000008000000}">
      <formula1>TillageSystem</formula1>
    </dataValidation>
  </dataValidations>
  <pageMargins left="0.7" right="0.7" top="0.75" bottom="0.75" header="0.3" footer="0.3"/>
  <pageSetup scale="71"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3">
    <pageSetUpPr fitToPage="1"/>
  </sheetPr>
  <dimension ref="A2:M257"/>
  <sheetViews>
    <sheetView topLeftCell="A14" zoomScaleNormal="100" workbookViewId="0">
      <selection activeCell="D14" sqref="D14"/>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t="s">
        <v>682</v>
      </c>
      <c r="H2" s="392"/>
      <c r="J2" s="128" t="s">
        <v>649</v>
      </c>
      <c r="K2" s="401" t="s">
        <v>74</v>
      </c>
      <c r="L2" s="401"/>
    </row>
    <row r="3" spans="1:13" hidden="1" x14ac:dyDescent="0.2">
      <c r="B3" s="103" t="s">
        <v>38</v>
      </c>
      <c r="C3" s="391" t="s">
        <v>43</v>
      </c>
      <c r="D3" s="391"/>
      <c r="E3" s="391"/>
      <c r="G3" s="128" t="s">
        <v>650</v>
      </c>
      <c r="H3" s="187"/>
      <c r="J3" s="128" t="s">
        <v>651</v>
      </c>
      <c r="K3" s="187"/>
    </row>
    <row r="4" spans="1:13" hidden="1" x14ac:dyDescent="0.2">
      <c r="B4" s="103" t="s">
        <v>652</v>
      </c>
      <c r="C4" s="392" t="s">
        <v>49</v>
      </c>
      <c r="D4" s="392"/>
      <c r="E4" s="392"/>
      <c r="G4" s="103" t="str">
        <f>IFERROR(VALUE(LEFT($H$3,FIND(" ",$H$3))),"")</f>
        <v/>
      </c>
      <c r="H4" s="103" t="str">
        <f>IFERROR(RIGHT(H3,LEN(H3)-LEN(G4)-1),"")</f>
        <v/>
      </c>
      <c r="J4" s="128" t="s">
        <v>653</v>
      </c>
      <c r="K4" s="188"/>
    </row>
    <row r="5" spans="1:13" ht="15.75" hidden="1" customHeight="1" x14ac:dyDescent="0.2">
      <c r="B5" s="103" t="s">
        <v>655</v>
      </c>
      <c r="C5" s="238" t="str">
        <f ca="1">MID(CELL("filename",C5),FIND("]",CELL("filename",C5))+1,255)</f>
        <v>3-Alfalfa</v>
      </c>
      <c r="E5" s="103" t="e">
        <f ca="1">VLOOKUP($C$5,CropInsurance,5,FALSE)</f>
        <v>#N/A</v>
      </c>
      <c r="F5" s="103" t="e">
        <f ca="1">VLOOKUP($C$5,CropInsurance,6,FALSE)</f>
        <v>#N/A</v>
      </c>
    </row>
    <row r="6" spans="1:13" ht="15.75" hidden="1" customHeight="1" x14ac:dyDescent="0.25">
      <c r="A6" s="390" t="str">
        <f ca="1">REPLACE(CELL("filename",$A$1),1,FIND("]",CELL("filename",$A$1)),"") &amp;  IF($G$2="","", ", " &amp; $G$2 ) &amp; IF($C$2="","",", "&amp;$C$2&amp;"") &amp; IF($C$3="","",", "&amp;$C$3) &amp; IF($C$4="","",", "&amp;$C$4) &amp; IF($H$3="","",", "&amp;$H$3 &amp; " Yield") &amp; IF(K2="","",", " &amp;K2)</f>
        <v>3-Alfalfa, Roundup Ready®, Conventional Tillage, Fall Establishment, Dryland</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3-Alfalfa, Roundup Ready®, Conventional Tillage, Fall Establishment</v>
      </c>
      <c r="C7" s="393"/>
      <c r="D7" s="393"/>
      <c r="E7" s="393"/>
      <c r="F7" s="393"/>
      <c r="G7" s="393"/>
      <c r="H7" s="393"/>
      <c r="I7" s="393"/>
      <c r="J7" s="393"/>
      <c r="K7" s="393"/>
      <c r="L7" s="393"/>
      <c r="M7" s="186"/>
    </row>
    <row r="8" spans="1:13" ht="15.75" x14ac:dyDescent="0.25">
      <c r="B8" s="189" t="str">
        <f>IF(K2="","",K2)&amp;IF(LEFT(K2,5)="Pivot",", 800 GPM 35 PSI","") &amp; IF(K3="","",", "&amp; K3&amp;" "&amp;J3)</f>
        <v>Dryland</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180" t="s">
        <v>556</v>
      </c>
      <c r="C12" s="174">
        <v>1</v>
      </c>
      <c r="D12" s="174"/>
      <c r="E12" s="109">
        <f>IF(B12=0,"",IF(C12&gt;9999,"",ROUND('General Variables'!$B$4*VLOOKUP(B12,Operations!$A$2:$U$79,10,FALSE)/VLOOKUP(B12,Operations!$A$2:$U$79,9,FALSE)*C12,2)))</f>
        <v>2.13</v>
      </c>
      <c r="F12" s="109">
        <f>IF(B12=0,0,IF(C12&gt;9999,"",ROUND(IF(VLOOKUP(B12,Operations!$A$2:$U$79,12,FALSE)=0,VLOOKUP(B12,Operations!$A$2:$U$79,13,FALSE)*'General Variables'!$B$8,VLOOKUP(B12,Operations!$A$2:$U$79,12,FALSE)*'General Variables'!$B$7)/VLOOKUP(B12,Operations!$A$2:$U$79,9,FALSE)*C12,2)))</f>
        <v>0.97</v>
      </c>
      <c r="G12" s="109">
        <f>IF(B12=0,0,IF(C12&gt;9999,"",ROUND(VLOOKUP(VLOOKUP(B12,Operations!$A$2:$U$79,11,FALSE),PowerUnits[],10,FALSE)/VLOOKUP(B12,Operations!$A$2:$U$79,9,FALSE)*C12,2)))</f>
        <v>7.0000000000000007E-2</v>
      </c>
      <c r="H12" s="109">
        <f>IF(B12=0,"",IF(C12&gt;9999,"",ROUND(VLOOKUP($B12,Operations!$A$2:$U$79,15,FALSE)*C12,2)))</f>
        <v>0</v>
      </c>
      <c r="I12" s="109">
        <f>IF(B12=0,0,IF(C12&gt;9999,"",ROUND(VLOOKUP(VLOOKUP(B12,Operations!$A$2:$U$79,11,FALSE),PowerUnits[],16,FALSE)/VLOOKUP(B12,Operations!$A$2:$U$79,9,FALSE)*C12,2)))</f>
        <v>3.41</v>
      </c>
      <c r="J12" s="109">
        <f>IF(B12=0,"",IF(C12&gt;9999,"",ROUND(VLOOKUP($B12,Operations!$A$2:$U$79,21,FALSE)*$C12,2)))</f>
        <v>2.64</v>
      </c>
      <c r="K12" s="109">
        <f>IF(C12&gt;9999,"",SUM(E12:J12))</f>
        <v>9.2200000000000006</v>
      </c>
      <c r="L12" s="110"/>
    </row>
    <row r="13" spans="1:13" x14ac:dyDescent="0.2">
      <c r="A13" s="170">
        <v>2</v>
      </c>
      <c r="B13" s="180" t="s">
        <v>478</v>
      </c>
      <c r="C13" s="174">
        <v>1</v>
      </c>
      <c r="D13" s="174"/>
      <c r="E13" s="109">
        <f>IF(B13=0,"",IF(C13&gt;9999,"",ROUND('General Variables'!$B$4*VLOOKUP(B13,Operations!$A$2:$U$79,10,FALSE)/VLOOKUP(B13,Operations!$A$2:$U$79,9,FALSE)*C13,2)))</f>
        <v>2.72</v>
      </c>
      <c r="F13" s="109">
        <f>IF(B13=0,0,IF(C13&gt;9999,"",ROUND(IF(VLOOKUP(B13,Operations!$A$2:$U$79,12,FALSE)=0,VLOOKUP(B13,Operations!$A$2:$U$79,13,FALSE)*'General Variables'!$B$8,VLOOKUP(B13,Operations!$A$2:$U$79,12,FALSE)*'General Variables'!$B$7)/VLOOKUP(B13,Operations!$A$2:$U$79,9,FALSE)*C13,2)))</f>
        <v>2.4300000000000002</v>
      </c>
      <c r="G13" s="109">
        <f>IF(B13=0,0,IF(C13&gt;9999,"",ROUND(VLOOKUP(VLOOKUP(B13,Operations!$A$2:$U$79,11,FALSE),PowerUnits[],10,FALSE)/VLOOKUP(B13,Operations!$A$2:$U$79,9,FALSE)*C13,2)))</f>
        <v>0.31</v>
      </c>
      <c r="H13" s="109">
        <f>IF(B13=0,"",IF(C13&gt;9999,"",ROUND(VLOOKUP($B13,Operations!$A$2:$U$79,15,FALSE)*C13,2)))</f>
        <v>1.68</v>
      </c>
      <c r="I13" s="109">
        <f>IF(B13=0,0,IF(C13&gt;9999,"",ROUND(VLOOKUP(VLOOKUP(B13,Operations!$A$2:$U$79,11,FALSE),PowerUnits[],16,FALSE)/VLOOKUP(B13,Operations!$A$2:$U$79,9,FALSE)*C13,2)))</f>
        <v>8.4600000000000009</v>
      </c>
      <c r="J13" s="109">
        <f>IF(B13=0,"",IF(C13&gt;9999,"",ROUND(VLOOKUP($B13,Operations!$A$2:$U$79,21,FALSE)*$C13,2)))</f>
        <v>2.46</v>
      </c>
      <c r="K13" s="109">
        <f t="shared" ref="K13:K31" si="0">IF(C13&gt;9999,"",SUM(E13:J13))</f>
        <v>18.060000000000002</v>
      </c>
      <c r="L13" s="110"/>
    </row>
    <row r="14" spans="1:13" x14ac:dyDescent="0.2">
      <c r="A14" s="170">
        <v>3</v>
      </c>
      <c r="B14" s="180" t="s">
        <v>501</v>
      </c>
      <c r="C14" s="174">
        <v>1</v>
      </c>
      <c r="D14" s="174"/>
      <c r="E14" s="109">
        <f>IF(B14=0,"",IF(C14&gt;9999,"",ROUND('General Variables'!$B$4*VLOOKUP(B14,Operations!$A$2:$U$79,10,FALSE)/VLOOKUP(B14,Operations!$A$2:$U$79,9,FALSE)*C14,2)))</f>
        <v>1.24</v>
      </c>
      <c r="F14" s="109">
        <f>IF(B14=0,0,IF(C14&gt;9999,"",ROUND(IF(VLOOKUP(B14,Operations!$A$2:$U$79,12,FALSE)=0,VLOOKUP(B14,Operations!$A$2:$U$79,13,FALSE)*'General Variables'!$B$8,VLOOKUP(B14,Operations!$A$2:$U$79,12,FALSE)*'General Variables'!$B$7)/VLOOKUP(B14,Operations!$A$2:$U$79,9,FALSE)*C14,2)))</f>
        <v>0.27</v>
      </c>
      <c r="G14" s="109">
        <f>IF(B14=0,0,IF(C14&gt;9999,"",ROUND(VLOOKUP(VLOOKUP(B14,Operations!$A$2:$U$79,11,FALSE),PowerUnits[],10,FALSE)/VLOOKUP(B14,Operations!$A$2:$U$79,9,FALSE)*C14,2)))</f>
        <v>0.03</v>
      </c>
      <c r="H14" s="109">
        <f>IF(B14=0,"",IF(C14&gt;9999,"",ROUND(VLOOKUP($B14,Operations!$A$2:$U$79,15,FALSE)*C14,2)))</f>
        <v>0.64</v>
      </c>
      <c r="I14" s="109">
        <f>IF(B14=0,0,IF(C14&gt;9999,"",ROUND(VLOOKUP(VLOOKUP(B14,Operations!$A$2:$U$79,11,FALSE),PowerUnits[],16,FALSE)/VLOOKUP(B14,Operations!$A$2:$U$79,9,FALSE)*C14,2)))</f>
        <v>1.8</v>
      </c>
      <c r="J14" s="109">
        <f>IF(B14=0,"",IF(C14&gt;9999,"",ROUND(VLOOKUP($B14,Operations!$A$2:$U$79,21,FALSE)*$C14,2)))</f>
        <v>3.69</v>
      </c>
      <c r="K14" s="109">
        <f t="shared" si="0"/>
        <v>7.67</v>
      </c>
      <c r="L14" s="110"/>
    </row>
    <row r="15" spans="1:13" x14ac:dyDescent="0.2">
      <c r="A15" s="170">
        <v>4</v>
      </c>
      <c r="B15" s="213" t="s">
        <v>501</v>
      </c>
      <c r="C15" s="214">
        <v>1</v>
      </c>
      <c r="D15" s="214"/>
      <c r="E15" s="215">
        <f>IF(B15=0,"",IF(C15&gt;9999,"",ROUND('General Variables'!$B$4*VLOOKUP(B15,Operations!$A$2:$U$79,10,FALSE)/VLOOKUP(B15,Operations!$A$2:$U$79,9,FALSE)*C15,2)))</f>
        <v>1.24</v>
      </c>
      <c r="F15" s="215">
        <f>IF(B15=0,0,IF(C15&gt;9999,"",ROUND(IF(VLOOKUP(B15,Operations!$A$2:$U$79,12,FALSE)=0,VLOOKUP(B15,Operations!$A$2:$U$79,13,FALSE)*'General Variables'!$B$8,VLOOKUP(B15,Operations!$A$2:$U$79,12,FALSE)*'General Variables'!$B$7)/VLOOKUP(B15,Operations!$A$2:$U$79,9,FALSE)*C15,2)))</f>
        <v>0.27</v>
      </c>
      <c r="G15" s="215">
        <f>IF(B15=0,0,IF(C15&gt;9999,"",ROUND(VLOOKUP(VLOOKUP(B15,Operations!$A$2:$U$79,11,FALSE),PowerUnits[],10,FALSE)/VLOOKUP(B15,Operations!$A$2:$U$79,9,FALSE)*C15,2)))</f>
        <v>0.03</v>
      </c>
      <c r="H15" s="215">
        <f>IF(B15=0,"",IF(C15&gt;9999,"",ROUND(VLOOKUP($B15,Operations!$A$2:$U$79,15,FALSE)*C15,2)))</f>
        <v>0.64</v>
      </c>
      <c r="I15" s="215">
        <f>IF(B15=0,0,IF(C15&gt;9999,"",ROUND(VLOOKUP(VLOOKUP(B15,Operations!$A$2:$U$79,11,FALSE),PowerUnits[],16,FALSE)/VLOOKUP(B15,Operations!$A$2:$U$79,9,FALSE)*C15,2)))</f>
        <v>1.8</v>
      </c>
      <c r="J15" s="215">
        <f>IF(B15=0,"",IF(C15&gt;9999,"",ROUND(VLOOKUP($B15,Operations!$A$2:$U$79,21,FALSE)*$C15,2)))</f>
        <v>3.69</v>
      </c>
      <c r="K15" s="215">
        <f t="shared" si="0"/>
        <v>7.67</v>
      </c>
      <c r="L15" s="216"/>
    </row>
    <row r="16" spans="1:13" x14ac:dyDescent="0.2">
      <c r="A16" s="170">
        <v>5</v>
      </c>
      <c r="B16" s="180" t="s">
        <v>488</v>
      </c>
      <c r="C16" s="174">
        <v>1</v>
      </c>
      <c r="D16" s="174"/>
      <c r="E16" s="109">
        <f>IF(B16=0,"",IF(C16&gt;9999,"",ROUND('General Variables'!$B$4*VLOOKUP(B16,Operations!$A$2:$U$79,10,FALSE)/VLOOKUP(B16,Operations!$A$2:$U$79,9,FALSE)*C16,2)))</f>
        <v>2.38</v>
      </c>
      <c r="F16" s="109">
        <f>IF(B16=0,0,IF(C16&gt;9999,"",ROUND(IF(VLOOKUP(B16,Operations!$A$2:$U$79,12,FALSE)=0,VLOOKUP(B16,Operations!$A$2:$U$79,13,FALSE)*'General Variables'!$B$8,VLOOKUP(B16,Operations!$A$2:$U$79,12,FALSE)*'General Variables'!$B$7)/VLOOKUP(B16,Operations!$A$2:$U$79,9,FALSE)*C16,2)))</f>
        <v>1.28</v>
      </c>
      <c r="G16" s="109">
        <f>IF(B16=0,0,IF(C16&gt;9999,"",ROUND(VLOOKUP(VLOOKUP(B16,Operations!$A$2:$U$79,11,FALSE),PowerUnits[],10,FALSE)/VLOOKUP(B16,Operations!$A$2:$U$79,9,FALSE)*C16,2)))</f>
        <v>7.0000000000000007E-2</v>
      </c>
      <c r="H16" s="109">
        <f>IF(B16=0,"",IF(C16&gt;9999,"",ROUND(VLOOKUP($B16,Operations!$A$2:$U$79,15,FALSE)*C16,2)))</f>
        <v>7.18</v>
      </c>
      <c r="I16" s="109">
        <f>IF(B16=0,0,IF(C16&gt;9999,"",ROUND(VLOOKUP(VLOOKUP(B16,Operations!$A$2:$U$79,11,FALSE),PowerUnits[],16,FALSE)/VLOOKUP(B16,Operations!$A$2:$U$79,9,FALSE)*C16,2)))</f>
        <v>3.46</v>
      </c>
      <c r="J16" s="109">
        <f>IF(B16=0,"",IF(C16&gt;9999,"",ROUND(VLOOKUP($B16,Operations!$A$2:$U$79,21,FALSE)*$C16,2)))</f>
        <v>2.4500000000000002</v>
      </c>
      <c r="K16" s="109">
        <f t="shared" si="0"/>
        <v>16.82</v>
      </c>
      <c r="L16" s="110"/>
    </row>
    <row r="17" spans="1:13" x14ac:dyDescent="0.2">
      <c r="A17" s="170">
        <v>6</v>
      </c>
      <c r="B17" s="180" t="s">
        <v>540</v>
      </c>
      <c r="C17" s="174">
        <v>1</v>
      </c>
      <c r="D17" s="174"/>
      <c r="E17" s="109">
        <f>IF(B17=0,"",IF(C17&gt;9999,"",ROUND('General Variables'!$B$4*VLOOKUP(B17,Operations!$A$2:$U$79,10,FALSE)/VLOOKUP(B17,Operations!$A$2:$U$79,9,FALSE)*C17,2)))</f>
        <v>2.25</v>
      </c>
      <c r="F17" s="109">
        <f>IF(B17=0,0,IF(C17&gt;9999,"",ROUND(IF(VLOOKUP(B17,Operations!$A$2:$U$79,12,FALSE)=0,VLOOKUP(B17,Operations!$A$2:$U$79,13,FALSE)*'General Variables'!$B$8,VLOOKUP(B17,Operations!$A$2:$U$79,12,FALSE)*'General Variables'!$B$7)/VLOOKUP(B17,Operations!$A$2:$U$79,9,FALSE)*C17,2)))</f>
        <v>1.45</v>
      </c>
      <c r="G17" s="109">
        <f>IF(B17=0,0,IF(C17&gt;9999,"",ROUND(VLOOKUP(VLOOKUP(B17,Operations!$A$2:$U$79,11,FALSE),PowerUnits[],10,FALSE)/VLOOKUP(B17,Operations!$A$2:$U$79,9,FALSE)*C17,2)))</f>
        <v>7.0000000000000007E-2</v>
      </c>
      <c r="H17" s="109">
        <f>IF(B17=0,"",IF(C17&gt;9999,"",ROUND(VLOOKUP($B17,Operations!$A$2:$U$79,15,FALSE)*C17,2)))</f>
        <v>0.39</v>
      </c>
      <c r="I17" s="109">
        <f>IF(B17=0,0,IF(C17&gt;9999,"",ROUND(VLOOKUP(VLOOKUP(B17,Operations!$A$2:$U$79,11,FALSE),PowerUnits[],16,FALSE)/VLOOKUP(B17,Operations!$A$2:$U$79,9,FALSE)*C17,2)))</f>
        <v>3.61</v>
      </c>
      <c r="J17" s="109">
        <f>IF(B17=0,"",IF(C17&gt;9999,"",ROUND(VLOOKUP($B17,Operations!$A$2:$U$79,21,FALSE)*$C17,2)))</f>
        <v>2.78</v>
      </c>
      <c r="K17" s="159">
        <f t="shared" si="0"/>
        <v>10.549999999999999</v>
      </c>
      <c r="L17" s="110"/>
      <c r="M17" s="245"/>
    </row>
    <row r="18" spans="1:13" x14ac:dyDescent="0.2">
      <c r="A18" s="170">
        <v>7</v>
      </c>
      <c r="B18" s="180" t="s">
        <v>551</v>
      </c>
      <c r="C18" s="174">
        <v>1</v>
      </c>
      <c r="D18" s="174"/>
      <c r="E18" s="109">
        <f>IF(B18=0,"",IF(C18&gt;9999,"",ROUND('General Variables'!$B$4*VLOOKUP(B18,Operations!$A$2:$U$79,10,FALSE)/VLOOKUP(B18,Operations!$A$2:$U$79,9,FALSE)*C18,2)))</f>
        <v>1.02</v>
      </c>
      <c r="F18" s="109">
        <f>IF(B18=0,0,IF(C18&gt;9999,"",ROUND(IF(VLOOKUP(B18,Operations!$A$2:$U$79,12,FALSE)=0,VLOOKUP(B18,Operations!$A$2:$U$79,13,FALSE)*'General Variables'!$B$8,VLOOKUP(B18,Operations!$A$2:$U$79,12,FALSE)*'General Variables'!$B$7)/VLOOKUP(B18,Operations!$A$2:$U$79,9,FALSE)*C18,2)))</f>
        <v>0.26</v>
      </c>
      <c r="G18" s="109">
        <f>IF(B18=0,0,IF(C18&gt;9999,"",ROUND(VLOOKUP(VLOOKUP(B18,Operations!$A$2:$U$79,11,FALSE),PowerUnits[],10,FALSE)/VLOOKUP(B18,Operations!$A$2:$U$79,9,FALSE)*C18,2)))</f>
        <v>0.03</v>
      </c>
      <c r="H18" s="109">
        <f>IF(B18=0,"",IF(C18&gt;9999,"",ROUND(VLOOKUP($B18,Operations!$A$2:$U$79,15,FALSE)*C18,2)))</f>
        <v>1.1100000000000001</v>
      </c>
      <c r="I18" s="109">
        <f>IF(B18=0,0,IF(C18&gt;9999,"",ROUND(VLOOKUP(VLOOKUP(B18,Operations!$A$2:$U$79,11,FALSE),PowerUnits[],16,FALSE)/VLOOKUP(B18,Operations!$A$2:$U$79,9,FALSE)*C18,2)))</f>
        <v>1.31</v>
      </c>
      <c r="J18" s="109">
        <f>IF(B18=0,"",IF(C18&gt;9999,"",ROUND(VLOOKUP($B18,Operations!$A$2:$U$79,21,FALSE)*$C18,2)))</f>
        <v>2.02</v>
      </c>
      <c r="K18" s="109">
        <f t="shared" si="0"/>
        <v>5.75</v>
      </c>
      <c r="L18" s="110"/>
    </row>
    <row r="19" spans="1:13" x14ac:dyDescent="0.2">
      <c r="A19" s="170">
        <v>8</v>
      </c>
      <c r="B19" s="213" t="s">
        <v>552</v>
      </c>
      <c r="C19" s="214">
        <v>0.2</v>
      </c>
      <c r="D19" s="214"/>
      <c r="E19" s="215">
        <f>IF(B19=0,"",IF(C19&gt;9999,"",ROUND('General Variables'!$B$4*VLOOKUP(B19,Operations!$A$2:$U$79,10,FALSE)/VLOOKUP(B19,Operations!$A$2:$U$79,9,FALSE)*C19,2)))</f>
        <v>0.2</v>
      </c>
      <c r="F19" s="215">
        <f>IF(B19=0,0,IF(C19&gt;9999,"",ROUND(IF(VLOOKUP(B19,Operations!$A$2:$U$79,12,FALSE)=0,VLOOKUP(B19,Operations!$A$2:$U$79,13,FALSE)*'General Variables'!$B$8,VLOOKUP(B19,Operations!$A$2:$U$79,12,FALSE)*'General Variables'!$B$7)/VLOOKUP(B19,Operations!$A$2:$U$79,9,FALSE)*C19,2)))</f>
        <v>0.05</v>
      </c>
      <c r="G19" s="215">
        <f>IF(B19=0,0,IF(C19&gt;9999,"",ROUND(VLOOKUP(VLOOKUP(B19,Operations!$A$2:$U$79,11,FALSE),PowerUnits[],10,FALSE)/VLOOKUP(B19,Operations!$A$2:$U$79,9,FALSE)*C19,2)))</f>
        <v>0.01</v>
      </c>
      <c r="H19" s="215">
        <f>IF(B19=0,"",IF(C19&gt;9999,"",ROUND(VLOOKUP($B19,Operations!$A$2:$U$79,15,FALSE)*C19,2)))</f>
        <v>0.22</v>
      </c>
      <c r="I19" s="215">
        <f>IF(B19=0,0,IF(C19&gt;9999,"",ROUND(VLOOKUP(VLOOKUP(B19,Operations!$A$2:$U$79,11,FALSE),PowerUnits[],16,FALSE)/VLOOKUP(B19,Operations!$A$2:$U$79,9,FALSE)*C19,2)))</f>
        <v>0.26</v>
      </c>
      <c r="J19" s="215">
        <f>IF(B19=0,"",IF(C19&gt;9999,"",ROUND(VLOOKUP($B19,Operations!$A$2:$U$79,21,FALSE)*$C19,2)))</f>
        <v>0.4</v>
      </c>
      <c r="K19" s="215">
        <f t="shared" si="0"/>
        <v>1.1400000000000001</v>
      </c>
      <c r="L19" s="216"/>
    </row>
    <row r="20" spans="1:13" hidden="1" x14ac:dyDescent="0.2">
      <c r="A20" s="170">
        <v>9</v>
      </c>
      <c r="B20" s="111"/>
      <c r="C20" s="112"/>
      <c r="D20" s="112"/>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3" hidden="1" x14ac:dyDescent="0.2">
      <c r="A21" s="170">
        <v>10</v>
      </c>
      <c r="B21" s="111"/>
      <c r="C21" s="112"/>
      <c r="D21" s="112"/>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3" hidden="1" x14ac:dyDescent="0.2">
      <c r="A22" s="170">
        <v>11</v>
      </c>
      <c r="B22" s="111"/>
      <c r="C22" s="112"/>
      <c r="D22" s="112"/>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3" hidden="1" x14ac:dyDescent="0.2">
      <c r="A23" s="170">
        <v>12</v>
      </c>
      <c r="B23" s="217"/>
      <c r="C23" s="218"/>
      <c r="D23" s="218"/>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3" hidden="1" x14ac:dyDescent="0.2">
      <c r="A24" s="170">
        <v>13</v>
      </c>
      <c r="B24" s="111"/>
      <c r="C24" s="112"/>
      <c r="D24" s="112"/>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3" hidden="1" x14ac:dyDescent="0.2">
      <c r="A25" s="170">
        <v>14</v>
      </c>
      <c r="B25" s="111"/>
      <c r="C25" s="112"/>
      <c r="D25" s="112"/>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3" hidden="1" x14ac:dyDescent="0.2">
      <c r="A26" s="170">
        <v>15</v>
      </c>
      <c r="B26" s="111"/>
      <c r="C26" s="112"/>
      <c r="D26" s="112"/>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3" hidden="1" x14ac:dyDescent="0.2">
      <c r="A27" s="170">
        <v>16</v>
      </c>
      <c r="B27" s="217"/>
      <c r="C27" s="218"/>
      <c r="D27" s="218"/>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3" hidden="1" x14ac:dyDescent="0.2">
      <c r="A28" s="170">
        <v>17</v>
      </c>
      <c r="B28" s="111"/>
      <c r="C28" s="112"/>
      <c r="D28" s="112"/>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3" hidden="1" x14ac:dyDescent="0.2">
      <c r="A29" s="170">
        <v>18</v>
      </c>
      <c r="B29" s="111"/>
      <c r="C29" s="112"/>
      <c r="D29" s="112"/>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3" hidden="1" x14ac:dyDescent="0.2">
      <c r="A30" s="170">
        <v>19</v>
      </c>
      <c r="B30" s="111"/>
      <c r="C30" s="112"/>
      <c r="D30" s="112"/>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3" hidden="1" x14ac:dyDescent="0.2">
      <c r="A31" s="170">
        <v>20</v>
      </c>
      <c r="B31" s="217"/>
      <c r="C31" s="218"/>
      <c r="D31" s="218"/>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3" ht="3" customHeight="1" thickBot="1" x14ac:dyDescent="0.25">
      <c r="A32" s="170"/>
      <c r="B32" s="114"/>
      <c r="C32" s="115"/>
      <c r="D32" s="115"/>
      <c r="E32" s="116"/>
      <c r="F32" s="116"/>
      <c r="G32" s="116"/>
      <c r="H32" s="116"/>
      <c r="I32" s="116"/>
      <c r="J32" s="116"/>
      <c r="K32" s="116"/>
      <c r="L32" s="117"/>
    </row>
    <row r="33" spans="2:12" ht="13.5" thickTop="1" x14ac:dyDescent="0.2">
      <c r="C33" s="108" t="s">
        <v>664</v>
      </c>
      <c r="D33" s="108"/>
      <c r="E33" s="109">
        <f>SUM(E12:E31)</f>
        <v>13.18</v>
      </c>
      <c r="F33" s="109">
        <f t="shared" ref="F33:K33" si="1">SUM(F12:F31)</f>
        <v>6.98</v>
      </c>
      <c r="G33" s="109">
        <f t="shared" si="1"/>
        <v>0.62000000000000011</v>
      </c>
      <c r="H33" s="109">
        <f t="shared" si="1"/>
        <v>11.860000000000001</v>
      </c>
      <c r="I33" s="109">
        <f t="shared" si="1"/>
        <v>24.110000000000003</v>
      </c>
      <c r="J33" s="109">
        <f t="shared" si="1"/>
        <v>20.13</v>
      </c>
      <c r="K33" s="109">
        <f t="shared" si="1"/>
        <v>76.88000000000001</v>
      </c>
      <c r="L33" s="110"/>
    </row>
    <row r="35" spans="2:12" ht="24" customHeight="1" thickBot="1" x14ac:dyDescent="0.25">
      <c r="F35" s="386" t="s">
        <v>665</v>
      </c>
      <c r="G35" s="386" t="s">
        <v>666</v>
      </c>
      <c r="H35" s="385" t="s">
        <v>667</v>
      </c>
      <c r="I35" s="385"/>
      <c r="J35" s="386" t="s">
        <v>169</v>
      </c>
      <c r="L35" s="385" t="s">
        <v>661</v>
      </c>
    </row>
    <row r="36" spans="2:12" s="118" customFormat="1" ht="18.75" customHeight="1" thickTop="1" thickBot="1" x14ac:dyDescent="0.25">
      <c r="B36" s="119" t="s">
        <v>668</v>
      </c>
      <c r="C36" s="171"/>
      <c r="D36" s="171"/>
      <c r="E36" s="171"/>
      <c r="F36" s="386"/>
      <c r="G36" s="386"/>
      <c r="H36" s="152" t="s">
        <v>669</v>
      </c>
      <c r="I36" s="153" t="s">
        <v>352</v>
      </c>
      <c r="J36" s="386"/>
      <c r="K36" s="171" t="s">
        <v>670</v>
      </c>
      <c r="L36" s="386"/>
    </row>
    <row r="37" spans="2:12" ht="13.5" thickTop="1" x14ac:dyDescent="0.2">
      <c r="B37" s="180" t="s">
        <v>204</v>
      </c>
      <c r="C37" s="388" t="str">
        <f>IF(B37=0,"",VLOOKUP($B37,Table2[],2,FALSE))</f>
        <v>Fertilizer</v>
      </c>
      <c r="D37" s="388"/>
      <c r="E37" s="388"/>
      <c r="F37" s="174">
        <v>1</v>
      </c>
      <c r="G37" s="175">
        <v>1</v>
      </c>
      <c r="H37" s="176">
        <v>100</v>
      </c>
      <c r="I37" s="120" t="str">
        <f>IF($B37=0,"",VLOOKUP($B37,Table2[],5,FALSE))</f>
        <v>pound</v>
      </c>
      <c r="J37" s="109">
        <f>IF($B37=0,"",VLOOKUP($B37,Table2[],7,FALSE))</f>
        <v>0.4</v>
      </c>
      <c r="K37" s="109">
        <f>IF(B37=0,0,ROUND(G37*H37*J37,2))</f>
        <v>40</v>
      </c>
      <c r="L37" s="110"/>
    </row>
    <row r="38" spans="2:12" x14ac:dyDescent="0.2">
      <c r="B38" s="180" t="s">
        <v>317</v>
      </c>
      <c r="C38" s="388" t="str">
        <f>IF(B38=0,"",VLOOKUP($B38,Table2[],2,FALSE))</f>
        <v>Seed</v>
      </c>
      <c r="D38" s="388"/>
      <c r="E38" s="388"/>
      <c r="F38" s="174">
        <v>5</v>
      </c>
      <c r="G38" s="175">
        <v>1</v>
      </c>
      <c r="H38" s="176">
        <v>12</v>
      </c>
      <c r="I38" s="120" t="str">
        <f>IF($B38=0,"",VLOOKUP($B38,Table2[],5,FALSE))</f>
        <v>pound</v>
      </c>
      <c r="J38" s="109">
        <f>IF($B38=0,"",VLOOKUP($B38,Table2[],7,FALSE))</f>
        <v>10.5</v>
      </c>
      <c r="K38" s="109">
        <f t="shared" ref="K38:K62" si="2">IF(B38=0,0,ROUND(G38*H38*J38,2))</f>
        <v>126</v>
      </c>
      <c r="L38" s="110"/>
    </row>
    <row r="39" spans="2:12" x14ac:dyDescent="0.2">
      <c r="B39" s="180" t="s">
        <v>889</v>
      </c>
      <c r="C39" s="388" t="str">
        <f>IF(B39=0,"",VLOOKUP($B39,Table2[],2,FALSE))</f>
        <v>Herbicide</v>
      </c>
      <c r="D39" s="388"/>
      <c r="E39" s="388"/>
      <c r="F39" s="174">
        <v>7</v>
      </c>
      <c r="G39" s="175">
        <v>1</v>
      </c>
      <c r="H39" s="176">
        <v>32</v>
      </c>
      <c r="I39" s="120" t="str">
        <f>IF($B39=0,"",VLOOKUP($B39,Table2[],5,FALSE))</f>
        <v>ounce</v>
      </c>
      <c r="J39" s="109">
        <f>IF($B39=0,"",VLOOKUP($B39,Table2[],7,FALSE))</f>
        <v>0.1953125</v>
      </c>
      <c r="K39" s="109">
        <f t="shared" si="2"/>
        <v>6.25</v>
      </c>
      <c r="L39" s="110"/>
    </row>
    <row r="40" spans="2:12" x14ac:dyDescent="0.2">
      <c r="B40" s="213" t="s">
        <v>245</v>
      </c>
      <c r="C40" s="387" t="s">
        <v>228</v>
      </c>
      <c r="D40" s="387"/>
      <c r="E40" s="387"/>
      <c r="F40" s="214">
        <v>7</v>
      </c>
      <c r="G40" s="221">
        <v>1</v>
      </c>
      <c r="H40" s="222">
        <v>1</v>
      </c>
      <c r="I40" s="223" t="s">
        <v>179</v>
      </c>
      <c r="J40" s="215">
        <f>IF($B40=0,"",VLOOKUP($B40,Table2[],7,FALSE))</f>
        <v>6.625</v>
      </c>
      <c r="K40" s="215">
        <f t="shared" ref="K40" si="3">IF(B40=0,0,ROUND(G40*H40*J40,2))</f>
        <v>6.63</v>
      </c>
      <c r="L40" s="216"/>
    </row>
    <row r="41" spans="2:12" x14ac:dyDescent="0.2">
      <c r="B41" s="180" t="s">
        <v>170</v>
      </c>
      <c r="C41" s="388" t="str">
        <f>IF(B41=0,"",VLOOKUP($B41,Table2[],2,FALSE))</f>
        <v>Additive</v>
      </c>
      <c r="D41" s="388"/>
      <c r="E41" s="388"/>
      <c r="F41" s="174">
        <v>7</v>
      </c>
      <c r="G41" s="175">
        <v>1</v>
      </c>
      <c r="H41" s="176">
        <v>1.7</v>
      </c>
      <c r="I41" s="120" t="str">
        <f>IF($B41=0,"",VLOOKUP($B41,Table2[],5,FALSE))</f>
        <v>pound</v>
      </c>
      <c r="J41" s="109">
        <f>IF($B41=0,"",VLOOKUP($B41,Table2[],7,FALSE))</f>
        <v>0.4</v>
      </c>
      <c r="K41" s="109">
        <f t="shared" si="2"/>
        <v>0.68</v>
      </c>
      <c r="L41" s="110"/>
    </row>
    <row r="42" spans="2:12" x14ac:dyDescent="0.2">
      <c r="B42" s="180" t="s">
        <v>288</v>
      </c>
      <c r="C42" s="388" t="str">
        <f>IF(B42=0,"",VLOOKUP($B42,Table2[],2,FALSE))</f>
        <v>Insecticide</v>
      </c>
      <c r="D42" s="388"/>
      <c r="E42" s="388"/>
      <c r="F42" s="174">
        <v>8</v>
      </c>
      <c r="G42" s="175">
        <v>0.2</v>
      </c>
      <c r="H42" s="176">
        <v>3</v>
      </c>
      <c r="I42" s="120" t="str">
        <f>IF($B42=0,"",VLOOKUP($B42,Table2[],5,FALSE))</f>
        <v>ounce</v>
      </c>
      <c r="J42" s="109">
        <f>IF($B42=0,"",VLOOKUP($B42,Table2[],7,FALSE))</f>
        <v>1.25</v>
      </c>
      <c r="K42" s="109">
        <f t="shared" si="2"/>
        <v>0.75</v>
      </c>
      <c r="L42" s="110"/>
    </row>
    <row r="43" spans="2:12" ht="12.75" hidden="1" customHeight="1" x14ac:dyDescent="0.2">
      <c r="B43" s="180"/>
      <c r="C43" s="388" t="str">
        <f>IF(B43=0,"",VLOOKUP($B43,Table2[],2,FALSE))</f>
        <v/>
      </c>
      <c r="D43" s="388"/>
      <c r="E43" s="388"/>
      <c r="F43" s="174"/>
      <c r="G43" s="175"/>
      <c r="H43" s="176"/>
      <c r="I43" s="120" t="str">
        <f>IF($B43=0,"",VLOOKUP($B43,Table2[],5,FALSE))</f>
        <v/>
      </c>
      <c r="J43" s="109" t="str">
        <f>IF($B43=0,"",VLOOKUP($B43,Table2[],7,FALSE))</f>
        <v/>
      </c>
      <c r="K43" s="109">
        <f t="shared" si="2"/>
        <v>0</v>
      </c>
      <c r="L43" s="110"/>
    </row>
    <row r="44" spans="2:12" ht="12.75" hidden="1" customHeight="1" x14ac:dyDescent="0.2">
      <c r="B44" s="111"/>
      <c r="C44" s="388" t="str">
        <f>IF(B44=0,"",VLOOKUP($B44,Table2[],2,FALSE))</f>
        <v/>
      </c>
      <c r="D44" s="388"/>
      <c r="E44" s="388"/>
      <c r="F44" s="112"/>
      <c r="G44" s="177"/>
      <c r="H44" s="178"/>
      <c r="I44" s="120" t="str">
        <f>IF($B44=0,"",VLOOKUP($B44,Table2[],5,FALSE))</f>
        <v/>
      </c>
      <c r="J44" s="109" t="str">
        <f>IF($B44=0,"",VLOOKUP($B44,Table2[],7,FALSE))</f>
        <v/>
      </c>
      <c r="K44" s="109">
        <f t="shared" si="2"/>
        <v>0</v>
      </c>
      <c r="L44" s="110"/>
    </row>
    <row r="45" spans="2:12" ht="12.75" hidden="1" customHeight="1" x14ac:dyDescent="0.2">
      <c r="B45" s="217"/>
      <c r="C45" s="387" t="str">
        <f>IF(B45=0,"",VLOOKUP($B45,Table2[],2,FALSE))</f>
        <v/>
      </c>
      <c r="D45" s="387"/>
      <c r="E45" s="387"/>
      <c r="F45" s="218"/>
      <c r="G45" s="224"/>
      <c r="H45" s="225"/>
      <c r="I45" s="223" t="str">
        <f>IF($B45=0,"",VLOOKUP($B45,Table2[],5,FALSE))</f>
        <v/>
      </c>
      <c r="J45" s="215" t="str">
        <f>IF($B45=0,"",VLOOKUP($B45,Table2[],7,FALSE))</f>
        <v/>
      </c>
      <c r="K45" s="215">
        <f t="shared" si="2"/>
        <v>0</v>
      </c>
      <c r="L45" s="216"/>
    </row>
    <row r="46" spans="2:12" ht="12.75" hidden="1" customHeight="1" x14ac:dyDescent="0.2">
      <c r="B46" s="111"/>
      <c r="C46" s="388" t="str">
        <f>IF(B46=0,"",VLOOKUP($B46,Table2[],2,FALSE))</f>
        <v/>
      </c>
      <c r="D46" s="388"/>
      <c r="E46" s="388"/>
      <c r="F46" s="112"/>
      <c r="G46" s="177"/>
      <c r="H46" s="178"/>
      <c r="I46" s="120" t="str">
        <f>IF($B46=0,"",VLOOKUP($B46,Table2[],5,FALSE))</f>
        <v/>
      </c>
      <c r="J46" s="109" t="str">
        <f>IF($B46=0,"",VLOOKUP($B46,Table2[],7,FALSE))</f>
        <v/>
      </c>
      <c r="K46" s="109">
        <f t="shared" si="2"/>
        <v>0</v>
      </c>
      <c r="L46" s="110"/>
    </row>
    <row r="47" spans="2:12" ht="12.75" hidden="1" customHeight="1" x14ac:dyDescent="0.2">
      <c r="B47" s="111"/>
      <c r="C47" s="388" t="str">
        <f>IF(B47=0,"",VLOOKUP($B47,Table2[],2,FALSE))</f>
        <v/>
      </c>
      <c r="D47" s="388"/>
      <c r="E47" s="388"/>
      <c r="F47" s="112"/>
      <c r="G47" s="177"/>
      <c r="H47" s="178"/>
      <c r="I47" s="120" t="str">
        <f>IF($B47=0,"",VLOOKUP($B47,Table2[],5,FALSE))</f>
        <v/>
      </c>
      <c r="J47" s="109" t="str">
        <f>IF($B47=0,"",VLOOKUP($B47,Table2[],7,FALSE))</f>
        <v/>
      </c>
      <c r="K47" s="109">
        <f t="shared" si="2"/>
        <v>0</v>
      </c>
      <c r="L47" s="110"/>
    </row>
    <row r="48" spans="2:12" ht="12.75" hidden="1" customHeight="1" x14ac:dyDescent="0.2">
      <c r="B48" s="111"/>
      <c r="C48" s="388" t="str">
        <f>IF(B48=0,"",VLOOKUP($B48,Table2[],2,FALSE))</f>
        <v/>
      </c>
      <c r="D48" s="388"/>
      <c r="E48" s="388"/>
      <c r="F48" s="112"/>
      <c r="G48" s="177"/>
      <c r="H48" s="178"/>
      <c r="I48" s="120" t="str">
        <f>IF($B48=0,"",VLOOKUP($B48,Table2[],5,FALSE))</f>
        <v/>
      </c>
      <c r="J48" s="109" t="str">
        <f>IF($B48=0,"",VLOOKUP($B48,Table2[],7,FALSE))</f>
        <v/>
      </c>
      <c r="K48" s="109">
        <f t="shared" si="2"/>
        <v>0</v>
      </c>
      <c r="L48" s="110"/>
    </row>
    <row r="49" spans="2:12" ht="12.75" hidden="1" customHeight="1" x14ac:dyDescent="0.2">
      <c r="B49" s="217"/>
      <c r="C49" s="387" t="str">
        <f>IF(B49=0,"",VLOOKUP($B49,Table2[],2,FALSE))</f>
        <v/>
      </c>
      <c r="D49" s="387"/>
      <c r="E49" s="387"/>
      <c r="F49" s="218"/>
      <c r="G49" s="224"/>
      <c r="H49" s="225"/>
      <c r="I49" s="223" t="str">
        <f>IF($B49=0,"",VLOOKUP($B49,Table2[],5,FALSE))</f>
        <v/>
      </c>
      <c r="J49" s="215" t="str">
        <f>IF($B49=0,"",VLOOKUP($B49,Table2[],7,FALSE))</f>
        <v/>
      </c>
      <c r="K49" s="215">
        <f t="shared" si="2"/>
        <v>0</v>
      </c>
      <c r="L49" s="216"/>
    </row>
    <row r="50" spans="2:12" ht="12.75" hidden="1" customHeight="1" x14ac:dyDescent="0.2">
      <c r="B50" s="111"/>
      <c r="C50" s="388" t="str">
        <f>IF(B50=0,"",VLOOKUP($B50,Table2[],2,FALSE))</f>
        <v/>
      </c>
      <c r="D50" s="388"/>
      <c r="E50" s="388"/>
      <c r="F50" s="112"/>
      <c r="G50" s="177"/>
      <c r="H50" s="178"/>
      <c r="I50" s="120" t="str">
        <f>IF($B50=0,"",VLOOKUP($B50,Table2[],5,FALSE))</f>
        <v/>
      </c>
      <c r="J50" s="109" t="str">
        <f>IF($B50=0,"",VLOOKUP($B50,Table2[],7,FALSE))</f>
        <v/>
      </c>
      <c r="K50" s="109">
        <f t="shared" si="2"/>
        <v>0</v>
      </c>
      <c r="L50" s="110"/>
    </row>
    <row r="51" spans="2:12" ht="12.75" hidden="1" customHeight="1" x14ac:dyDescent="0.2">
      <c r="B51" s="111"/>
      <c r="C51" s="388" t="str">
        <f>IF(B51=0,"",VLOOKUP($B51,Table2[],2,FALSE))</f>
        <v/>
      </c>
      <c r="D51" s="388"/>
      <c r="E51" s="388"/>
      <c r="F51" s="112"/>
      <c r="G51" s="177"/>
      <c r="H51" s="178"/>
      <c r="I51" s="120" t="str">
        <f>IF($B51=0,"",VLOOKUP($B51,Table2[],5,FALSE))</f>
        <v/>
      </c>
      <c r="J51" s="109" t="str">
        <f>IF($B51=0,"",VLOOKUP($B51,Table2[],7,FALSE))</f>
        <v/>
      </c>
      <c r="K51" s="109">
        <f t="shared" si="2"/>
        <v>0</v>
      </c>
      <c r="L51" s="110"/>
    </row>
    <row r="52" spans="2:12" ht="12.75" hidden="1" customHeight="1" x14ac:dyDescent="0.2">
      <c r="B52" s="111"/>
      <c r="C52" s="388" t="str">
        <f>IF(B52=0,"",VLOOKUP($B52,Table2[],2,FALSE))</f>
        <v/>
      </c>
      <c r="D52" s="388"/>
      <c r="E52" s="388"/>
      <c r="F52" s="112"/>
      <c r="G52" s="177"/>
      <c r="H52" s="178"/>
      <c r="I52" s="120" t="str">
        <f>IF($B52=0,"",VLOOKUP($B52,Table2[],5,FALSE))</f>
        <v/>
      </c>
      <c r="J52" s="109" t="str">
        <f>IF($B52=0,"",VLOOKUP($B52,Table2[],7,FALSE))</f>
        <v/>
      </c>
      <c r="K52" s="109">
        <f t="shared" si="2"/>
        <v>0</v>
      </c>
      <c r="L52" s="110"/>
    </row>
    <row r="53" spans="2:12" ht="12.75" hidden="1" customHeight="1" x14ac:dyDescent="0.2">
      <c r="B53" s="217"/>
      <c r="C53" s="387" t="str">
        <f>IF(B53=0,"",VLOOKUP($B53,Table2[],2,FALSE))</f>
        <v/>
      </c>
      <c r="D53" s="387"/>
      <c r="E53" s="387"/>
      <c r="F53" s="218"/>
      <c r="G53" s="224">
        <v>0.1</v>
      </c>
      <c r="H53" s="225"/>
      <c r="I53" s="223" t="str">
        <f>IF($B53=0,"",VLOOKUP($B53,Table2[],5,FALSE))</f>
        <v/>
      </c>
      <c r="J53" s="215" t="str">
        <f>IF($B53=0,"",VLOOKUP($B53,Table2[],7,FALSE))</f>
        <v/>
      </c>
      <c r="K53" s="215">
        <f t="shared" si="2"/>
        <v>0</v>
      </c>
      <c r="L53" s="216"/>
    </row>
    <row r="54" spans="2:12" ht="12.75" hidden="1" customHeight="1" x14ac:dyDescent="0.2">
      <c r="B54" s="111"/>
      <c r="C54" s="388" t="str">
        <f>IF(B54=0,"",VLOOKUP($B54,Table2[],2,FALSE))</f>
        <v/>
      </c>
      <c r="D54" s="388"/>
      <c r="E54" s="388"/>
      <c r="F54" s="112"/>
      <c r="G54" s="177">
        <v>0.2</v>
      </c>
      <c r="H54" s="178"/>
      <c r="I54" s="120" t="str">
        <f>IF($B54=0,"",VLOOKUP($B54,Table2[],5,FALSE))</f>
        <v/>
      </c>
      <c r="J54" s="109" t="str">
        <f>IF($B54=0,"",VLOOKUP($B54,Table2[],7,FALSE))</f>
        <v/>
      </c>
      <c r="K54" s="109">
        <f t="shared" si="2"/>
        <v>0</v>
      </c>
      <c r="L54" s="110"/>
    </row>
    <row r="55" spans="2:12" ht="12.75" hidden="1" customHeight="1" x14ac:dyDescent="0.2">
      <c r="B55" s="111"/>
      <c r="C55" s="388" t="str">
        <f>IF(B55=0,"",VLOOKUP($B55,Table2[],2,FALSE))</f>
        <v/>
      </c>
      <c r="D55" s="388"/>
      <c r="E55" s="388"/>
      <c r="F55" s="112"/>
      <c r="G55" s="177">
        <v>0.3</v>
      </c>
      <c r="H55" s="178"/>
      <c r="I55" s="120" t="str">
        <f>IF($B55=0,"",VLOOKUP($B55,Table2[],5,FALSE))</f>
        <v/>
      </c>
      <c r="J55" s="109" t="str">
        <f>IF($B55=0,"",VLOOKUP($B55,Table2[],7,FALSE))</f>
        <v/>
      </c>
      <c r="K55" s="109">
        <f t="shared" si="2"/>
        <v>0</v>
      </c>
      <c r="L55" s="110"/>
    </row>
    <row r="56" spans="2:12" ht="12.75" hidden="1" customHeight="1" x14ac:dyDescent="0.2">
      <c r="B56" s="111"/>
      <c r="C56" s="388" t="str">
        <f>IF(B56=0,"",VLOOKUP($B56,Table2[],2,FALSE))</f>
        <v/>
      </c>
      <c r="D56" s="388"/>
      <c r="E56" s="388"/>
      <c r="F56" s="112"/>
      <c r="G56" s="177"/>
      <c r="H56" s="178"/>
      <c r="I56" s="120" t="str">
        <f>IF($B56=0,"",VLOOKUP($B56,Table2[],5,FALSE))</f>
        <v/>
      </c>
      <c r="J56" s="109" t="str">
        <f>IF($B56=0,"",VLOOKUP($B56,Table2[],7,FALSE))</f>
        <v/>
      </c>
      <c r="K56" s="109">
        <f t="shared" si="2"/>
        <v>0</v>
      </c>
      <c r="L56" s="113"/>
    </row>
    <row r="57" spans="2:12" ht="12.75" hidden="1" customHeight="1" x14ac:dyDescent="0.2">
      <c r="B57" s="217"/>
      <c r="C57" s="387" t="str">
        <f>IF(B57=0,"",VLOOKUP($B57,Table2[],2,FALSE))</f>
        <v/>
      </c>
      <c r="D57" s="387"/>
      <c r="E57" s="387"/>
      <c r="F57" s="218"/>
      <c r="G57" s="224"/>
      <c r="H57" s="225"/>
      <c r="I57" s="223" t="str">
        <f>IF($B57=0,"",VLOOKUP($B57,Table2[],5,FALSE))</f>
        <v/>
      </c>
      <c r="J57" s="215" t="str">
        <f>IF($B57=0,"",VLOOKUP($B57,Table2[],7,FALSE))</f>
        <v/>
      </c>
      <c r="K57" s="215">
        <f>IF(B57=0,0,ROUND(G57*H57*J57,2))</f>
        <v>0</v>
      </c>
      <c r="L57" s="227"/>
    </row>
    <row r="58" spans="2:12" ht="12.75" hidden="1" customHeight="1" x14ac:dyDescent="0.2">
      <c r="B58" s="111"/>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2: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2:12" ht="12.75" hidden="1" customHeight="1" x14ac:dyDescent="0.2">
      <c r="B60" s="111"/>
      <c r="C60" s="388" t="str">
        <f>IF(B60=0,"",VLOOKUP($B60,Table2[],2,FALSE))</f>
        <v/>
      </c>
      <c r="D60" s="388"/>
      <c r="E60" s="388"/>
      <c r="F60" s="112"/>
      <c r="G60" s="177"/>
      <c r="H60" s="178"/>
      <c r="I60" s="120" t="str">
        <f>IF($B60=0,"",VLOOKUP($B60,Table2[],5,FALSE))</f>
        <v/>
      </c>
      <c r="J60" s="109" t="str">
        <f>IF($B60=0,"",VLOOKUP($B60,Table2[],7,FALSE))</f>
        <v/>
      </c>
      <c r="K60" s="109">
        <f>IF(B60=0,0,ROUND(G60*H60*J60,2))</f>
        <v>0</v>
      </c>
      <c r="L60" s="113"/>
    </row>
    <row r="61" spans="2:12" ht="12.75" hidden="1" customHeight="1" x14ac:dyDescent="0.2">
      <c r="B61" s="217"/>
      <c r="C61" s="387" t="str">
        <f>IF(B61=0,"",VLOOKUP($B61,Table2[],2,FALSE))</f>
        <v/>
      </c>
      <c r="D61" s="387"/>
      <c r="E61" s="387"/>
      <c r="F61" s="218"/>
      <c r="G61" s="224"/>
      <c r="H61" s="225"/>
      <c r="I61" s="223" t="str">
        <f>IF($B61=0,"",VLOOKUP($B61,Table2[],5,FALSE))</f>
        <v/>
      </c>
      <c r="J61" s="215" t="str">
        <f>IF($B61=0,"",VLOOKUP($B61,Table2[],7,FALSE))</f>
        <v/>
      </c>
      <c r="K61" s="215">
        <f>IF(B61=0,0,ROUND(G61*H61*J61,2))</f>
        <v>0</v>
      </c>
      <c r="L61" s="227"/>
    </row>
    <row r="62" spans="2:12" hidden="1" x14ac:dyDescent="0.2">
      <c r="C62" s="388" t="s">
        <v>655</v>
      </c>
      <c r="D62" s="388"/>
      <c r="E62" s="388"/>
      <c r="F62" s="112"/>
      <c r="G62" s="177"/>
      <c r="H62" s="178"/>
      <c r="I62" s="170"/>
      <c r="J62" s="109" t="e">
        <f ca="1">IF(F5=0,E5,F5)</f>
        <v>#N/A</v>
      </c>
      <c r="K62" s="109">
        <f t="shared" si="2"/>
        <v>0</v>
      </c>
      <c r="L62" s="113"/>
    </row>
    <row r="63" spans="2:12" ht="3.75" customHeight="1" thickBot="1" x14ac:dyDescent="0.25">
      <c r="B63" s="114"/>
      <c r="C63" s="121"/>
      <c r="D63" s="121"/>
      <c r="E63" s="121"/>
      <c r="F63" s="115"/>
      <c r="G63" s="122"/>
      <c r="H63" s="114"/>
      <c r="I63" s="123"/>
      <c r="J63" s="124"/>
      <c r="K63" s="125"/>
      <c r="L63" s="117"/>
    </row>
    <row r="64" spans="2:12" ht="13.5" thickTop="1" x14ac:dyDescent="0.2">
      <c r="C64" s="108" t="s">
        <v>671</v>
      </c>
      <c r="D64" s="108"/>
      <c r="J64" s="126"/>
      <c r="K64" s="127">
        <f>SUM(K37:K62)</f>
        <v>180.31</v>
      </c>
      <c r="L64" s="110"/>
    </row>
    <row r="65" spans="2:12" x14ac:dyDescent="0.2">
      <c r="K65" s="127"/>
    </row>
    <row r="66" spans="2:12" x14ac:dyDescent="0.2">
      <c r="B66" s="107" t="s">
        <v>672</v>
      </c>
      <c r="K66" s="127">
        <f>K33+K64</f>
        <v>257.19</v>
      </c>
      <c r="L66" s="110"/>
    </row>
    <row r="67" spans="2:12" ht="13.5" thickBot="1" x14ac:dyDescent="0.25">
      <c r="D67" s="128" t="s">
        <v>673</v>
      </c>
      <c r="E67" s="129">
        <f>ROUND(SUM($E$33:$H$33)+$K$64,2)</f>
        <v>212.95</v>
      </c>
      <c r="F67" s="388" t="s">
        <v>674</v>
      </c>
      <c r="G67" s="388"/>
      <c r="H67" s="130">
        <f>'General Variables'!$B$11</f>
        <v>7.4999999999999997E-2</v>
      </c>
      <c r="I67" s="131" t="str">
        <f>CONCATENATE("for ",TEXT('General Variables'!$B$12,"0.0")," mo.")</f>
        <v>for 6.0 mo.</v>
      </c>
      <c r="K67" s="132">
        <f>E67*H67*'General Variables'!$B$12/12</f>
        <v>7.9856249999999989</v>
      </c>
      <c r="L67" s="133"/>
    </row>
    <row r="68" spans="2:12" ht="13.5" thickTop="1" x14ac:dyDescent="0.2">
      <c r="B68" s="107" t="s">
        <v>675</v>
      </c>
      <c r="K68" s="127">
        <f>SUM(K66:K67)</f>
        <v>265.17562499999997</v>
      </c>
      <c r="L68" s="110"/>
    </row>
    <row r="69" spans="2:12" x14ac:dyDescent="0.2">
      <c r="K69" s="127"/>
    </row>
    <row r="70" spans="2:12" x14ac:dyDescent="0.2">
      <c r="B70" s="104" t="s">
        <v>676</v>
      </c>
      <c r="C70" s="134"/>
      <c r="D70" s="134"/>
      <c r="E70" s="134"/>
      <c r="F70" s="134"/>
      <c r="G70" s="134"/>
      <c r="H70" s="134"/>
      <c r="I70" s="134"/>
      <c r="J70" s="134"/>
      <c r="K70" s="135">
        <v>0</v>
      </c>
      <c r="L70" s="110"/>
    </row>
    <row r="71" spans="2:12" x14ac:dyDescent="0.2">
      <c r="B71" s="103" t="s">
        <v>677</v>
      </c>
      <c r="C71" s="398" t="s">
        <v>49</v>
      </c>
      <c r="D71" s="399"/>
      <c r="E71" s="400"/>
      <c r="F71" s="136">
        <f>IF(C71=0,0,VLOOKUP(C71,RETable,2,FALSE))</f>
        <v>0</v>
      </c>
      <c r="G71" s="388" t="s">
        <v>678</v>
      </c>
      <c r="H71" s="388"/>
      <c r="I71" s="130">
        <f>'General Variables'!$B$10</f>
        <v>0.03</v>
      </c>
      <c r="K71" s="137">
        <f>ROUND(F71*I71,2)</f>
        <v>0</v>
      </c>
      <c r="L71" s="110"/>
    </row>
    <row r="72" spans="2:12" ht="13.5" thickBot="1" x14ac:dyDescent="0.25">
      <c r="B72" s="103" t="s">
        <v>679</v>
      </c>
      <c r="F72" s="138">
        <f>IF(C71=0,0,VLOOKUP(C71,RETable,2,FALSE))</f>
        <v>0</v>
      </c>
      <c r="G72" s="397" t="s">
        <v>678</v>
      </c>
      <c r="H72" s="397"/>
      <c r="I72" s="139">
        <f>'General Variables'!$B$13</f>
        <v>1.2999999999999999E-2</v>
      </c>
      <c r="J72" s="105"/>
      <c r="K72" s="140">
        <f>ROUND(F72*I72,2)</f>
        <v>0</v>
      </c>
      <c r="L72" s="133"/>
    </row>
    <row r="73" spans="2:12" ht="13.5" thickTop="1" x14ac:dyDescent="0.2">
      <c r="B73" s="107" t="s">
        <v>680</v>
      </c>
      <c r="K73" s="127">
        <f>SUM(K68:K72)</f>
        <v>265.17562499999997</v>
      </c>
      <c r="L73" s="110"/>
    </row>
    <row r="74" spans="2:12" x14ac:dyDescent="0.2">
      <c r="K74" s="128"/>
    </row>
    <row r="75" spans="2:12" x14ac:dyDescent="0.2">
      <c r="D75" s="103" t="s">
        <v>900</v>
      </c>
      <c r="G75" s="105"/>
      <c r="H75" s="105"/>
      <c r="I75" s="105"/>
      <c r="J75" s="105"/>
      <c r="K75" s="355" t="s">
        <v>901</v>
      </c>
      <c r="L75" s="105"/>
    </row>
    <row r="76" spans="2:12" x14ac:dyDescent="0.2">
      <c r="B76" s="107" t="str">
        <f>IF(G4="","","Cost of production per "&amp;H4)</f>
        <v/>
      </c>
      <c r="K76" s="141" t="str">
        <f>IF(G4="","",K73/G4)</f>
        <v/>
      </c>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5"/>
      <c r="C112" s="105"/>
      <c r="D112" s="105"/>
    </row>
    <row r="113" spans="2:11" x14ac:dyDescent="0.2">
      <c r="B113" s="105"/>
      <c r="C113" s="105"/>
      <c r="D113" s="105"/>
      <c r="K113" s="103" t="s">
        <v>681</v>
      </c>
    </row>
    <row r="114" spans="2:11" x14ac:dyDescent="0.2">
      <c r="B114" s="105"/>
      <c r="C114" s="105"/>
      <c r="D114" s="105"/>
      <c r="K114" s="103" t="s">
        <v>654</v>
      </c>
    </row>
    <row r="115" spans="2:11" x14ac:dyDescent="0.2">
      <c r="B115" s="105"/>
      <c r="C115" s="105"/>
      <c r="D115" s="105"/>
    </row>
    <row r="116" spans="2:11" x14ac:dyDescent="0.2">
      <c r="B116" s="105"/>
      <c r="C116" s="105"/>
      <c r="D116" s="105"/>
    </row>
    <row r="117" spans="2:11" x14ac:dyDescent="0.2">
      <c r="B117" s="105"/>
      <c r="C117" s="105"/>
      <c r="D117" s="105"/>
    </row>
    <row r="118" spans="2:11" x14ac:dyDescent="0.2">
      <c r="B118" s="105"/>
      <c r="C118" s="105"/>
      <c r="D118" s="105"/>
    </row>
    <row r="119" spans="2:11" x14ac:dyDescent="0.2">
      <c r="B119" s="105"/>
      <c r="C119" s="105"/>
      <c r="D119" s="105"/>
    </row>
    <row r="120" spans="2:11" x14ac:dyDescent="0.2">
      <c r="B120" s="105"/>
      <c r="C120" s="105"/>
      <c r="D120" s="105"/>
    </row>
    <row r="121" spans="2:11" x14ac:dyDescent="0.2">
      <c r="B121" s="105"/>
      <c r="C121" s="105"/>
      <c r="D121" s="105"/>
    </row>
    <row r="122" spans="2:11" x14ac:dyDescent="0.2">
      <c r="B122" s="105"/>
      <c r="C122" s="105"/>
      <c r="D122" s="105"/>
    </row>
    <row r="123" spans="2:11" x14ac:dyDescent="0.2">
      <c r="B123" s="105"/>
      <c r="C123" s="105"/>
      <c r="D123" s="105"/>
    </row>
    <row r="124" spans="2:11" x14ac:dyDescent="0.2">
      <c r="B124" s="105"/>
      <c r="C124" s="105"/>
      <c r="D124" s="105"/>
    </row>
    <row r="125" spans="2:11" x14ac:dyDescent="0.2">
      <c r="B125" s="105"/>
      <c r="C125" s="105"/>
      <c r="D125" s="105"/>
    </row>
    <row r="126" spans="2:11" x14ac:dyDescent="0.2">
      <c r="B126" s="105"/>
      <c r="C126" s="105"/>
      <c r="D126" s="105"/>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row>
    <row r="213" spans="2:4" x14ac:dyDescent="0.2">
      <c r="B213" s="105"/>
      <c r="C213" s="105"/>
    </row>
    <row r="214" spans="2:4" x14ac:dyDescent="0.2">
      <c r="B214" s="105"/>
      <c r="C214" s="105"/>
    </row>
    <row r="215" spans="2:4" x14ac:dyDescent="0.2">
      <c r="B215" s="105"/>
      <c r="C215" s="105"/>
    </row>
    <row r="216" spans="2:4" x14ac:dyDescent="0.2">
      <c r="B216" s="105"/>
      <c r="C216" s="105"/>
    </row>
    <row r="217" spans="2:4" x14ac:dyDescent="0.2">
      <c r="B217" s="105"/>
      <c r="C217" s="105"/>
    </row>
    <row r="218" spans="2:4" x14ac:dyDescent="0.2">
      <c r="B218" s="105"/>
      <c r="C218" s="105"/>
    </row>
    <row r="219" spans="2:4" x14ac:dyDescent="0.2">
      <c r="B219" s="105"/>
      <c r="C219" s="105"/>
    </row>
    <row r="220" spans="2:4" x14ac:dyDescent="0.2">
      <c r="B220" s="105"/>
      <c r="C220" s="105"/>
    </row>
    <row r="221" spans="2:4" x14ac:dyDescent="0.2">
      <c r="B221" s="105"/>
      <c r="C221" s="105"/>
    </row>
    <row r="222" spans="2:4" x14ac:dyDescent="0.2">
      <c r="B222" s="105"/>
      <c r="C222" s="105"/>
    </row>
    <row r="223" spans="2:4" x14ac:dyDescent="0.2">
      <c r="B223" s="105"/>
      <c r="C223" s="105"/>
    </row>
    <row r="224" spans="2:4" x14ac:dyDescent="0.2">
      <c r="B224" s="105"/>
      <c r="C224" s="105"/>
    </row>
    <row r="225" spans="2:3" x14ac:dyDescent="0.2">
      <c r="B225" s="105"/>
      <c r="C225" s="105"/>
    </row>
    <row r="226" spans="2:3" x14ac:dyDescent="0.2">
      <c r="B226" s="105"/>
      <c r="C226" s="105"/>
    </row>
    <row r="227" spans="2:3" x14ac:dyDescent="0.2">
      <c r="B227" s="105"/>
      <c r="C227" s="105"/>
    </row>
    <row r="228" spans="2:3" x14ac:dyDescent="0.2">
      <c r="B228" s="105"/>
      <c r="C228" s="105"/>
    </row>
    <row r="229" spans="2:3" x14ac:dyDescent="0.2">
      <c r="B229" s="105"/>
      <c r="C229" s="105"/>
    </row>
    <row r="230" spans="2:3" x14ac:dyDescent="0.2">
      <c r="B230" s="105"/>
      <c r="C230" s="105"/>
    </row>
    <row r="231" spans="2:3" x14ac:dyDescent="0.2">
      <c r="B231" s="105"/>
      <c r="C231" s="105"/>
    </row>
    <row r="232" spans="2:3" x14ac:dyDescent="0.2">
      <c r="B232" s="105"/>
      <c r="C232" s="105"/>
    </row>
    <row r="233" spans="2:3" x14ac:dyDescent="0.2">
      <c r="B233" s="105"/>
      <c r="C233" s="105"/>
    </row>
    <row r="234" spans="2:3" x14ac:dyDescent="0.2">
      <c r="B234" s="105"/>
      <c r="C234" s="105"/>
    </row>
    <row r="235" spans="2:3" x14ac:dyDescent="0.2">
      <c r="B235" s="105"/>
      <c r="C235" s="105"/>
    </row>
    <row r="236" spans="2:3" x14ac:dyDescent="0.2">
      <c r="B236" s="105"/>
      <c r="C236" s="105"/>
    </row>
    <row r="237" spans="2:3" x14ac:dyDescent="0.2">
      <c r="B237" s="105"/>
      <c r="C237" s="105"/>
    </row>
    <row r="238" spans="2:3" x14ac:dyDescent="0.2">
      <c r="B238" s="105"/>
      <c r="C238" s="105"/>
    </row>
    <row r="239" spans="2:3" x14ac:dyDescent="0.2">
      <c r="B239" s="105"/>
      <c r="C239" s="105"/>
    </row>
    <row r="240" spans="2:3" x14ac:dyDescent="0.2">
      <c r="B240" s="105"/>
      <c r="C240" s="105"/>
    </row>
    <row r="241" spans="2:3" x14ac:dyDescent="0.2">
      <c r="B241" s="105"/>
      <c r="C241" s="105"/>
    </row>
    <row r="242" spans="2:3" x14ac:dyDescent="0.2">
      <c r="B242" s="105" t="str">
        <f>IF(Operations!A96="","",Operations!A96)</f>
        <v/>
      </c>
      <c r="C242" s="105" t="str">
        <f>IF(Materials!B140="","",Materials!B140)</f>
        <v>Alfalfa w/Inoculant</v>
      </c>
    </row>
    <row r="243" spans="2:3" x14ac:dyDescent="0.2">
      <c r="B243" s="105" t="str">
        <f>IF(Operations!A97="","",Operations!A97)</f>
        <v/>
      </c>
      <c r="C243" s="105" t="str">
        <f>IF(Materials!B141="","",Materials!B141)</f>
        <v>Corn</v>
      </c>
    </row>
    <row r="244" spans="2:3" x14ac:dyDescent="0.2">
      <c r="B244" s="105" t="str">
        <f>IF(Operations!A98="","",Operations!A98)</f>
        <v/>
      </c>
      <c r="C244" s="105" t="str">
        <f>IF(Materials!B142="","",Materials!B142)</f>
        <v>Corn Bt, ECB, &amp; RIB</v>
      </c>
    </row>
    <row r="245" spans="2:3" x14ac:dyDescent="0.2">
      <c r="B245" s="105" t="str">
        <f>IF(Operations!A99="","",Operations!A99)</f>
        <v/>
      </c>
      <c r="C245" s="105" t="str">
        <f>IF(Materials!B143="","",Materials!B143)</f>
        <v>Corn Bt, ECB, RR2, LL, &amp; RIB</v>
      </c>
    </row>
    <row r="246" spans="2:3" x14ac:dyDescent="0.2">
      <c r="B246" s="105" t="str">
        <f>IF(Operations!A100="","",Operations!A100)</f>
        <v/>
      </c>
      <c r="C246" s="105" t="str">
        <f>IF(Materials!B144="","",Materials!B144)</f>
        <v>Corn Bt, ECB, RW, &amp; RIB</v>
      </c>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row>
    <row r="257" spans="2:2" x14ac:dyDescent="0.2">
      <c r="B257" s="105"/>
    </row>
  </sheetData>
  <sheetProtection formatCells="0" formatRows="0"/>
  <mergeCells count="49">
    <mergeCell ref="F67:G67"/>
    <mergeCell ref="C71:E71"/>
    <mergeCell ref="G71:H71"/>
    <mergeCell ref="G72:H72"/>
    <mergeCell ref="C57:E57"/>
    <mergeCell ref="C58:E58"/>
    <mergeCell ref="C59:E59"/>
    <mergeCell ref="C60:E60"/>
    <mergeCell ref="C61:E61"/>
    <mergeCell ref="C62:E62"/>
    <mergeCell ref="C56:E56"/>
    <mergeCell ref="C45:E45"/>
    <mergeCell ref="C46:E46"/>
    <mergeCell ref="C47:E47"/>
    <mergeCell ref="C48:E48"/>
    <mergeCell ref="C49:E49"/>
    <mergeCell ref="C50:E50"/>
    <mergeCell ref="C51:E51"/>
    <mergeCell ref="C52:E52"/>
    <mergeCell ref="C53:E53"/>
    <mergeCell ref="C54:E54"/>
    <mergeCell ref="C55:E55"/>
    <mergeCell ref="C44:E44"/>
    <mergeCell ref="F35:F36"/>
    <mergeCell ref="G35:G36"/>
    <mergeCell ref="H35:I35"/>
    <mergeCell ref="J35:J36"/>
    <mergeCell ref="C38:E38"/>
    <mergeCell ref="C39:E39"/>
    <mergeCell ref="C41:E41"/>
    <mergeCell ref="C42:E42"/>
    <mergeCell ref="C43:E43"/>
    <mergeCell ref="C37:E37"/>
    <mergeCell ref="C40:E40"/>
    <mergeCell ref="K2:L2"/>
    <mergeCell ref="G2:H2"/>
    <mergeCell ref="C4:E4"/>
    <mergeCell ref="L35:L36"/>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63" xr:uid="{00000000-0002-0000-0900-000000000000}">
      <formula1>$C$112:$C$211</formula1>
    </dataValidation>
    <dataValidation type="list" allowBlank="1" showInputMessage="1" showErrorMessage="1" sqref="B32" xr:uid="{00000000-0002-0000-0900-000001000000}">
      <formula1>$B$112:$B$211</formula1>
    </dataValidation>
    <dataValidation type="list" allowBlank="1" showInputMessage="1" showErrorMessage="1" sqref="K4" xr:uid="{00000000-0002-0000-0900-000002000000}">
      <formula1>$K$112:$K$114</formula1>
    </dataValidation>
    <dataValidation type="list" allowBlank="1" showInputMessage="1" showErrorMessage="1" sqref="B37:B61" xr:uid="{00000000-0002-0000-0900-000003000000}">
      <formula1>MaterialList</formula1>
    </dataValidation>
    <dataValidation type="list" allowBlank="1" showInputMessage="1" showErrorMessage="1" sqref="C71:E71" xr:uid="{00000000-0002-0000-0900-000004000000}">
      <formula1>RealEstateList</formula1>
    </dataValidation>
    <dataValidation type="list" allowBlank="1" showInputMessage="1" showErrorMessage="1" sqref="B12:B31" xr:uid="{00000000-0002-0000-0900-000005000000}">
      <formula1>OperationList</formula1>
    </dataValidation>
    <dataValidation type="list" allowBlank="1" showInputMessage="1" showErrorMessage="1" sqref="D12:D32" xr:uid="{00000000-0002-0000-0900-000006000000}">
      <formula1>#REF!</formula1>
    </dataValidation>
    <dataValidation type="list" allowBlank="1" showInputMessage="1" showErrorMessage="1" sqref="K2" xr:uid="{00000000-0002-0000-0900-000007000000}">
      <formula1>watersource</formula1>
    </dataValidation>
    <dataValidation type="list" allowBlank="1" showInputMessage="1" showErrorMessage="1" sqref="C3" xr:uid="{00000000-0002-0000-0900-000008000000}">
      <formula1>TillageSystem</formula1>
    </dataValidation>
  </dataValidations>
  <pageMargins left="0.7" right="0.7" top="0.75" bottom="0.75" header="0.3" footer="0.3"/>
  <pageSetup scale="71"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1">
    <pageSetUpPr fitToPage="1"/>
  </sheetPr>
  <dimension ref="A2:M260"/>
  <sheetViews>
    <sheetView zoomScaleNormal="100" workbookViewId="0">
      <selection activeCell="L95" sqref="L9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2" spans="1:13" ht="14.25" hidden="1" customHeight="1" x14ac:dyDescent="0.2">
      <c r="B2" s="103" t="s">
        <v>20</v>
      </c>
      <c r="C2" s="187"/>
      <c r="D2" s="187"/>
      <c r="E2" s="187"/>
      <c r="F2" s="128" t="s">
        <v>648</v>
      </c>
      <c r="G2" s="392"/>
      <c r="H2" s="392"/>
      <c r="J2" s="128" t="s">
        <v>649</v>
      </c>
      <c r="K2" s="401"/>
      <c r="L2" s="401"/>
    </row>
    <row r="3" spans="1:13" hidden="1" x14ac:dyDescent="0.2">
      <c r="B3" s="103" t="s">
        <v>38</v>
      </c>
      <c r="C3" s="391" t="s">
        <v>46</v>
      </c>
      <c r="D3" s="391"/>
      <c r="E3" s="391"/>
      <c r="G3" s="128" t="s">
        <v>650</v>
      </c>
      <c r="H3" s="187"/>
      <c r="J3" s="128" t="s">
        <v>651</v>
      </c>
      <c r="K3" s="187"/>
    </row>
    <row r="4" spans="1:13" hidden="1" x14ac:dyDescent="0.2">
      <c r="B4" s="103" t="s">
        <v>652</v>
      </c>
      <c r="C4" s="392"/>
      <c r="D4" s="392"/>
      <c r="E4" s="392"/>
      <c r="G4" s="103" t="str">
        <f>IFERROR(VALUE(LEFT($H$3,FIND(" ",$H$3))),"")</f>
        <v/>
      </c>
      <c r="H4" s="103" t="str">
        <f>IFERROR(RIGHT(H3,LEN(H3)-LEN(G4)-1),"")</f>
        <v/>
      </c>
      <c r="J4" s="128" t="s">
        <v>653</v>
      </c>
      <c r="K4" s="188"/>
    </row>
    <row r="5" spans="1:13" ht="15.75" hidden="1" customHeight="1" x14ac:dyDescent="0.2">
      <c r="B5" s="103" t="s">
        <v>655</v>
      </c>
      <c r="C5" s="238" t="str">
        <f ca="1">MID(CELL("filename",C5),FIND("]",CELL("filename",C5))+1,255)</f>
        <v>83-Cover Crop Grazing</v>
      </c>
      <c r="E5" s="103" t="str">
        <f ca="1">VLOOKUP($C$5,CropInsurance,5,FALSE)</f>
        <v>N/A</v>
      </c>
      <c r="F5" s="103">
        <f ca="1">VLOOKUP($C$5,CropInsurance,6,FALSE)</f>
        <v>0</v>
      </c>
    </row>
    <row r="6" spans="1:13" ht="15.75" hidden="1" customHeight="1" x14ac:dyDescent="0.25">
      <c r="A6" s="390" t="str">
        <f ca="1">REPLACE(CELL("filename",$A$1),1,FIND("]",CELL("filename",$A$1)),"") &amp;  IF($G$2="","", ", " &amp; $G$2 ) &amp; IF($C$2="","",", "&amp;$C$2&amp;"") &amp; IF($C$3="","",", "&amp;$C$3) &amp; IF($C$4="","",", "&amp;$C$4) &amp; IF($H$3="","",", "&amp;$H$3 &amp; " Yield") &amp; IF(K2="","",", " &amp;K2)</f>
        <v>83-Cover Crop Grazing, No Till</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83-Cover Crop Grazing, No Till</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659</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s="107" customFormat="1" ht="13.15" customHeight="1" thickTop="1" x14ac:dyDescent="0.2">
      <c r="A12" s="103">
        <v>1</v>
      </c>
      <c r="B12" s="180" t="s">
        <v>488</v>
      </c>
      <c r="C12" s="174">
        <v>1</v>
      </c>
      <c r="D12" s="174"/>
      <c r="E12" s="109">
        <f>IF(B12=0,"",IF(C12&gt;9999,"",ROUND('General Variables'!$B$4*VLOOKUP(B12,Operations!$A$2:$U$79,10,FALSE)/VLOOKUP(B12,Operations!$A$2:$U$79,9,FALSE)*C12,2)))</f>
        <v>2.38</v>
      </c>
      <c r="F12" s="109">
        <f>IF(B12=0,0,IF(C12&gt;9999,"",ROUND(IF(VLOOKUP(B12,Operations!$A$2:$U$79,12,FALSE)=0,VLOOKUP(B12,Operations!$A$2:$U$79,13,FALSE)*'General Variables'!$B$8,VLOOKUP(B12,Operations!$A$2:$U$79,12,FALSE)*'General Variables'!$B$7)/VLOOKUP(B12,Operations!$A$2:$U$79,9,FALSE)*C12,2)))</f>
        <v>1.28</v>
      </c>
      <c r="G12" s="109">
        <f>IF(B12=0,0,IF(C12&gt;9999,"",ROUND(VLOOKUP(VLOOKUP(B12,Operations!$A$2:$U$79,11,FALSE),PowerUnits[],10,FALSE)/VLOOKUP(B12,Operations!$A$2:$U$79,9,FALSE)*C12,2)))</f>
        <v>7.0000000000000007E-2</v>
      </c>
      <c r="H12" s="109">
        <f>IF(B12=0,"",IF(C12&gt;9999,"",ROUND(VLOOKUP($B12,Operations!$A$2:$U$79,15,FALSE)*C12,2)))</f>
        <v>7.18</v>
      </c>
      <c r="I12" s="109">
        <f>IF(B12=0,0,IF(C12&gt;9999,"",ROUND(VLOOKUP(VLOOKUP(B12,Operations!$A$2:$U$79,11,FALSE),PowerUnits[],16,FALSE)/VLOOKUP(B12,Operations!$A$2:$U$79,9,FALSE)*C12,2)))</f>
        <v>3.46</v>
      </c>
      <c r="J12" s="109">
        <f>IF(B12=0,"",IF(C12&gt;9999,"",ROUND(VLOOKUP($B12,Operations!$A$2:$U$79,21,FALSE)*$C12,2)))</f>
        <v>2.4500000000000002</v>
      </c>
      <c r="K12" s="109">
        <f>IF(C12&gt;9999,"",ROUND(SUM(E12:J12),2))</f>
        <v>16.82</v>
      </c>
      <c r="L12" s="110"/>
    </row>
    <row r="13" spans="1:13" s="107" customFormat="1" ht="13.15" customHeight="1" x14ac:dyDescent="0.2">
      <c r="A13" s="103">
        <v>2</v>
      </c>
      <c r="B13" s="180" t="s">
        <v>548</v>
      </c>
      <c r="C13" s="174">
        <v>1</v>
      </c>
      <c r="D13" s="174"/>
      <c r="E13" s="109">
        <f>IF(B13=0,"",IF(C13&gt;9999,"",ROUND('General Variables'!$B$4*VLOOKUP(B13,Operations!$A$2:$U$79,10,FALSE)/VLOOKUP(B13,Operations!$A$2:$U$79,9,FALSE)*C13,2)))</f>
        <v>1.02</v>
      </c>
      <c r="F13" s="109">
        <f>IF(B13=0,0,IF(C13&gt;9999,"",ROUND(IF(VLOOKUP(B13,Operations!$A$2:$U$79,12,FALSE)=0,VLOOKUP(B13,Operations!$A$2:$U$79,13,FALSE)*'General Variables'!$B$8,VLOOKUP(B13,Operations!$A$2:$U$79,12,FALSE)*'General Variables'!$B$7)/VLOOKUP(B13,Operations!$A$2:$U$79,9,FALSE)*C13,2)))</f>
        <v>0.26</v>
      </c>
      <c r="G13" s="109">
        <f>IF(B13=0,0,IF(C13&gt;9999,"",ROUND(VLOOKUP(VLOOKUP(B13,Operations!$A$2:$U$79,11,FALSE),PowerUnits[],10,FALSE)/VLOOKUP(B13,Operations!$A$2:$U$79,9,FALSE)*C13,2)))</f>
        <v>0.03</v>
      </c>
      <c r="H13" s="109">
        <f>IF(B13=0,"",IF(C13&gt;9999,"",ROUND(VLOOKUP($B13,Operations!$A$2:$U$79,15,FALSE)*C13,2)))</f>
        <v>0.33</v>
      </c>
      <c r="I13" s="109">
        <f>IF(B13=0,0,IF(C13&gt;9999,"",ROUND(VLOOKUP(VLOOKUP(B13,Operations!$A$2:$U$79,11,FALSE),PowerUnits[],16,FALSE)/VLOOKUP(B13,Operations!$A$2:$U$79,9,FALSE)*C13,2)))</f>
        <v>1.31</v>
      </c>
      <c r="J13" s="109">
        <f>IF(B13=0,"",IF(C13&gt;9999,"",ROUND(VLOOKUP($B13,Operations!$A$2:$U$79,21,FALSE)*$C13,2)))</f>
        <v>4.2</v>
      </c>
      <c r="K13" s="109">
        <f>IF(C13&gt;9999,"",ROUND(SUM(E13:J13),2))</f>
        <v>7.15</v>
      </c>
      <c r="L13" s="110"/>
    </row>
    <row r="14" spans="1:13" x14ac:dyDescent="0.2">
      <c r="A14" s="128">
        <v>3</v>
      </c>
      <c r="B14" s="180" t="s">
        <v>551</v>
      </c>
      <c r="C14" s="174" t="s">
        <v>898</v>
      </c>
      <c r="D14" s="174"/>
      <c r="E14" s="109" t="str">
        <f>IF(B14=0,"",IF(C14&gt;9999,"",ROUND('General Variables'!$B$4*VLOOKUP(B14,Operations!$A$2:$U$79,10,FALSE)/VLOOKUP(B14,Operations!$A$2:$U$79,9,FALSE)*C14,2)))</f>
        <v/>
      </c>
      <c r="F14" s="109" t="str">
        <f>IF(B14=0,0,IF(C14&gt;9999,"",ROUND(IF(VLOOKUP(B14,Operations!$A$2:$U$79,12,FALSE)=0,VLOOKUP(B14,Operations!$A$2:$U$79,13,FALSE)*'General Variables'!$B$8,VLOOKUP(B14,Operations!$A$2:$U$79,12,FALSE)*'General Variables'!$B$7)/VLOOKUP(B14,Operations!$A$2:$U$79,9,FALSE)*C14,2)))</f>
        <v/>
      </c>
      <c r="G14" s="109" t="str">
        <f>IF(B14=0,0,IF(C14&gt;9999,"",ROUND(VLOOKUP(VLOOKUP(B14,Operations!$A$2:$U$79,11,FALSE),PowerUnits[],10,FALSE)/VLOOKUP(B14,Operations!$A$2:$U$79,9,FALSE)*C14,2)))</f>
        <v/>
      </c>
      <c r="H14" s="109" t="str">
        <f>IF(B14=0,"",IF(C14&gt;9999,"",ROUND(VLOOKUP($B14,Operations!$A$2:$U$79,15,FALSE)*C14,2)))</f>
        <v/>
      </c>
      <c r="I14" s="109" t="str">
        <f>IF(B14=0,0,IF(C14&gt;9999,"",ROUND(VLOOKUP(VLOOKUP(B14,Operations!$A$2:$U$79,11,FALSE),PowerUnits[],16,FALSE)/VLOOKUP(B14,Operations!$A$2:$U$79,9,FALSE)*C14,2)))</f>
        <v/>
      </c>
      <c r="J14" s="109" t="str">
        <f>IF(B14=0,"",IF(C14&gt;9999,"",ROUND(VLOOKUP($B14,Operations!$A$2:$U$79,21,FALSE)*$C14,2)))</f>
        <v/>
      </c>
      <c r="K14" s="109" t="str">
        <f>IF(C14&gt;9999,"",ROUND(SUM(E14:J14),2))</f>
        <v/>
      </c>
      <c r="L14" s="110"/>
    </row>
    <row r="15" spans="1:13" hidden="1" x14ac:dyDescent="0.2">
      <c r="A15" s="170">
        <v>3</v>
      </c>
      <c r="B15" s="180"/>
      <c r="C15" s="174"/>
      <c r="D15" s="174"/>
      <c r="E15" s="109" t="str">
        <f>IF(B15=0,"",IF(C15&gt;9999,"",ROUND('General Variables'!$B$4*VLOOKUP(B15,Operations!$A$2:$U$79,10,FALSE)/VLOOKUP(B15,Operations!$A$2:$U$79,9,FALSE)*C15,2)))</f>
        <v/>
      </c>
      <c r="F15" s="109">
        <f>IF(B15=0,0,IF(C15&gt;9999,"",ROUND(IF(VLOOKUP(B15,Operations!$A$2:$U$79,12,FALSE)=0,VLOOKUP(B15,Operations!$A$2:$U$79,13,FALSE)*'General Variables'!$B$8,VLOOKUP(B15,Operations!$A$2:$U$79,12,FALSE)*'General Variables'!$B$7)/VLOOKUP(B15,Operations!$A$2:$U$79,9,FALSE)*C15,2)))</f>
        <v>0</v>
      </c>
      <c r="G15" s="109">
        <f>IF(B15=0,0,IF(C15&gt;9999,"",ROUND(VLOOKUP(VLOOKUP(B15,Operations!$A$2:$U$79,11,FALSE),PowerUnits[],10,FALSE)/VLOOKUP(B15,Operations!$A$2:$U$79,9,FALSE)*C15,2)))</f>
        <v>0</v>
      </c>
      <c r="H15" s="109" t="str">
        <f>IF(B15=0,"",IF(C15&gt;9999,"",ROUND(VLOOKUP($B15,Operations!$A$2:$U$79,15,FALSE)*C15,2)))</f>
        <v/>
      </c>
      <c r="I15" s="109">
        <f>IF(B15=0,0,IF(C15&gt;9999,"",ROUND(VLOOKUP(VLOOKUP(B15,Operations!$A$2:$U$79,11,FALSE),PowerUnits[],16,FALSE)/VLOOKUP(B15,Operations!$A$2:$U$79,9,FALSE)*C15,2)))</f>
        <v>0</v>
      </c>
      <c r="J15" s="109" t="str">
        <f>IF(B15=0,"",IF(C15&gt;9999,"",ROUND(VLOOKUP($B15,Operations!$A$2:$U$79,21,FALSE)*$C15,2)))</f>
        <v/>
      </c>
      <c r="K15" s="109">
        <f t="shared" ref="K15:K32" si="0">IF(C15&gt;9999,"",ROUND(SUM(E15:J15),2))</f>
        <v>0</v>
      </c>
      <c r="L15" s="110"/>
    </row>
    <row r="16" spans="1:13" hidden="1" x14ac:dyDescent="0.2">
      <c r="A16" s="170">
        <v>4</v>
      </c>
      <c r="B16" s="213"/>
      <c r="C16" s="214"/>
      <c r="D16" s="214"/>
      <c r="E16" s="215" t="str">
        <f>IF(B16=0,"",IF(C16&gt;9999,"",ROUND('General Variables'!$B$4*VLOOKUP(B16,Operations!$A$2:$U$79,10,FALSE)/VLOOKUP(B16,Operations!$A$2:$U$79,9,FALSE)*C16,2)))</f>
        <v/>
      </c>
      <c r="F16" s="215">
        <f>IF(B16=0,0,IF(C16&gt;9999,"",ROUND(IF(VLOOKUP(B16,Operations!$A$2:$U$79,12,FALSE)=0,VLOOKUP(B16,Operations!$A$2:$U$79,13,FALSE)*'General Variables'!$B$8,VLOOKUP(B16,Operations!$A$2:$U$79,12,FALSE)*'General Variables'!$B$7)/VLOOKUP(B16,Operations!$A$2:$U$79,9,FALSE)*C16,2)))</f>
        <v>0</v>
      </c>
      <c r="G16" s="215">
        <f>IF(B16=0,0,IF(C16&gt;9999,"",ROUND(VLOOKUP(VLOOKUP(B16,Operations!$A$2:$U$79,11,FALSE),PowerUnits[],10,FALSE)/VLOOKUP(B16,Operations!$A$2:$U$79,9,FALSE)*C16,2)))</f>
        <v>0</v>
      </c>
      <c r="H16" s="215" t="str">
        <f>IF(B16=0,"",IF(C16&gt;9999,"",ROUND(VLOOKUP($B16,Operations!$A$2:$U$79,15,FALSE)*C16,2)))</f>
        <v/>
      </c>
      <c r="I16" s="215">
        <f>IF(B16=0,0,IF(C16&gt;9999,"",ROUND(VLOOKUP(VLOOKUP(B16,Operations!$A$2:$U$79,11,FALSE),PowerUnits[],16,FALSE)/VLOOKUP(B16,Operations!$A$2:$U$79,9,FALSE)*C16,2)))</f>
        <v>0</v>
      </c>
      <c r="J16" s="215" t="str">
        <f>IF(B16=0,"",IF(C16&gt;9999,"",ROUND(VLOOKUP($B16,Operations!$A$2:$U$79,21,FALSE)*$C16,2)))</f>
        <v/>
      </c>
      <c r="K16" s="215">
        <f t="shared" si="0"/>
        <v>0</v>
      </c>
      <c r="L16" s="216"/>
    </row>
    <row r="17" spans="1:12" hidden="1" x14ac:dyDescent="0.2">
      <c r="A17" s="170">
        <v>5</v>
      </c>
      <c r="B17" s="180"/>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hidden="1" x14ac:dyDescent="0.2">
      <c r="A18" s="170">
        <v>6</v>
      </c>
      <c r="B18" s="180"/>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hidden="1" x14ac:dyDescent="0.2">
      <c r="A19" s="170">
        <v>7</v>
      </c>
      <c r="B19" s="180"/>
      <c r="C19" s="174"/>
      <c r="D19" s="174"/>
      <c r="E19" s="109" t="str">
        <f>IF(B19=0,"",IF(C19&gt;9999,"",ROUND('General Variables'!$B$4*VLOOKUP(B19,Operations!$A$2:$U$79,10,FALSE)/VLOOKUP(B19,Operations!$A$2:$U$79,9,FALSE)*C19,2)))</f>
        <v/>
      </c>
      <c r="F19" s="109">
        <f>IF(B19=0,0,IF(C19&gt;9999,"",ROUND(IF(VLOOKUP(B19,Operations!$A$2:$U$79,12,FALSE)=0,VLOOKUP(B19,Operations!$A$2:$U$79,13,FALSE)*'General Variables'!$B$8,VLOOKUP(B19,Operations!$A$2:$U$79,12,FALSE)*'General Variables'!$B$7)/VLOOKUP(B19,Operations!$A$2:$U$79,9,FALSE)*C19,2)))</f>
        <v>0</v>
      </c>
      <c r="G19" s="109">
        <f>IF(B19=0,0,IF(C19&gt;9999,"",ROUND(VLOOKUP(VLOOKUP(B19,Operations!$A$2:$U$79,11,FALSE),PowerUnits[],10,FALSE)/VLOOKUP(B19,Operations!$A$2:$U$79,9,FALSE)*C19,2)))</f>
        <v>0</v>
      </c>
      <c r="H19" s="109" t="str">
        <f>IF(B19=0,"",IF(C19&gt;9999,"",ROUND(VLOOKUP($B19,Operations!$A$2:$U$79,15,FALSE)*C19,2)))</f>
        <v/>
      </c>
      <c r="I19" s="109">
        <f>IF(B19=0,0,IF(C19&gt;9999,"",ROUND(VLOOKUP(VLOOKUP(B19,Operations!$A$2:$U$79,11,FALSE),PowerUnits[],16,FALSE)/VLOOKUP(B19,Operations!$A$2:$U$79,9,FALSE)*C19,2)))</f>
        <v>0</v>
      </c>
      <c r="J19" s="109" t="str">
        <f>IF(B19=0,"",IF(C19&gt;9999,"",ROUND(VLOOKUP($B19,Operations!$A$2:$U$79,21,FALSE)*$C19,2)))</f>
        <v/>
      </c>
      <c r="K19" s="109">
        <f t="shared" si="0"/>
        <v>0</v>
      </c>
      <c r="L19" s="110"/>
    </row>
    <row r="20" spans="1:12" hidden="1" x14ac:dyDescent="0.2">
      <c r="A20" s="170">
        <v>8</v>
      </c>
      <c r="B20" s="213"/>
      <c r="C20" s="214"/>
      <c r="D20" s="214"/>
      <c r="E20" s="215" t="str">
        <f>IF(B20=0,"",IF(C20&gt;9999,"",ROUND('General Variables'!$B$4*VLOOKUP(B20,Operations!$A$2:$U$79,10,FALSE)/VLOOKUP(B20,Operations!$A$2:$U$79,9,FALSE)*C20,2)))</f>
        <v/>
      </c>
      <c r="F20" s="215">
        <f>IF(B20=0,0,IF(C20&gt;9999,"",ROUND(IF(VLOOKUP(B20,Operations!$A$2:$U$79,12,FALSE)=0,VLOOKUP(B20,Operations!$A$2:$U$79,13,FALSE)*'General Variables'!$B$8,VLOOKUP(B20,Operations!$A$2:$U$79,12,FALSE)*'General Variables'!$B$7)/VLOOKUP(B20,Operations!$A$2:$U$79,9,FALSE)*C20,2)))</f>
        <v>0</v>
      </c>
      <c r="G20" s="215">
        <f>IF(B20=0,0,IF(C20&gt;9999,"",ROUND(VLOOKUP(VLOOKUP(B20,Operations!$A$2:$U$79,11,FALSE),PowerUnits[],10,FALSE)/VLOOKUP(B20,Operations!$A$2:$U$79,9,FALSE)*C20,2)))</f>
        <v>0</v>
      </c>
      <c r="H20" s="215" t="str">
        <f>IF(B20=0,"",IF(C20&gt;9999,"",ROUND(VLOOKUP($B20,Operations!$A$2:$U$79,15,FALSE)*C20,2)))</f>
        <v/>
      </c>
      <c r="I20" s="215">
        <f>IF(B20=0,0,IF(C20&gt;9999,"",ROUND(VLOOKUP(VLOOKUP(B20,Operations!$A$2:$U$79,11,FALSE),PowerUnits[],16,FALSE)/VLOOKUP(B20,Operations!$A$2:$U$79,9,FALSE)*C20,2)))</f>
        <v>0</v>
      </c>
      <c r="J20" s="215" t="str">
        <f>IF(B20=0,"",IF(C20&gt;9999,"",ROUND(VLOOKUP($B20,Operations!$A$2:$U$79,21,FALSE)*$C20,2)))</f>
        <v/>
      </c>
      <c r="K20" s="215">
        <f>IF(C20&gt;9999,"",ROUND(SUM(E20:J20),2))</f>
        <v>0</v>
      </c>
      <c r="L20" s="216"/>
    </row>
    <row r="21" spans="1:12" hidden="1" x14ac:dyDescent="0.2">
      <c r="A21" s="170">
        <v>9</v>
      </c>
      <c r="B21" s="180"/>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hidden="1" x14ac:dyDescent="0.2">
      <c r="A22" s="170">
        <v>10</v>
      </c>
      <c r="B22" s="180"/>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hidden="1" x14ac:dyDescent="0.2">
      <c r="A23" s="170">
        <v>11</v>
      </c>
      <c r="B23" s="180"/>
      <c r="C23" s="174"/>
      <c r="D23" s="174"/>
      <c r="E23" s="109" t="str">
        <f>IF(B23=0,"",IF(C23&gt;9999,"",ROUND('General Variables'!$B$4*VLOOKUP(B23,Operations!$A$2:$U$79,10,FALSE)/VLOOKUP(B23,Operations!$A$2:$U$79,9,FALSE)*C23,2)))</f>
        <v/>
      </c>
      <c r="F23" s="109">
        <f>IF(B23=0,0,IF(C23&gt;9999,"",ROUND(IF(VLOOKUP(B23,Operations!$A$2:$U$79,12,FALSE)=0,VLOOKUP(B23,Operations!$A$2:$U$79,13,FALSE)*'General Variables'!$B$8,VLOOKUP(B23,Operations!$A$2:$U$79,12,FALSE)*'General Variables'!$B$7)/VLOOKUP(B23,Operations!$A$2:$U$79,9,FALSE)*C23,2)))</f>
        <v>0</v>
      </c>
      <c r="G23" s="109">
        <f>IF(B23=0,0,IF(C23&gt;9999,"",ROUND(VLOOKUP(VLOOKUP(B23,Operations!$A$2:$U$79,11,FALSE),PowerUnits[],10,FALSE)/VLOOKUP(B23,Operations!$A$2:$U$79,9,FALSE)*C23,2)))</f>
        <v>0</v>
      </c>
      <c r="H23" s="109" t="str">
        <f>IF(B23=0,"",IF(C23&gt;9999,"",ROUND(VLOOKUP($B23,Operations!$A$2:$U$79,15,FALSE)*C23,2)))</f>
        <v/>
      </c>
      <c r="I23" s="109">
        <f>IF(B23=0,0,IF(C23&gt;9999,"",ROUND(VLOOKUP(VLOOKUP(B23,Operations!$A$2:$U$79,11,FALSE),PowerUnits[],16,FALSE)/VLOOKUP(B23,Operations!$A$2:$U$79,9,FALSE)*C23,2)))</f>
        <v>0</v>
      </c>
      <c r="J23" s="109" t="str">
        <f>IF(B23=0,"",IF(C23&gt;9999,"",ROUND(VLOOKUP($B23,Operations!$A$2:$U$79,21,FALSE)*$C23,2)))</f>
        <v/>
      </c>
      <c r="K23" s="109">
        <f t="shared" si="0"/>
        <v>0</v>
      </c>
      <c r="L23" s="110"/>
    </row>
    <row r="24" spans="1:12" hidden="1" x14ac:dyDescent="0.2">
      <c r="A24" s="170">
        <v>12</v>
      </c>
      <c r="B24" s="213"/>
      <c r="C24" s="214"/>
      <c r="D24" s="214"/>
      <c r="E24" s="215" t="str">
        <f>IF(B24=0,"",IF(C24&gt;9999,"",ROUND('General Variables'!$B$4*VLOOKUP(B24,Operations!$A$2:$U$79,10,FALSE)/VLOOKUP(B24,Operations!$A$2:$U$79,9,FALSE)*C24,2)))</f>
        <v/>
      </c>
      <c r="F24" s="215">
        <f>IF(B24=0,0,IF(C24&gt;9999,"",ROUND(IF(VLOOKUP(B24,Operations!$A$2:$U$79,12,FALSE)=0,VLOOKUP(B24,Operations!$A$2:$U$79,13,FALSE)*'General Variables'!$B$8,VLOOKUP(B24,Operations!$A$2:$U$79,12,FALSE)*'General Variables'!$B$7)/VLOOKUP(B24,Operations!$A$2:$U$79,9,FALSE)*C24,2)))</f>
        <v>0</v>
      </c>
      <c r="G24" s="215">
        <f>IF(B24=0,0,IF(C24&gt;9999,"",ROUND(VLOOKUP(VLOOKUP(B24,Operations!$A$2:$U$79,11,FALSE),PowerUnits[],10,FALSE)/VLOOKUP(B24,Operations!$A$2:$U$79,9,FALSE)*C24,2)))</f>
        <v>0</v>
      </c>
      <c r="H24" s="215" t="str">
        <f>IF(B24=0,"",IF(C24&gt;9999,"",ROUND(VLOOKUP($B24,Operations!$A$2:$U$79,15,FALSE)*C24,2)))</f>
        <v/>
      </c>
      <c r="I24" s="215">
        <f>IF(B24=0,0,IF(C24&gt;9999,"",ROUND(VLOOKUP(VLOOKUP(B24,Operations!$A$2:$U$79,11,FALSE),PowerUnits[],16,FALSE)/VLOOKUP(B24,Operations!$A$2:$U$79,9,FALSE)*C24,2)))</f>
        <v>0</v>
      </c>
      <c r="J24" s="215" t="str">
        <f>IF(B24=0,"",IF(C24&gt;9999,"",ROUND(VLOOKUP($B24,Operations!$A$2:$U$79,21,FALSE)*$C24,2)))</f>
        <v/>
      </c>
      <c r="K24" s="215">
        <f t="shared" si="0"/>
        <v>0</v>
      </c>
      <c r="L24" s="216"/>
    </row>
    <row r="25" spans="1:12" hidden="1" x14ac:dyDescent="0.2">
      <c r="A25" s="170">
        <v>13</v>
      </c>
      <c r="B25" s="180"/>
      <c r="C25" s="174"/>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hidden="1" x14ac:dyDescent="0.2">
      <c r="A26" s="170">
        <v>14</v>
      </c>
      <c r="B26" s="111"/>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hidden="1" x14ac:dyDescent="0.2">
      <c r="A27" s="170">
        <v>15</v>
      </c>
      <c r="B27" s="111"/>
      <c r="C27" s="112"/>
      <c r="D27" s="174"/>
      <c r="E27" s="109" t="str">
        <f>IF(B27=0,"",IF(C27&gt;9999,"",ROUND('General Variables'!$B$4*VLOOKUP(B27,Operations!$A$2:$U$79,10,FALSE)/VLOOKUP(B27,Operations!$A$2:$U$79,9,FALSE)*C27,2)))</f>
        <v/>
      </c>
      <c r="F27" s="109">
        <f>IF(B27=0,0,IF(C27&gt;9999,"",ROUND(IF(VLOOKUP(B27,Operations!$A$2:$U$79,12,FALSE)=0,VLOOKUP(B27,Operations!$A$2:$U$79,13,FALSE)*'General Variables'!$B$8,VLOOKUP(B27,Operations!$A$2:$U$79,12,FALSE)*'General Variables'!$B$7)/VLOOKUP(B27,Operations!$A$2:$U$79,9,FALSE)*C27,2)))</f>
        <v>0</v>
      </c>
      <c r="G27" s="109">
        <f>IF(B27=0,0,IF(C27&gt;9999,"",ROUND(VLOOKUP(VLOOKUP(B27,Operations!$A$2:$U$79,11,FALSE),PowerUnits[],10,FALSE)/VLOOKUP(B27,Operations!$A$2:$U$79,9,FALSE)*C27,2)))</f>
        <v>0</v>
      </c>
      <c r="H27" s="109" t="str">
        <f>IF(B27=0,"",IF(C27&gt;9999,"",ROUND(VLOOKUP($B27,Operations!$A$2:$U$79,15,FALSE)*C27,2)))</f>
        <v/>
      </c>
      <c r="I27" s="109">
        <f>IF(B27=0,0,IF(C27&gt;9999,"",ROUND(VLOOKUP(VLOOKUP(B27,Operations!$A$2:$U$79,11,FALSE),PowerUnits[],16,FALSE)/VLOOKUP(B27,Operations!$A$2:$U$79,9,FALSE)*C27,2)))</f>
        <v>0</v>
      </c>
      <c r="J27" s="109" t="str">
        <f>IF(B27=0,"",IF(C27&gt;9999,"",ROUND(VLOOKUP($B27,Operations!$A$2:$U$79,21,FALSE)*$C27,2)))</f>
        <v/>
      </c>
      <c r="K27" s="109">
        <f t="shared" si="0"/>
        <v>0</v>
      </c>
      <c r="L27" s="110"/>
    </row>
    <row r="28" spans="1:12" hidden="1" x14ac:dyDescent="0.2">
      <c r="A28" s="170">
        <v>16</v>
      </c>
      <c r="B28" s="217"/>
      <c r="C28" s="218"/>
      <c r="D28" s="214"/>
      <c r="E28" s="215" t="str">
        <f>IF(B28=0,"",IF(C28&gt;9999,"",ROUND('General Variables'!$B$4*VLOOKUP(B28,Operations!$A$2:$U$79,10,FALSE)/VLOOKUP(B28,Operations!$A$2:$U$79,9,FALSE)*C28,2)))</f>
        <v/>
      </c>
      <c r="F28" s="215">
        <f>IF(B28=0,0,IF(C28&gt;9999,"",ROUND(IF(VLOOKUP(B28,Operations!$A$2:$U$79,12,FALSE)=0,VLOOKUP(B28,Operations!$A$2:$U$79,13,FALSE)*'General Variables'!$B$8,VLOOKUP(B28,Operations!$A$2:$U$79,12,FALSE)*'General Variables'!$B$7)/VLOOKUP(B28,Operations!$A$2:$U$79,9,FALSE)*C28,2)))</f>
        <v>0</v>
      </c>
      <c r="G28" s="215">
        <f>IF(B28=0,0,IF(C28&gt;9999,"",ROUND(VLOOKUP(VLOOKUP(B28,Operations!$A$2:$U$79,11,FALSE),PowerUnits[],10,FALSE)/VLOOKUP(B28,Operations!$A$2:$U$79,9,FALSE)*C28,2)))</f>
        <v>0</v>
      </c>
      <c r="H28" s="215" t="str">
        <f>IF(B28=0,"",IF(C28&gt;9999,"",ROUND(VLOOKUP($B28,Operations!$A$2:$U$79,15,FALSE)*C28,2)))</f>
        <v/>
      </c>
      <c r="I28" s="215">
        <f>IF(B28=0,0,IF(C28&gt;9999,"",ROUND(VLOOKUP(VLOOKUP(B28,Operations!$A$2:$U$79,11,FALSE),PowerUnits[],16,FALSE)/VLOOKUP(B28,Operations!$A$2:$U$79,9,FALSE)*C28,2)))</f>
        <v>0</v>
      </c>
      <c r="J28" s="215" t="str">
        <f>IF(B28=0,"",IF(C28&gt;9999,"",ROUND(VLOOKUP($B28,Operations!$A$2:$U$79,21,FALSE)*$C28,2)))</f>
        <v/>
      </c>
      <c r="K28" s="215">
        <f t="shared" si="0"/>
        <v>0</v>
      </c>
      <c r="L28" s="216"/>
    </row>
    <row r="29" spans="1:12" hidden="1" x14ac:dyDescent="0.2">
      <c r="A29" s="170">
        <v>17</v>
      </c>
      <c r="B29" s="111"/>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hidden="1" x14ac:dyDescent="0.2">
      <c r="A30" s="170">
        <v>18</v>
      </c>
      <c r="B30" s="111"/>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0"/>
    </row>
    <row r="31" spans="1:12" hidden="1" x14ac:dyDescent="0.2">
      <c r="A31" s="170">
        <v>19</v>
      </c>
      <c r="B31" s="111"/>
      <c r="C31" s="112"/>
      <c r="D31" s="174"/>
      <c r="E31" s="109" t="str">
        <f>IF(B31=0,"",IF(C31&gt;9999,"",ROUND('General Variables'!$B$4*VLOOKUP(B31,Operations!$A$2:$U$79,10,FALSE)/VLOOKUP(B31,Operations!$A$2:$U$79,9,FALSE)*C31,2)))</f>
        <v/>
      </c>
      <c r="F31" s="109">
        <f>IF(B31=0,0,IF(C31&gt;9999,"",ROUND(IF(VLOOKUP(B31,Operations!$A$2:$U$79,12,FALSE)=0,VLOOKUP(B31,Operations!$A$2:$U$79,13,FALSE)*'General Variables'!$B$8,VLOOKUP(B31,Operations!$A$2:$U$79,12,FALSE)*'General Variables'!$B$7)/VLOOKUP(B31,Operations!$A$2:$U$79,9,FALSE)*C31,2)))</f>
        <v>0</v>
      </c>
      <c r="G31" s="109">
        <f>IF(B31=0,0,IF(C31&gt;9999,"",ROUND(VLOOKUP(VLOOKUP(B31,Operations!$A$2:$U$79,11,FALSE),PowerUnits[],10,FALSE)/VLOOKUP(B31,Operations!$A$2:$U$79,9,FALSE)*C31,2)))</f>
        <v>0</v>
      </c>
      <c r="H31" s="109" t="str">
        <f>IF(B31=0,"",IF(C31&gt;9999,"",ROUND(VLOOKUP($B31,Operations!$A$2:$U$79,15,FALSE)*C31,2)))</f>
        <v/>
      </c>
      <c r="I31" s="109">
        <f>IF(B31=0,0,IF(C31&gt;9999,"",ROUND(VLOOKUP(VLOOKUP(B31,Operations!$A$2:$U$79,11,FALSE),PowerUnits[],16,FALSE)/VLOOKUP(B31,Operations!$A$2:$U$79,9,FALSE)*C31,2)))</f>
        <v>0</v>
      </c>
      <c r="J31" s="109" t="str">
        <f>IF(B31=0,"",IF(C31&gt;9999,"",ROUND(VLOOKUP($B31,Operations!$A$2:$U$79,21,FALSE)*$C31,2)))</f>
        <v/>
      </c>
      <c r="K31" s="109">
        <f t="shared" si="0"/>
        <v>0</v>
      </c>
      <c r="L31" s="113"/>
    </row>
    <row r="32" spans="1:12" hidden="1" x14ac:dyDescent="0.2">
      <c r="A32" s="170">
        <v>20</v>
      </c>
      <c r="B32" s="217"/>
      <c r="C32" s="218"/>
      <c r="D32" s="214"/>
      <c r="E32" s="215" t="str">
        <f>IF(B32=0,"",IF(C32&gt;9999,"",ROUND('General Variables'!$B$4*VLOOKUP(B32,Operations!$A$2:$U$79,10,FALSE)/VLOOKUP(B32,Operations!$A$2:$U$79,9,FALSE)*C32,2)))</f>
        <v/>
      </c>
      <c r="F32" s="215">
        <f>IF(B32=0,0,IF(C32&gt;9999,"",ROUND(IF(VLOOKUP(B32,Operations!$A$2:$U$79,12,FALSE)=0,VLOOKUP(B32,Operations!$A$2:$U$79,13,FALSE)*'General Variables'!$B$8,VLOOKUP(B32,Operations!$A$2:$U$79,12,FALSE)*'General Variables'!$B$7)/VLOOKUP(B32,Operations!$A$2:$U$79,9,FALSE)*C32,2)))</f>
        <v>0</v>
      </c>
      <c r="G32" s="215">
        <f>IF(B32=0,0,IF(C32&gt;9999,"",ROUND(VLOOKUP(VLOOKUP(B32,Operations!$A$2:$U$79,11,FALSE),PowerUnits[],10,FALSE)/VLOOKUP(B32,Operations!$A$2:$U$79,9,FALSE)*C32,2)))</f>
        <v>0</v>
      </c>
      <c r="H32" s="215" t="str">
        <f>IF(B32=0,"",IF(C32&gt;9999,"",ROUND(VLOOKUP($B32,Operations!$A$2:$U$79,15,FALSE)*C32,2)))</f>
        <v/>
      </c>
      <c r="I32" s="215">
        <f>IF(B32=0,0,IF(C32&gt;9999,"",ROUND(VLOOKUP(VLOOKUP(B32,Operations!$A$2:$U$79,11,FALSE),PowerUnits[],16,FALSE)/VLOOKUP(B32,Operations!$A$2:$U$79,9,FALSE)*C32,2)))</f>
        <v>0</v>
      </c>
      <c r="J32" s="215" t="str">
        <f>IF(B32=0,"",IF(C32&gt;9999,"",ROUND(VLOOKUP($B32,Operations!$A$2:$U$79,21,FALSE)*$C32,2)))</f>
        <v/>
      </c>
      <c r="K32" s="215">
        <f t="shared" si="0"/>
        <v>0</v>
      </c>
      <c r="L32" s="220"/>
    </row>
    <row r="33" spans="1:12" ht="3" customHeight="1" thickBot="1" x14ac:dyDescent="0.25">
      <c r="A33" s="170"/>
      <c r="B33" s="114"/>
      <c r="C33" s="115"/>
      <c r="D33" s="115"/>
      <c r="E33" s="116"/>
      <c r="F33" s="116"/>
      <c r="G33" s="116"/>
      <c r="H33" s="116"/>
      <c r="I33" s="116"/>
      <c r="J33" s="116"/>
      <c r="K33" s="116"/>
      <c r="L33" s="117"/>
    </row>
    <row r="34" spans="1:12" ht="13.5" thickTop="1" x14ac:dyDescent="0.2">
      <c r="C34" s="108" t="s">
        <v>664</v>
      </c>
      <c r="D34" s="108"/>
      <c r="E34" s="109">
        <f t="shared" ref="E34:K34" si="1">SUM(E12:E32)</f>
        <v>3.4</v>
      </c>
      <c r="F34" s="109">
        <f t="shared" si="1"/>
        <v>1.54</v>
      </c>
      <c r="G34" s="109">
        <f t="shared" si="1"/>
        <v>0.1</v>
      </c>
      <c r="H34" s="109">
        <f t="shared" si="1"/>
        <v>7.51</v>
      </c>
      <c r="I34" s="109">
        <f t="shared" si="1"/>
        <v>4.7699999999999996</v>
      </c>
      <c r="J34" s="109">
        <f t="shared" si="1"/>
        <v>6.65</v>
      </c>
      <c r="K34" s="109">
        <f t="shared" si="1"/>
        <v>23.97</v>
      </c>
      <c r="L34" s="110"/>
    </row>
    <row r="36" spans="1:12" ht="24" customHeight="1" thickBot="1" x14ac:dyDescent="0.25">
      <c r="F36" s="386" t="s">
        <v>665</v>
      </c>
      <c r="G36" s="386" t="s">
        <v>666</v>
      </c>
      <c r="H36" s="385" t="s">
        <v>667</v>
      </c>
      <c r="I36" s="385"/>
      <c r="J36" s="386" t="s">
        <v>169</v>
      </c>
      <c r="L36" s="385" t="s">
        <v>661</v>
      </c>
    </row>
    <row r="37" spans="1:12" s="118" customFormat="1" ht="18.75" customHeight="1" thickTop="1" thickBot="1" x14ac:dyDescent="0.25">
      <c r="B37" s="119" t="s">
        <v>668</v>
      </c>
      <c r="C37" s="171"/>
      <c r="D37" s="171"/>
      <c r="E37" s="171"/>
      <c r="F37" s="386"/>
      <c r="G37" s="386"/>
      <c r="H37" s="152" t="s">
        <v>669</v>
      </c>
      <c r="I37" s="153" t="s">
        <v>352</v>
      </c>
      <c r="J37" s="386"/>
      <c r="K37" s="171" t="s">
        <v>670</v>
      </c>
      <c r="L37" s="386"/>
    </row>
    <row r="38" spans="1:12" ht="13.5" thickTop="1" x14ac:dyDescent="0.2">
      <c r="A38" s="105"/>
      <c r="B38" s="180" t="s">
        <v>331</v>
      </c>
      <c r="C38" s="388" t="str">
        <f>IF(B38=0,"",VLOOKUP($B38,Table2[],2,FALSE))</f>
        <v>Seed</v>
      </c>
      <c r="D38" s="388"/>
      <c r="E38" s="388"/>
      <c r="F38" s="174">
        <v>1</v>
      </c>
      <c r="G38" s="175">
        <v>1</v>
      </c>
      <c r="H38" s="176">
        <v>1</v>
      </c>
      <c r="I38" s="120" t="str">
        <f>IF($B38=0,"",VLOOKUP($B38,Table2[],5,FALSE))</f>
        <v>acre</v>
      </c>
      <c r="J38" s="109">
        <f>IF($B38=0,"",VLOOKUP($B38,Table2[],7,FALSE))</f>
        <v>33</v>
      </c>
      <c r="K38" s="109">
        <f>IF(B38=0,0,ROUND(G38*H38*J38,2))</f>
        <v>33</v>
      </c>
      <c r="L38" s="110"/>
    </row>
    <row r="39" spans="1:12" x14ac:dyDescent="0.2">
      <c r="A39" s="105"/>
      <c r="B39" s="180" t="s">
        <v>207</v>
      </c>
      <c r="C39" s="170"/>
      <c r="D39" s="170" t="s">
        <v>202</v>
      </c>
      <c r="E39" s="170"/>
      <c r="F39" s="174">
        <v>2</v>
      </c>
      <c r="G39" s="175">
        <v>1</v>
      </c>
      <c r="H39" s="176">
        <v>50</v>
      </c>
      <c r="I39" s="120" t="s">
        <v>206</v>
      </c>
      <c r="J39" s="109">
        <f>IF($B39=0,"",VLOOKUP($B39,Table2[],7,FALSE))</f>
        <v>0.5</v>
      </c>
      <c r="K39" s="109">
        <f>IF(B39=0,0,ROUND(G39*H39*J39,2))</f>
        <v>25</v>
      </c>
      <c r="L39" s="110"/>
    </row>
    <row r="40" spans="1:12" x14ac:dyDescent="0.2">
      <c r="A40" s="143" t="s">
        <v>638</v>
      </c>
      <c r="B40" s="180" t="s">
        <v>200</v>
      </c>
      <c r="C40" s="388" t="str">
        <f>IF(B40=0,"",VLOOKUP($B40,Table2[],2,FALSE))</f>
        <v>Custom</v>
      </c>
      <c r="D40" s="388"/>
      <c r="E40" s="388"/>
      <c r="F40" s="174">
        <v>3</v>
      </c>
      <c r="G40" s="175">
        <v>1</v>
      </c>
      <c r="H40" s="176">
        <v>1</v>
      </c>
      <c r="I40" s="120" t="str">
        <f>IF($B40=0,"",VLOOKUP($B40,Table2[],5,FALSE))</f>
        <v>acre</v>
      </c>
      <c r="J40" s="109">
        <f>IF($B40=0,"",VLOOKUP($B40,Table2[],7,FALSE))</f>
        <v>9</v>
      </c>
      <c r="K40" s="109">
        <f t="shared" ref="K40:K59" si="2">IF(B40=0,0,ROUND(G40*H40*J40,2))</f>
        <v>9</v>
      </c>
      <c r="L40" s="110"/>
    </row>
    <row r="41" spans="1:12" x14ac:dyDescent="0.2">
      <c r="A41" s="143"/>
      <c r="B41" s="213" t="s">
        <v>259</v>
      </c>
      <c r="C41" s="387" t="str">
        <f>IF(B41=0,"",VLOOKUP($B41,Table2[],2,FALSE))</f>
        <v>Herbicide</v>
      </c>
      <c r="D41" s="387"/>
      <c r="E41" s="387"/>
      <c r="F41" s="214">
        <v>3</v>
      </c>
      <c r="G41" s="221">
        <v>1</v>
      </c>
      <c r="H41" s="222">
        <v>32</v>
      </c>
      <c r="I41" s="223" t="str">
        <f>IF($B41=0,"",VLOOKUP($B41,Table2[],5,FALSE))</f>
        <v>ounce</v>
      </c>
      <c r="J41" s="215">
        <f>IF($B41=0,"",VLOOKUP($B41,Table2[],7,FALSE))</f>
        <v>0.1328125</v>
      </c>
      <c r="K41" s="215">
        <f>IF(B41=0,0,ROUND(G41*H41*J41,2))</f>
        <v>4.25</v>
      </c>
      <c r="L41" s="110"/>
    </row>
    <row r="42" spans="1:12" x14ac:dyDescent="0.2">
      <c r="A42" s="143"/>
      <c r="B42" s="180" t="s">
        <v>229</v>
      </c>
      <c r="C42" s="388" t="str">
        <f>IF(B42=0,"",VLOOKUP($B42,Table2[],2,FALSE))</f>
        <v>Herbicide</v>
      </c>
      <c r="D42" s="388"/>
      <c r="E42" s="388"/>
      <c r="F42" s="174">
        <v>3</v>
      </c>
      <c r="G42" s="175">
        <v>1</v>
      </c>
      <c r="H42" s="176">
        <v>1</v>
      </c>
      <c r="I42" s="120" t="s">
        <v>179</v>
      </c>
      <c r="J42" s="109">
        <f>IF($B42=0,"",VLOOKUP($B42,Table2[],7,FALSE))</f>
        <v>2.5</v>
      </c>
      <c r="K42" s="109">
        <f t="shared" si="2"/>
        <v>2.5</v>
      </c>
      <c r="L42" s="110"/>
    </row>
    <row r="43" spans="1:12" x14ac:dyDescent="0.2">
      <c r="A43" s="105"/>
      <c r="B43" s="180" t="s">
        <v>170</v>
      </c>
      <c r="C43" s="388" t="str">
        <f>IF(B43=0,"",VLOOKUP($B43,Table2[],2,FALSE))</f>
        <v>Additive</v>
      </c>
      <c r="D43" s="388"/>
      <c r="E43" s="388"/>
      <c r="F43" s="174">
        <v>3</v>
      </c>
      <c r="G43" s="175">
        <v>1</v>
      </c>
      <c r="H43" s="103">
        <v>1.7</v>
      </c>
      <c r="I43" s="103" t="s">
        <v>891</v>
      </c>
      <c r="J43" s="109">
        <f>IF($B43=0,"",VLOOKUP($B43,Table2[],7,FALSE))</f>
        <v>0.4</v>
      </c>
      <c r="K43" s="109">
        <f>IF(B43=0,0,ROUND(G43*H43*J43,2))</f>
        <v>0.68</v>
      </c>
      <c r="L43" s="110"/>
    </row>
    <row r="44" spans="1:12" ht="12.75" hidden="1" customHeight="1" x14ac:dyDescent="0.2">
      <c r="A44" s="105"/>
      <c r="B44" s="213"/>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ht="12.75" hidden="1" customHeight="1" x14ac:dyDescent="0.2">
      <c r="A45" s="105"/>
      <c r="B45" s="180"/>
      <c r="C45" s="388" t="str">
        <f>IF(B45=0,"",VLOOKUP($B45,Table2[],2,FALSE))</f>
        <v/>
      </c>
      <c r="D45" s="388"/>
      <c r="E45" s="388"/>
      <c r="F45" s="174"/>
      <c r="G45" s="175"/>
      <c r="H45" s="181"/>
      <c r="I45" s="120" t="str">
        <f>IF($B45=0,"",VLOOKUP($B45,Table2[],5,FALSE))</f>
        <v/>
      </c>
      <c r="J45" s="109" t="str">
        <f>IF($B45=0,"",VLOOKUP($B45,Table2[],7,FALSE))</f>
        <v/>
      </c>
      <c r="K45" s="109">
        <f t="shared" si="2"/>
        <v>0</v>
      </c>
      <c r="L45" s="110"/>
    </row>
    <row r="46" spans="1:12" ht="12.75" hidden="1" customHeight="1" x14ac:dyDescent="0.2">
      <c r="A46" s="105"/>
      <c r="B46" s="180"/>
      <c r="C46" s="388" t="str">
        <f>IF(B46=0,"",VLOOKUP($B46,Table2[],2,FALSE))</f>
        <v/>
      </c>
      <c r="D46" s="388"/>
      <c r="E46" s="388"/>
      <c r="F46" s="174"/>
      <c r="G46" s="175"/>
      <c r="H46" s="181"/>
      <c r="I46" s="120" t="str">
        <f>IF($B46=0,"",VLOOKUP($B46,Table2[],5,FALSE))</f>
        <v/>
      </c>
      <c r="J46" s="109" t="str">
        <f>IF($B46=0,"",VLOOKUP($B46,Table2[],7,FALSE))</f>
        <v/>
      </c>
      <c r="K46" s="109">
        <f t="shared" si="2"/>
        <v>0</v>
      </c>
      <c r="L46" s="110"/>
    </row>
    <row r="47" spans="1:12" ht="12.75" hidden="1" customHeight="1" x14ac:dyDescent="0.2">
      <c r="A47" s="143"/>
      <c r="B47" s="111"/>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ht="12.75" hidden="1" customHeight="1" x14ac:dyDescent="0.2">
      <c r="A48" s="143"/>
      <c r="B48" s="217"/>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ht="12.75" hidden="1" customHeight="1" x14ac:dyDescent="0.2">
      <c r="A49" s="143"/>
      <c r="B49" s="111"/>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ht="12.75" hidden="1" customHeight="1" x14ac:dyDescent="0.2">
      <c r="A50" s="143"/>
      <c r="B50" s="111"/>
      <c r="C50" s="388" t="str">
        <f>IF(B50=0,"",VLOOKUP($B50,Table2[],2,FALSE))</f>
        <v/>
      </c>
      <c r="D50" s="388"/>
      <c r="E50" s="388"/>
      <c r="F50" s="174"/>
      <c r="G50" s="175"/>
      <c r="H50" s="176"/>
      <c r="I50" s="120" t="str">
        <f>IF($B50=0,"",VLOOKUP($B50,Table2[],5,FALSE))</f>
        <v/>
      </c>
      <c r="J50" s="109" t="str">
        <f>IF($B50=0,"",VLOOKUP($B50,Table2[],7,FALSE))</f>
        <v/>
      </c>
      <c r="K50" s="109">
        <f t="shared" si="2"/>
        <v>0</v>
      </c>
      <c r="L50" s="110"/>
    </row>
    <row r="51" spans="1:12" ht="12.75" hidden="1" customHeight="1" x14ac:dyDescent="0.2">
      <c r="A51" s="143"/>
      <c r="B51" s="111"/>
      <c r="C51" s="388" t="str">
        <f>IF(B51=0,"",VLOOKUP($B51,Table2[],2,FALSE))</f>
        <v/>
      </c>
      <c r="D51" s="388"/>
      <c r="E51" s="388"/>
      <c r="F51" s="174"/>
      <c r="G51" s="175"/>
      <c r="H51" s="176"/>
      <c r="I51" s="120" t="str">
        <f>IF($B51=0,"",VLOOKUP($B51,Table2[],5,FALSE))</f>
        <v/>
      </c>
      <c r="J51" s="109" t="str">
        <f>IF($B51=0,"",VLOOKUP($B51,Table2[],7,FALSE))</f>
        <v/>
      </c>
      <c r="K51" s="109">
        <f t="shared" si="2"/>
        <v>0</v>
      </c>
      <c r="L51" s="110"/>
    </row>
    <row r="52" spans="1:12" ht="12.75" hidden="1" customHeight="1" x14ac:dyDescent="0.2">
      <c r="A52" s="105"/>
      <c r="B52" s="217"/>
      <c r="C52" s="387" t="str">
        <f>IF(B52=0,"",VLOOKUP($B52,Table2[],2,FALSE))</f>
        <v/>
      </c>
      <c r="D52" s="387"/>
      <c r="E52" s="387"/>
      <c r="F52" s="214"/>
      <c r="G52" s="221"/>
      <c r="H52" s="222"/>
      <c r="I52" s="223" t="str">
        <f>IF($B52=0,"",VLOOKUP($B52,Table2[],5,FALSE))</f>
        <v/>
      </c>
      <c r="J52" s="215" t="str">
        <f>IF($B52=0,"",VLOOKUP($B52,Table2[],7,FALSE))</f>
        <v/>
      </c>
      <c r="K52" s="215">
        <f t="shared" si="2"/>
        <v>0</v>
      </c>
      <c r="L52" s="216"/>
    </row>
    <row r="53" spans="1:12" ht="12.75" hidden="1" customHeight="1" x14ac:dyDescent="0.2">
      <c r="A53" s="105"/>
      <c r="B53" s="111"/>
      <c r="C53" s="388" t="str">
        <f>IF(B53=0,"",VLOOKUP($B53,Table2[],2,FALSE))</f>
        <v/>
      </c>
      <c r="D53" s="388"/>
      <c r="E53" s="388"/>
      <c r="F53" s="174"/>
      <c r="G53" s="175"/>
      <c r="H53" s="176"/>
      <c r="I53" s="120" t="str">
        <f>IF($B53=0,"",VLOOKUP($B53,Table2[],5,FALSE))</f>
        <v/>
      </c>
      <c r="J53" s="109" t="str">
        <f>IF($B53=0,"",VLOOKUP($B53,Table2[],7,FALSE))</f>
        <v/>
      </c>
      <c r="K53" s="109">
        <f t="shared" si="2"/>
        <v>0</v>
      </c>
      <c r="L53" s="110"/>
    </row>
    <row r="54" spans="1:12" ht="12.75" hidden="1" customHeight="1" x14ac:dyDescent="0.2">
      <c r="B54" s="111"/>
      <c r="C54" s="388" t="str">
        <f>IF(B54=0,"",VLOOKUP($B54,Table2[],2,FALSE))</f>
        <v/>
      </c>
      <c r="D54" s="388"/>
      <c r="E54" s="388"/>
      <c r="F54" s="112"/>
      <c r="G54" s="175"/>
      <c r="H54" s="178"/>
      <c r="I54" s="120" t="str">
        <f>IF($B54=0,"",VLOOKUP($B54,Table2[],5,FALSE))</f>
        <v/>
      </c>
      <c r="J54" s="109" t="str">
        <f>IF($B54=0,"",VLOOKUP($B54,Table2[],7,FALSE))</f>
        <v/>
      </c>
      <c r="K54" s="109">
        <f t="shared" si="2"/>
        <v>0</v>
      </c>
      <c r="L54" s="110"/>
    </row>
    <row r="55" spans="1:12" ht="12.75" hidden="1" customHeight="1" x14ac:dyDescent="0.2">
      <c r="B55" s="111"/>
      <c r="C55" s="388" t="str">
        <f>IF(B55=0,"",VLOOKUP($B55,Table2[],2,FALSE))</f>
        <v/>
      </c>
      <c r="D55" s="388"/>
      <c r="E55" s="388"/>
      <c r="F55" s="112"/>
      <c r="G55" s="175"/>
      <c r="H55" s="178"/>
      <c r="I55" s="120" t="str">
        <f>IF($B55=0,"",VLOOKUP($B55,Table2[],5,FALSE))</f>
        <v/>
      </c>
      <c r="J55" s="109" t="str">
        <f>IF($B55=0,"",VLOOKUP($B55,Table2[],7,FALSE))</f>
        <v/>
      </c>
      <c r="K55" s="109">
        <f t="shared" si="2"/>
        <v>0</v>
      </c>
      <c r="L55" s="110"/>
    </row>
    <row r="56" spans="1:12" ht="12.75" hidden="1" customHeight="1" x14ac:dyDescent="0.2">
      <c r="B56" s="217"/>
      <c r="C56" s="387" t="str">
        <f>IF(B56=0,"",VLOOKUP($B56,Table2[],2,FALSE))</f>
        <v/>
      </c>
      <c r="D56" s="387"/>
      <c r="E56" s="387"/>
      <c r="F56" s="218"/>
      <c r="G56" s="224">
        <v>0.1</v>
      </c>
      <c r="H56" s="225"/>
      <c r="I56" s="223" t="str">
        <f>IF($B56=0,"",VLOOKUP($B56,Table2[],5,FALSE))</f>
        <v/>
      </c>
      <c r="J56" s="215" t="str">
        <f>IF($B56=0,"",VLOOKUP($B56,Table2[],7,FALSE))</f>
        <v/>
      </c>
      <c r="K56" s="215">
        <f t="shared" si="2"/>
        <v>0</v>
      </c>
      <c r="L56" s="216"/>
    </row>
    <row r="57" spans="1:12" ht="12.75" hidden="1" customHeight="1" x14ac:dyDescent="0.2">
      <c r="B57" s="111"/>
      <c r="C57" s="388" t="str">
        <f>IF(B57=0,"",VLOOKUP($B57,Table2[],2,FALSE))</f>
        <v/>
      </c>
      <c r="D57" s="388"/>
      <c r="E57" s="388"/>
      <c r="F57" s="112"/>
      <c r="G57" s="177">
        <v>0.2</v>
      </c>
      <c r="H57" s="178"/>
      <c r="I57" s="120" t="str">
        <f>IF($B57=0,"",VLOOKUP($B57,Table2[],5,FALSE))</f>
        <v/>
      </c>
      <c r="J57" s="109" t="str">
        <f>IF($B57=0,"",VLOOKUP($B57,Table2[],7,FALSE))</f>
        <v/>
      </c>
      <c r="K57" s="109">
        <f t="shared" si="2"/>
        <v>0</v>
      </c>
      <c r="L57" s="110"/>
    </row>
    <row r="58" spans="1:12" ht="12.75" hidden="1" customHeight="1" x14ac:dyDescent="0.2">
      <c r="B58" s="111"/>
      <c r="C58" s="388" t="str">
        <f>IF(B58=0,"",VLOOKUP($B58,Table2[],2,FALSE))</f>
        <v/>
      </c>
      <c r="D58" s="388"/>
      <c r="E58" s="388"/>
      <c r="F58" s="112"/>
      <c r="G58" s="177">
        <v>0.3</v>
      </c>
      <c r="H58" s="178"/>
      <c r="I58" s="120" t="str">
        <f>IF($B58=0,"",VLOOKUP($B58,Table2[],5,FALSE))</f>
        <v/>
      </c>
      <c r="J58" s="109" t="str">
        <f>IF($B58=0,"",VLOOKUP($B58,Table2[],7,FALSE))</f>
        <v/>
      </c>
      <c r="K58" s="109">
        <f t="shared" si="2"/>
        <v>0</v>
      </c>
      <c r="L58" s="110"/>
    </row>
    <row r="59" spans="1:12" ht="12.75" hidden="1" customHeight="1" x14ac:dyDescent="0.2">
      <c r="B59" s="111"/>
      <c r="C59" s="388" t="str">
        <f>IF(B59=0,"",VLOOKUP($B59,Table2[],2,FALSE))</f>
        <v/>
      </c>
      <c r="D59" s="388"/>
      <c r="E59" s="388"/>
      <c r="F59" s="112"/>
      <c r="G59" s="177"/>
      <c r="H59" s="178"/>
      <c r="I59" s="120" t="str">
        <f>IF($B59=0,"",VLOOKUP($B59,Table2[],5,FALSE))</f>
        <v/>
      </c>
      <c r="J59" s="109" t="str">
        <f>IF($B59=0,"",VLOOKUP($B59,Table2[],7,FALSE))</f>
        <v/>
      </c>
      <c r="K59" s="109">
        <f t="shared" si="2"/>
        <v>0</v>
      </c>
      <c r="L59" s="113"/>
    </row>
    <row r="60" spans="1:12" ht="12.75" hidden="1" customHeight="1" x14ac:dyDescent="0.2">
      <c r="B60" s="2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ht="12.75" hidden="1" customHeight="1" x14ac:dyDescent="0.2">
      <c r="B61" s="111"/>
      <c r="C61" s="388" t="str">
        <f>IF(B61=0,"",VLOOKUP($B61,Table2[],2,FALSE))</f>
        <v/>
      </c>
      <c r="D61" s="388"/>
      <c r="E61" s="388"/>
      <c r="F61" s="112"/>
      <c r="G61" s="177"/>
      <c r="H61" s="178"/>
      <c r="I61" s="120" t="str">
        <f>IF($B61=0,"",VLOOKUP($B61,Table2[],5,FALSE))</f>
        <v/>
      </c>
      <c r="J61" s="109" t="str">
        <f>IF($B61=0,"",VLOOKUP($B61,Table2[],7,FALSE))</f>
        <v/>
      </c>
      <c r="K61" s="109">
        <f>IF(B61=0,0,ROUND(G61*H61*J61,2))</f>
        <v>0</v>
      </c>
      <c r="L61" s="113"/>
    </row>
    <row r="62" spans="1:12" ht="12.75" hidden="1" customHeight="1" x14ac:dyDescent="0.2">
      <c r="B62" s="111"/>
      <c r="C62" s="388" t="str">
        <f>IF(B62=0,"",VLOOKUP($B62,Table2[],2,FALSE))</f>
        <v/>
      </c>
      <c r="D62" s="388"/>
      <c r="E62" s="388"/>
      <c r="F62" s="112"/>
      <c r="G62" s="177"/>
      <c r="H62" s="178"/>
      <c r="I62" s="120" t="str">
        <f>IF($B62=0,"",VLOOKUP($B62,Table2[],5,FALSE))</f>
        <v/>
      </c>
      <c r="J62" s="109" t="str">
        <f>IF($B62=0,"",VLOOKUP($B62,Table2[],7,FALSE))</f>
        <v/>
      </c>
      <c r="K62" s="109">
        <f>IF(B62=0,0,ROUND(G62*H62*J62,2))</f>
        <v>0</v>
      </c>
      <c r="L62" s="113"/>
    </row>
    <row r="63" spans="1:12" ht="12.75" hidden="1" customHeight="1" x14ac:dyDescent="0.2">
      <c r="B63" s="111"/>
      <c r="C63" s="388" t="str">
        <f>IF(B63=0,"",VLOOKUP($B63,Table2[],2,FALSE))</f>
        <v/>
      </c>
      <c r="D63" s="388"/>
      <c r="E63" s="388"/>
      <c r="F63" s="112"/>
      <c r="G63" s="177"/>
      <c r="H63" s="178"/>
      <c r="I63" s="120" t="str">
        <f>IF($B63=0,"",VLOOKUP($B63,Table2[],5,FALSE))</f>
        <v/>
      </c>
      <c r="J63" s="109" t="str">
        <f>IF($B63=0,"",VLOOKUP($B63,Table2[],7,FALSE))</f>
        <v/>
      </c>
      <c r="K63" s="109">
        <f>IF(B63=0,0,ROUND(G63*H63*J63,2))</f>
        <v>0</v>
      </c>
      <c r="L63" s="113"/>
    </row>
    <row r="64" spans="1:12" ht="12.75" hidden="1" customHeight="1" x14ac:dyDescent="0.2">
      <c r="B64" s="217"/>
      <c r="C64" s="387" t="str">
        <f>IF(B64=0,"",VLOOKUP($B64,Table2[],2,FALSE))</f>
        <v/>
      </c>
      <c r="D64" s="387"/>
      <c r="E64" s="387"/>
      <c r="F64" s="218"/>
      <c r="G64" s="224"/>
      <c r="H64" s="225"/>
      <c r="I64" s="223" t="str">
        <f>IF($B64=0,"",VLOOKUP($B64,Table2[],5,FALSE))</f>
        <v/>
      </c>
      <c r="J64" s="215" t="str">
        <f>IF($B64=0,"",VLOOKUP($B64,Table2[],7,FALSE))</f>
        <v/>
      </c>
      <c r="K64" s="215">
        <f>IF(B64=0,0,ROUND(G64*H64*J64,2))</f>
        <v>0</v>
      </c>
      <c r="L64" s="227"/>
    </row>
    <row r="65" spans="1:12" hidden="1" x14ac:dyDescent="0.2">
      <c r="B65" s="185" t="s">
        <v>430</v>
      </c>
      <c r="C65" s="388" t="s">
        <v>655</v>
      </c>
      <c r="D65" s="388"/>
      <c r="E65" s="388"/>
      <c r="F65" s="112"/>
      <c r="G65" s="177"/>
      <c r="H65" s="178"/>
      <c r="I65" s="170"/>
      <c r="J65" s="109" t="str">
        <f ca="1">IF(F5=0,E5,F5)</f>
        <v>N/A</v>
      </c>
      <c r="K65" s="109" t="str">
        <f ca="1">IF(B65=0,0,J65)</f>
        <v>N/A</v>
      </c>
      <c r="L65" s="113"/>
    </row>
    <row r="66" spans="1:12" ht="3.75" customHeight="1" thickBot="1" x14ac:dyDescent="0.25">
      <c r="B66" s="114"/>
      <c r="C66" s="121"/>
      <c r="D66" s="121"/>
      <c r="E66" s="121"/>
      <c r="F66" s="115"/>
      <c r="G66" s="122"/>
      <c r="H66" s="114"/>
      <c r="I66" s="123"/>
      <c r="J66" s="124"/>
      <c r="K66" s="125"/>
      <c r="L66" s="117"/>
    </row>
    <row r="67" spans="1:12" ht="13.5" thickTop="1" x14ac:dyDescent="0.2">
      <c r="C67" s="108" t="s">
        <v>671</v>
      </c>
      <c r="D67" s="108"/>
      <c r="J67" s="126"/>
      <c r="K67" s="141">
        <f>SUM(K38:K64)</f>
        <v>74.430000000000007</v>
      </c>
      <c r="L67" s="110"/>
    </row>
    <row r="68" spans="1:12" x14ac:dyDescent="0.2">
      <c r="K68" s="128"/>
    </row>
    <row r="69" spans="1:12" x14ac:dyDescent="0.2">
      <c r="B69" s="107" t="s">
        <v>672</v>
      </c>
      <c r="K69" s="141">
        <f>K34+K67</f>
        <v>98.4</v>
      </c>
      <c r="L69" s="110"/>
    </row>
    <row r="70" spans="1:12" ht="13.5" thickBot="1" x14ac:dyDescent="0.25">
      <c r="D70" s="128" t="s">
        <v>673</v>
      </c>
      <c r="E70" s="129">
        <f>ROUND(SUM($E$34:$H$34)+$K$67,2)</f>
        <v>86.98</v>
      </c>
      <c r="F70" s="388" t="s">
        <v>674</v>
      </c>
      <c r="G70" s="388"/>
      <c r="H70" s="130">
        <f>'General Variables'!$B$11</f>
        <v>7.4999999999999997E-2</v>
      </c>
      <c r="I70" s="131" t="str">
        <f>CONCATENATE("for ",TEXT('General Variables'!$B$12,"0.0")," mo.")</f>
        <v>for 6.0 mo.</v>
      </c>
      <c r="K70" s="145">
        <f>E70*H70*'General Variables'!$B$12/12</f>
        <v>3.2617500000000006</v>
      </c>
      <c r="L70" s="133"/>
    </row>
    <row r="71" spans="1:12" ht="13.5" thickTop="1" x14ac:dyDescent="0.2">
      <c r="B71" s="107" t="s">
        <v>675</v>
      </c>
      <c r="K71" s="141">
        <f>SUM(K69:K70)</f>
        <v>101.66175000000001</v>
      </c>
      <c r="L71" s="110"/>
    </row>
    <row r="72" spans="1:12" x14ac:dyDescent="0.2">
      <c r="K72" s="128"/>
    </row>
    <row r="73" spans="1:12" x14ac:dyDescent="0.2">
      <c r="B73" s="104" t="s">
        <v>676</v>
      </c>
      <c r="C73" s="134"/>
      <c r="D73" s="134"/>
      <c r="E73" s="134"/>
      <c r="F73" s="134"/>
      <c r="G73" s="134"/>
      <c r="H73" s="134"/>
      <c r="I73" s="134"/>
      <c r="J73" s="134"/>
      <c r="K73" s="142">
        <v>0</v>
      </c>
      <c r="L73" s="110"/>
    </row>
    <row r="74" spans="1:12" x14ac:dyDescent="0.2">
      <c r="B74" s="103" t="s">
        <v>677</v>
      </c>
      <c r="C74" s="402"/>
      <c r="D74" s="403"/>
      <c r="E74" s="404"/>
      <c r="F74" s="136">
        <f>IF(C74=0,0,VLOOKUP(C74,RETable,2,FALSE))</f>
        <v>0</v>
      </c>
      <c r="G74" s="388" t="s">
        <v>678</v>
      </c>
      <c r="H74" s="388"/>
      <c r="I74" s="130">
        <f>'General Variables'!$B$10</f>
        <v>0.03</v>
      </c>
      <c r="K74" s="146">
        <f>ROUND(F74*I74,2)</f>
        <v>0</v>
      </c>
      <c r="L74" s="110"/>
    </row>
    <row r="75" spans="1:12" ht="13.5" thickBot="1" x14ac:dyDescent="0.25">
      <c r="B75" s="103" t="s">
        <v>679</v>
      </c>
      <c r="F75" s="138">
        <f>IF(C74=0,0,VLOOKUP(C74,RETable,2,FALSE))</f>
        <v>0</v>
      </c>
      <c r="G75" s="397" t="s">
        <v>678</v>
      </c>
      <c r="H75" s="397"/>
      <c r="I75" s="139">
        <f>'General Variables'!$B$13</f>
        <v>1.2999999999999999E-2</v>
      </c>
      <c r="J75" s="105"/>
      <c r="K75" s="147">
        <f>ROUND(F75*I75,2)</f>
        <v>0</v>
      </c>
      <c r="L75" s="133"/>
    </row>
    <row r="76" spans="1:12" ht="13.5" thickTop="1" x14ac:dyDescent="0.2">
      <c r="B76" s="107" t="s">
        <v>680</v>
      </c>
      <c r="K76" s="141">
        <f>SUM(K71:K75)</f>
        <v>101.66175000000001</v>
      </c>
      <c r="L76" s="110"/>
    </row>
    <row r="77" spans="1:12" x14ac:dyDescent="0.2">
      <c r="K77" s="128"/>
    </row>
    <row r="78" spans="1:12" x14ac:dyDescent="0.2">
      <c r="A78" s="128" t="s">
        <v>638</v>
      </c>
      <c r="B78" s="352" t="s">
        <v>899</v>
      </c>
      <c r="C78" s="261"/>
      <c r="D78" s="105"/>
      <c r="E78" s="105"/>
      <c r="F78" s="105"/>
      <c r="G78" s="105"/>
      <c r="H78" s="105"/>
      <c r="I78" s="105"/>
      <c r="J78" s="105"/>
      <c r="K78" s="142"/>
      <c r="L78" s="105"/>
    </row>
    <row r="79" spans="1:12" x14ac:dyDescent="0.2">
      <c r="B79" s="107" t="str">
        <f>IF(G4="","","Cost of production per "&amp;H4)</f>
        <v/>
      </c>
      <c r="D79" s="103" t="s">
        <v>900</v>
      </c>
      <c r="G79" s="105"/>
      <c r="H79" s="105"/>
      <c r="I79" s="105"/>
      <c r="J79" s="105"/>
      <c r="K79" s="355" t="s">
        <v>901</v>
      </c>
      <c r="L79" s="105"/>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4" x14ac:dyDescent="0.2">
      <c r="B97" s="106"/>
      <c r="C97" s="106"/>
      <c r="D97" s="106"/>
    </row>
    <row r="98" spans="2:4" x14ac:dyDescent="0.2">
      <c r="B98" s="106"/>
      <c r="C98" s="106"/>
      <c r="D98" s="106"/>
    </row>
    <row r="99" spans="2:4" x14ac:dyDescent="0.2">
      <c r="B99" s="106"/>
      <c r="C99" s="106"/>
      <c r="D99" s="106"/>
    </row>
    <row r="100" spans="2:4" x14ac:dyDescent="0.2">
      <c r="B100" s="106"/>
      <c r="C100" s="106"/>
      <c r="D100" s="106"/>
    </row>
    <row r="101" spans="2:4" x14ac:dyDescent="0.2">
      <c r="B101" s="106"/>
      <c r="C101" s="106"/>
      <c r="D101" s="106"/>
    </row>
    <row r="102" spans="2:4" x14ac:dyDescent="0.2">
      <c r="B102" s="106"/>
      <c r="C102" s="106"/>
      <c r="D102" s="106"/>
    </row>
    <row r="103" spans="2:4" x14ac:dyDescent="0.2">
      <c r="B103" s="106"/>
      <c r="C103" s="106"/>
      <c r="D103" s="106"/>
    </row>
    <row r="104" spans="2:4" x14ac:dyDescent="0.2">
      <c r="B104" s="106"/>
      <c r="C104" s="106"/>
      <c r="D104" s="106"/>
    </row>
    <row r="105" spans="2:4" x14ac:dyDescent="0.2">
      <c r="B105" s="106"/>
      <c r="C105" s="106"/>
      <c r="D105" s="106"/>
    </row>
    <row r="106" spans="2:4" x14ac:dyDescent="0.2">
      <c r="B106" s="106"/>
      <c r="C106" s="106"/>
      <c r="D106" s="106"/>
    </row>
    <row r="107" spans="2:4" x14ac:dyDescent="0.2">
      <c r="B107" s="106"/>
      <c r="C107" s="106"/>
      <c r="D107" s="106"/>
    </row>
    <row r="108" spans="2:4" x14ac:dyDescent="0.2">
      <c r="B108" s="106"/>
      <c r="C108" s="106"/>
      <c r="D108" s="106"/>
    </row>
    <row r="109" spans="2:4" x14ac:dyDescent="0.2">
      <c r="B109" s="106"/>
      <c r="C109" s="106"/>
      <c r="D109" s="106"/>
    </row>
    <row r="110" spans="2:4" x14ac:dyDescent="0.2">
      <c r="B110" s="106"/>
      <c r="C110" s="106"/>
      <c r="D110" s="106"/>
    </row>
    <row r="111" spans="2:4" x14ac:dyDescent="0.2">
      <c r="B111" s="106"/>
      <c r="C111" s="106"/>
      <c r="D111" s="106"/>
    </row>
    <row r="112" spans="2:4" x14ac:dyDescent="0.2">
      <c r="B112" s="106"/>
      <c r="C112" s="106"/>
      <c r="D112" s="106"/>
    </row>
    <row r="113" spans="2:11" x14ac:dyDescent="0.2">
      <c r="B113" s="106"/>
      <c r="C113" s="106"/>
      <c r="D113" s="106"/>
    </row>
    <row r="114" spans="2:11" x14ac:dyDescent="0.2">
      <c r="B114" s="106"/>
      <c r="C114" s="106"/>
      <c r="D114" s="106"/>
    </row>
    <row r="115" spans="2:11" x14ac:dyDescent="0.2">
      <c r="B115" s="105"/>
      <c r="C115" s="105"/>
      <c r="D115" s="105"/>
      <c r="H115" s="103" t="e">
        <f>'General Variables'!#REF!</f>
        <v>#REF!</v>
      </c>
    </row>
    <row r="116" spans="2:11" x14ac:dyDescent="0.2">
      <c r="B116" s="105"/>
      <c r="C116" s="105"/>
      <c r="D116" s="105"/>
      <c r="H116" s="103" t="e">
        <f>'General Variables'!#REF!</f>
        <v>#REF!</v>
      </c>
      <c r="K116" s="103" t="s">
        <v>681</v>
      </c>
    </row>
    <row r="117" spans="2:11" x14ac:dyDescent="0.2">
      <c r="B117" s="105"/>
      <c r="C117" s="105"/>
      <c r="D117" s="105"/>
      <c r="H117" s="103" t="e">
        <f>'General Variables'!#REF!</f>
        <v>#REF!</v>
      </c>
      <c r="K117" s="103" t="s">
        <v>654</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c r="H127" s="103" t="e">
        <f>'General Variables'!#REF!</f>
        <v>#REF!</v>
      </c>
    </row>
    <row r="128" spans="2:11" x14ac:dyDescent="0.2">
      <c r="B128" s="105"/>
      <c r="C128" s="105"/>
      <c r="D128" s="105"/>
      <c r="H128" s="103" t="e">
        <f>'General Variables'!#REF!</f>
        <v>#REF!</v>
      </c>
    </row>
    <row r="129" spans="2:8" x14ac:dyDescent="0.2">
      <c r="B129" s="105"/>
      <c r="C129" s="105"/>
      <c r="D129" s="105"/>
      <c r="H129" s="103" t="e">
        <f>'General Variables'!#REF!</f>
        <v>#REF!</v>
      </c>
    </row>
    <row r="130" spans="2:8" x14ac:dyDescent="0.2">
      <c r="B130" s="105"/>
      <c r="C130" s="105"/>
      <c r="D130" s="105"/>
      <c r="H130" s="103" t="e">
        <f>'General Variables'!#REF!</f>
        <v>#REF!</v>
      </c>
    </row>
    <row r="131" spans="2:8" x14ac:dyDescent="0.2">
      <c r="B131" s="105"/>
      <c r="C131" s="105"/>
      <c r="D131" s="105"/>
    </row>
    <row r="132" spans="2:8" x14ac:dyDescent="0.2">
      <c r="B132" s="105"/>
      <c r="C132" s="105"/>
      <c r="D132" s="105"/>
    </row>
    <row r="133" spans="2:8" x14ac:dyDescent="0.2">
      <c r="B133" s="105"/>
      <c r="C133" s="105"/>
      <c r="D133" s="105"/>
    </row>
    <row r="134" spans="2:8" x14ac:dyDescent="0.2">
      <c r="B134" s="105"/>
      <c r="C134" s="105"/>
      <c r="D134" s="105"/>
    </row>
    <row r="135" spans="2:8" x14ac:dyDescent="0.2">
      <c r="B135" s="105"/>
      <c r="C135" s="105"/>
      <c r="D135" s="105"/>
    </row>
    <row r="136" spans="2:8" x14ac:dyDescent="0.2">
      <c r="B136" s="105"/>
      <c r="C136" s="105"/>
      <c r="D136" s="105"/>
    </row>
    <row r="137" spans="2:8" x14ac:dyDescent="0.2">
      <c r="B137" s="105"/>
      <c r="C137" s="105"/>
      <c r="D137" s="105"/>
    </row>
    <row r="138" spans="2:8" x14ac:dyDescent="0.2">
      <c r="B138" s="105"/>
      <c r="C138" s="105"/>
      <c r="D138" s="105"/>
    </row>
    <row r="139" spans="2:8" x14ac:dyDescent="0.2">
      <c r="B139" s="105"/>
      <c r="C139" s="105"/>
      <c r="D139" s="105"/>
    </row>
    <row r="140" spans="2:8" x14ac:dyDescent="0.2">
      <c r="B140" s="105"/>
      <c r="C140" s="105"/>
      <c r="D140" s="105"/>
    </row>
    <row r="141" spans="2:8" x14ac:dyDescent="0.2">
      <c r="B141" s="105"/>
      <c r="C141" s="105"/>
      <c r="D141" s="105"/>
    </row>
    <row r="142" spans="2:8" x14ac:dyDescent="0.2">
      <c r="B142" s="105"/>
      <c r="C142" s="105"/>
      <c r="D142" s="105"/>
    </row>
    <row r="143" spans="2:8" x14ac:dyDescent="0.2">
      <c r="B143" s="105"/>
      <c r="C143" s="105"/>
      <c r="D143" s="105"/>
    </row>
    <row r="144" spans="2:8"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c r="D230" s="105"/>
    </row>
    <row r="231" spans="2:4" x14ac:dyDescent="0.2">
      <c r="B231" s="105"/>
      <c r="C231" s="105"/>
      <c r="D231" s="105"/>
    </row>
    <row r="232" spans="2:4" x14ac:dyDescent="0.2">
      <c r="B232" s="105"/>
      <c r="C232" s="105"/>
      <c r="D232" s="105"/>
    </row>
    <row r="233" spans="2:4" x14ac:dyDescent="0.2">
      <c r="B233" s="105"/>
      <c r="C233" s="105"/>
      <c r="D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c r="C241" s="105"/>
    </row>
    <row r="242" spans="2:3" x14ac:dyDescent="0.2">
      <c r="B242" s="105"/>
      <c r="C242" s="105"/>
    </row>
    <row r="243" spans="2:3" x14ac:dyDescent="0.2">
      <c r="B243" s="105"/>
      <c r="C243" s="105"/>
    </row>
    <row r="244" spans="2:3" x14ac:dyDescent="0.2">
      <c r="B244" s="105"/>
      <c r="C244" s="105"/>
    </row>
    <row r="245" spans="2:3" x14ac:dyDescent="0.2">
      <c r="B245" s="105" t="str">
        <f>IF(Operations!A96="","",Operations!A96)</f>
        <v/>
      </c>
      <c r="C245" s="105" t="str">
        <f>IF(Materials!B140="","",Materials!B140)</f>
        <v>Alfalfa w/Inoculant</v>
      </c>
    </row>
    <row r="246" spans="2:3" x14ac:dyDescent="0.2">
      <c r="B246" s="105" t="str">
        <f>IF(Operations!A97="","",Operations!A97)</f>
        <v/>
      </c>
      <c r="C246" s="105" t="str">
        <f>IF(Materials!B141="","",Materials!B141)</f>
        <v>Corn</v>
      </c>
    </row>
    <row r="247" spans="2:3" x14ac:dyDescent="0.2">
      <c r="B247" s="105" t="str">
        <f>IF(Operations!A98="","",Operations!A98)</f>
        <v/>
      </c>
      <c r="C247" s="105" t="str">
        <f>IF(Materials!B142="","",Materials!B142)</f>
        <v>Corn Bt, ECB, &amp; RIB</v>
      </c>
    </row>
    <row r="248" spans="2:3" x14ac:dyDescent="0.2">
      <c r="B248" s="105" t="str">
        <f>IF(Operations!A99="","",Operations!A99)</f>
        <v/>
      </c>
      <c r="C248" s="105" t="str">
        <f>IF(Materials!B143="","",Materials!B143)</f>
        <v>Corn Bt, ECB, RR2, LL, &amp; RIB</v>
      </c>
    </row>
    <row r="249" spans="2:3" x14ac:dyDescent="0.2">
      <c r="B249" s="105" t="str">
        <f>IF(Operations!A100="","",Operations!A100)</f>
        <v/>
      </c>
      <c r="C249" s="105" t="str">
        <f>IF(Materials!B144="","",Materials!B144)</f>
        <v>Corn Bt, ECB, RW, &amp; RIB</v>
      </c>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c r="C255" s="105"/>
    </row>
    <row r="256" spans="2:3" x14ac:dyDescent="0.2">
      <c r="B256" s="105"/>
      <c r="C256" s="105"/>
    </row>
    <row r="257" spans="2:3" x14ac:dyDescent="0.2">
      <c r="B257" s="105"/>
      <c r="C257" s="105"/>
    </row>
    <row r="258" spans="2:3" x14ac:dyDescent="0.2">
      <c r="B258" s="105"/>
      <c r="C258" s="105"/>
    </row>
    <row r="259" spans="2:3" x14ac:dyDescent="0.2">
      <c r="B259" s="105"/>
    </row>
    <row r="260" spans="2:3" x14ac:dyDescent="0.2">
      <c r="B260" s="105"/>
    </row>
  </sheetData>
  <mergeCells count="50">
    <mergeCell ref="F70:G70"/>
    <mergeCell ref="C74:E74"/>
    <mergeCell ref="G74:H74"/>
    <mergeCell ref="G75:H75"/>
    <mergeCell ref="C60:E60"/>
    <mergeCell ref="C61:E61"/>
    <mergeCell ref="C62:E62"/>
    <mergeCell ref="C63:E63"/>
    <mergeCell ref="C64:E64"/>
    <mergeCell ref="C65:E65"/>
    <mergeCell ref="C59:E59"/>
    <mergeCell ref="C48:E48"/>
    <mergeCell ref="C49:E49"/>
    <mergeCell ref="C50:E50"/>
    <mergeCell ref="C51:E51"/>
    <mergeCell ref="C52:E52"/>
    <mergeCell ref="C53:E53"/>
    <mergeCell ref="C54:E54"/>
    <mergeCell ref="C55:E55"/>
    <mergeCell ref="C56:E56"/>
    <mergeCell ref="C57:E57"/>
    <mergeCell ref="C58:E58"/>
    <mergeCell ref="C47:E47"/>
    <mergeCell ref="F36:F37"/>
    <mergeCell ref="G36:G37"/>
    <mergeCell ref="H36:I36"/>
    <mergeCell ref="J36:J37"/>
    <mergeCell ref="C40:E40"/>
    <mergeCell ref="C41:E41"/>
    <mergeCell ref="C44:E44"/>
    <mergeCell ref="C45:E45"/>
    <mergeCell ref="C46:E46"/>
    <mergeCell ref="C38:E38"/>
    <mergeCell ref="C43:E43"/>
    <mergeCell ref="C42:E42"/>
    <mergeCell ref="K2:L2"/>
    <mergeCell ref="G2:H2"/>
    <mergeCell ref="C4:E4"/>
    <mergeCell ref="L36:L37"/>
    <mergeCell ref="G10:H10"/>
    <mergeCell ref="I10:J10"/>
    <mergeCell ref="K10:K11"/>
    <mergeCell ref="L10:L11"/>
    <mergeCell ref="B7:L7"/>
    <mergeCell ref="A6:M6"/>
    <mergeCell ref="B10:B11"/>
    <mergeCell ref="C10:C11"/>
    <mergeCell ref="E10:E11"/>
    <mergeCell ref="F10:F11"/>
    <mergeCell ref="C3:E3"/>
  </mergeCells>
  <dataValidations count="9">
    <dataValidation type="list" allowBlank="1" showInputMessage="1" showErrorMessage="1" sqref="B66" xr:uid="{00000000-0002-0000-5900-000000000000}">
      <formula1>$C$115:$C$233</formula1>
    </dataValidation>
    <dataValidation type="list" allowBlank="1" showInputMessage="1" showErrorMessage="1" sqref="B33" xr:uid="{00000000-0002-0000-5900-000001000000}">
      <formula1>$B$115:$B$212</formula1>
    </dataValidation>
    <dataValidation type="list" allowBlank="1" showInputMessage="1" showErrorMessage="1" sqref="K4" xr:uid="{00000000-0002-0000-5900-000002000000}">
      <formula1>$K$115:$K$117</formula1>
    </dataValidation>
    <dataValidation type="list" allowBlank="1" showInputMessage="1" showErrorMessage="1" sqref="C74:E74" xr:uid="{00000000-0002-0000-5900-000005000000}">
      <formula1>RealEstateList</formula1>
    </dataValidation>
    <dataValidation type="list" allowBlank="1" showInputMessage="1" showErrorMessage="1" sqref="K2" xr:uid="{00000000-0002-0000-5900-000007000000}">
      <formula1>watersource</formula1>
    </dataValidation>
    <dataValidation type="list" allowBlank="1" showInputMessage="1" showErrorMessage="1" sqref="C3" xr:uid="{00000000-0002-0000-5900-000008000000}">
      <formula1>TillageSystem</formula1>
    </dataValidation>
    <dataValidation type="list" allowBlank="1" showInputMessage="1" showErrorMessage="1" sqref="B12:B32" xr:uid="{00000000-0002-0000-5900-000004000000}">
      <formula1>OperationList</formula1>
    </dataValidation>
    <dataValidation type="list" allowBlank="1" showInputMessage="1" showErrorMessage="1" sqref="D12:D33" xr:uid="{00000000-0002-0000-5900-000006000000}">
      <formula1>#REF!</formula1>
    </dataValidation>
    <dataValidation type="list" allowBlank="1" showInputMessage="1" showErrorMessage="1" sqref="B38:B64" xr:uid="{00000000-0002-0000-5900-000003000000}">
      <formula1>MaterialList</formula1>
    </dataValidation>
  </dataValidations>
  <pageMargins left="0.7" right="0.7" top="0.75" bottom="0.75" header="0.3" footer="0.3"/>
  <pageSetup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7">
    <pageSetUpPr fitToPage="1"/>
  </sheetPr>
  <dimension ref="A1:M256"/>
  <sheetViews>
    <sheetView topLeftCell="A6" zoomScaleNormal="100" workbookViewId="0">
      <selection sqref="A1:XFD5"/>
    </sheetView>
  </sheetViews>
  <sheetFormatPr defaultColWidth="9.140625" defaultRowHeight="12.75" x14ac:dyDescent="0.2"/>
  <cols>
    <col min="1" max="1" width="5.140625" style="103" customWidth="1"/>
    <col min="2" max="2" width="27.28515625" style="103" customWidth="1"/>
    <col min="3" max="3" width="7.28515625" style="103" customWidth="1"/>
    <col min="4" max="4" width="4.7109375" style="103" customWidth="1"/>
    <col min="5" max="5" width="9.140625" style="103"/>
    <col min="6" max="6" width="11.5703125" style="103" customWidth="1"/>
    <col min="7" max="7" width="9.42578125" style="103" customWidth="1"/>
    <col min="8" max="8" width="7.7109375" style="103" customWidth="1"/>
    <col min="9" max="9" width="9.140625" style="103" customWidth="1"/>
    <col min="10" max="10" width="9.140625" style="103"/>
    <col min="11" max="11" width="10.140625" style="103" customWidth="1"/>
    <col min="12" max="16384" width="9.140625" style="103"/>
  </cols>
  <sheetData>
    <row r="1" spans="1:13" hidden="1" x14ac:dyDescent="0.2"/>
    <row r="2" spans="1:13" ht="14.25" hidden="1" customHeight="1" x14ac:dyDescent="0.2">
      <c r="B2" s="103" t="s">
        <v>20</v>
      </c>
      <c r="C2" s="187"/>
      <c r="D2" s="187"/>
      <c r="E2" s="187"/>
      <c r="F2" s="128" t="s">
        <v>648</v>
      </c>
      <c r="G2" s="392"/>
      <c r="H2" s="392"/>
      <c r="J2" s="128" t="s">
        <v>649</v>
      </c>
      <c r="K2" s="190"/>
    </row>
    <row r="3" spans="1:13" hidden="1" x14ac:dyDescent="0.2">
      <c r="B3" s="103" t="s">
        <v>38</v>
      </c>
      <c r="C3" s="190"/>
      <c r="G3" s="128" t="s">
        <v>650</v>
      </c>
      <c r="H3" s="187"/>
      <c r="J3" s="128" t="s">
        <v>651</v>
      </c>
      <c r="K3" s="187"/>
    </row>
    <row r="4" spans="1:13" hidden="1" x14ac:dyDescent="0.2">
      <c r="B4" s="103" t="s">
        <v>652</v>
      </c>
      <c r="C4" s="392"/>
      <c r="D4" s="392"/>
      <c r="E4" s="392"/>
      <c r="G4" s="103">
        <f>IFERROR(VALUE(LEFT($H$3,FIND(" ",$H$3))),0)</f>
        <v>0</v>
      </c>
      <c r="H4" s="103" t="str">
        <f>IFERROR(RIGHT(H3,LEN(H3)-LEN(G4)-1),"")</f>
        <v/>
      </c>
      <c r="J4" s="128" t="s">
        <v>653</v>
      </c>
      <c r="K4" s="188"/>
    </row>
    <row r="5" spans="1:13" ht="15.75" hidden="1" customHeight="1" x14ac:dyDescent="0.2">
      <c r="B5" s="103" t="s">
        <v>655</v>
      </c>
      <c r="C5" s="103" t="str">
        <f ca="1">MID(CELL("filename",C5),FIND("]",CELL("filename",C5))+1,255)</f>
        <v>Master</v>
      </c>
      <c r="E5" s="103" t="e">
        <f ca="1">VLOOKUP($C$5,CropInsurance,5,FALSE)</f>
        <v>#N/A</v>
      </c>
      <c r="F5" s="103" t="e">
        <f ca="1">VLOOKUP($C$5,CropInsurance,6,FALSE)</f>
        <v>#N/A</v>
      </c>
    </row>
    <row r="6" spans="1:13" ht="15.75" customHeight="1" x14ac:dyDescent="0.25">
      <c r="A6" s="390" t="str">
        <f ca="1">REPLACE(CELL("filename",$A$1),1,FIND("]",CELL("filename",$A$1)),"") &amp;  IF($G$2="","", ", " &amp; $G$2 ) &amp; IF($C$2="","",", "&amp;$C$2&amp;"") &amp; IF($C$3="","",", "&amp;$C$3) &amp; IF($C$4="","",", "&amp;$C$4) &amp; IF($H$3="","",", "&amp;$H$3 &amp; " Yield") &amp; IF(K2="","",", " &amp;K2)</f>
        <v>Master</v>
      </c>
      <c r="B6" s="390"/>
      <c r="C6" s="390"/>
      <c r="D6" s="390"/>
      <c r="E6" s="390"/>
      <c r="F6" s="390"/>
      <c r="G6" s="390"/>
      <c r="H6" s="390"/>
      <c r="I6" s="390"/>
      <c r="J6" s="390"/>
      <c r="K6" s="390"/>
      <c r="L6" s="390"/>
      <c r="M6" s="390"/>
    </row>
    <row r="7" spans="1:13" ht="30" customHeight="1" x14ac:dyDescent="0.25">
      <c r="B7" s="393" t="str">
        <f ca="1">'General Variables'!$B$3 &amp; " Budget " &amp; REPLACE(CELL("filename",$A$1),1,FIND("]",CELL("filename",$A$1)),"") &amp;  IF($G$2="","", ", " &amp; $G$2 ) &amp; IF($C$2="","",", "&amp;$C$2) &amp; IF($C$3="","",", "&amp;$C$3) &amp; IF($C$4="","",", "&amp;$C$4) &amp; IF($H$3="","",", "&amp;$H$3 &amp; " Yield")</f>
        <v>2025 Budget Master</v>
      </c>
      <c r="C7" s="393"/>
      <c r="D7" s="393"/>
      <c r="E7" s="393"/>
      <c r="F7" s="393"/>
      <c r="G7" s="393"/>
      <c r="H7" s="393"/>
      <c r="I7" s="393"/>
      <c r="J7" s="393"/>
      <c r="K7" s="393"/>
      <c r="L7" s="393"/>
      <c r="M7" s="186"/>
    </row>
    <row r="8" spans="1:13" ht="15.75" x14ac:dyDescent="0.25">
      <c r="B8" s="189" t="str">
        <f>IF(K2="","",K2)&amp;IF(LEFT(K2,5)="Pivot",", 800 GPM 35 PSI","") &amp; IF(K2="Gravity Irrigated, fed by a well",", 1,000 GPM 10 PSI","") &amp; IF(K3="","",", "&amp; K3&amp;" "&amp;J3)</f>
        <v/>
      </c>
    </row>
    <row r="10" spans="1:13" s="107" customFormat="1" ht="22.5" customHeight="1" x14ac:dyDescent="0.2">
      <c r="B10" s="394" t="s">
        <v>656</v>
      </c>
      <c r="C10" s="385" t="s">
        <v>657</v>
      </c>
      <c r="D10" s="172"/>
      <c r="E10" s="385" t="str">
        <f>"Labor @ $" &amp;TEXT('General Variables'!B4,"#.00")&amp; " /Hr"</f>
        <v>Labor @ $27.00 /Hr</v>
      </c>
      <c r="F10" s="385" t="str">
        <f>"Fuel @ $" &amp; TEXT('General Variables'!B5,"#.00") &amp; " and Lube"</f>
        <v>Fuel @ $2.78 and Lube</v>
      </c>
      <c r="G10" s="384" t="s">
        <v>658</v>
      </c>
      <c r="H10" s="384"/>
      <c r="I10" s="384" t="s">
        <v>686</v>
      </c>
      <c r="J10" s="384"/>
      <c r="K10" s="384" t="s">
        <v>660</v>
      </c>
      <c r="L10" s="385" t="s">
        <v>661</v>
      </c>
    </row>
    <row r="11" spans="1:13" s="107" customFormat="1" ht="21.75" customHeight="1" thickBot="1" x14ac:dyDescent="0.25">
      <c r="B11" s="395"/>
      <c r="C11" s="386"/>
      <c r="D11" s="171" t="s">
        <v>352</v>
      </c>
      <c r="E11" s="386"/>
      <c r="F11" s="386"/>
      <c r="G11" s="173" t="s">
        <v>662</v>
      </c>
      <c r="H11" s="173" t="s">
        <v>663</v>
      </c>
      <c r="I11" s="173" t="s">
        <v>662</v>
      </c>
      <c r="J11" s="173" t="s">
        <v>663</v>
      </c>
      <c r="K11" s="396"/>
      <c r="L11" s="386"/>
    </row>
    <row r="12" spans="1:13" ht="13.5" thickTop="1" x14ac:dyDescent="0.2">
      <c r="A12" s="170">
        <v>1</v>
      </c>
      <c r="B12" s="313"/>
      <c r="C12" s="174"/>
      <c r="D12" s="174"/>
      <c r="E12" s="109" t="str">
        <f>IF(B12=0,"",IF(C12&gt;9999,"",ROUND('General Variables'!$B$4*VLOOKUP(B12,Operations!$A$2:$U$79,10,FALSE)/VLOOKUP(B12,Operations!$A$2:$U$79,9,FALSE)*C12,2)))</f>
        <v/>
      </c>
      <c r="F12" s="109">
        <f>IF(B12=0,0,IF(C12&gt;9999,"",ROUND(IF(VLOOKUP(B12,Operations!$A$2:$U$79,12,FALSE)=0,VLOOKUP(B12,Operations!$A$2:$U$79,13,FALSE)*'General Variables'!$B$8,VLOOKUP(B12,Operations!$A$2:$U$79,12,FALSE)*'General Variables'!$B$7)/VLOOKUP(B12,Operations!$A$2:$U$79,9,FALSE)*C12,2)))</f>
        <v>0</v>
      </c>
      <c r="G12" s="109">
        <f>IF(B12=0,0,IF(C12&gt;9999,"",ROUND(VLOOKUP(VLOOKUP(B12,Operations!$A$2:$U$79,11,FALSE),PowerUnits[],10,FALSE)/VLOOKUP(B12,Operations!$A$2:$U$79,9,FALSE)*C12,2)))</f>
        <v>0</v>
      </c>
      <c r="H12" s="109" t="str">
        <f>IF(B12=0,"",IF(C12&gt;9999,"",ROUND(VLOOKUP($B12,Operations!$A$2:$U$79,15,FALSE)*C12,2)))</f>
        <v/>
      </c>
      <c r="I12" s="109">
        <f>IF(B12=0,0,IF(C12&gt;9999,"",ROUND(VLOOKUP(VLOOKUP(B12,Operations!$A$2:$U$79,11,FALSE),PowerUnits[],16,FALSE)/VLOOKUP(B12,Operations!$A$2:$U$79,9,FALSE)*C12,2)))</f>
        <v>0</v>
      </c>
      <c r="J12" s="109" t="str">
        <f>IF(B12=0,"",IF(C12&gt;9999,"",ROUND(VLOOKUP($B12,Operations!$A$2:$U$79,21,FALSE)*$C12,2)))</f>
        <v/>
      </c>
      <c r="K12" s="109">
        <f>IF(C12&gt;9999,"",ROUND(SUM(E12:J12),2))</f>
        <v>0</v>
      </c>
      <c r="L12" s="110"/>
    </row>
    <row r="13" spans="1:13" x14ac:dyDescent="0.2">
      <c r="A13" s="170">
        <v>2</v>
      </c>
      <c r="B13" s="314"/>
      <c r="C13" s="174"/>
      <c r="D13" s="174"/>
      <c r="E13" s="109" t="str">
        <f>IF(B13=0,"",IF(C13&gt;9999,"",ROUND('General Variables'!$B$4*VLOOKUP(B13,Operations!$A$2:$U$79,10,FALSE)/VLOOKUP(B13,Operations!$A$2:$U$79,9,FALSE)*C13,2)))</f>
        <v/>
      </c>
      <c r="F13" s="109">
        <f>IF(B13=0,0,IF(C13&gt;9999,"",ROUND(IF(VLOOKUP(B13,Operations!$A$2:$U$79,12,FALSE)=0,VLOOKUP(B13,Operations!$A$2:$U$79,13,FALSE)*'General Variables'!$B$8,VLOOKUP(B13,Operations!$A$2:$U$79,12,FALSE)*'General Variables'!$B$7)/VLOOKUP(B13,Operations!$A$2:$U$79,9,FALSE)*C13,2)))</f>
        <v>0</v>
      </c>
      <c r="G13" s="109">
        <f>IF(B13=0,0,IF(C13&gt;9999,"",ROUND(VLOOKUP(VLOOKUP(B13,Operations!$A$2:$U$79,11,FALSE),PowerUnits[],10,FALSE)/VLOOKUP(B13,Operations!$A$2:$U$79,9,FALSE)*C13,2)))</f>
        <v>0</v>
      </c>
      <c r="H13" s="109" t="str">
        <f>IF(B13=0,"",IF(C13&gt;9999,"",ROUND(VLOOKUP($B13,Operations!$A$2:$U$79,15,FALSE)*C13,2)))</f>
        <v/>
      </c>
      <c r="I13" s="109">
        <f>IF(B13=0,0,IF(C13&gt;9999,"",ROUND(VLOOKUP(VLOOKUP(B13,Operations!$A$2:$U$79,11,FALSE),PowerUnits[],16,FALSE)/VLOOKUP(B13,Operations!$A$2:$U$79,9,FALSE)*C13,2)))</f>
        <v>0</v>
      </c>
      <c r="J13" s="109" t="str">
        <f>IF(B13=0,"",IF(C13&gt;9999,"",ROUND(VLOOKUP($B13,Operations!$A$2:$U$79,21,FALSE)*$C13,2)))</f>
        <v/>
      </c>
      <c r="K13" s="109">
        <f t="shared" ref="K13:K31" si="0">IF(C13&gt;9999,"",ROUND(SUM(E13:J13),2))</f>
        <v>0</v>
      </c>
      <c r="L13" s="110"/>
    </row>
    <row r="14" spans="1:13" x14ac:dyDescent="0.2">
      <c r="A14" s="170">
        <v>3</v>
      </c>
      <c r="B14" s="314"/>
      <c r="C14" s="174"/>
      <c r="D14" s="174"/>
      <c r="E14" s="109" t="str">
        <f>IF(B14=0,"",IF(C14&gt;9999,"",ROUND('General Variables'!$B$4*VLOOKUP(B14,Operations!$A$2:$U$79,10,FALSE)/VLOOKUP(B14,Operations!$A$2:$U$79,9,FALSE)*C14,2)))</f>
        <v/>
      </c>
      <c r="F14" s="109">
        <f>IF(B14=0,0,IF(C14&gt;9999,"",ROUND(IF(VLOOKUP(B14,Operations!$A$2:$U$79,12,FALSE)=0,VLOOKUP(B14,Operations!$A$2:$U$79,13,FALSE)*'General Variables'!$B$8,VLOOKUP(B14,Operations!$A$2:$U$79,12,FALSE)*'General Variables'!$B$7)/VLOOKUP(B14,Operations!$A$2:$U$79,9,FALSE)*C14,2)))</f>
        <v>0</v>
      </c>
      <c r="G14" s="109">
        <f>IF(B14=0,0,IF(C14&gt;9999,"",ROUND(VLOOKUP(VLOOKUP(B14,Operations!$A$2:$U$79,11,FALSE),PowerUnits[],10,FALSE)/VLOOKUP(B14,Operations!$A$2:$U$79,9,FALSE)*C14,2)))</f>
        <v>0</v>
      </c>
      <c r="H14" s="109" t="str">
        <f>IF(B14=0,"",IF(C14&gt;9999,"",ROUND(VLOOKUP($B14,Operations!$A$2:$U$79,15,FALSE)*C14,2)))</f>
        <v/>
      </c>
      <c r="I14" s="109">
        <f>IF(B14=0,0,IF(C14&gt;9999,"",ROUND(VLOOKUP(VLOOKUP(B14,Operations!$A$2:$U$79,11,FALSE),PowerUnits[],16,FALSE)/VLOOKUP(B14,Operations!$A$2:$U$79,9,FALSE)*C14,2)))</f>
        <v>0</v>
      </c>
      <c r="J14" s="109" t="str">
        <f>IF(B14=0,"",IF(C14&gt;9999,"",ROUND(VLOOKUP($B14,Operations!$A$2:$U$79,21,FALSE)*$C14,2)))</f>
        <v/>
      </c>
      <c r="K14" s="109">
        <f t="shared" si="0"/>
        <v>0</v>
      </c>
      <c r="L14" s="110"/>
    </row>
    <row r="15" spans="1:13" x14ac:dyDescent="0.2">
      <c r="A15" s="170">
        <v>4</v>
      </c>
      <c r="B15" s="315"/>
      <c r="C15" s="214"/>
      <c r="D15" s="214"/>
      <c r="E15" s="215" t="str">
        <f>IF(B15=0,"",IF(C15&gt;9999,"",ROUND('General Variables'!$B$4*VLOOKUP(B15,Operations!$A$2:$U$79,10,FALSE)/VLOOKUP(B15,Operations!$A$2:$U$79,9,FALSE)*C15,2)))</f>
        <v/>
      </c>
      <c r="F15" s="215">
        <f>IF(B15=0,0,IF(C15&gt;9999,"",ROUND(IF(VLOOKUP(B15,Operations!$A$2:$U$79,12,FALSE)=0,VLOOKUP(B15,Operations!$A$2:$U$79,13,FALSE)*'General Variables'!$B$8,VLOOKUP(B15,Operations!$A$2:$U$79,12,FALSE)*'General Variables'!$B$7)/VLOOKUP(B15,Operations!$A$2:$U$79,9,FALSE)*C15,2)))</f>
        <v>0</v>
      </c>
      <c r="G15" s="215">
        <f>IF(B15=0,0,IF(C15&gt;9999,"",ROUND(VLOOKUP(VLOOKUP(B15,Operations!$A$2:$U$79,11,FALSE),PowerUnits[],10,FALSE)/VLOOKUP(B15,Operations!$A$2:$U$79,9,FALSE)*C15,2)))</f>
        <v>0</v>
      </c>
      <c r="H15" s="215" t="str">
        <f>IF(B15=0,"",IF(C15&gt;9999,"",ROUND(VLOOKUP($B15,Operations!$A$2:$U$79,15,FALSE)*C15,2)))</f>
        <v/>
      </c>
      <c r="I15" s="215">
        <f>IF(B15=0,0,IF(C15&gt;9999,"",ROUND(VLOOKUP(VLOOKUP(B15,Operations!$A$2:$U$79,11,FALSE),PowerUnits[],16,FALSE)/VLOOKUP(B15,Operations!$A$2:$U$79,9,FALSE)*C15,2)))</f>
        <v>0</v>
      </c>
      <c r="J15" s="215" t="str">
        <f>IF(B15=0,"",IF(C15&gt;9999,"",ROUND(VLOOKUP($B15,Operations!$A$2:$U$79,21,FALSE)*$C15,2)))</f>
        <v/>
      </c>
      <c r="K15" s="215">
        <f t="shared" si="0"/>
        <v>0</v>
      </c>
      <c r="L15" s="216"/>
    </row>
    <row r="16" spans="1:13" x14ac:dyDescent="0.2">
      <c r="A16" s="170">
        <v>5</v>
      </c>
      <c r="B16" s="314"/>
      <c r="C16" s="174"/>
      <c r="D16" s="174"/>
      <c r="E16" s="109" t="str">
        <f>IF(B16=0,"",IF(C16&gt;9999,"",ROUND('General Variables'!$B$4*VLOOKUP(B16,Operations!$A$2:$U$79,10,FALSE)/VLOOKUP(B16,Operations!$A$2:$U$79,9,FALSE)*C16,2)))</f>
        <v/>
      </c>
      <c r="F16" s="109">
        <f>IF(B16=0,0,IF(C16&gt;9999,"",ROUND(IF(VLOOKUP(B16,Operations!$A$2:$U$79,12,FALSE)=0,VLOOKUP(B16,Operations!$A$2:$U$79,13,FALSE)*'General Variables'!$B$8,VLOOKUP(B16,Operations!$A$2:$U$79,12,FALSE)*'General Variables'!$B$7)/VLOOKUP(B16,Operations!$A$2:$U$79,9,FALSE)*C16,2)))</f>
        <v>0</v>
      </c>
      <c r="G16" s="109">
        <f>IF(B16=0,0,IF(C16&gt;9999,"",ROUND(VLOOKUP(VLOOKUP(B16,Operations!$A$2:$U$79,11,FALSE),PowerUnits[],10,FALSE)/VLOOKUP(B16,Operations!$A$2:$U$79,9,FALSE)*C16,2)))</f>
        <v>0</v>
      </c>
      <c r="H16" s="109" t="str">
        <f>IF(B16=0,"",IF(C16&gt;9999,"",ROUND(VLOOKUP($B16,Operations!$A$2:$U$79,15,FALSE)*C16,2)))</f>
        <v/>
      </c>
      <c r="I16" s="109">
        <f>IF(B16=0,0,IF(C16&gt;9999,"",ROUND(VLOOKUP(VLOOKUP(B16,Operations!$A$2:$U$79,11,FALSE),PowerUnits[],16,FALSE)/VLOOKUP(B16,Operations!$A$2:$U$79,9,FALSE)*C16,2)))</f>
        <v>0</v>
      </c>
      <c r="J16" s="109" t="str">
        <f>IF(B16=0,"",IF(C16&gt;9999,"",ROUND(VLOOKUP($B16,Operations!$A$2:$U$79,21,FALSE)*$C16,2)))</f>
        <v/>
      </c>
      <c r="K16" s="109">
        <f t="shared" si="0"/>
        <v>0</v>
      </c>
      <c r="L16" s="110"/>
    </row>
    <row r="17" spans="1:12" x14ac:dyDescent="0.2">
      <c r="A17" s="170">
        <v>6</v>
      </c>
      <c r="B17" s="314"/>
      <c r="C17" s="174"/>
      <c r="D17" s="174"/>
      <c r="E17" s="109" t="str">
        <f>IF(B17=0,"",IF(C17&gt;9999,"",ROUND('General Variables'!$B$4*VLOOKUP(B17,Operations!$A$2:$U$79,10,FALSE)/VLOOKUP(B17,Operations!$A$2:$U$79,9,FALSE)*C17,2)))</f>
        <v/>
      </c>
      <c r="F17" s="109">
        <f>IF(B17=0,0,IF(C17&gt;9999,"",ROUND(IF(VLOOKUP(B17,Operations!$A$2:$U$79,12,FALSE)=0,VLOOKUP(B17,Operations!$A$2:$U$79,13,FALSE)*'General Variables'!$B$8,VLOOKUP(B17,Operations!$A$2:$U$79,12,FALSE)*'General Variables'!$B$7)/VLOOKUP(B17,Operations!$A$2:$U$79,9,FALSE)*C17,2)))</f>
        <v>0</v>
      </c>
      <c r="G17" s="109">
        <f>IF(B17=0,0,IF(C17&gt;9999,"",ROUND(VLOOKUP(VLOOKUP(B17,Operations!$A$2:$U$79,11,FALSE),PowerUnits[],10,FALSE)/VLOOKUP(B17,Operations!$A$2:$U$79,9,FALSE)*C17,2)))</f>
        <v>0</v>
      </c>
      <c r="H17" s="109" t="str">
        <f>IF(B17=0,"",IF(C17&gt;9999,"",ROUND(VLOOKUP($B17,Operations!$A$2:$U$79,15,FALSE)*C17,2)))</f>
        <v/>
      </c>
      <c r="I17" s="109">
        <f>IF(B17=0,0,IF(C17&gt;9999,"",ROUND(VLOOKUP(VLOOKUP(B17,Operations!$A$2:$U$79,11,FALSE),PowerUnits[],16,FALSE)/VLOOKUP(B17,Operations!$A$2:$U$79,9,FALSE)*C17,2)))</f>
        <v>0</v>
      </c>
      <c r="J17" s="109" t="str">
        <f>IF(B17=0,"",IF(C17&gt;9999,"",ROUND(VLOOKUP($B17,Operations!$A$2:$U$79,21,FALSE)*$C17,2)))</f>
        <v/>
      </c>
      <c r="K17" s="109">
        <f t="shared" si="0"/>
        <v>0</v>
      </c>
      <c r="L17" s="110"/>
    </row>
    <row r="18" spans="1:12" x14ac:dyDescent="0.2">
      <c r="A18" s="170">
        <v>7</v>
      </c>
      <c r="B18" s="314"/>
      <c r="C18" s="174"/>
      <c r="D18" s="174"/>
      <c r="E18" s="109" t="str">
        <f>IF(B18=0,"",IF(C18&gt;9999,"",ROUND('General Variables'!$B$4*VLOOKUP(B18,Operations!$A$2:$U$79,10,FALSE)/VLOOKUP(B18,Operations!$A$2:$U$79,9,FALSE)*C18,2)))</f>
        <v/>
      </c>
      <c r="F18" s="109">
        <f>IF(B18=0,0,IF(C18&gt;9999,"",ROUND(IF(VLOOKUP(B18,Operations!$A$2:$U$79,12,FALSE)=0,VLOOKUP(B18,Operations!$A$2:$U$79,13,FALSE)*'General Variables'!$B$8,VLOOKUP(B18,Operations!$A$2:$U$79,12,FALSE)*'General Variables'!$B$7)/VLOOKUP(B18,Operations!$A$2:$U$79,9,FALSE)*C18,2)))</f>
        <v>0</v>
      </c>
      <c r="G18" s="109">
        <f>IF(B18=0,0,IF(C18&gt;9999,"",ROUND(VLOOKUP(VLOOKUP(B18,Operations!$A$2:$U$79,11,FALSE),PowerUnits[],10,FALSE)/VLOOKUP(B18,Operations!$A$2:$U$79,9,FALSE)*C18,2)))</f>
        <v>0</v>
      </c>
      <c r="H18" s="109" t="str">
        <f>IF(B18=0,"",IF(C18&gt;9999,"",ROUND(VLOOKUP($B18,Operations!$A$2:$U$79,15,FALSE)*C18,2)))</f>
        <v/>
      </c>
      <c r="I18" s="109">
        <f>IF(B18=0,0,IF(C18&gt;9999,"",ROUND(VLOOKUP(VLOOKUP(B18,Operations!$A$2:$U$79,11,FALSE),PowerUnits[],16,FALSE)/VLOOKUP(B18,Operations!$A$2:$U$79,9,FALSE)*C18,2)))</f>
        <v>0</v>
      </c>
      <c r="J18" s="109" t="str">
        <f>IF(B18=0,"",IF(C18&gt;9999,"",ROUND(VLOOKUP($B18,Operations!$A$2:$U$79,21,FALSE)*$C18,2)))</f>
        <v/>
      </c>
      <c r="K18" s="109">
        <f t="shared" si="0"/>
        <v>0</v>
      </c>
      <c r="L18" s="110"/>
    </row>
    <row r="19" spans="1:12" x14ac:dyDescent="0.2">
      <c r="A19" s="170">
        <v>8</v>
      </c>
      <c r="B19" s="315"/>
      <c r="C19" s="214"/>
      <c r="D19" s="214"/>
      <c r="E19" s="215" t="str">
        <f>IF(B19=0,"",IF(C19&gt;9999,"",ROUND('General Variables'!$B$4*VLOOKUP(B19,Operations!$A$2:$U$79,10,FALSE)/VLOOKUP(B19,Operations!$A$2:$U$79,9,FALSE)*C19,2)))</f>
        <v/>
      </c>
      <c r="F19" s="215">
        <f>IF(B19=0,0,IF(C19&gt;9999,"",ROUND(IF(VLOOKUP(B19,Operations!$A$2:$U$79,12,FALSE)=0,VLOOKUP(B19,Operations!$A$2:$U$79,13,FALSE)*'General Variables'!$B$8,VLOOKUP(B19,Operations!$A$2:$U$79,12,FALSE)*'General Variables'!$B$7)/VLOOKUP(B19,Operations!$A$2:$U$79,9,FALSE)*C19,2)))</f>
        <v>0</v>
      </c>
      <c r="G19" s="215">
        <f>IF(B19=0,0,IF(C19&gt;9999,"",ROUND(VLOOKUP(VLOOKUP(B19,Operations!$A$2:$U$79,11,FALSE),PowerUnits[],10,FALSE)/VLOOKUP(B19,Operations!$A$2:$U$79,9,FALSE)*C19,2)))</f>
        <v>0</v>
      </c>
      <c r="H19" s="215" t="str">
        <f>IF(B19=0,"",IF(C19&gt;9999,"",ROUND(VLOOKUP($B19,Operations!$A$2:$U$79,15,FALSE)*C19,2)))</f>
        <v/>
      </c>
      <c r="I19" s="215">
        <f>IF(B19=0,0,IF(C19&gt;9999,"",ROUND(VLOOKUP(VLOOKUP(B19,Operations!$A$2:$U$79,11,FALSE),PowerUnits[],16,FALSE)/VLOOKUP(B19,Operations!$A$2:$U$79,9,FALSE)*C19,2)))</f>
        <v>0</v>
      </c>
      <c r="J19" s="215" t="str">
        <f>IF(B19=0,"",IF(C19&gt;9999,"",ROUND(VLOOKUP($B19,Operations!$A$2:$U$79,21,FALSE)*$C19,2)))</f>
        <v/>
      </c>
      <c r="K19" s="215">
        <f>IF(C19&gt;9999,"",ROUND(SUM(E19:J19),2))</f>
        <v>0</v>
      </c>
      <c r="L19" s="216"/>
    </row>
    <row r="20" spans="1:12" x14ac:dyDescent="0.2">
      <c r="A20" s="170">
        <v>9</v>
      </c>
      <c r="B20" s="314"/>
      <c r="C20" s="174"/>
      <c r="D20" s="174"/>
      <c r="E20" s="109" t="str">
        <f>IF(B20=0,"",IF(C20&gt;9999,"",ROUND('General Variables'!$B$4*VLOOKUP(B20,Operations!$A$2:$U$79,10,FALSE)/VLOOKUP(B20,Operations!$A$2:$U$79,9,FALSE)*C20,2)))</f>
        <v/>
      </c>
      <c r="F20" s="109">
        <f>IF(B20=0,0,IF(C20&gt;9999,"",ROUND(IF(VLOOKUP(B20,Operations!$A$2:$U$79,12,FALSE)=0,VLOOKUP(B20,Operations!$A$2:$U$79,13,FALSE)*'General Variables'!$B$8,VLOOKUP(B20,Operations!$A$2:$U$79,12,FALSE)*'General Variables'!$B$7)/VLOOKUP(B20,Operations!$A$2:$U$79,9,FALSE)*C20,2)))</f>
        <v>0</v>
      </c>
      <c r="G20" s="109">
        <f>IF(B20=0,0,IF(C20&gt;9999,"",ROUND(VLOOKUP(VLOOKUP(B20,Operations!$A$2:$U$79,11,FALSE),PowerUnits[],10,FALSE)/VLOOKUP(B20,Operations!$A$2:$U$79,9,FALSE)*C20,2)))</f>
        <v>0</v>
      </c>
      <c r="H20" s="109" t="str">
        <f>IF(B20=0,"",IF(C20&gt;9999,"",ROUND(VLOOKUP($B20,Operations!$A$2:$U$79,15,FALSE)*C20,2)))</f>
        <v/>
      </c>
      <c r="I20" s="109">
        <f>IF(B20=0,0,IF(C20&gt;9999,"",ROUND(VLOOKUP(VLOOKUP(B20,Operations!$A$2:$U$79,11,FALSE),PowerUnits[],16,FALSE)/VLOOKUP(B20,Operations!$A$2:$U$79,9,FALSE)*C20,2)))</f>
        <v>0</v>
      </c>
      <c r="J20" s="109" t="str">
        <f>IF(B20=0,"",IF(C20&gt;9999,"",ROUND(VLOOKUP($B20,Operations!$A$2:$U$79,21,FALSE)*$C20,2)))</f>
        <v/>
      </c>
      <c r="K20" s="109">
        <f t="shared" si="0"/>
        <v>0</v>
      </c>
      <c r="L20" s="110"/>
    </row>
    <row r="21" spans="1:12" x14ac:dyDescent="0.2">
      <c r="A21" s="170">
        <v>10</v>
      </c>
      <c r="B21" s="314"/>
      <c r="C21" s="174"/>
      <c r="D21" s="174"/>
      <c r="E21" s="109" t="str">
        <f>IF(B21=0,"",IF(C21&gt;9999,"",ROUND('General Variables'!$B$4*VLOOKUP(B21,Operations!$A$2:$U$79,10,FALSE)/VLOOKUP(B21,Operations!$A$2:$U$79,9,FALSE)*C21,2)))</f>
        <v/>
      </c>
      <c r="F21" s="109">
        <f>IF(B21=0,0,IF(C21&gt;9999,"",ROUND(IF(VLOOKUP(B21,Operations!$A$2:$U$79,12,FALSE)=0,VLOOKUP(B21,Operations!$A$2:$U$79,13,FALSE)*'General Variables'!$B$8,VLOOKUP(B21,Operations!$A$2:$U$79,12,FALSE)*'General Variables'!$B$7)/VLOOKUP(B21,Operations!$A$2:$U$79,9,FALSE)*C21,2)))</f>
        <v>0</v>
      </c>
      <c r="G21" s="109">
        <f>IF(B21=0,0,IF(C21&gt;9999,"",ROUND(VLOOKUP(VLOOKUP(B21,Operations!$A$2:$U$79,11,FALSE),PowerUnits[],10,FALSE)/VLOOKUP(B21,Operations!$A$2:$U$79,9,FALSE)*C21,2)))</f>
        <v>0</v>
      </c>
      <c r="H21" s="109" t="str">
        <f>IF(B21=0,"",IF(C21&gt;9999,"",ROUND(VLOOKUP($B21,Operations!$A$2:$U$79,15,FALSE)*C21,2)))</f>
        <v/>
      </c>
      <c r="I21" s="109">
        <f>IF(B21=0,0,IF(C21&gt;9999,"",ROUND(VLOOKUP(VLOOKUP(B21,Operations!$A$2:$U$79,11,FALSE),PowerUnits[],16,FALSE)/VLOOKUP(B21,Operations!$A$2:$U$79,9,FALSE)*C21,2)))</f>
        <v>0</v>
      </c>
      <c r="J21" s="109" t="str">
        <f>IF(B21=0,"",IF(C21&gt;9999,"",ROUND(VLOOKUP($B21,Operations!$A$2:$U$79,21,FALSE)*$C21,2)))</f>
        <v/>
      </c>
      <c r="K21" s="109">
        <f t="shared" si="0"/>
        <v>0</v>
      </c>
      <c r="L21" s="110"/>
    </row>
    <row r="22" spans="1:12" x14ac:dyDescent="0.2">
      <c r="A22" s="170">
        <v>11</v>
      </c>
      <c r="B22" s="314"/>
      <c r="C22" s="174"/>
      <c r="D22" s="174"/>
      <c r="E22" s="109" t="str">
        <f>IF(B22=0,"",IF(C22&gt;9999,"",ROUND('General Variables'!$B$4*VLOOKUP(B22,Operations!$A$2:$U$79,10,FALSE)/VLOOKUP(B22,Operations!$A$2:$U$79,9,FALSE)*C22,2)))</f>
        <v/>
      </c>
      <c r="F22" s="109">
        <f>IF(B22=0,0,IF(C22&gt;9999,"",ROUND(IF(VLOOKUP(B22,Operations!$A$2:$U$79,12,FALSE)=0,VLOOKUP(B22,Operations!$A$2:$U$79,13,FALSE)*'General Variables'!$B$8,VLOOKUP(B22,Operations!$A$2:$U$79,12,FALSE)*'General Variables'!$B$7)/VLOOKUP(B22,Operations!$A$2:$U$79,9,FALSE)*C22,2)))</f>
        <v>0</v>
      </c>
      <c r="G22" s="109">
        <f>IF(B22=0,0,IF(C22&gt;9999,"",ROUND(VLOOKUP(VLOOKUP(B22,Operations!$A$2:$U$79,11,FALSE),PowerUnits[],10,FALSE)/VLOOKUP(B22,Operations!$A$2:$U$79,9,FALSE)*C22,2)))</f>
        <v>0</v>
      </c>
      <c r="H22" s="109" t="str">
        <f>IF(B22=0,"",IF(C22&gt;9999,"",ROUND(VLOOKUP($B22,Operations!$A$2:$U$79,15,FALSE)*C22,2)))</f>
        <v/>
      </c>
      <c r="I22" s="109">
        <f>IF(B22=0,0,IF(C22&gt;9999,"",ROUND(VLOOKUP(VLOOKUP(B22,Operations!$A$2:$U$79,11,FALSE),PowerUnits[],16,FALSE)/VLOOKUP(B22,Operations!$A$2:$U$79,9,FALSE)*C22,2)))</f>
        <v>0</v>
      </c>
      <c r="J22" s="109" t="str">
        <f>IF(B22=0,"",IF(C22&gt;9999,"",ROUND(VLOOKUP($B22,Operations!$A$2:$U$79,21,FALSE)*$C22,2)))</f>
        <v/>
      </c>
      <c r="K22" s="109">
        <f t="shared" si="0"/>
        <v>0</v>
      </c>
      <c r="L22" s="110"/>
    </row>
    <row r="23" spans="1:12" x14ac:dyDescent="0.2">
      <c r="A23" s="170">
        <v>12</v>
      </c>
      <c r="B23" s="315"/>
      <c r="C23" s="214"/>
      <c r="D23" s="214"/>
      <c r="E23" s="215" t="str">
        <f>IF(B23=0,"",IF(C23&gt;9999,"",ROUND('General Variables'!$B$4*VLOOKUP(B23,Operations!$A$2:$U$79,10,FALSE)/VLOOKUP(B23,Operations!$A$2:$U$79,9,FALSE)*C23,2)))</f>
        <v/>
      </c>
      <c r="F23" s="215">
        <f>IF(B23=0,0,IF(C23&gt;9999,"",ROUND(IF(VLOOKUP(B23,Operations!$A$2:$U$79,12,FALSE)=0,VLOOKUP(B23,Operations!$A$2:$U$79,13,FALSE)*'General Variables'!$B$8,VLOOKUP(B23,Operations!$A$2:$U$79,12,FALSE)*'General Variables'!$B$7)/VLOOKUP(B23,Operations!$A$2:$U$79,9,FALSE)*C23,2)))</f>
        <v>0</v>
      </c>
      <c r="G23" s="215">
        <f>IF(B23=0,0,IF(C23&gt;9999,"",ROUND(VLOOKUP(VLOOKUP(B23,Operations!$A$2:$U$79,11,FALSE),PowerUnits[],10,FALSE)/VLOOKUP(B23,Operations!$A$2:$U$79,9,FALSE)*C23,2)))</f>
        <v>0</v>
      </c>
      <c r="H23" s="215" t="str">
        <f>IF(B23=0,"",IF(C23&gt;9999,"",ROUND(VLOOKUP($B23,Operations!$A$2:$U$79,15,FALSE)*C23,2)))</f>
        <v/>
      </c>
      <c r="I23" s="215">
        <f>IF(B23=0,0,IF(C23&gt;9999,"",ROUND(VLOOKUP(VLOOKUP(B23,Operations!$A$2:$U$79,11,FALSE),PowerUnits[],16,FALSE)/VLOOKUP(B23,Operations!$A$2:$U$79,9,FALSE)*C23,2)))</f>
        <v>0</v>
      </c>
      <c r="J23" s="215" t="str">
        <f>IF(B23=0,"",IF(C23&gt;9999,"",ROUND(VLOOKUP($B23,Operations!$A$2:$U$79,21,FALSE)*$C23,2)))</f>
        <v/>
      </c>
      <c r="K23" s="215">
        <f t="shared" si="0"/>
        <v>0</v>
      </c>
      <c r="L23" s="216"/>
    </row>
    <row r="24" spans="1:12" x14ac:dyDescent="0.2">
      <c r="A24" s="170">
        <v>13</v>
      </c>
      <c r="B24" s="314"/>
      <c r="C24" s="174"/>
      <c r="D24" s="174"/>
      <c r="E24" s="109" t="str">
        <f>IF(B24=0,"",IF(C24&gt;9999,"",ROUND('General Variables'!$B$4*VLOOKUP(B24,Operations!$A$2:$U$79,10,FALSE)/VLOOKUP(B24,Operations!$A$2:$U$79,9,FALSE)*C24,2)))</f>
        <v/>
      </c>
      <c r="F24" s="109">
        <f>IF(B24=0,0,IF(C24&gt;9999,"",ROUND(IF(VLOOKUP(B24,Operations!$A$2:$U$79,12,FALSE)=0,VLOOKUP(B24,Operations!$A$2:$U$79,13,FALSE)*'General Variables'!$B$8,VLOOKUP(B24,Operations!$A$2:$U$79,12,FALSE)*'General Variables'!$B$7)/VLOOKUP(B24,Operations!$A$2:$U$79,9,FALSE)*C24,2)))</f>
        <v>0</v>
      </c>
      <c r="G24" s="109">
        <f>IF(B24=0,0,IF(C24&gt;9999,"",ROUND(VLOOKUP(VLOOKUP(B24,Operations!$A$2:$U$79,11,FALSE),PowerUnits[],10,FALSE)/VLOOKUP(B24,Operations!$A$2:$U$79,9,FALSE)*C24,2)))</f>
        <v>0</v>
      </c>
      <c r="H24" s="109" t="str">
        <f>IF(B24=0,"",IF(C24&gt;9999,"",ROUND(VLOOKUP($B24,Operations!$A$2:$U$79,15,FALSE)*C24,2)))</f>
        <v/>
      </c>
      <c r="I24" s="109">
        <f>IF(B24=0,0,IF(C24&gt;9999,"",ROUND(VLOOKUP(VLOOKUP(B24,Operations!$A$2:$U$79,11,FALSE),PowerUnits[],16,FALSE)/VLOOKUP(B24,Operations!$A$2:$U$79,9,FALSE)*C24,2)))</f>
        <v>0</v>
      </c>
      <c r="J24" s="109" t="str">
        <f>IF(B24=0,"",IF(C24&gt;9999,"",ROUND(VLOOKUP($B24,Operations!$A$2:$U$79,21,FALSE)*$C24,2)))</f>
        <v/>
      </c>
      <c r="K24" s="109">
        <f t="shared" si="0"/>
        <v>0</v>
      </c>
      <c r="L24" s="110"/>
    </row>
    <row r="25" spans="1:12" x14ac:dyDescent="0.2">
      <c r="A25" s="170">
        <v>14</v>
      </c>
      <c r="B25" s="316"/>
      <c r="C25" s="112"/>
      <c r="D25" s="174"/>
      <c r="E25" s="109" t="str">
        <f>IF(B25=0,"",IF(C25&gt;9999,"",ROUND('General Variables'!$B$4*VLOOKUP(B25,Operations!$A$2:$U$79,10,FALSE)/VLOOKUP(B25,Operations!$A$2:$U$79,9,FALSE)*C25,2)))</f>
        <v/>
      </c>
      <c r="F25" s="109">
        <f>IF(B25=0,0,IF(C25&gt;9999,"",ROUND(IF(VLOOKUP(B25,Operations!$A$2:$U$79,12,FALSE)=0,VLOOKUP(B25,Operations!$A$2:$U$79,13,FALSE)*'General Variables'!$B$8,VLOOKUP(B25,Operations!$A$2:$U$79,12,FALSE)*'General Variables'!$B$7)/VLOOKUP(B25,Operations!$A$2:$U$79,9,FALSE)*C25,2)))</f>
        <v>0</v>
      </c>
      <c r="G25" s="109">
        <f>IF(B25=0,0,IF(C25&gt;9999,"",ROUND(VLOOKUP(VLOOKUP(B25,Operations!$A$2:$U$79,11,FALSE),PowerUnits[],10,FALSE)/VLOOKUP(B25,Operations!$A$2:$U$79,9,FALSE)*C25,2)))</f>
        <v>0</v>
      </c>
      <c r="H25" s="109" t="str">
        <f>IF(B25=0,"",IF(C25&gt;9999,"",ROUND(VLOOKUP($B25,Operations!$A$2:$U$79,15,FALSE)*C25,2)))</f>
        <v/>
      </c>
      <c r="I25" s="109">
        <f>IF(B25=0,0,IF(C25&gt;9999,"",ROUND(VLOOKUP(VLOOKUP(B25,Operations!$A$2:$U$79,11,FALSE),PowerUnits[],16,FALSE)/VLOOKUP(B25,Operations!$A$2:$U$79,9,FALSE)*C25,2)))</f>
        <v>0</v>
      </c>
      <c r="J25" s="109" t="str">
        <f>IF(B25=0,"",IF(C25&gt;9999,"",ROUND(VLOOKUP($B25,Operations!$A$2:$U$79,21,FALSE)*$C25,2)))</f>
        <v/>
      </c>
      <c r="K25" s="109">
        <f t="shared" si="0"/>
        <v>0</v>
      </c>
      <c r="L25" s="110"/>
    </row>
    <row r="26" spans="1:12" x14ac:dyDescent="0.2">
      <c r="A26" s="170">
        <v>15</v>
      </c>
      <c r="B26" s="316"/>
      <c r="C26" s="112"/>
      <c r="D26" s="174"/>
      <c r="E26" s="109" t="str">
        <f>IF(B26=0,"",IF(C26&gt;9999,"",ROUND('General Variables'!$B$4*VLOOKUP(B26,Operations!$A$2:$U$79,10,FALSE)/VLOOKUP(B26,Operations!$A$2:$U$79,9,FALSE)*C26,2)))</f>
        <v/>
      </c>
      <c r="F26" s="109">
        <f>IF(B26=0,0,IF(C26&gt;9999,"",ROUND(IF(VLOOKUP(B26,Operations!$A$2:$U$79,12,FALSE)=0,VLOOKUP(B26,Operations!$A$2:$U$79,13,FALSE)*'General Variables'!$B$8,VLOOKUP(B26,Operations!$A$2:$U$79,12,FALSE)*'General Variables'!$B$7)/VLOOKUP(B26,Operations!$A$2:$U$79,9,FALSE)*C26,2)))</f>
        <v>0</v>
      </c>
      <c r="G26" s="109">
        <f>IF(B26=0,0,IF(C26&gt;9999,"",ROUND(VLOOKUP(VLOOKUP(B26,Operations!$A$2:$U$79,11,FALSE),PowerUnits[],10,FALSE)/VLOOKUP(B26,Operations!$A$2:$U$79,9,FALSE)*C26,2)))</f>
        <v>0</v>
      </c>
      <c r="H26" s="109" t="str">
        <f>IF(B26=0,"",IF(C26&gt;9999,"",ROUND(VLOOKUP($B26,Operations!$A$2:$U$79,15,FALSE)*C26,2)))</f>
        <v/>
      </c>
      <c r="I26" s="109">
        <f>IF(B26=0,0,IF(C26&gt;9999,"",ROUND(VLOOKUP(VLOOKUP(B26,Operations!$A$2:$U$79,11,FALSE),PowerUnits[],16,FALSE)/VLOOKUP(B26,Operations!$A$2:$U$79,9,FALSE)*C26,2)))</f>
        <v>0</v>
      </c>
      <c r="J26" s="109" t="str">
        <f>IF(B26=0,"",IF(C26&gt;9999,"",ROUND(VLOOKUP($B26,Operations!$A$2:$U$79,21,FALSE)*$C26,2)))</f>
        <v/>
      </c>
      <c r="K26" s="109">
        <f t="shared" si="0"/>
        <v>0</v>
      </c>
      <c r="L26" s="110"/>
    </row>
    <row r="27" spans="1:12" x14ac:dyDescent="0.2">
      <c r="A27" s="170">
        <v>16</v>
      </c>
      <c r="B27" s="317"/>
      <c r="C27" s="218"/>
      <c r="D27" s="214"/>
      <c r="E27" s="215" t="str">
        <f>IF(B27=0,"",IF(C27&gt;9999,"",ROUND('General Variables'!$B$4*VLOOKUP(B27,Operations!$A$2:$U$79,10,FALSE)/VLOOKUP(B27,Operations!$A$2:$U$79,9,FALSE)*C27,2)))</f>
        <v/>
      </c>
      <c r="F27" s="215">
        <f>IF(B27=0,0,IF(C27&gt;9999,"",ROUND(IF(VLOOKUP(B27,Operations!$A$2:$U$79,12,FALSE)=0,VLOOKUP(B27,Operations!$A$2:$U$79,13,FALSE)*'General Variables'!$B$8,VLOOKUP(B27,Operations!$A$2:$U$79,12,FALSE)*'General Variables'!$B$7)/VLOOKUP(B27,Operations!$A$2:$U$79,9,FALSE)*C27,2)))</f>
        <v>0</v>
      </c>
      <c r="G27" s="215">
        <f>IF(B27=0,0,IF(C27&gt;9999,"",ROUND(VLOOKUP(VLOOKUP(B27,Operations!$A$2:$U$79,11,FALSE),PowerUnits[],10,FALSE)/VLOOKUP(B27,Operations!$A$2:$U$79,9,FALSE)*C27,2)))</f>
        <v>0</v>
      </c>
      <c r="H27" s="215" t="str">
        <f>IF(B27=0,"",IF(C27&gt;9999,"",ROUND(VLOOKUP($B27,Operations!$A$2:$U$79,15,FALSE)*C27,2)))</f>
        <v/>
      </c>
      <c r="I27" s="215">
        <f>IF(B27=0,0,IF(C27&gt;9999,"",ROUND(VLOOKUP(VLOOKUP(B27,Operations!$A$2:$U$79,11,FALSE),PowerUnits[],16,FALSE)/VLOOKUP(B27,Operations!$A$2:$U$79,9,FALSE)*C27,2)))</f>
        <v>0</v>
      </c>
      <c r="J27" s="215" t="str">
        <f>IF(B27=0,"",IF(C27&gt;9999,"",ROUND(VLOOKUP($B27,Operations!$A$2:$U$79,21,FALSE)*$C27,2)))</f>
        <v/>
      </c>
      <c r="K27" s="215">
        <f t="shared" si="0"/>
        <v>0</v>
      </c>
      <c r="L27" s="216"/>
    </row>
    <row r="28" spans="1:12" x14ac:dyDescent="0.2">
      <c r="A28" s="170">
        <v>17</v>
      </c>
      <c r="B28" s="316"/>
      <c r="C28" s="112"/>
      <c r="D28" s="174"/>
      <c r="E28" s="109" t="str">
        <f>IF(B28=0,"",IF(C28&gt;9999,"",ROUND('General Variables'!$B$4*VLOOKUP(B28,Operations!$A$2:$U$79,10,FALSE)/VLOOKUP(B28,Operations!$A$2:$U$79,9,FALSE)*C28,2)))</f>
        <v/>
      </c>
      <c r="F28" s="109">
        <f>IF(B28=0,0,IF(C28&gt;9999,"",ROUND(IF(VLOOKUP(B28,Operations!$A$2:$U$79,12,FALSE)=0,VLOOKUP(B28,Operations!$A$2:$U$79,13,FALSE)*'General Variables'!$B$8,VLOOKUP(B28,Operations!$A$2:$U$79,12,FALSE)*'General Variables'!$B$7)/VLOOKUP(B28,Operations!$A$2:$U$79,9,FALSE)*C28,2)))</f>
        <v>0</v>
      </c>
      <c r="G28" s="109">
        <f>IF(B28=0,0,IF(C28&gt;9999,"",ROUND(VLOOKUP(VLOOKUP(B28,Operations!$A$2:$U$79,11,FALSE),PowerUnits[],10,FALSE)/VLOOKUP(B28,Operations!$A$2:$U$79,9,FALSE)*C28,2)))</f>
        <v>0</v>
      </c>
      <c r="H28" s="109" t="str">
        <f>IF(B28=0,"",IF(C28&gt;9999,"",ROUND(VLOOKUP($B28,Operations!$A$2:$U$79,15,FALSE)*C28,2)))</f>
        <v/>
      </c>
      <c r="I28" s="109">
        <f>IF(B28=0,0,IF(C28&gt;9999,"",ROUND(VLOOKUP(VLOOKUP(B28,Operations!$A$2:$U$79,11,FALSE),PowerUnits[],16,FALSE)/VLOOKUP(B28,Operations!$A$2:$U$79,9,FALSE)*C28,2)))</f>
        <v>0</v>
      </c>
      <c r="J28" s="109" t="str">
        <f>IF(B28=0,"",IF(C28&gt;9999,"",ROUND(VLOOKUP($B28,Operations!$A$2:$U$79,21,FALSE)*$C28,2)))</f>
        <v/>
      </c>
      <c r="K28" s="109">
        <f t="shared" si="0"/>
        <v>0</v>
      </c>
      <c r="L28" s="110"/>
    </row>
    <row r="29" spans="1:12" x14ac:dyDescent="0.2">
      <c r="A29" s="170">
        <v>18</v>
      </c>
      <c r="B29" s="316"/>
      <c r="C29" s="112"/>
      <c r="D29" s="174"/>
      <c r="E29" s="109" t="str">
        <f>IF(B29=0,"",IF(C29&gt;9999,"",ROUND('General Variables'!$B$4*VLOOKUP(B29,Operations!$A$2:$U$79,10,FALSE)/VLOOKUP(B29,Operations!$A$2:$U$79,9,FALSE)*C29,2)))</f>
        <v/>
      </c>
      <c r="F29" s="109">
        <f>IF(B29=0,0,IF(C29&gt;9999,"",ROUND(IF(VLOOKUP(B29,Operations!$A$2:$U$79,12,FALSE)=0,VLOOKUP(B29,Operations!$A$2:$U$79,13,FALSE)*'General Variables'!$B$8,VLOOKUP(B29,Operations!$A$2:$U$79,12,FALSE)*'General Variables'!$B$7)/VLOOKUP(B29,Operations!$A$2:$U$79,9,FALSE)*C29,2)))</f>
        <v>0</v>
      </c>
      <c r="G29" s="109">
        <f>IF(B29=0,0,IF(C29&gt;9999,"",ROUND(VLOOKUP(VLOOKUP(B29,Operations!$A$2:$U$79,11,FALSE),PowerUnits[],10,FALSE)/VLOOKUP(B29,Operations!$A$2:$U$79,9,FALSE)*C29,2)))</f>
        <v>0</v>
      </c>
      <c r="H29" s="109" t="str">
        <f>IF(B29=0,"",IF(C29&gt;9999,"",ROUND(VLOOKUP($B29,Operations!$A$2:$U$79,15,FALSE)*C29,2)))</f>
        <v/>
      </c>
      <c r="I29" s="109">
        <f>IF(B29=0,0,IF(C29&gt;9999,"",ROUND(VLOOKUP(VLOOKUP(B29,Operations!$A$2:$U$79,11,FALSE),PowerUnits[],16,FALSE)/VLOOKUP(B29,Operations!$A$2:$U$79,9,FALSE)*C29,2)))</f>
        <v>0</v>
      </c>
      <c r="J29" s="109" t="str">
        <f>IF(B29=0,"",IF(C29&gt;9999,"",ROUND(VLOOKUP($B29,Operations!$A$2:$U$79,21,FALSE)*$C29,2)))</f>
        <v/>
      </c>
      <c r="K29" s="109">
        <f t="shared" si="0"/>
        <v>0</v>
      </c>
      <c r="L29" s="110"/>
    </row>
    <row r="30" spans="1:12" x14ac:dyDescent="0.2">
      <c r="A30" s="170">
        <v>19</v>
      </c>
      <c r="B30" s="316"/>
      <c r="C30" s="112"/>
      <c r="D30" s="174"/>
      <c r="E30" s="109" t="str">
        <f>IF(B30=0,"",IF(C30&gt;9999,"",ROUND('General Variables'!$B$4*VLOOKUP(B30,Operations!$A$2:$U$79,10,FALSE)/VLOOKUP(B30,Operations!$A$2:$U$79,9,FALSE)*C30,2)))</f>
        <v/>
      </c>
      <c r="F30" s="109">
        <f>IF(B30=0,0,IF(C30&gt;9999,"",ROUND(IF(VLOOKUP(B30,Operations!$A$2:$U$79,12,FALSE)=0,VLOOKUP(B30,Operations!$A$2:$U$79,13,FALSE)*'General Variables'!$B$8,VLOOKUP(B30,Operations!$A$2:$U$79,12,FALSE)*'General Variables'!$B$7)/VLOOKUP(B30,Operations!$A$2:$U$79,9,FALSE)*C30,2)))</f>
        <v>0</v>
      </c>
      <c r="G30" s="109">
        <f>IF(B30=0,0,IF(C30&gt;9999,"",ROUND(VLOOKUP(VLOOKUP(B30,Operations!$A$2:$U$79,11,FALSE),PowerUnits[],10,FALSE)/VLOOKUP(B30,Operations!$A$2:$U$79,9,FALSE)*C30,2)))</f>
        <v>0</v>
      </c>
      <c r="H30" s="109" t="str">
        <f>IF(B30=0,"",IF(C30&gt;9999,"",ROUND(VLOOKUP($B30,Operations!$A$2:$U$79,15,FALSE)*C30,2)))</f>
        <v/>
      </c>
      <c r="I30" s="109">
        <f>IF(B30=0,0,IF(C30&gt;9999,"",ROUND(VLOOKUP(VLOOKUP(B30,Operations!$A$2:$U$79,11,FALSE),PowerUnits[],16,FALSE)/VLOOKUP(B30,Operations!$A$2:$U$79,9,FALSE)*C30,2)))</f>
        <v>0</v>
      </c>
      <c r="J30" s="109" t="str">
        <f>IF(B30=0,"",IF(C30&gt;9999,"",ROUND(VLOOKUP($B30,Operations!$A$2:$U$79,21,FALSE)*$C30,2)))</f>
        <v/>
      </c>
      <c r="K30" s="109">
        <f t="shared" si="0"/>
        <v>0</v>
      </c>
      <c r="L30" s="113"/>
    </row>
    <row r="31" spans="1:12" x14ac:dyDescent="0.2">
      <c r="A31" s="170">
        <v>20</v>
      </c>
      <c r="B31" s="317"/>
      <c r="C31" s="218"/>
      <c r="D31" s="214"/>
      <c r="E31" s="215" t="str">
        <f>IF(B31=0,"",IF(C31&gt;9999,"",ROUND('General Variables'!$B$4*VLOOKUP(B31,Operations!$A$2:$U$79,10,FALSE)/VLOOKUP(B31,Operations!$A$2:$U$79,9,FALSE)*C31,2)))</f>
        <v/>
      </c>
      <c r="F31" s="215">
        <f>IF(B31=0,0,IF(C31&gt;9999,"",ROUND(IF(VLOOKUP(B31,Operations!$A$2:$U$79,12,FALSE)=0,VLOOKUP(B31,Operations!$A$2:$U$79,13,FALSE)*'General Variables'!$B$8,VLOOKUP(B31,Operations!$A$2:$U$79,12,FALSE)*'General Variables'!$B$7)/VLOOKUP(B31,Operations!$A$2:$U$79,9,FALSE)*C31,2)))</f>
        <v>0</v>
      </c>
      <c r="G31" s="215">
        <f>IF(B31=0,0,IF(C31&gt;9999,"",ROUND(VLOOKUP(VLOOKUP(B31,Operations!$A$2:$U$79,11,FALSE),PowerUnits[],10,FALSE)/VLOOKUP(B31,Operations!$A$2:$U$79,9,FALSE)*C31,2)))</f>
        <v>0</v>
      </c>
      <c r="H31" s="215" t="str">
        <f>IF(B31=0,"",IF(C31&gt;9999,"",ROUND(VLOOKUP($B31,Operations!$A$2:$U$79,15,FALSE)*C31,2)))</f>
        <v/>
      </c>
      <c r="I31" s="215">
        <f>IF(B31=0,0,IF(C31&gt;9999,"",ROUND(VLOOKUP(VLOOKUP(B31,Operations!$A$2:$U$79,11,FALSE),PowerUnits[],16,FALSE)/VLOOKUP(B31,Operations!$A$2:$U$79,9,FALSE)*C31,2)))</f>
        <v>0</v>
      </c>
      <c r="J31" s="215" t="str">
        <f>IF(B31=0,"",IF(C31&gt;9999,"",ROUND(VLOOKUP($B31,Operations!$A$2:$U$79,21,FALSE)*$C31,2)))</f>
        <v/>
      </c>
      <c r="K31" s="215">
        <f t="shared" si="0"/>
        <v>0</v>
      </c>
      <c r="L31" s="220"/>
    </row>
    <row r="32" spans="1:12" ht="3" customHeight="1" thickBot="1" x14ac:dyDescent="0.25">
      <c r="A32" s="170"/>
      <c r="B32" s="114"/>
      <c r="C32" s="115"/>
      <c r="D32" s="115"/>
      <c r="E32" s="116"/>
      <c r="F32" s="116"/>
      <c r="G32" s="116"/>
      <c r="H32" s="116"/>
      <c r="I32" s="116"/>
      <c r="J32" s="116"/>
      <c r="K32" s="116"/>
      <c r="L32" s="117"/>
    </row>
    <row r="33" spans="1:12" ht="13.5" thickTop="1" x14ac:dyDescent="0.2">
      <c r="C33" s="108" t="s">
        <v>664</v>
      </c>
      <c r="D33" s="108"/>
      <c r="E33" s="109">
        <f>SUM(E12:E31)</f>
        <v>0</v>
      </c>
      <c r="F33" s="109">
        <f t="shared" ref="F33:K33" si="1">SUM(F12:F31)</f>
        <v>0</v>
      </c>
      <c r="G33" s="109">
        <f t="shared" si="1"/>
        <v>0</v>
      </c>
      <c r="H33" s="109">
        <f t="shared" si="1"/>
        <v>0</v>
      </c>
      <c r="I33" s="109">
        <f t="shared" si="1"/>
        <v>0</v>
      </c>
      <c r="J33" s="109">
        <f t="shared" si="1"/>
        <v>0</v>
      </c>
      <c r="K33" s="109">
        <f t="shared" si="1"/>
        <v>0</v>
      </c>
      <c r="L33" s="110"/>
    </row>
    <row r="35" spans="1:12" ht="24" customHeight="1" thickBot="1" x14ac:dyDescent="0.25">
      <c r="F35" s="386" t="s">
        <v>665</v>
      </c>
      <c r="G35" s="386" t="s">
        <v>666</v>
      </c>
      <c r="H35" s="385" t="s">
        <v>667</v>
      </c>
      <c r="I35" s="385"/>
      <c r="J35" s="386" t="s">
        <v>169</v>
      </c>
      <c r="L35" s="385" t="s">
        <v>661</v>
      </c>
    </row>
    <row r="36" spans="1:12" s="118" customFormat="1" ht="18.75" customHeight="1" thickTop="1" thickBot="1" x14ac:dyDescent="0.25">
      <c r="B36" s="119" t="s">
        <v>668</v>
      </c>
      <c r="C36" s="171"/>
      <c r="D36" s="171"/>
      <c r="E36" s="171"/>
      <c r="F36" s="386"/>
      <c r="G36" s="386"/>
      <c r="H36" s="171" t="s">
        <v>669</v>
      </c>
      <c r="I36" s="171" t="s">
        <v>352</v>
      </c>
      <c r="J36" s="386"/>
      <c r="K36" s="171" t="s">
        <v>670</v>
      </c>
      <c r="L36" s="386"/>
    </row>
    <row r="37" spans="1:12" ht="13.5" thickTop="1" x14ac:dyDescent="0.2">
      <c r="A37" s="105"/>
      <c r="B37" s="313"/>
      <c r="C37" s="388" t="str">
        <f>IF(B37=0,"",VLOOKUP($B37,Table2[],2,FALSE))</f>
        <v/>
      </c>
      <c r="D37" s="388"/>
      <c r="E37" s="388"/>
      <c r="F37" s="174"/>
      <c r="G37" s="175"/>
      <c r="H37" s="176"/>
      <c r="I37" s="120" t="str">
        <f>IF($B37=0,"",VLOOKUP($B37,Table2[],5,FALSE))</f>
        <v/>
      </c>
      <c r="J37" s="109" t="str">
        <f>IF($B37=0,"",VLOOKUP($B37,Table2[],7,FALSE))</f>
        <v/>
      </c>
      <c r="K37" s="109">
        <f>IF(B37=0,0,ROUND(G37*H37*J37,2))</f>
        <v>0</v>
      </c>
      <c r="L37" s="110"/>
    </row>
    <row r="38" spans="1:12" x14ac:dyDescent="0.2">
      <c r="A38" s="105"/>
      <c r="B38" s="314"/>
      <c r="C38" s="388" t="str">
        <f>IF(B38=0,"",VLOOKUP($B38,Table2[],2,FALSE))</f>
        <v/>
      </c>
      <c r="D38" s="388"/>
      <c r="E38" s="388"/>
      <c r="F38" s="174"/>
      <c r="G38" s="175"/>
      <c r="H38" s="176"/>
      <c r="I38" s="120" t="str">
        <f>IF($B38=0,"",VLOOKUP($B38,Table2[],5,FALSE))</f>
        <v/>
      </c>
      <c r="J38" s="109" t="str">
        <f>IF($B38=0,"",VLOOKUP($B38,Table2[],7,FALSE))</f>
        <v/>
      </c>
      <c r="K38" s="109">
        <f t="shared" ref="K38:K55" si="2">IF(B38=0,0,ROUND(G38*H38*J38,2))</f>
        <v>0</v>
      </c>
      <c r="L38" s="110"/>
    </row>
    <row r="39" spans="1:12" x14ac:dyDescent="0.2">
      <c r="A39" s="105"/>
      <c r="B39" s="314"/>
      <c r="C39" s="388" t="str">
        <f>IF(B39=0,"",VLOOKUP($B39,Table2[],2,FALSE))</f>
        <v/>
      </c>
      <c r="D39" s="388"/>
      <c r="E39" s="388"/>
      <c r="F39" s="174"/>
      <c r="G39" s="175"/>
      <c r="H39" s="176"/>
      <c r="I39" s="120" t="str">
        <f>IF($B39=0,"",VLOOKUP($B39,Table2[],5,FALSE))</f>
        <v/>
      </c>
      <c r="J39" s="109" t="str">
        <f>IF($B39=0,"",VLOOKUP($B39,Table2[],7,FALSE))</f>
        <v/>
      </c>
      <c r="K39" s="109">
        <f t="shared" si="2"/>
        <v>0</v>
      </c>
      <c r="L39" s="110"/>
    </row>
    <row r="40" spans="1:12" x14ac:dyDescent="0.2">
      <c r="A40" s="105"/>
      <c r="B40" s="315"/>
      <c r="C40" s="387" t="str">
        <f>IF(B40=0,"",VLOOKUP($B40,Table2[],2,FALSE))</f>
        <v/>
      </c>
      <c r="D40" s="387"/>
      <c r="E40" s="387"/>
      <c r="F40" s="214"/>
      <c r="G40" s="221"/>
      <c r="H40" s="222"/>
      <c r="I40" s="223" t="str">
        <f>IF($B40=0,"",VLOOKUP($B40,Table2[],5,FALSE))</f>
        <v/>
      </c>
      <c r="J40" s="215" t="str">
        <f>IF($B40=0,"",VLOOKUP($B40,Table2[],7,FALSE))</f>
        <v/>
      </c>
      <c r="K40" s="215">
        <f t="shared" si="2"/>
        <v>0</v>
      </c>
      <c r="L40" s="216"/>
    </row>
    <row r="41" spans="1:12" x14ac:dyDescent="0.2">
      <c r="A41" s="105"/>
      <c r="B41" s="314"/>
      <c r="C41" s="388" t="str">
        <f>IF(B41=0,"",VLOOKUP($B41,Table2[],2,FALSE))</f>
        <v/>
      </c>
      <c r="D41" s="388"/>
      <c r="E41" s="388"/>
      <c r="F41" s="174"/>
      <c r="G41" s="175"/>
      <c r="H41" s="181"/>
      <c r="I41" s="120" t="str">
        <f>IF($B41=0,"",VLOOKUP($B41,Table2[],5,FALSE))</f>
        <v/>
      </c>
      <c r="J41" s="109" t="str">
        <f>IF($B41=0,"",VLOOKUP($B41,Table2[],7,FALSE))</f>
        <v/>
      </c>
      <c r="K41" s="109">
        <f t="shared" si="2"/>
        <v>0</v>
      </c>
      <c r="L41" s="110"/>
    </row>
    <row r="42" spans="1:12" x14ac:dyDescent="0.2">
      <c r="A42" s="105"/>
      <c r="B42" s="314"/>
      <c r="C42" s="388" t="str">
        <f>IF(B42=0,"",VLOOKUP($B42,Table2[],2,FALSE))</f>
        <v/>
      </c>
      <c r="D42" s="388"/>
      <c r="E42" s="388"/>
      <c r="F42" s="174"/>
      <c r="G42" s="175"/>
      <c r="H42" s="181"/>
      <c r="I42" s="120" t="str">
        <f>IF($B42=0,"",VLOOKUP($B42,Table2[],5,FALSE))</f>
        <v/>
      </c>
      <c r="J42" s="109" t="str">
        <f>IF($B42=0,"",VLOOKUP($B42,Table2[],7,FALSE))</f>
        <v/>
      </c>
      <c r="K42" s="109">
        <f t="shared" si="2"/>
        <v>0</v>
      </c>
      <c r="L42" s="110"/>
    </row>
    <row r="43" spans="1:12" x14ac:dyDescent="0.2">
      <c r="A43" s="143"/>
      <c r="B43" s="314"/>
      <c r="C43" s="388" t="str">
        <f>IF(B43=0,"",VLOOKUP($B43,Table2[],2,FALSE))</f>
        <v/>
      </c>
      <c r="D43" s="388"/>
      <c r="E43" s="388"/>
      <c r="F43" s="174"/>
      <c r="G43" s="175"/>
      <c r="H43" s="176"/>
      <c r="I43" s="120" t="str">
        <f>IF($B43=0,"",VLOOKUP($B43,Table2[],5,FALSE))</f>
        <v/>
      </c>
      <c r="J43" s="109" t="str">
        <f>IF($B43=0,"",VLOOKUP($B43,Table2[],7,FALSE))</f>
        <v/>
      </c>
      <c r="K43" s="109">
        <f t="shared" si="2"/>
        <v>0</v>
      </c>
      <c r="L43" s="110"/>
    </row>
    <row r="44" spans="1:12" x14ac:dyDescent="0.2">
      <c r="A44" s="143"/>
      <c r="B44" s="315"/>
      <c r="C44" s="387" t="str">
        <f>IF(B44=0,"",VLOOKUP($B44,Table2[],2,FALSE))</f>
        <v/>
      </c>
      <c r="D44" s="387"/>
      <c r="E44" s="387"/>
      <c r="F44" s="214"/>
      <c r="G44" s="221"/>
      <c r="H44" s="222"/>
      <c r="I44" s="223" t="str">
        <f>IF($B44=0,"",VLOOKUP($B44,Table2[],5,FALSE))</f>
        <v/>
      </c>
      <c r="J44" s="215" t="str">
        <f>IF($B44=0,"",VLOOKUP($B44,Table2[],7,FALSE))</f>
        <v/>
      </c>
      <c r="K44" s="215">
        <f t="shared" si="2"/>
        <v>0</v>
      </c>
      <c r="L44" s="216"/>
    </row>
    <row r="45" spans="1:12" x14ac:dyDescent="0.2">
      <c r="A45" s="143"/>
      <c r="B45" s="314"/>
      <c r="C45" s="388" t="str">
        <f>IF(B45=0,"",VLOOKUP($B45,Table2[],2,FALSE))</f>
        <v/>
      </c>
      <c r="D45" s="388"/>
      <c r="E45" s="388"/>
      <c r="F45" s="174"/>
      <c r="G45" s="175"/>
      <c r="H45" s="176"/>
      <c r="I45" s="120" t="str">
        <f>IF($B45=0,"",VLOOKUP($B45,Table2[],5,FALSE))</f>
        <v/>
      </c>
      <c r="J45" s="109" t="str">
        <f>IF($B45=0,"",VLOOKUP($B45,Table2[],7,FALSE))</f>
        <v/>
      </c>
      <c r="K45" s="109">
        <f t="shared" si="2"/>
        <v>0</v>
      </c>
      <c r="L45" s="110"/>
    </row>
    <row r="46" spans="1:12" x14ac:dyDescent="0.2">
      <c r="A46" s="143"/>
      <c r="B46" s="314"/>
      <c r="C46" s="388" t="str">
        <f>IF(B46=0,"",VLOOKUP($B46,Table2[],2,FALSE))</f>
        <v/>
      </c>
      <c r="D46" s="388"/>
      <c r="E46" s="388"/>
      <c r="F46" s="174"/>
      <c r="G46" s="175"/>
      <c r="H46" s="176"/>
      <c r="I46" s="120" t="str">
        <f>IF($B46=0,"",VLOOKUP($B46,Table2[],5,FALSE))</f>
        <v/>
      </c>
      <c r="J46" s="109" t="str">
        <f>IF($B46=0,"",VLOOKUP($B46,Table2[],7,FALSE))</f>
        <v/>
      </c>
      <c r="K46" s="109">
        <f t="shared" si="2"/>
        <v>0</v>
      </c>
      <c r="L46" s="110"/>
    </row>
    <row r="47" spans="1:12" x14ac:dyDescent="0.2">
      <c r="A47" s="143"/>
      <c r="B47" s="314"/>
      <c r="C47" s="388" t="str">
        <f>IF(B47=0,"",VLOOKUP($B47,Table2[],2,FALSE))</f>
        <v/>
      </c>
      <c r="D47" s="388"/>
      <c r="E47" s="388"/>
      <c r="F47" s="174"/>
      <c r="G47" s="175"/>
      <c r="H47" s="176"/>
      <c r="I47" s="120" t="str">
        <f>IF($B47=0,"",VLOOKUP($B47,Table2[],5,FALSE))</f>
        <v/>
      </c>
      <c r="J47" s="109" t="str">
        <f>IF($B47=0,"",VLOOKUP($B47,Table2[],7,FALSE))</f>
        <v/>
      </c>
      <c r="K47" s="109">
        <f t="shared" si="2"/>
        <v>0</v>
      </c>
      <c r="L47" s="110"/>
    </row>
    <row r="48" spans="1:12" x14ac:dyDescent="0.2">
      <c r="A48" s="105"/>
      <c r="B48" s="315"/>
      <c r="C48" s="387" t="str">
        <f>IF(B48=0,"",VLOOKUP($B48,Table2[],2,FALSE))</f>
        <v/>
      </c>
      <c r="D48" s="387"/>
      <c r="E48" s="387"/>
      <c r="F48" s="214"/>
      <c r="G48" s="221"/>
      <c r="H48" s="222"/>
      <c r="I48" s="223" t="str">
        <f>IF($B48=0,"",VLOOKUP($B48,Table2[],5,FALSE))</f>
        <v/>
      </c>
      <c r="J48" s="215" t="str">
        <f>IF($B48=0,"",VLOOKUP($B48,Table2[],7,FALSE))</f>
        <v/>
      </c>
      <c r="K48" s="215">
        <f t="shared" si="2"/>
        <v>0</v>
      </c>
      <c r="L48" s="216"/>
    </row>
    <row r="49" spans="1:12" x14ac:dyDescent="0.2">
      <c r="A49" s="105"/>
      <c r="B49" s="314"/>
      <c r="C49" s="388" t="str">
        <f>IF(B49=0,"",VLOOKUP($B49,Table2[],2,FALSE))</f>
        <v/>
      </c>
      <c r="D49" s="388"/>
      <c r="E49" s="388"/>
      <c r="F49" s="174"/>
      <c r="G49" s="175"/>
      <c r="H49" s="176"/>
      <c r="I49" s="120" t="str">
        <f>IF($B49=0,"",VLOOKUP($B49,Table2[],5,FALSE))</f>
        <v/>
      </c>
      <c r="J49" s="109" t="str">
        <f>IF($B49=0,"",VLOOKUP($B49,Table2[],7,FALSE))</f>
        <v/>
      </c>
      <c r="K49" s="109">
        <f t="shared" si="2"/>
        <v>0</v>
      </c>
      <c r="L49" s="110"/>
    </row>
    <row r="50" spans="1:12" x14ac:dyDescent="0.2">
      <c r="B50" s="316"/>
      <c r="C50" s="388" t="str">
        <f>IF(B50=0,"",VLOOKUP($B50,Table2[],2,FALSE))</f>
        <v/>
      </c>
      <c r="D50" s="388"/>
      <c r="E50" s="388"/>
      <c r="F50" s="112"/>
      <c r="G50" s="175"/>
      <c r="H50" s="178"/>
      <c r="I50" s="120" t="str">
        <f>IF($B50=0,"",VLOOKUP($B50,Table2[],5,FALSE))</f>
        <v/>
      </c>
      <c r="J50" s="109" t="str">
        <f>IF($B50=0,"",VLOOKUP($B50,Table2[],7,FALSE))</f>
        <v/>
      </c>
      <c r="K50" s="109">
        <f t="shared" si="2"/>
        <v>0</v>
      </c>
      <c r="L50" s="110"/>
    </row>
    <row r="51" spans="1:12" x14ac:dyDescent="0.2">
      <c r="B51" s="316"/>
      <c r="C51" s="388" t="str">
        <f>IF(B51=0,"",VLOOKUP($B51,Table2[],2,FALSE))</f>
        <v/>
      </c>
      <c r="D51" s="388"/>
      <c r="E51" s="388"/>
      <c r="F51" s="112"/>
      <c r="G51" s="175"/>
      <c r="H51" s="178"/>
      <c r="I51" s="120" t="str">
        <f>IF($B51=0,"",VLOOKUP($B51,Table2[],5,FALSE))</f>
        <v/>
      </c>
      <c r="J51" s="109" t="str">
        <f>IF($B51=0,"",VLOOKUP($B51,Table2[],7,FALSE))</f>
        <v/>
      </c>
      <c r="K51" s="109">
        <f t="shared" si="2"/>
        <v>0</v>
      </c>
      <c r="L51" s="110"/>
    </row>
    <row r="52" spans="1:12" x14ac:dyDescent="0.2">
      <c r="B52" s="317"/>
      <c r="C52" s="387" t="str">
        <f>IF(B52=0,"",VLOOKUP($B52,Table2[],2,FALSE))</f>
        <v/>
      </c>
      <c r="D52" s="387"/>
      <c r="E52" s="387"/>
      <c r="F52" s="218"/>
      <c r="G52" s="224"/>
      <c r="H52" s="225"/>
      <c r="I52" s="223" t="str">
        <f>IF($B52=0,"",VLOOKUP($B52,Table2[],5,FALSE))</f>
        <v/>
      </c>
      <c r="J52" s="215" t="str">
        <f>IF($B52=0,"",VLOOKUP($B52,Table2[],7,FALSE))</f>
        <v/>
      </c>
      <c r="K52" s="215">
        <f t="shared" si="2"/>
        <v>0</v>
      </c>
      <c r="L52" s="216"/>
    </row>
    <row r="53" spans="1:12" x14ac:dyDescent="0.2">
      <c r="B53" s="316"/>
      <c r="C53" s="388" t="str">
        <f>IF(B53=0,"",VLOOKUP($B53,Table2[],2,FALSE))</f>
        <v/>
      </c>
      <c r="D53" s="388"/>
      <c r="E53" s="388"/>
      <c r="F53" s="112"/>
      <c r="G53" s="177"/>
      <c r="H53" s="178"/>
      <c r="I53" s="120" t="str">
        <f>IF($B53=0,"",VLOOKUP($B53,Table2[],5,FALSE))</f>
        <v/>
      </c>
      <c r="J53" s="109" t="str">
        <f>IF($B53=0,"",VLOOKUP($B53,Table2[],7,FALSE))</f>
        <v/>
      </c>
      <c r="K53" s="109">
        <f t="shared" si="2"/>
        <v>0</v>
      </c>
      <c r="L53" s="110"/>
    </row>
    <row r="54" spans="1:12" x14ac:dyDescent="0.2">
      <c r="B54" s="316"/>
      <c r="C54" s="388" t="str">
        <f>IF(B54=0,"",VLOOKUP($B54,Table2[],2,FALSE))</f>
        <v/>
      </c>
      <c r="D54" s="388"/>
      <c r="E54" s="388"/>
      <c r="F54" s="112"/>
      <c r="G54" s="177"/>
      <c r="H54" s="178"/>
      <c r="I54" s="120" t="str">
        <f>IF($B54=0,"",VLOOKUP($B54,Table2[],5,FALSE))</f>
        <v/>
      </c>
      <c r="J54" s="109" t="str">
        <f>IF($B54=0,"",VLOOKUP($B54,Table2[],7,FALSE))</f>
        <v/>
      </c>
      <c r="K54" s="109">
        <f t="shared" si="2"/>
        <v>0</v>
      </c>
      <c r="L54" s="110"/>
    </row>
    <row r="55" spans="1:12" x14ac:dyDescent="0.2">
      <c r="B55" s="316"/>
      <c r="C55" s="388" t="str">
        <f>IF(B55=0,"",VLOOKUP($B55,Table2[],2,FALSE))</f>
        <v/>
      </c>
      <c r="D55" s="388"/>
      <c r="E55" s="388"/>
      <c r="F55" s="112"/>
      <c r="G55" s="177"/>
      <c r="H55" s="178"/>
      <c r="I55" s="120" t="str">
        <f>IF($B55=0,"",VLOOKUP($B55,Table2[],5,FALSE))</f>
        <v/>
      </c>
      <c r="J55" s="109" t="str">
        <f>IF($B55=0,"",VLOOKUP($B55,Table2[],7,FALSE))</f>
        <v/>
      </c>
      <c r="K55" s="109">
        <f t="shared" si="2"/>
        <v>0</v>
      </c>
      <c r="L55" s="113"/>
    </row>
    <row r="56" spans="1:12" x14ac:dyDescent="0.2">
      <c r="B56" s="317"/>
      <c r="C56" s="387" t="str">
        <f>IF(B56=0,"",VLOOKUP($B56,Table2[],2,FALSE))</f>
        <v/>
      </c>
      <c r="D56" s="387"/>
      <c r="E56" s="387"/>
      <c r="F56" s="218"/>
      <c r="G56" s="224"/>
      <c r="H56" s="225"/>
      <c r="I56" s="223" t="str">
        <f>IF($B56=0,"",VLOOKUP($B56,Table2[],5,FALSE))</f>
        <v/>
      </c>
      <c r="J56" s="215" t="str">
        <f>IF($B56=0,"",VLOOKUP($B56,Table2[],7,FALSE))</f>
        <v/>
      </c>
      <c r="K56" s="215">
        <f>IF(B56=0,0,ROUND(G56*H56*J56,2))</f>
        <v>0</v>
      </c>
      <c r="L56" s="227"/>
    </row>
    <row r="57" spans="1:12" x14ac:dyDescent="0.2">
      <c r="B57" s="316"/>
      <c r="C57" s="388" t="str">
        <f>IF(B57=0,"",VLOOKUP($B57,Table2[],2,FALSE))</f>
        <v/>
      </c>
      <c r="D57" s="388"/>
      <c r="E57" s="388"/>
      <c r="F57" s="112"/>
      <c r="G57" s="177"/>
      <c r="H57" s="178"/>
      <c r="I57" s="120" t="str">
        <f>IF($B57=0,"",VLOOKUP($B57,Table2[],5,FALSE))</f>
        <v/>
      </c>
      <c r="J57" s="109" t="str">
        <f>IF($B57=0,"",VLOOKUP($B57,Table2[],7,FALSE))</f>
        <v/>
      </c>
      <c r="K57" s="109">
        <f>IF(B57=0,0,ROUND(G57*H57*J57,2))</f>
        <v>0</v>
      </c>
      <c r="L57" s="113"/>
    </row>
    <row r="58" spans="1:12" x14ac:dyDescent="0.2">
      <c r="B58" s="316"/>
      <c r="C58" s="388" t="str">
        <f>IF(B58=0,"",VLOOKUP($B58,Table2[],2,FALSE))</f>
        <v/>
      </c>
      <c r="D58" s="388"/>
      <c r="E58" s="388"/>
      <c r="F58" s="112"/>
      <c r="G58" s="177"/>
      <c r="H58" s="178"/>
      <c r="I58" s="120" t="str">
        <f>IF($B58=0,"",VLOOKUP($B58,Table2[],5,FALSE))</f>
        <v/>
      </c>
      <c r="J58" s="109" t="str">
        <f>IF($B58=0,"",VLOOKUP($B58,Table2[],7,FALSE))</f>
        <v/>
      </c>
      <c r="K58" s="109">
        <f>IF(B58=0,0,ROUND(G58*H58*J58,2))</f>
        <v>0</v>
      </c>
      <c r="L58" s="113"/>
    </row>
    <row r="59" spans="1:12" x14ac:dyDescent="0.2">
      <c r="B59" s="316"/>
      <c r="C59" s="388" t="str">
        <f>IF(B59=0,"",VLOOKUP($B59,Table2[],2,FALSE))</f>
        <v/>
      </c>
      <c r="D59" s="388"/>
      <c r="E59" s="388"/>
      <c r="F59" s="112"/>
      <c r="G59" s="177"/>
      <c r="H59" s="178"/>
      <c r="I59" s="120" t="str">
        <f>IF($B59=0,"",VLOOKUP($B59,Table2[],5,FALSE))</f>
        <v/>
      </c>
      <c r="J59" s="109" t="str">
        <f>IF($B59=0,"",VLOOKUP($B59,Table2[],7,FALSE))</f>
        <v/>
      </c>
      <c r="K59" s="109">
        <f>IF(B59=0,0,ROUND(G59*H59*J59,2))</f>
        <v>0</v>
      </c>
      <c r="L59" s="113"/>
    </row>
    <row r="60" spans="1:12" x14ac:dyDescent="0.2">
      <c r="B60" s="317"/>
      <c r="C60" s="387" t="str">
        <f>IF(B60=0,"",VLOOKUP($B60,Table2[],2,FALSE))</f>
        <v/>
      </c>
      <c r="D60" s="387"/>
      <c r="E60" s="387"/>
      <c r="F60" s="218"/>
      <c r="G60" s="224"/>
      <c r="H60" s="225"/>
      <c r="I60" s="223" t="str">
        <f>IF($B60=0,"",VLOOKUP($B60,Table2[],5,FALSE))</f>
        <v/>
      </c>
      <c r="J60" s="215" t="str">
        <f>IF($B60=0,"",VLOOKUP($B60,Table2[],7,FALSE))</f>
        <v/>
      </c>
      <c r="K60" s="215">
        <f>IF(B60=0,0,ROUND(G60*H60*J60,2))</f>
        <v>0</v>
      </c>
      <c r="L60" s="227"/>
    </row>
    <row r="61" spans="1:12" x14ac:dyDescent="0.2">
      <c r="B61" s="185" t="s">
        <v>430</v>
      </c>
      <c r="C61" s="388" t="s">
        <v>655</v>
      </c>
      <c r="D61" s="388"/>
      <c r="E61" s="388"/>
      <c r="F61" s="112"/>
      <c r="G61" s="177"/>
      <c r="H61" s="178"/>
      <c r="I61" s="170"/>
      <c r="J61" s="109" t="e">
        <f ca="1">IF(F5=0,E5,F5)</f>
        <v>#N/A</v>
      </c>
      <c r="K61" s="109" t="e">
        <f ca="1">IF(B61=0,0,J61)</f>
        <v>#N/A</v>
      </c>
      <c r="L61" s="113"/>
    </row>
    <row r="62" spans="1:12" ht="3.75" customHeight="1" thickBot="1" x14ac:dyDescent="0.25">
      <c r="B62" s="114"/>
      <c r="C62" s="121"/>
      <c r="D62" s="121"/>
      <c r="E62" s="121"/>
      <c r="F62" s="115"/>
      <c r="G62" s="122"/>
      <c r="H62" s="114"/>
      <c r="I62" s="123"/>
      <c r="J62" s="124"/>
      <c r="K62" s="125"/>
      <c r="L62" s="117"/>
    </row>
    <row r="63" spans="1:12" ht="13.5" thickTop="1" x14ac:dyDescent="0.2">
      <c r="C63" s="108" t="s">
        <v>671</v>
      </c>
      <c r="D63" s="108"/>
      <c r="J63" s="126"/>
      <c r="K63" s="141" t="e">
        <f ca="1">SUM(K37:K61)</f>
        <v>#N/A</v>
      </c>
      <c r="L63" s="110"/>
    </row>
    <row r="64" spans="1:12" x14ac:dyDescent="0.2">
      <c r="B64" s="144"/>
      <c r="K64" s="128"/>
    </row>
    <row r="65" spans="2:12" x14ac:dyDescent="0.2">
      <c r="B65" s="107" t="s">
        <v>672</v>
      </c>
      <c r="K65" s="141" t="e">
        <f ca="1">K33+K63</f>
        <v>#N/A</v>
      </c>
      <c r="L65" s="110"/>
    </row>
    <row r="66" spans="2:12" ht="13.5" thickBot="1" x14ac:dyDescent="0.25">
      <c r="D66" s="128" t="s">
        <v>673</v>
      </c>
      <c r="E66" s="129" t="e">
        <f ca="1">ROUND(SUM($E$33:$H$33)+$K$63,2)</f>
        <v>#N/A</v>
      </c>
      <c r="F66" s="388" t="s">
        <v>674</v>
      </c>
      <c r="G66" s="388"/>
      <c r="H66" s="130">
        <f>'General Variables'!$B$11</f>
        <v>7.4999999999999997E-2</v>
      </c>
      <c r="I66" s="131" t="str">
        <f>CONCATENATE("for ",TEXT('General Variables'!$B$12,"0.0")," mo.")</f>
        <v>for 6.0 mo.</v>
      </c>
      <c r="K66" s="145" t="e">
        <f ca="1">E66*H66*'General Variables'!$B$12/12</f>
        <v>#N/A</v>
      </c>
      <c r="L66" s="133"/>
    </row>
    <row r="67" spans="2:12" ht="13.5" thickTop="1" x14ac:dyDescent="0.2">
      <c r="B67" s="107" t="s">
        <v>675</v>
      </c>
      <c r="K67" s="141" t="e">
        <f ca="1">SUM(K65:K66)</f>
        <v>#N/A</v>
      </c>
      <c r="L67" s="110"/>
    </row>
    <row r="68" spans="2:12" x14ac:dyDescent="0.2">
      <c r="K68" s="128"/>
    </row>
    <row r="69" spans="2:12" x14ac:dyDescent="0.2">
      <c r="B69" s="104" t="s">
        <v>676</v>
      </c>
      <c r="C69" s="134"/>
      <c r="D69" s="134"/>
      <c r="E69" s="134"/>
      <c r="F69" s="134"/>
      <c r="G69" s="134"/>
      <c r="H69" s="134"/>
      <c r="I69" s="134"/>
      <c r="J69" s="134"/>
      <c r="K69" s="142">
        <f>'General Variables'!B15</f>
        <v>27</v>
      </c>
      <c r="L69" s="110"/>
    </row>
    <row r="70" spans="2:12" x14ac:dyDescent="0.2">
      <c r="B70" s="103" t="s">
        <v>687</v>
      </c>
      <c r="C70" s="402"/>
      <c r="D70" s="403"/>
      <c r="E70" s="404"/>
      <c r="F70" s="136">
        <f>IF(C70=0,0,VLOOKUP(C70,RETable,2,FALSE))</f>
        <v>0</v>
      </c>
      <c r="G70" s="388" t="s">
        <v>678</v>
      </c>
      <c r="H70" s="388"/>
      <c r="I70" s="130">
        <f>'General Variables'!$B$10</f>
        <v>0.03</v>
      </c>
      <c r="K70" s="146">
        <f>ROUND(F70*I70,2)</f>
        <v>0</v>
      </c>
      <c r="L70" s="110"/>
    </row>
    <row r="71" spans="2:12" ht="13.5" thickBot="1" x14ac:dyDescent="0.25">
      <c r="B71" s="103" t="s">
        <v>679</v>
      </c>
      <c r="F71" s="138">
        <f>IF(C70=0,0,VLOOKUP(C70,RETable,2,FALSE))</f>
        <v>0</v>
      </c>
      <c r="G71" s="397" t="s">
        <v>678</v>
      </c>
      <c r="H71" s="397"/>
      <c r="I71" s="139">
        <f>'General Variables'!$B$13</f>
        <v>1.2999999999999999E-2</v>
      </c>
      <c r="J71" s="105"/>
      <c r="K71" s="147">
        <f>ROUND(F71*I71,2)</f>
        <v>0</v>
      </c>
      <c r="L71" s="133"/>
    </row>
    <row r="72" spans="2:12" ht="13.5" thickTop="1" x14ac:dyDescent="0.2">
      <c r="B72" s="107" t="s">
        <v>680</v>
      </c>
      <c r="K72" s="141" t="e">
        <f ca="1">SUM(K67:K71)</f>
        <v>#N/A</v>
      </c>
      <c r="L72" s="110"/>
    </row>
    <row r="73" spans="2:12" x14ac:dyDescent="0.2">
      <c r="K73" s="128"/>
    </row>
    <row r="74" spans="2:12" x14ac:dyDescent="0.2">
      <c r="B74" s="104" t="str">
        <f>IF(G4="","","Cash Cost per "&amp;H4)</f>
        <v xml:space="preserve">Cash Cost per </v>
      </c>
      <c r="C74" s="261" t="s">
        <v>688</v>
      </c>
      <c r="D74" s="105"/>
      <c r="E74" s="105"/>
      <c r="F74" s="105"/>
      <c r="G74" s="105"/>
      <c r="H74" s="105"/>
      <c r="I74" s="105"/>
      <c r="J74" s="105"/>
      <c r="K74" s="142">
        <f>IF(G4=0,0,(E66+K66+K69+K71)/G4)</f>
        <v>0</v>
      </c>
      <c r="L74" s="148"/>
    </row>
    <row r="75" spans="2:12" x14ac:dyDescent="0.2">
      <c r="B75" s="107" t="str">
        <f>IF(G4="","","Cost of production per "&amp;H4)</f>
        <v xml:space="preserve">Cost of production per </v>
      </c>
      <c r="K75" s="141" t="str">
        <f>IF(G4=0,"",K72/G4)</f>
        <v/>
      </c>
      <c r="L75" s="110"/>
    </row>
    <row r="86" spans="2:4" x14ac:dyDescent="0.2">
      <c r="B86" s="106"/>
      <c r="C86" s="106"/>
      <c r="D86" s="106"/>
    </row>
    <row r="87" spans="2:4" x14ac:dyDescent="0.2">
      <c r="B87" s="106"/>
      <c r="C87" s="106"/>
      <c r="D87" s="106"/>
    </row>
    <row r="88" spans="2:4" x14ac:dyDescent="0.2">
      <c r="B88" s="106"/>
      <c r="C88" s="106"/>
      <c r="D88" s="106"/>
    </row>
    <row r="89" spans="2:4" x14ac:dyDescent="0.2">
      <c r="B89" s="106"/>
      <c r="C89" s="106"/>
      <c r="D89" s="106"/>
    </row>
    <row r="90" spans="2:4" x14ac:dyDescent="0.2">
      <c r="B90" s="106"/>
      <c r="C90" s="106"/>
      <c r="D90" s="106"/>
    </row>
    <row r="91" spans="2:4" x14ac:dyDescent="0.2">
      <c r="B91" s="106"/>
      <c r="C91" s="106"/>
      <c r="D91" s="106"/>
    </row>
    <row r="92" spans="2:4" x14ac:dyDescent="0.2">
      <c r="B92" s="106"/>
      <c r="C92" s="106"/>
      <c r="D92" s="106"/>
    </row>
    <row r="93" spans="2:4" x14ac:dyDescent="0.2">
      <c r="B93" s="106"/>
      <c r="C93" s="106"/>
      <c r="D93" s="106"/>
    </row>
    <row r="94" spans="2:4" x14ac:dyDescent="0.2">
      <c r="B94" s="106"/>
      <c r="C94" s="106"/>
      <c r="D94" s="106"/>
    </row>
    <row r="95" spans="2:4" x14ac:dyDescent="0.2">
      <c r="B95" s="106"/>
      <c r="C95" s="106"/>
      <c r="D95" s="106"/>
    </row>
    <row r="96" spans="2:4" x14ac:dyDescent="0.2">
      <c r="B96" s="106"/>
      <c r="C96" s="106"/>
      <c r="D96" s="106"/>
    </row>
    <row r="97" spans="2:11" x14ac:dyDescent="0.2">
      <c r="B97" s="106"/>
      <c r="C97" s="106"/>
      <c r="D97" s="106"/>
    </row>
    <row r="98" spans="2:11" x14ac:dyDescent="0.2">
      <c r="B98" s="106"/>
      <c r="C98" s="106"/>
      <c r="D98" s="106"/>
    </row>
    <row r="99" spans="2:11" x14ac:dyDescent="0.2">
      <c r="B99" s="106"/>
      <c r="C99" s="106"/>
      <c r="D99" s="106"/>
    </row>
    <row r="100" spans="2:11" x14ac:dyDescent="0.2">
      <c r="B100" s="106"/>
      <c r="C100" s="106"/>
      <c r="D100" s="106"/>
    </row>
    <row r="101" spans="2:11" x14ac:dyDescent="0.2">
      <c r="B101" s="106"/>
      <c r="C101" s="106"/>
      <c r="D101" s="106"/>
    </row>
    <row r="102" spans="2:11" x14ac:dyDescent="0.2">
      <c r="B102" s="106"/>
      <c r="C102" s="106"/>
      <c r="D102" s="106"/>
    </row>
    <row r="103" spans="2:11" x14ac:dyDescent="0.2">
      <c r="B103" s="106"/>
      <c r="C103" s="106"/>
      <c r="D103" s="106"/>
    </row>
    <row r="104" spans="2:11" x14ac:dyDescent="0.2">
      <c r="B104" s="106"/>
      <c r="C104" s="106"/>
      <c r="D104" s="106"/>
    </row>
    <row r="105" spans="2:11" x14ac:dyDescent="0.2">
      <c r="B105" s="106"/>
      <c r="C105" s="106"/>
      <c r="D105" s="106"/>
    </row>
    <row r="106" spans="2:11" x14ac:dyDescent="0.2">
      <c r="B106" s="106"/>
      <c r="C106" s="106"/>
      <c r="D106" s="106"/>
    </row>
    <row r="107" spans="2:11" x14ac:dyDescent="0.2">
      <c r="B107" s="106"/>
      <c r="C107" s="106"/>
      <c r="D107" s="106"/>
    </row>
    <row r="108" spans="2:11" x14ac:dyDescent="0.2">
      <c r="B108" s="106"/>
      <c r="C108" s="106"/>
      <c r="D108" s="106"/>
    </row>
    <row r="109" spans="2:11" x14ac:dyDescent="0.2">
      <c r="B109" s="106"/>
      <c r="C109" s="106"/>
      <c r="D109" s="106"/>
    </row>
    <row r="110" spans="2:11" x14ac:dyDescent="0.2">
      <c r="B110" s="106"/>
      <c r="C110" s="106"/>
      <c r="D110" s="106"/>
    </row>
    <row r="111" spans="2:11" x14ac:dyDescent="0.2">
      <c r="B111" s="105"/>
      <c r="C111" s="105"/>
      <c r="D111" s="105"/>
      <c r="H111" s="103" t="e">
        <f>'General Variables'!#REF!</f>
        <v>#REF!</v>
      </c>
    </row>
    <row r="112" spans="2:11" x14ac:dyDescent="0.2">
      <c r="B112" s="105"/>
      <c r="C112" s="105"/>
      <c r="D112" s="105"/>
      <c r="H112" s="103" t="e">
        <f>'General Variables'!#REF!</f>
        <v>#REF!</v>
      </c>
      <c r="K112" s="103" t="s">
        <v>681</v>
      </c>
    </row>
    <row r="113" spans="2:11" x14ac:dyDescent="0.2">
      <c r="B113" s="105"/>
      <c r="C113" s="105"/>
      <c r="D113" s="105"/>
      <c r="H113" s="103" t="e">
        <f>'General Variables'!#REF!</f>
        <v>#REF!</v>
      </c>
      <c r="K113" s="103" t="s">
        <v>654</v>
      </c>
    </row>
    <row r="114" spans="2:11" x14ac:dyDescent="0.2">
      <c r="B114" s="105"/>
      <c r="C114" s="105"/>
      <c r="D114" s="105"/>
      <c r="H114" s="103" t="e">
        <f>'General Variables'!#REF!</f>
        <v>#REF!</v>
      </c>
    </row>
    <row r="115" spans="2:11" x14ac:dyDescent="0.2">
      <c r="B115" s="105"/>
      <c r="C115" s="105"/>
      <c r="D115" s="105"/>
      <c r="H115" s="103" t="e">
        <f>'General Variables'!#REF!</f>
        <v>#REF!</v>
      </c>
    </row>
    <row r="116" spans="2:11" x14ac:dyDescent="0.2">
      <c r="B116" s="105"/>
      <c r="C116" s="105"/>
      <c r="D116" s="105"/>
      <c r="H116" s="103" t="e">
        <f>'General Variables'!#REF!</f>
        <v>#REF!</v>
      </c>
    </row>
    <row r="117" spans="2:11" x14ac:dyDescent="0.2">
      <c r="B117" s="105"/>
      <c r="C117" s="105"/>
      <c r="D117" s="105"/>
      <c r="H117" s="103" t="e">
        <f>'General Variables'!#REF!</f>
        <v>#REF!</v>
      </c>
    </row>
    <row r="118" spans="2:11" x14ac:dyDescent="0.2">
      <c r="B118" s="105"/>
      <c r="C118" s="105"/>
      <c r="D118" s="105"/>
      <c r="H118" s="103" t="e">
        <f>'General Variables'!#REF!</f>
        <v>#REF!</v>
      </c>
    </row>
    <row r="119" spans="2:11" x14ac:dyDescent="0.2">
      <c r="B119" s="105"/>
      <c r="C119" s="105"/>
      <c r="D119" s="105"/>
      <c r="H119" s="103" t="e">
        <f>'General Variables'!#REF!</f>
        <v>#REF!</v>
      </c>
    </row>
    <row r="120" spans="2:11" x14ac:dyDescent="0.2">
      <c r="B120" s="105"/>
      <c r="C120" s="105"/>
      <c r="D120" s="105"/>
      <c r="H120" s="103" t="e">
        <f>'General Variables'!#REF!</f>
        <v>#REF!</v>
      </c>
    </row>
    <row r="121" spans="2:11" x14ac:dyDescent="0.2">
      <c r="B121" s="105"/>
      <c r="C121" s="105"/>
      <c r="D121" s="105"/>
      <c r="H121" s="103" t="e">
        <f>'General Variables'!#REF!</f>
        <v>#REF!</v>
      </c>
    </row>
    <row r="122" spans="2:11" x14ac:dyDescent="0.2">
      <c r="B122" s="105"/>
      <c r="C122" s="105"/>
      <c r="D122" s="105"/>
      <c r="H122" s="103" t="e">
        <f>'General Variables'!#REF!</f>
        <v>#REF!</v>
      </c>
    </row>
    <row r="123" spans="2:11" x14ac:dyDescent="0.2">
      <c r="B123" s="105"/>
      <c r="C123" s="105"/>
      <c r="D123" s="105"/>
      <c r="H123" s="103" t="e">
        <f>'General Variables'!#REF!</f>
        <v>#REF!</v>
      </c>
    </row>
    <row r="124" spans="2:11" x14ac:dyDescent="0.2">
      <c r="B124" s="105"/>
      <c r="C124" s="105"/>
      <c r="D124" s="105"/>
      <c r="H124" s="103" t="e">
        <f>'General Variables'!#REF!</f>
        <v>#REF!</v>
      </c>
    </row>
    <row r="125" spans="2:11" x14ac:dyDescent="0.2">
      <c r="B125" s="105"/>
      <c r="C125" s="105"/>
      <c r="D125" s="105"/>
      <c r="H125" s="103" t="e">
        <f>'General Variables'!#REF!</f>
        <v>#REF!</v>
      </c>
    </row>
    <row r="126" spans="2:11" x14ac:dyDescent="0.2">
      <c r="B126" s="105"/>
      <c r="C126" s="105"/>
      <c r="D126" s="105"/>
      <c r="H126" s="103" t="e">
        <f>'General Variables'!#REF!</f>
        <v>#REF!</v>
      </c>
    </row>
    <row r="127" spans="2:11" x14ac:dyDescent="0.2">
      <c r="B127" s="105"/>
      <c r="C127" s="105"/>
      <c r="D127" s="105"/>
    </row>
    <row r="128" spans="2:11" x14ac:dyDescent="0.2">
      <c r="B128" s="105"/>
      <c r="C128" s="105"/>
      <c r="D128" s="105"/>
    </row>
    <row r="129" spans="2:4" x14ac:dyDescent="0.2">
      <c r="B129" s="105"/>
      <c r="C129" s="105"/>
      <c r="D129" s="105"/>
    </row>
    <row r="130" spans="2:4" x14ac:dyDescent="0.2">
      <c r="B130" s="105"/>
      <c r="C130" s="105"/>
      <c r="D130" s="105"/>
    </row>
    <row r="131" spans="2:4" x14ac:dyDescent="0.2">
      <c r="B131" s="105"/>
      <c r="C131" s="105"/>
      <c r="D131" s="105"/>
    </row>
    <row r="132" spans="2:4" x14ac:dyDescent="0.2">
      <c r="B132" s="105"/>
      <c r="C132" s="105"/>
      <c r="D132" s="105"/>
    </row>
    <row r="133" spans="2:4" x14ac:dyDescent="0.2">
      <c r="B133" s="105"/>
      <c r="C133" s="105"/>
      <c r="D133" s="105"/>
    </row>
    <row r="134" spans="2:4" x14ac:dyDescent="0.2">
      <c r="B134" s="105"/>
      <c r="C134" s="105"/>
      <c r="D134" s="105"/>
    </row>
    <row r="135" spans="2:4" x14ac:dyDescent="0.2">
      <c r="B135" s="105"/>
      <c r="C135" s="105"/>
      <c r="D135" s="105"/>
    </row>
    <row r="136" spans="2:4" x14ac:dyDescent="0.2">
      <c r="B136" s="105"/>
      <c r="C136" s="105"/>
      <c r="D136" s="105"/>
    </row>
    <row r="137" spans="2:4" x14ac:dyDescent="0.2">
      <c r="B137" s="105"/>
      <c r="C137" s="105"/>
      <c r="D137" s="105"/>
    </row>
    <row r="138" spans="2:4" x14ac:dyDescent="0.2">
      <c r="B138" s="105"/>
      <c r="C138" s="105"/>
      <c r="D138" s="105"/>
    </row>
    <row r="139" spans="2:4" x14ac:dyDescent="0.2">
      <c r="B139" s="105"/>
      <c r="C139" s="105"/>
      <c r="D139" s="105"/>
    </row>
    <row r="140" spans="2:4" x14ac:dyDescent="0.2">
      <c r="B140" s="105"/>
      <c r="C140" s="105"/>
      <c r="D140" s="105"/>
    </row>
    <row r="141" spans="2:4" x14ac:dyDescent="0.2">
      <c r="B141" s="105"/>
      <c r="C141" s="105"/>
      <c r="D141" s="105"/>
    </row>
    <row r="142" spans="2:4" x14ac:dyDescent="0.2">
      <c r="B142" s="105"/>
      <c r="C142" s="105"/>
      <c r="D142" s="105"/>
    </row>
    <row r="143" spans="2:4" x14ac:dyDescent="0.2">
      <c r="B143" s="105"/>
      <c r="C143" s="105"/>
      <c r="D143" s="105"/>
    </row>
    <row r="144" spans="2:4" x14ac:dyDescent="0.2">
      <c r="B144" s="105"/>
      <c r="C144" s="105"/>
      <c r="D144" s="105"/>
    </row>
    <row r="145" spans="2:4" x14ac:dyDescent="0.2">
      <c r="B145" s="105"/>
      <c r="C145" s="105"/>
      <c r="D145" s="105"/>
    </row>
    <row r="146" spans="2:4" x14ac:dyDescent="0.2">
      <c r="B146" s="105"/>
      <c r="C146" s="105"/>
      <c r="D146" s="105"/>
    </row>
    <row r="147" spans="2:4" x14ac:dyDescent="0.2">
      <c r="B147" s="105"/>
      <c r="C147" s="105"/>
      <c r="D147" s="105"/>
    </row>
    <row r="148" spans="2:4" x14ac:dyDescent="0.2">
      <c r="B148" s="105"/>
      <c r="C148" s="105"/>
      <c r="D148" s="105"/>
    </row>
    <row r="149" spans="2:4" x14ac:dyDescent="0.2">
      <c r="B149" s="105"/>
      <c r="C149" s="105"/>
      <c r="D149" s="105"/>
    </row>
    <row r="150" spans="2:4" x14ac:dyDescent="0.2">
      <c r="B150" s="105"/>
      <c r="C150" s="105"/>
      <c r="D150" s="105"/>
    </row>
    <row r="151" spans="2:4" x14ac:dyDescent="0.2">
      <c r="B151" s="105"/>
      <c r="C151" s="105"/>
      <c r="D151" s="105"/>
    </row>
    <row r="152" spans="2:4" x14ac:dyDescent="0.2">
      <c r="B152" s="105"/>
      <c r="C152" s="105"/>
      <c r="D152" s="105"/>
    </row>
    <row r="153" spans="2:4" x14ac:dyDescent="0.2">
      <c r="B153" s="105"/>
      <c r="C153" s="105"/>
      <c r="D153" s="105"/>
    </row>
    <row r="154" spans="2:4" x14ac:dyDescent="0.2">
      <c r="B154" s="105"/>
      <c r="C154" s="105"/>
      <c r="D154" s="105"/>
    </row>
    <row r="155" spans="2:4" x14ac:dyDescent="0.2">
      <c r="B155" s="105"/>
      <c r="C155" s="105"/>
      <c r="D155" s="105"/>
    </row>
    <row r="156" spans="2:4" x14ac:dyDescent="0.2">
      <c r="B156" s="105"/>
      <c r="C156" s="105"/>
      <c r="D156" s="105"/>
    </row>
    <row r="157" spans="2:4" x14ac:dyDescent="0.2">
      <c r="B157" s="105"/>
      <c r="C157" s="105"/>
      <c r="D157" s="105"/>
    </row>
    <row r="158" spans="2:4" x14ac:dyDescent="0.2">
      <c r="B158" s="105"/>
      <c r="C158" s="105"/>
      <c r="D158" s="105"/>
    </row>
    <row r="159" spans="2:4" x14ac:dyDescent="0.2">
      <c r="B159" s="105"/>
      <c r="C159" s="105"/>
      <c r="D159" s="105"/>
    </row>
    <row r="160" spans="2:4" x14ac:dyDescent="0.2">
      <c r="B160" s="105"/>
      <c r="C160" s="105"/>
      <c r="D160" s="105"/>
    </row>
    <row r="161" spans="2:4" x14ac:dyDescent="0.2">
      <c r="B161" s="105"/>
      <c r="C161" s="105"/>
      <c r="D161" s="105"/>
    </row>
    <row r="162" spans="2:4" x14ac:dyDescent="0.2">
      <c r="B162" s="105"/>
      <c r="C162" s="105"/>
      <c r="D162" s="105"/>
    </row>
    <row r="163" spans="2:4" x14ac:dyDescent="0.2">
      <c r="B163" s="105"/>
      <c r="C163" s="105"/>
      <c r="D163" s="105"/>
    </row>
    <row r="164" spans="2:4" x14ac:dyDescent="0.2">
      <c r="B164" s="105"/>
      <c r="C164" s="105"/>
      <c r="D164" s="105"/>
    </row>
    <row r="165" spans="2:4" x14ac:dyDescent="0.2">
      <c r="B165" s="105"/>
      <c r="C165" s="105"/>
      <c r="D165" s="105"/>
    </row>
    <row r="166" spans="2:4" x14ac:dyDescent="0.2">
      <c r="B166" s="105"/>
      <c r="C166" s="105"/>
      <c r="D166" s="105"/>
    </row>
    <row r="167" spans="2:4" x14ac:dyDescent="0.2">
      <c r="B167" s="105"/>
      <c r="C167" s="105"/>
      <c r="D167" s="105"/>
    </row>
    <row r="168" spans="2:4" x14ac:dyDescent="0.2">
      <c r="B168" s="105"/>
      <c r="C168" s="105"/>
      <c r="D168" s="105"/>
    </row>
    <row r="169" spans="2:4" x14ac:dyDescent="0.2">
      <c r="B169" s="105"/>
      <c r="C169" s="105"/>
      <c r="D169" s="105"/>
    </row>
    <row r="170" spans="2:4" x14ac:dyDescent="0.2">
      <c r="B170" s="105"/>
      <c r="C170" s="105"/>
      <c r="D170" s="105"/>
    </row>
    <row r="171" spans="2:4" x14ac:dyDescent="0.2">
      <c r="B171" s="105"/>
      <c r="C171" s="105"/>
      <c r="D171" s="105"/>
    </row>
    <row r="172" spans="2:4" x14ac:dyDescent="0.2">
      <c r="B172" s="105"/>
      <c r="C172" s="105"/>
      <c r="D172" s="105"/>
    </row>
    <row r="173" spans="2:4" x14ac:dyDescent="0.2">
      <c r="B173" s="105"/>
      <c r="C173" s="105"/>
      <c r="D173" s="105"/>
    </row>
    <row r="174" spans="2:4" x14ac:dyDescent="0.2">
      <c r="B174" s="105"/>
      <c r="C174" s="105"/>
      <c r="D174" s="105"/>
    </row>
    <row r="175" spans="2:4" x14ac:dyDescent="0.2">
      <c r="B175" s="105"/>
      <c r="C175" s="105"/>
      <c r="D175" s="105"/>
    </row>
    <row r="176" spans="2:4" x14ac:dyDescent="0.2">
      <c r="B176" s="105"/>
      <c r="C176" s="105"/>
      <c r="D176" s="105"/>
    </row>
    <row r="177" spans="2:4" x14ac:dyDescent="0.2">
      <c r="B177" s="105"/>
      <c r="C177" s="105"/>
      <c r="D177" s="105"/>
    </row>
    <row r="178" spans="2:4" x14ac:dyDescent="0.2">
      <c r="B178" s="105"/>
      <c r="C178" s="105"/>
      <c r="D178" s="105"/>
    </row>
    <row r="179" spans="2:4" x14ac:dyDescent="0.2">
      <c r="B179" s="105"/>
      <c r="C179" s="105"/>
      <c r="D179" s="105"/>
    </row>
    <row r="180" spans="2:4" x14ac:dyDescent="0.2">
      <c r="B180" s="105"/>
      <c r="C180" s="105"/>
      <c r="D180" s="105"/>
    </row>
    <row r="181" spans="2:4" x14ac:dyDescent="0.2">
      <c r="B181" s="105"/>
      <c r="C181" s="105"/>
      <c r="D181" s="105"/>
    </row>
    <row r="182" spans="2:4" x14ac:dyDescent="0.2">
      <c r="B182" s="105"/>
      <c r="C182" s="105"/>
      <c r="D182" s="105"/>
    </row>
    <row r="183" spans="2:4" x14ac:dyDescent="0.2">
      <c r="B183" s="105"/>
      <c r="C183" s="105"/>
      <c r="D183" s="105"/>
    </row>
    <row r="184" spans="2:4" x14ac:dyDescent="0.2">
      <c r="B184" s="105"/>
      <c r="C184" s="105"/>
      <c r="D184" s="105"/>
    </row>
    <row r="185" spans="2:4" x14ac:dyDescent="0.2">
      <c r="B185" s="105"/>
      <c r="C185" s="105"/>
      <c r="D185" s="105"/>
    </row>
    <row r="186" spans="2:4" x14ac:dyDescent="0.2">
      <c r="B186" s="105"/>
      <c r="C186" s="105"/>
      <c r="D186" s="105"/>
    </row>
    <row r="187" spans="2:4" x14ac:dyDescent="0.2">
      <c r="B187" s="105"/>
      <c r="C187" s="105"/>
      <c r="D187" s="105"/>
    </row>
    <row r="188" spans="2:4" x14ac:dyDescent="0.2">
      <c r="B188" s="105"/>
      <c r="C188" s="105"/>
      <c r="D188" s="105"/>
    </row>
    <row r="189" spans="2:4" x14ac:dyDescent="0.2">
      <c r="B189" s="105"/>
      <c r="C189" s="105"/>
      <c r="D189" s="105"/>
    </row>
    <row r="190" spans="2:4" x14ac:dyDescent="0.2">
      <c r="B190" s="105"/>
      <c r="C190" s="105"/>
      <c r="D190" s="105"/>
    </row>
    <row r="191" spans="2:4" x14ac:dyDescent="0.2">
      <c r="B191" s="105"/>
      <c r="C191" s="105"/>
      <c r="D191" s="105"/>
    </row>
    <row r="192" spans="2:4" x14ac:dyDescent="0.2">
      <c r="B192" s="105"/>
      <c r="C192" s="105"/>
      <c r="D192" s="105"/>
    </row>
    <row r="193" spans="2:4" x14ac:dyDescent="0.2">
      <c r="B193" s="105"/>
      <c r="C193" s="105"/>
      <c r="D193" s="105"/>
    </row>
    <row r="194" spans="2:4" x14ac:dyDescent="0.2">
      <c r="B194" s="105"/>
      <c r="C194" s="105"/>
      <c r="D194" s="105"/>
    </row>
    <row r="195" spans="2:4" x14ac:dyDescent="0.2">
      <c r="B195" s="105"/>
      <c r="C195" s="105"/>
      <c r="D195" s="105"/>
    </row>
    <row r="196" spans="2:4" x14ac:dyDescent="0.2">
      <c r="B196" s="105"/>
      <c r="C196" s="105"/>
      <c r="D196" s="105"/>
    </row>
    <row r="197" spans="2:4" x14ac:dyDescent="0.2">
      <c r="B197" s="105"/>
      <c r="C197" s="105"/>
      <c r="D197" s="105"/>
    </row>
    <row r="198" spans="2:4" x14ac:dyDescent="0.2">
      <c r="B198" s="105"/>
      <c r="C198" s="105"/>
      <c r="D198" s="105"/>
    </row>
    <row r="199" spans="2:4" x14ac:dyDescent="0.2">
      <c r="B199" s="105"/>
      <c r="C199" s="105"/>
      <c r="D199" s="105"/>
    </row>
    <row r="200" spans="2:4" x14ac:dyDescent="0.2">
      <c r="B200" s="105"/>
      <c r="C200" s="105"/>
      <c r="D200" s="105"/>
    </row>
    <row r="201" spans="2:4" x14ac:dyDescent="0.2">
      <c r="B201" s="105"/>
      <c r="C201" s="105"/>
      <c r="D201" s="105"/>
    </row>
    <row r="202" spans="2:4" x14ac:dyDescent="0.2">
      <c r="B202" s="105"/>
      <c r="C202" s="105"/>
      <c r="D202" s="105"/>
    </row>
    <row r="203" spans="2:4" x14ac:dyDescent="0.2">
      <c r="B203" s="105"/>
      <c r="C203" s="105"/>
      <c r="D203" s="105"/>
    </row>
    <row r="204" spans="2:4" x14ac:dyDescent="0.2">
      <c r="B204" s="105"/>
      <c r="C204" s="105"/>
      <c r="D204" s="105"/>
    </row>
    <row r="205" spans="2:4" x14ac:dyDescent="0.2">
      <c r="B205" s="105"/>
      <c r="C205" s="105"/>
      <c r="D205" s="105"/>
    </row>
    <row r="206" spans="2:4" x14ac:dyDescent="0.2">
      <c r="B206" s="105"/>
      <c r="C206" s="105"/>
      <c r="D206" s="105"/>
    </row>
    <row r="207" spans="2:4" x14ac:dyDescent="0.2">
      <c r="B207" s="105"/>
      <c r="C207" s="105"/>
      <c r="D207" s="105"/>
    </row>
    <row r="208" spans="2:4" x14ac:dyDescent="0.2">
      <c r="B208" s="105"/>
      <c r="C208" s="105"/>
      <c r="D208" s="105"/>
    </row>
    <row r="209" spans="2:4" x14ac:dyDescent="0.2">
      <c r="B209" s="105"/>
      <c r="C209" s="105"/>
      <c r="D209" s="105"/>
    </row>
    <row r="210" spans="2:4" x14ac:dyDescent="0.2">
      <c r="B210" s="105"/>
      <c r="C210" s="105"/>
      <c r="D210" s="105"/>
    </row>
    <row r="211" spans="2:4" x14ac:dyDescent="0.2">
      <c r="B211" s="105"/>
      <c r="C211" s="105"/>
      <c r="D211" s="105"/>
    </row>
    <row r="212" spans="2:4" x14ac:dyDescent="0.2">
      <c r="B212" s="105"/>
      <c r="C212" s="105"/>
      <c r="D212" s="105"/>
    </row>
    <row r="213" spans="2:4" x14ac:dyDescent="0.2">
      <c r="B213" s="105"/>
      <c r="C213" s="105"/>
      <c r="D213" s="105"/>
    </row>
    <row r="214" spans="2:4" x14ac:dyDescent="0.2">
      <c r="B214" s="105"/>
      <c r="C214" s="105"/>
      <c r="D214" s="105"/>
    </row>
    <row r="215" spans="2:4" x14ac:dyDescent="0.2">
      <c r="B215" s="105"/>
      <c r="C215" s="105"/>
      <c r="D215" s="105"/>
    </row>
    <row r="216" spans="2:4" x14ac:dyDescent="0.2">
      <c r="B216" s="105"/>
      <c r="C216" s="105"/>
      <c r="D216" s="105"/>
    </row>
    <row r="217" spans="2:4" x14ac:dyDescent="0.2">
      <c r="B217" s="105"/>
      <c r="C217" s="105"/>
      <c r="D217" s="105"/>
    </row>
    <row r="218" spans="2:4" x14ac:dyDescent="0.2">
      <c r="B218" s="105"/>
      <c r="C218" s="105"/>
      <c r="D218" s="105"/>
    </row>
    <row r="219" spans="2:4" x14ac:dyDescent="0.2">
      <c r="B219" s="105"/>
      <c r="C219" s="105"/>
      <c r="D219" s="105"/>
    </row>
    <row r="220" spans="2:4" x14ac:dyDescent="0.2">
      <c r="B220" s="105"/>
      <c r="C220" s="105"/>
      <c r="D220" s="105"/>
    </row>
    <row r="221" spans="2:4" x14ac:dyDescent="0.2">
      <c r="B221" s="105"/>
      <c r="C221" s="105"/>
      <c r="D221" s="105"/>
    </row>
    <row r="222" spans="2:4" x14ac:dyDescent="0.2">
      <c r="B222" s="105"/>
      <c r="C222" s="105"/>
      <c r="D222" s="105"/>
    </row>
    <row r="223" spans="2:4" x14ac:dyDescent="0.2">
      <c r="B223" s="105"/>
      <c r="C223" s="105"/>
      <c r="D223" s="105"/>
    </row>
    <row r="224" spans="2:4" x14ac:dyDescent="0.2">
      <c r="B224" s="105"/>
      <c r="C224" s="105"/>
      <c r="D224" s="105"/>
    </row>
    <row r="225" spans="2:4" x14ac:dyDescent="0.2">
      <c r="B225" s="105"/>
      <c r="C225" s="105"/>
      <c r="D225" s="105"/>
    </row>
    <row r="226" spans="2:4" x14ac:dyDescent="0.2">
      <c r="B226" s="105"/>
      <c r="C226" s="105"/>
      <c r="D226" s="105"/>
    </row>
    <row r="227" spans="2:4" x14ac:dyDescent="0.2">
      <c r="B227" s="105"/>
      <c r="C227" s="105"/>
      <c r="D227" s="105"/>
    </row>
    <row r="228" spans="2:4" x14ac:dyDescent="0.2">
      <c r="B228" s="105"/>
      <c r="C228" s="105"/>
      <c r="D228" s="105"/>
    </row>
    <row r="229" spans="2:4" x14ac:dyDescent="0.2">
      <c r="B229" s="105"/>
      <c r="C229" s="105"/>
      <c r="D229" s="105"/>
    </row>
    <row r="230" spans="2:4" x14ac:dyDescent="0.2">
      <c r="B230" s="105"/>
      <c r="C230" s="105"/>
    </row>
    <row r="231" spans="2:4" x14ac:dyDescent="0.2">
      <c r="B231" s="105"/>
      <c r="C231" s="105"/>
    </row>
    <row r="232" spans="2:4" x14ac:dyDescent="0.2">
      <c r="B232" s="105"/>
      <c r="C232" s="105"/>
    </row>
    <row r="233" spans="2:4" x14ac:dyDescent="0.2">
      <c r="B233" s="105"/>
      <c r="C233" s="105"/>
    </row>
    <row r="234" spans="2:4" x14ac:dyDescent="0.2">
      <c r="B234" s="105"/>
      <c r="C234" s="105"/>
    </row>
    <row r="235" spans="2:4" x14ac:dyDescent="0.2">
      <c r="B235" s="105"/>
      <c r="C235" s="105"/>
    </row>
    <row r="236" spans="2:4" x14ac:dyDescent="0.2">
      <c r="B236" s="105"/>
      <c r="C236" s="105"/>
    </row>
    <row r="237" spans="2:4" x14ac:dyDescent="0.2">
      <c r="B237" s="105"/>
      <c r="C237" s="105"/>
    </row>
    <row r="238" spans="2:4" x14ac:dyDescent="0.2">
      <c r="B238" s="105"/>
      <c r="C238" s="105"/>
    </row>
    <row r="239" spans="2:4" x14ac:dyDescent="0.2">
      <c r="B239" s="105"/>
      <c r="C239" s="105"/>
    </row>
    <row r="240" spans="2:4" x14ac:dyDescent="0.2">
      <c r="B240" s="105"/>
      <c r="C240" s="105"/>
    </row>
    <row r="241" spans="2:3" x14ac:dyDescent="0.2">
      <c r="B241" s="105" t="str">
        <f>IF(Operations!A96="","",Operations!A96)</f>
        <v/>
      </c>
      <c r="C241" s="105" t="str">
        <f>IF(Materials!B140="","",Materials!B140)</f>
        <v>Alfalfa w/Inoculant</v>
      </c>
    </row>
    <row r="242" spans="2:3" x14ac:dyDescent="0.2">
      <c r="B242" s="105" t="str">
        <f>IF(Operations!A97="","",Operations!A97)</f>
        <v/>
      </c>
      <c r="C242" s="105" t="str">
        <f>IF(Materials!B141="","",Materials!B141)</f>
        <v>Corn</v>
      </c>
    </row>
    <row r="243" spans="2:3" x14ac:dyDescent="0.2">
      <c r="B243" s="105" t="str">
        <f>IF(Operations!A98="","",Operations!A98)</f>
        <v/>
      </c>
      <c r="C243" s="105" t="str">
        <f>IF(Materials!B142="","",Materials!B142)</f>
        <v>Corn Bt, ECB, &amp; RIB</v>
      </c>
    </row>
    <row r="244" spans="2:3" x14ac:dyDescent="0.2">
      <c r="B244" s="105" t="str">
        <f>IF(Operations!A99="","",Operations!A99)</f>
        <v/>
      </c>
      <c r="C244" s="105" t="str">
        <f>IF(Materials!B143="","",Materials!B143)</f>
        <v>Corn Bt, ECB, RR2, LL, &amp; RIB</v>
      </c>
    </row>
    <row r="245" spans="2:3" x14ac:dyDescent="0.2">
      <c r="B245" s="105" t="str">
        <f>IF(Operations!A100="","",Operations!A100)</f>
        <v/>
      </c>
      <c r="C245" s="105" t="str">
        <f>IF(Materials!B144="","",Materials!B144)</f>
        <v>Corn Bt, ECB, RW, &amp; RIB</v>
      </c>
    </row>
    <row r="246" spans="2:3" x14ac:dyDescent="0.2">
      <c r="B246" s="105"/>
      <c r="C246" s="105"/>
    </row>
    <row r="247" spans="2:3" x14ac:dyDescent="0.2">
      <c r="B247" s="105"/>
      <c r="C247" s="105"/>
    </row>
    <row r="248" spans="2:3" x14ac:dyDescent="0.2">
      <c r="B248" s="105"/>
      <c r="C248" s="105"/>
    </row>
    <row r="249" spans="2:3" x14ac:dyDescent="0.2">
      <c r="B249" s="105"/>
      <c r="C249" s="105"/>
    </row>
    <row r="250" spans="2:3" x14ac:dyDescent="0.2">
      <c r="B250" s="105"/>
      <c r="C250" s="105"/>
    </row>
    <row r="251" spans="2:3" x14ac:dyDescent="0.2">
      <c r="B251" s="105"/>
      <c r="C251" s="105"/>
    </row>
    <row r="252" spans="2:3" x14ac:dyDescent="0.2">
      <c r="B252" s="105"/>
      <c r="C252" s="105"/>
    </row>
    <row r="253" spans="2:3" x14ac:dyDescent="0.2">
      <c r="B253" s="105"/>
      <c r="C253" s="105"/>
    </row>
    <row r="254" spans="2:3" x14ac:dyDescent="0.2">
      <c r="B254" s="105"/>
      <c r="C254" s="105"/>
    </row>
    <row r="255" spans="2:3" x14ac:dyDescent="0.2">
      <c r="B255" s="105"/>
    </row>
    <row r="256" spans="2:3" x14ac:dyDescent="0.2">
      <c r="B256" s="105"/>
    </row>
  </sheetData>
  <mergeCells count="46">
    <mergeCell ref="L35:L36"/>
    <mergeCell ref="K10:K11"/>
    <mergeCell ref="L10:L11"/>
    <mergeCell ref="I10:J10"/>
    <mergeCell ref="B7:L7"/>
    <mergeCell ref="B10:B11"/>
    <mergeCell ref="C10:C11"/>
    <mergeCell ref="E10:E11"/>
    <mergeCell ref="F10:F11"/>
    <mergeCell ref="G10:H10"/>
    <mergeCell ref="C47:E47"/>
    <mergeCell ref="F35:F36"/>
    <mergeCell ref="G35:G36"/>
    <mergeCell ref="H35:I35"/>
    <mergeCell ref="J35:J36"/>
    <mergeCell ref="C42:E42"/>
    <mergeCell ref="C43:E43"/>
    <mergeCell ref="C44:E44"/>
    <mergeCell ref="C45:E45"/>
    <mergeCell ref="C46:E46"/>
    <mergeCell ref="C37:E37"/>
    <mergeCell ref="C38:E38"/>
    <mergeCell ref="C39:E39"/>
    <mergeCell ref="C40:E40"/>
    <mergeCell ref="C41:E41"/>
    <mergeCell ref="C56:E56"/>
    <mergeCell ref="C57:E57"/>
    <mergeCell ref="C58:E58"/>
    <mergeCell ref="C59:E59"/>
    <mergeCell ref="C48:E48"/>
    <mergeCell ref="A6:M6"/>
    <mergeCell ref="G2:H2"/>
    <mergeCell ref="C4:E4"/>
    <mergeCell ref="C60:E60"/>
    <mergeCell ref="G71:H71"/>
    <mergeCell ref="C49:E49"/>
    <mergeCell ref="C50:E50"/>
    <mergeCell ref="C51:E51"/>
    <mergeCell ref="C52:E52"/>
    <mergeCell ref="C53:E53"/>
    <mergeCell ref="C54:E54"/>
    <mergeCell ref="C55:E55"/>
    <mergeCell ref="C61:E61"/>
    <mergeCell ref="F66:G66"/>
    <mergeCell ref="C70:E70"/>
    <mergeCell ref="G70:H70"/>
  </mergeCells>
  <dataValidations count="9">
    <dataValidation type="list" allowBlank="1" showInputMessage="1" showErrorMessage="1" sqref="B62" xr:uid="{00000000-0002-0000-5A00-000000000000}">
      <formula1>$C$111:$C$229</formula1>
    </dataValidation>
    <dataValidation type="list" allowBlank="1" showInputMessage="1" showErrorMessage="1" sqref="B32" xr:uid="{00000000-0002-0000-5A00-000001000000}">
      <formula1>$B$111:$B$208</formula1>
    </dataValidation>
    <dataValidation type="list" allowBlank="1" showInputMessage="1" showErrorMessage="1" sqref="K4" xr:uid="{00000000-0002-0000-5A00-000002000000}">
      <formula1>$K$111:$K$113</formula1>
    </dataValidation>
    <dataValidation type="list" allowBlank="1" showInputMessage="1" showErrorMessage="1" sqref="B37:B60" xr:uid="{00000000-0002-0000-5A00-000003000000}">
      <formula1>MaterialList</formula1>
    </dataValidation>
    <dataValidation type="list" allowBlank="1" showInputMessage="1" showErrorMessage="1" sqref="C70:E70" xr:uid="{00000000-0002-0000-5A00-000004000000}">
      <formula1>RealEstateList</formula1>
    </dataValidation>
    <dataValidation type="list" allowBlank="1" showInputMessage="1" showErrorMessage="1" sqref="B12:B31" xr:uid="{00000000-0002-0000-5A00-000005000000}">
      <formula1>OperationList</formula1>
    </dataValidation>
    <dataValidation type="list" allowBlank="1" showInputMessage="1" showErrorMessage="1" sqref="D12:D32" xr:uid="{00000000-0002-0000-5A00-000006000000}">
      <formula1>#REF!</formula1>
    </dataValidation>
    <dataValidation type="list" allowBlank="1" showInputMessage="1" showErrorMessage="1" sqref="C3" xr:uid="{00000000-0002-0000-5A00-000007000000}">
      <formula1>TillageSystem</formula1>
    </dataValidation>
    <dataValidation type="list" allowBlank="1" showInputMessage="1" showErrorMessage="1" sqref="K2" xr:uid="{00000000-0002-0000-5A00-000008000000}">
      <formula1>watersource</formula1>
    </dataValidation>
  </dataValidations>
  <pageMargins left="0.7" right="0.7" top="0.75" bottom="0.75" header="0.3" footer="0.3"/>
  <pageSetup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3"/>
  <dimension ref="A1"/>
  <sheetViews>
    <sheetView workbookViewId="0"/>
  </sheetViews>
  <sheetFormatPr defaultRowHeight="12.75" x14ac:dyDescent="0.2"/>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
    <pageSetUpPr fitToPage="1"/>
  </sheetPr>
  <dimension ref="A1:S89"/>
  <sheetViews>
    <sheetView topLeftCell="A45" zoomScaleNormal="100" workbookViewId="0">
      <selection activeCell="E63" sqref="E63"/>
    </sheetView>
  </sheetViews>
  <sheetFormatPr defaultColWidth="9.140625" defaultRowHeight="14.25" x14ac:dyDescent="0.2"/>
  <cols>
    <col min="2" max="2" width="15.140625" customWidth="1"/>
    <col min="3" max="3" width="23.140625" customWidth="1"/>
    <col min="4" max="4" width="92.85546875" customWidth="1"/>
    <col min="5" max="5" width="9.85546875" style="249" customWidth="1"/>
    <col min="6" max="6" width="10" customWidth="1"/>
    <col min="7" max="7" width="14.140625" customWidth="1"/>
    <col min="8" max="8" width="10.28515625" hidden="1" customWidth="1"/>
    <col min="9" max="10" width="0" hidden="1" customWidth="1"/>
    <col min="11" max="11" width="102.140625" style="100" hidden="1" customWidth="1"/>
    <col min="12" max="12" width="5.7109375" style="194" hidden="1" customWidth="1"/>
    <col min="13" max="13" width="0" style="102" hidden="1" customWidth="1"/>
    <col min="14" max="14" width="9.140625" style="99"/>
    <col min="15" max="15" width="34.28515625" style="99" customWidth="1"/>
    <col min="16" max="17" width="9.140625" style="99"/>
    <col min="18" max="18" width="34.28515625" style="99" customWidth="1"/>
    <col min="19" max="19" width="9.140625" style="99"/>
  </cols>
  <sheetData>
    <row r="1" spans="1:14" s="60" customFormat="1" ht="17.25" x14ac:dyDescent="0.2">
      <c r="D1" s="60" t="s">
        <v>802</v>
      </c>
      <c r="E1" s="248" t="s">
        <v>803</v>
      </c>
      <c r="K1" s="195" t="s">
        <v>804</v>
      </c>
      <c r="L1" s="192" t="s">
        <v>805</v>
      </c>
      <c r="M1" s="100"/>
      <c r="N1" s="191"/>
    </row>
    <row r="2" spans="1:14" ht="14.25" customHeight="1" x14ac:dyDescent="0.2">
      <c r="A2">
        <v>1</v>
      </c>
      <c r="B2" t="s">
        <v>806</v>
      </c>
      <c r="C2" t="str">
        <f>"'"&amp;A2&amp;"-"&amp;B2&amp;"'!"</f>
        <v>'1-Alfalfa'!</v>
      </c>
      <c r="D2" t="str">
        <f ca="1">INDIRECT(C2&amp;"A6")</f>
        <v>1-Alfalfa, Conventional Tillage, Fall Establishment, Dryland</v>
      </c>
      <c r="E2" s="249" t="str">
        <f t="shared" ref="E2:E66" ca="1" si="0">IF(INDIRECT($C2&amp;"K75")=0,"N/A",INDIRECT($C2&amp;"K75"))</f>
        <v>agbudget.unl.edu</v>
      </c>
      <c r="K2" s="101" t="str">
        <f ca="1">D2</f>
        <v>1-Alfalfa, Conventional Tillage, Fall Establishment, Dryland</v>
      </c>
      <c r="L2" s="193">
        <v>12</v>
      </c>
    </row>
    <row r="3" spans="1:14" ht="14.25" customHeight="1" x14ac:dyDescent="0.2">
      <c r="A3">
        <v>2</v>
      </c>
      <c r="B3" t="s">
        <v>806</v>
      </c>
      <c r="C3" t="str">
        <f t="shared" ref="C3:C30" si="1">"'"&amp;A3&amp;"-"&amp;B3&amp;"'!"</f>
        <v>'2-Alfalfa'!</v>
      </c>
      <c r="D3" t="str">
        <f t="shared" ref="D3:D71" ca="1" si="2">INDIRECT(C3&amp;"A6")</f>
        <v>2-Alfalfa, Roundup Ready®, No Till, Fall Establishment, Dryland</v>
      </c>
      <c r="E3" s="249" t="str">
        <f t="shared" ca="1" si="0"/>
        <v>agbudget.unl.edu</v>
      </c>
      <c r="K3" s="101" t="str">
        <f t="shared" ref="K3:K15" ca="1" si="3">D3</f>
        <v>2-Alfalfa, Roundup Ready®, No Till, Fall Establishment, Dryland</v>
      </c>
      <c r="L3" s="193">
        <f>L2+1</f>
        <v>13</v>
      </c>
    </row>
    <row r="4" spans="1:14" ht="14.25" customHeight="1" x14ac:dyDescent="0.2">
      <c r="A4">
        <v>3</v>
      </c>
      <c r="B4" t="s">
        <v>806</v>
      </c>
      <c r="C4" t="str">
        <f t="shared" si="1"/>
        <v>'3-Alfalfa'!</v>
      </c>
      <c r="D4" t="str">
        <f t="shared" ca="1" si="2"/>
        <v>3-Alfalfa, Roundup Ready®, Conventional Tillage, Fall Establishment, Dryland</v>
      </c>
      <c r="E4" s="249" t="str">
        <f t="shared" ca="1" si="0"/>
        <v>agbudget.unl.edu</v>
      </c>
      <c r="K4" s="101" t="str">
        <f t="shared" ca="1" si="3"/>
        <v>3-Alfalfa, Roundup Ready®, Conventional Tillage, Fall Establishment, Dryland</v>
      </c>
      <c r="L4" s="193">
        <f t="shared" ref="L4:L38" si="4">L3+1</f>
        <v>14</v>
      </c>
    </row>
    <row r="5" spans="1:14" ht="14.25" customHeight="1" x14ac:dyDescent="0.2">
      <c r="A5">
        <v>4</v>
      </c>
      <c r="B5" t="s">
        <v>806</v>
      </c>
      <c r="C5" t="str">
        <f t="shared" si="1"/>
        <v>'4-Alfalfa'!</v>
      </c>
      <c r="D5" t="str">
        <f t="shared" ca="1" si="2"/>
        <v>4-Alfalfa, Small Square Bales, Conventional Tillage, Establish Spring Seed with Herbicides, 2.8 ton Yield, Dryland</v>
      </c>
      <c r="E5" s="249">
        <f t="shared" ca="1" si="0"/>
        <v>226.92017857142858</v>
      </c>
      <c r="K5" s="101" t="str">
        <f t="shared" ca="1" si="3"/>
        <v>4-Alfalfa, Small Square Bales, Conventional Tillage, Establish Spring Seed with Herbicides, 2.8 ton Yield, Dryland</v>
      </c>
      <c r="L5" s="193">
        <f t="shared" si="4"/>
        <v>15</v>
      </c>
    </row>
    <row r="6" spans="1:14" ht="14.25" customHeight="1" x14ac:dyDescent="0.2">
      <c r="A6">
        <v>5</v>
      </c>
      <c r="B6" t="s">
        <v>806</v>
      </c>
      <c r="C6" t="str">
        <f t="shared" si="1"/>
        <v>'5-Alfalfa'!</v>
      </c>
      <c r="D6" t="str">
        <f t="shared" ca="1" si="2"/>
        <v>5-Alfalfa, Roundup Ready®, Small Square Bales, Conventional Tillage, Establish Spring Seed, 2.8 ton Yield, Dryland</v>
      </c>
      <c r="E6" s="249">
        <f t="shared" ca="1" si="0"/>
        <v>160.60334821428572</v>
      </c>
      <c r="K6" s="101" t="str">
        <f t="shared" ca="1" si="3"/>
        <v>5-Alfalfa, Roundup Ready®, Small Square Bales, Conventional Tillage, Establish Spring Seed, 2.8 ton Yield, Dryland</v>
      </c>
      <c r="L6" s="193">
        <f t="shared" si="4"/>
        <v>16</v>
      </c>
    </row>
    <row r="7" spans="1:14" ht="14.25" customHeight="1" x14ac:dyDescent="0.2">
      <c r="A7">
        <v>6</v>
      </c>
      <c r="B7" t="s">
        <v>806</v>
      </c>
      <c r="C7" t="str">
        <f t="shared" si="1"/>
        <v>'6-Alfalfa'!</v>
      </c>
      <c r="D7" t="str">
        <f t="shared" ca="1" si="2"/>
        <v>6-Alfalfa, Large Square Bales, Conventional Tillage, Establish Spring Seed with Herbicides, 3.8 ton Yield, Pivot Irrigated Diesel</v>
      </c>
      <c r="E7" s="249">
        <f t="shared" ca="1" si="0"/>
        <v>235.52585526315789</v>
      </c>
      <c r="K7" s="101" t="str">
        <f t="shared" ca="1" si="3"/>
        <v>6-Alfalfa, Large Square Bales, Conventional Tillage, Establish Spring Seed with Herbicides, 3.8 ton Yield, Pivot Irrigated Diesel</v>
      </c>
      <c r="L7" s="193">
        <f t="shared" si="4"/>
        <v>17</v>
      </c>
    </row>
    <row r="8" spans="1:14" ht="14.25" customHeight="1" x14ac:dyDescent="0.2">
      <c r="A8">
        <v>7</v>
      </c>
      <c r="B8" t="s">
        <v>806</v>
      </c>
      <c r="C8" t="str">
        <f t="shared" si="1"/>
        <v>'7-Alfalfa'!</v>
      </c>
      <c r="D8" t="str">
        <f t="shared" ca="1" si="2"/>
        <v>7-Alfalfa, Roundup Ready®, Large Square Bales, Conventional Tillage, Establish Spring Seed, 4 ton Yield, Pivot Irrigated Diesel</v>
      </c>
      <c r="E8" s="249">
        <f t="shared" ca="1" si="0"/>
        <v>131.97565624999999</v>
      </c>
      <c r="K8" s="101" t="str">
        <f t="shared" ca="1" si="3"/>
        <v>7-Alfalfa, Roundup Ready®, Large Square Bales, Conventional Tillage, Establish Spring Seed, 4 ton Yield, Pivot Irrigated Diesel</v>
      </c>
      <c r="L8" s="193">
        <f t="shared" si="4"/>
        <v>18</v>
      </c>
    </row>
    <row r="9" spans="1:14" ht="14.25" customHeight="1" x14ac:dyDescent="0.2">
      <c r="A9">
        <v>8</v>
      </c>
      <c r="B9" t="s">
        <v>806</v>
      </c>
      <c r="C9" t="str">
        <f t="shared" si="1"/>
        <v>'8-Alfalfa'!</v>
      </c>
      <c r="D9" t="str">
        <f t="shared" ca="1" si="2"/>
        <v>8-Alfalfa, Large Round Bales, Panhandle, Conventional Tillage, Fall Seeded with Subsequent Year Production, 2.5 ton Yield, Gravity Irrigated, fed by canal</v>
      </c>
      <c r="E9" s="249">
        <f t="shared" ca="1" si="0"/>
        <v>157.10640000000004</v>
      </c>
      <c r="K9" s="101" t="str">
        <f t="shared" ca="1" si="3"/>
        <v>8-Alfalfa, Large Round Bales, Panhandle, Conventional Tillage, Fall Seeded with Subsequent Year Production, 2.5 ton Yield, Gravity Irrigated, fed by canal</v>
      </c>
      <c r="L9" s="193">
        <f t="shared" si="4"/>
        <v>19</v>
      </c>
    </row>
    <row r="10" spans="1:14" ht="14.25" customHeight="1" x14ac:dyDescent="0.2">
      <c r="A10">
        <v>9</v>
      </c>
      <c r="B10" t="s">
        <v>806</v>
      </c>
      <c r="C10" t="str">
        <f t="shared" si="1"/>
        <v>'9-Alfalfa'!</v>
      </c>
      <c r="D10" t="str">
        <f t="shared" ca="1" si="2"/>
        <v>9-Alfalfa, Large Round Bales, 4.4 ton Yield, Dryland</v>
      </c>
      <c r="E10" s="249">
        <f t="shared" ca="1" si="0"/>
        <v>98.949176136363633</v>
      </c>
      <c r="K10" s="101" t="str">
        <f t="shared" ca="1" si="3"/>
        <v>9-Alfalfa, Large Round Bales, 4.4 ton Yield, Dryland</v>
      </c>
      <c r="L10" s="193">
        <f t="shared" si="4"/>
        <v>20</v>
      </c>
    </row>
    <row r="11" spans="1:14" ht="14.25" customHeight="1" x14ac:dyDescent="0.2">
      <c r="A11">
        <v>10</v>
      </c>
      <c r="B11" t="s">
        <v>806</v>
      </c>
      <c r="C11" t="str">
        <f t="shared" si="1"/>
        <v>'10-Alfalfa'!</v>
      </c>
      <c r="D11" t="str">
        <f t="shared" ca="1" si="2"/>
        <v>10-Alfalfa, Large and Small Square Bales, 6.7 ton Yield, Pivot Irrigated Electric</v>
      </c>
      <c r="E11" s="249" t="str">
        <f t="shared" ca="1" si="0"/>
        <v>N/A</v>
      </c>
      <c r="K11" s="101" t="str">
        <f t="shared" ca="1" si="3"/>
        <v>10-Alfalfa, Large and Small Square Bales, 6.7 ton Yield, Pivot Irrigated Electric</v>
      </c>
      <c r="L11" s="193">
        <f t="shared" si="4"/>
        <v>21</v>
      </c>
    </row>
    <row r="12" spans="1:14" ht="14.25" customHeight="1" x14ac:dyDescent="0.2">
      <c r="A12">
        <v>11</v>
      </c>
      <c r="B12" t="s">
        <v>806</v>
      </c>
      <c r="C12" t="str">
        <f t="shared" si="1"/>
        <v>'11-Alfalfa'!</v>
      </c>
      <c r="D12" t="str">
        <f t="shared" ca="1" si="2"/>
        <v>11-Alfalfa, Roundup Ready®, Large and Small Square Bales, 6.8 ton Yield, Pivot Irrigated Electric</v>
      </c>
      <c r="E12" s="249">
        <f t="shared" ca="1" si="0"/>
        <v>73.737536764705879</v>
      </c>
      <c r="K12" s="101" t="str">
        <f t="shared" ca="1" si="3"/>
        <v>11-Alfalfa, Roundup Ready®, Large and Small Square Bales, 6.8 ton Yield, Pivot Irrigated Electric</v>
      </c>
      <c r="L12" s="193">
        <f t="shared" si="4"/>
        <v>22</v>
      </c>
    </row>
    <row r="13" spans="1:14" ht="14.25" customHeight="1" x14ac:dyDescent="0.2">
      <c r="A13">
        <v>12</v>
      </c>
      <c r="B13" t="s">
        <v>806</v>
      </c>
      <c r="C13" t="str">
        <f t="shared" si="1"/>
        <v>'12-Alfalfa'!</v>
      </c>
      <c r="D13" t="str">
        <f t="shared" ca="1" si="2"/>
        <v>12-Alfalfa, Panhandle, Large and Small Square Bales, 6.6 ton Yield, Pivot Irrigated Electric</v>
      </c>
      <c r="E13" s="249">
        <f t="shared" ca="1" si="0"/>
        <v>107.24096590909092</v>
      </c>
      <c r="K13" s="101" t="str">
        <f t="shared" ca="1" si="3"/>
        <v>12-Alfalfa, Panhandle, Large and Small Square Bales, 6.6 ton Yield, Pivot Irrigated Electric</v>
      </c>
      <c r="L13" s="193">
        <f t="shared" si="4"/>
        <v>23</v>
      </c>
    </row>
    <row r="14" spans="1:14" ht="14.25" customHeight="1" x14ac:dyDescent="0.2">
      <c r="A14">
        <v>13</v>
      </c>
      <c r="B14" t="s">
        <v>806</v>
      </c>
      <c r="C14" t="str">
        <f t="shared" si="1"/>
        <v>'13-Alfalfa'!</v>
      </c>
      <c r="D14" t="str">
        <f t="shared" ca="1" si="2"/>
        <v>13-Alfalfa, Large Square Bales, 6.6 ton Yield, Gravity Irrigated, fed by canal</v>
      </c>
      <c r="E14" s="249">
        <f t="shared" ca="1" si="0"/>
        <v>56.452196969696971</v>
      </c>
      <c r="K14" s="101" t="str">
        <f t="shared" ca="1" si="3"/>
        <v>13-Alfalfa, Large Square Bales, 6.6 ton Yield, Gravity Irrigated, fed by canal</v>
      </c>
      <c r="L14" s="193">
        <f t="shared" si="4"/>
        <v>24</v>
      </c>
    </row>
    <row r="15" spans="1:14" ht="14.25" customHeight="1" x14ac:dyDescent="0.2">
      <c r="A15">
        <v>14</v>
      </c>
      <c r="B15" t="s">
        <v>806</v>
      </c>
      <c r="C15" t="str">
        <f t="shared" si="1"/>
        <v>'14-Alfalfa'!</v>
      </c>
      <c r="D15" t="str">
        <f t="shared" ca="1" si="2"/>
        <v>14-Alfalfa, Roundup Ready®, Large Square Bales, 6.8 ton Yield, Gravity Irrigated, fed by canal</v>
      </c>
      <c r="E15" s="249" t="str">
        <f t="shared" ca="1" si="0"/>
        <v>N/A</v>
      </c>
      <c r="K15" s="101" t="str">
        <f t="shared" ca="1" si="3"/>
        <v>14-Alfalfa, Roundup Ready®, Large Square Bales, 6.8 ton Yield, Gravity Irrigated, fed by canal</v>
      </c>
      <c r="L15" s="193">
        <f t="shared" si="4"/>
        <v>25</v>
      </c>
    </row>
    <row r="16" spans="1:14" ht="14.25" customHeight="1" x14ac:dyDescent="0.2">
      <c r="A16">
        <v>15</v>
      </c>
      <c r="B16" t="s">
        <v>320</v>
      </c>
      <c r="C16" t="str">
        <f>"'"&amp;A16&amp;"-"&amp;B16&amp;"'!"</f>
        <v>'15-Corn'!</v>
      </c>
      <c r="D16" t="str">
        <f ca="1">INDIRECT(C16&amp;"A6")</f>
        <v>15-Corn, Conventional Tillage, Continuous, 100 bushel Yield, Dryland</v>
      </c>
      <c r="E16" s="249">
        <f ca="1">IF(INDIRECT($C16&amp;"K75")=0,"N/A",INDIRECT($C16&amp;"K75"))</f>
        <v>3.3778462500000002</v>
      </c>
    </row>
    <row r="17" spans="1:13" ht="14.25" customHeight="1" x14ac:dyDescent="0.2">
      <c r="A17">
        <v>16</v>
      </c>
      <c r="B17" t="s">
        <v>320</v>
      </c>
      <c r="C17" t="str">
        <f t="shared" si="1"/>
        <v>'16-Corn'!</v>
      </c>
      <c r="D17" t="str">
        <f t="shared" ca="1" si="2"/>
        <v>16-Corn, Conventional Tillage, in Corn/Soybean Rotation, Conventional Seed (Non Bt), 110 bushel Yield, Dryland</v>
      </c>
      <c r="E17" s="249">
        <f t="shared" ca="1" si="0"/>
        <v>4.8527897727272729</v>
      </c>
      <c r="K17" s="195" t="s">
        <v>804</v>
      </c>
      <c r="L17" s="192" t="s">
        <v>805</v>
      </c>
    </row>
    <row r="18" spans="1:13" ht="14.25" customHeight="1" x14ac:dyDescent="0.2">
      <c r="A18">
        <v>17</v>
      </c>
      <c r="B18" t="s">
        <v>320</v>
      </c>
      <c r="C18" t="str">
        <f t="shared" si="1"/>
        <v>'17-Corn'!</v>
      </c>
      <c r="D18" t="str">
        <f t="shared" ca="1" si="2"/>
        <v>17-Corn, Eastern Nebraska, Conventional Tillage, Continuous, 160 bushel Yield, Dryland</v>
      </c>
      <c r="E18" s="249">
        <f t="shared" ca="1" si="0"/>
        <v>5.1314531249999993</v>
      </c>
      <c r="K18" s="101" t="str">
        <f t="shared" ref="K18:K42" ca="1" si="5">D16</f>
        <v>15-Corn, Conventional Tillage, Continuous, 100 bushel Yield, Dryland</v>
      </c>
      <c r="L18" s="193">
        <f>L15+1</f>
        <v>26</v>
      </c>
    </row>
    <row r="19" spans="1:13" ht="14.25" customHeight="1" x14ac:dyDescent="0.2">
      <c r="A19">
        <v>18</v>
      </c>
      <c r="B19" t="s">
        <v>320</v>
      </c>
      <c r="C19" t="str">
        <f t="shared" si="1"/>
        <v>'18-Corn'!</v>
      </c>
      <c r="D19" t="str">
        <f t="shared" ca="1" si="2"/>
        <v>18-Corn, Eastern Nebraska, Conventional Tillage, in Corn/Soybean Rotation, 170 bushel Yield, Dryland</v>
      </c>
      <c r="E19" s="249">
        <f t="shared" ca="1" si="0"/>
        <v>4.6115779411764706</v>
      </c>
      <c r="K19" s="101" t="str">
        <f t="shared" ca="1" si="5"/>
        <v>16-Corn, Conventional Tillage, in Corn/Soybean Rotation, Conventional Seed (Non Bt), 110 bushel Yield, Dryland</v>
      </c>
      <c r="L19" s="193">
        <f t="shared" si="4"/>
        <v>27</v>
      </c>
    </row>
    <row r="20" spans="1:13" ht="14.25" customHeight="1" x14ac:dyDescent="0.2">
      <c r="A20">
        <v>19</v>
      </c>
      <c r="B20" t="s">
        <v>320</v>
      </c>
      <c r="C20" t="str">
        <f t="shared" si="1"/>
        <v>'19-Corn'!</v>
      </c>
      <c r="D20" t="str">
        <f t="shared" ca="1" si="2"/>
        <v>19-Corn, Bt, ECB, RR2, LL, &amp; RIB, No Till, Continuous, 135 bushel Yield, Dryland</v>
      </c>
      <c r="E20" s="249">
        <f t="shared" ca="1" si="0"/>
        <v>4.3963194444444449</v>
      </c>
      <c r="K20" s="101" t="str">
        <f t="shared" ca="1" si="5"/>
        <v>17-Corn, Eastern Nebraska, Conventional Tillage, Continuous, 160 bushel Yield, Dryland</v>
      </c>
      <c r="L20" s="193">
        <f t="shared" si="4"/>
        <v>28</v>
      </c>
    </row>
    <row r="21" spans="1:13" ht="14.25" customHeight="1" x14ac:dyDescent="0.2">
      <c r="A21">
        <v>20</v>
      </c>
      <c r="B21" t="s">
        <v>320</v>
      </c>
      <c r="C21" t="str">
        <f t="shared" si="1"/>
        <v>'20-Corn'!</v>
      </c>
      <c r="D21" t="str">
        <f t="shared" ca="1" si="2"/>
        <v>20-Corn, Bt, ECB, RR2, LL, &amp; RIB, Eastern Nebraska, No Till, Continuous, 180 bushel Yield, Dryland</v>
      </c>
      <c r="E21" s="249">
        <f t="shared" ca="1" si="0"/>
        <v>4.6618895833333331</v>
      </c>
      <c r="K21" s="101" t="str">
        <f t="shared" ca="1" si="5"/>
        <v>18-Corn, Eastern Nebraska, Conventional Tillage, in Corn/Soybean Rotation, 170 bushel Yield, Dryland</v>
      </c>
      <c r="L21" s="193">
        <f t="shared" si="4"/>
        <v>29</v>
      </c>
    </row>
    <row r="22" spans="1:13" ht="14.25" customHeight="1" x14ac:dyDescent="0.2">
      <c r="A22">
        <v>21</v>
      </c>
      <c r="B22" t="s">
        <v>320</v>
      </c>
      <c r="C22" t="str">
        <f t="shared" si="1"/>
        <v>'21-Corn'!</v>
      </c>
      <c r="D22" t="str">
        <f t="shared" ca="1" si="2"/>
        <v>21-Corn, SmartStax RIB Complete, No Till, Continuous, 140 bushel Yield, Dryland</v>
      </c>
      <c r="E22" s="249">
        <f t="shared" ca="1" si="0"/>
        <v>3.0554044642857141</v>
      </c>
      <c r="K22" s="101" t="str">
        <f t="shared" ca="1" si="5"/>
        <v>19-Corn, Bt, ECB, RR2, LL, &amp; RIB, No Till, Continuous, 135 bushel Yield, Dryland</v>
      </c>
      <c r="L22" s="193">
        <f t="shared" si="4"/>
        <v>30</v>
      </c>
      <c r="M22" s="100"/>
    </row>
    <row r="23" spans="1:13" ht="14.25" customHeight="1" x14ac:dyDescent="0.2">
      <c r="A23">
        <v>22</v>
      </c>
      <c r="B23" t="s">
        <v>320</v>
      </c>
      <c r="C23" t="str">
        <f t="shared" si="1"/>
        <v>'22-Corn'!</v>
      </c>
      <c r="D23" t="str">
        <f t="shared" ca="1" si="2"/>
        <v>22-Corn, SmartStax RIB Complete, Eastern Nebraska, No Till, Continuous, 185 bushel Yield, Dryland</v>
      </c>
      <c r="E23" s="249">
        <f t="shared" ca="1" si="0"/>
        <v>2.9007682432432431</v>
      </c>
      <c r="K23" s="101" t="str">
        <f t="shared" ca="1" si="5"/>
        <v>20-Corn, Bt, ECB, RR2, LL, &amp; RIB, Eastern Nebraska, No Till, Continuous, 180 bushel Yield, Dryland</v>
      </c>
      <c r="L23" s="193">
        <f t="shared" si="4"/>
        <v>31</v>
      </c>
    </row>
    <row r="24" spans="1:13" ht="14.25" customHeight="1" x14ac:dyDescent="0.2">
      <c r="A24">
        <v>23</v>
      </c>
      <c r="B24" t="s">
        <v>320</v>
      </c>
      <c r="C24" t="str">
        <f t="shared" si="1"/>
        <v>'23-Corn'!</v>
      </c>
      <c r="D24" t="str">
        <f t="shared" ca="1" si="2"/>
        <v>23-Corn, RR, Bt, ECB, &amp; RIB, No Till, after Beans, 145 bushel Yield, Dryland</v>
      </c>
      <c r="E24" s="249">
        <f t="shared" ca="1" si="0"/>
        <v>4.1546646551724136</v>
      </c>
      <c r="K24" s="101" t="str">
        <f t="shared" ca="1" si="5"/>
        <v>21-Corn, SmartStax RIB Complete, No Till, Continuous, 140 bushel Yield, Dryland</v>
      </c>
      <c r="L24" s="193">
        <f t="shared" si="4"/>
        <v>32</v>
      </c>
    </row>
    <row r="25" spans="1:13" ht="14.25" customHeight="1" x14ac:dyDescent="0.2">
      <c r="A25">
        <v>24</v>
      </c>
      <c r="B25" t="s">
        <v>320</v>
      </c>
      <c r="C25" t="str">
        <f t="shared" si="1"/>
        <v>'24-Corn'!</v>
      </c>
      <c r="D25" t="str">
        <f t="shared" ca="1" si="2"/>
        <v>24-Corn, Bt, ECB, &amp; RIB, Eastern Nebraska, No Till, after Beans, 195 bushel Yield, Dryland</v>
      </c>
      <c r="E25" s="249">
        <f t="shared" ca="1" si="0"/>
        <v>4.2816358974358977</v>
      </c>
      <c r="K25" s="101" t="str">
        <f t="shared" ca="1" si="5"/>
        <v>22-Corn, SmartStax RIB Complete, Eastern Nebraska, No Till, Continuous, 185 bushel Yield, Dryland</v>
      </c>
      <c r="L25" s="193">
        <f t="shared" si="4"/>
        <v>33</v>
      </c>
    </row>
    <row r="26" spans="1:13" ht="14.25" customHeight="1" x14ac:dyDescent="0.2">
      <c r="A26">
        <v>25</v>
      </c>
      <c r="B26" t="s">
        <v>320</v>
      </c>
      <c r="C26" t="str">
        <f t="shared" si="1"/>
        <v>'25-Corn'!</v>
      </c>
      <c r="D26" t="str">
        <f t="shared" ca="1" si="2"/>
        <v>25-Corn, Bt, ECB, RR2, LL, &amp; RIB, Southwest, Ecofallow, Follows Wheat, Two Crops in Three Years, 130 bushel Yield, Dryland</v>
      </c>
      <c r="E26" s="249">
        <f t="shared" ca="1" si="0"/>
        <v>2.8629125000000002</v>
      </c>
      <c r="K26" s="101" t="str">
        <f t="shared" ca="1" si="5"/>
        <v>23-Corn, RR, Bt, ECB, &amp; RIB, No Till, after Beans, 145 bushel Yield, Dryland</v>
      </c>
      <c r="L26" s="193">
        <f t="shared" si="4"/>
        <v>34</v>
      </c>
    </row>
    <row r="27" spans="1:13" ht="14.25" customHeight="1" x14ac:dyDescent="0.2">
      <c r="A27">
        <v>26</v>
      </c>
      <c r="B27" t="s">
        <v>320</v>
      </c>
      <c r="C27" t="str">
        <f t="shared" si="1"/>
        <v>'26-Corn'!</v>
      </c>
      <c r="D27" t="str">
        <f t="shared" ca="1" si="2"/>
        <v>26-Corn, Bt, ECB, RW, &amp; RIB, Ridge Till, Continuous, 245 bushel Yield, Gravity Irrigated Diesel, fed by a well</v>
      </c>
      <c r="E27" s="249" t="str">
        <f t="shared" ca="1" si="0"/>
        <v>N/A</v>
      </c>
      <c r="K27" s="101" t="str">
        <f t="shared" ca="1" si="5"/>
        <v>24-Corn, Bt, ECB, &amp; RIB, Eastern Nebraska, No Till, after Beans, 195 bushel Yield, Dryland</v>
      </c>
      <c r="L27" s="193">
        <f t="shared" si="4"/>
        <v>35</v>
      </c>
    </row>
    <row r="28" spans="1:13" ht="14.25" customHeight="1" x14ac:dyDescent="0.2">
      <c r="A28">
        <v>27</v>
      </c>
      <c r="B28" t="s">
        <v>320</v>
      </c>
      <c r="C28" t="str">
        <f t="shared" si="1"/>
        <v>'27-Corn'!</v>
      </c>
      <c r="D28" t="str">
        <f t="shared" ca="1" si="2"/>
        <v>27-Corn, Bt, ECB, &amp; RIB, Ridge Till, after Beans, 255 bushel Yield, Gravity Irrigated Diesel, fed by a well</v>
      </c>
      <c r="E28" s="249" t="str">
        <f t="shared" ca="1" si="0"/>
        <v>N/A</v>
      </c>
      <c r="K28" s="101" t="str">
        <f t="shared" ca="1" si="5"/>
        <v>25-Corn, Bt, ECB, RR2, LL, &amp; RIB, Southwest, Ecofallow, Follows Wheat, Two Crops in Three Years, 130 bushel Yield, Dryland</v>
      </c>
      <c r="L28" s="193">
        <f t="shared" si="4"/>
        <v>36</v>
      </c>
    </row>
    <row r="29" spans="1:13" ht="14.25" customHeight="1" x14ac:dyDescent="0.2">
      <c r="A29">
        <v>28</v>
      </c>
      <c r="B29" t="s">
        <v>320</v>
      </c>
      <c r="C29" t="str">
        <f t="shared" si="1"/>
        <v>'28-Corn'!</v>
      </c>
      <c r="D29" t="str">
        <f t="shared" ca="1" si="2"/>
        <v>28-Corn, SmartStax RIB Complete, Ridge Till, Continuous, 250 bushel Yield, Gravity Irrigated Diesel, fed by a well</v>
      </c>
      <c r="E29" s="249" t="str">
        <f t="shared" ca="1" si="0"/>
        <v>N/A</v>
      </c>
      <c r="K29" s="101" t="str">
        <f t="shared" ca="1" si="5"/>
        <v>26-Corn, Bt, ECB, RW, &amp; RIB, Ridge Till, Continuous, 245 bushel Yield, Gravity Irrigated Diesel, fed by a well</v>
      </c>
      <c r="L29" s="193">
        <f t="shared" si="4"/>
        <v>37</v>
      </c>
    </row>
    <row r="30" spans="1:13" ht="14.25" customHeight="1" x14ac:dyDescent="0.2">
      <c r="A30">
        <v>29</v>
      </c>
      <c r="B30" t="s">
        <v>320</v>
      </c>
      <c r="C30" t="str">
        <f t="shared" si="1"/>
        <v>'29-Corn'!</v>
      </c>
      <c r="D30" t="str">
        <f t="shared" ca="1" si="2"/>
        <v>29-Corn, SmartStax RIB Complete, Panhandle, Conventional Tillage, Continuous, 175 bushel Yield, Gravity Irrigated, fed by canal</v>
      </c>
      <c r="E30" s="249">
        <f t="shared" ca="1" si="0"/>
        <v>106.95</v>
      </c>
      <c r="K30" s="101" t="str">
        <f t="shared" ca="1" si="5"/>
        <v>27-Corn, Bt, ECB, &amp; RIB, Ridge Till, after Beans, 255 bushel Yield, Gravity Irrigated Diesel, fed by a well</v>
      </c>
      <c r="L30" s="193">
        <f t="shared" si="4"/>
        <v>38</v>
      </c>
    </row>
    <row r="31" spans="1:13" ht="14.25" customHeight="1" x14ac:dyDescent="0.2">
      <c r="A31">
        <v>30</v>
      </c>
      <c r="B31" t="s">
        <v>320</v>
      </c>
      <c r="C31" t="str">
        <f>"'"&amp;A31&amp;"-"&amp;B31&amp;"'!"</f>
        <v>'30-Corn'!</v>
      </c>
      <c r="D31" t="str">
        <f t="shared" ca="1" si="2"/>
        <v>30-Corn, Bt, ECB, RW, &amp; RIB, No Till, Continuous, 245 bushel Yield, Pivot Irrigated Electric</v>
      </c>
      <c r="E31" s="249">
        <f t="shared" ca="1" si="0"/>
        <v>4.481326530612245</v>
      </c>
      <c r="K31" s="101" t="str">
        <f t="shared" ca="1" si="5"/>
        <v>28-Corn, SmartStax RIB Complete, Ridge Till, Continuous, 250 bushel Yield, Gravity Irrigated Diesel, fed by a well</v>
      </c>
      <c r="L31" s="193">
        <f t="shared" si="4"/>
        <v>39</v>
      </c>
    </row>
    <row r="32" spans="1:13" ht="14.25" customHeight="1" x14ac:dyDescent="0.2">
      <c r="A32">
        <v>31</v>
      </c>
      <c r="B32" t="s">
        <v>320</v>
      </c>
      <c r="C32" t="str">
        <f>"'"&amp;A32&amp;"-"&amp;B32&amp;"'!"</f>
        <v>'31-Corn'!</v>
      </c>
      <c r="D32" t="str">
        <f t="shared" ca="1" si="2"/>
        <v>31-Corn, SmartStax RIB Complete, No Till, Continuous, 250 bushel Yield, Pivot Irrigated Electric</v>
      </c>
      <c r="E32" s="249" t="str">
        <f t="shared" ca="1" si="0"/>
        <v>N/A</v>
      </c>
      <c r="K32" s="101" t="str">
        <f t="shared" ca="1" si="5"/>
        <v>29-Corn, SmartStax RIB Complete, Panhandle, Conventional Tillage, Continuous, 175 bushel Yield, Gravity Irrigated, fed by canal</v>
      </c>
      <c r="L32" s="193">
        <f t="shared" si="4"/>
        <v>40</v>
      </c>
    </row>
    <row r="33" spans="1:12" ht="14.25" customHeight="1" x14ac:dyDescent="0.2">
      <c r="A33">
        <v>32</v>
      </c>
      <c r="B33" t="s">
        <v>320</v>
      </c>
      <c r="C33" t="str">
        <f>"'"&amp;A33&amp;"-"&amp;B33&amp;"'!"</f>
        <v>'32-Corn'!</v>
      </c>
      <c r="D33" t="str">
        <f t="shared" ref="D33" ca="1" si="6">INDIRECT(C33&amp;"A6")</f>
        <v>32-Corn, SmartStax RIB Complete, Strip Till, Continuous, 260 bushel Yield, Pivot Irrigated Electric</v>
      </c>
      <c r="E33" s="249">
        <f t="shared" ca="1" si="0"/>
        <v>1140.0583750000001</v>
      </c>
      <c r="K33" s="101"/>
      <c r="L33" s="193"/>
    </row>
    <row r="34" spans="1:12" ht="14.25" customHeight="1" x14ac:dyDescent="0.2">
      <c r="A34">
        <v>33</v>
      </c>
      <c r="B34" t="s">
        <v>320</v>
      </c>
      <c r="C34" t="str">
        <f>"'"&amp;A34&amp;"-"&amp;B34&amp;"'!"</f>
        <v>'33-Corn'!</v>
      </c>
      <c r="D34" t="str">
        <f t="shared" ca="1" si="2"/>
        <v>33-Corn, Bt, ECB, &amp; RIB, No Till, after Beans, 275 bushel Yield, Pivot Irrigated Electric</v>
      </c>
      <c r="E34" s="249">
        <f t="shared" ca="1" si="0"/>
        <v>2.8496231818181821</v>
      </c>
      <c r="K34" s="101" t="str">
        <f ca="1">D31</f>
        <v>30-Corn, Bt, ECB, RW, &amp; RIB, No Till, Continuous, 245 bushel Yield, Pivot Irrigated Electric</v>
      </c>
      <c r="L34" s="193">
        <f>L32+1</f>
        <v>41</v>
      </c>
    </row>
    <row r="35" spans="1:12" ht="14.25" customHeight="1" x14ac:dyDescent="0.2">
      <c r="A35">
        <v>34</v>
      </c>
      <c r="B35" t="s">
        <v>320</v>
      </c>
      <c r="C35" t="str">
        <f>"'"&amp;A35&amp;"-"&amp;B35&amp;"'!"</f>
        <v>'34-Corn'!</v>
      </c>
      <c r="D35" t="str">
        <f t="shared" ca="1" si="2"/>
        <v>34-Corn, Enlist, Bt, ECB, &amp; RIB, No Till, after Beans, 275 bushel Yield, Pivot Irrigated Electric</v>
      </c>
      <c r="E35" s="249">
        <f ca="1">IF(INDIRECT($C35&amp;"K75")=0,"N/A",INDIRECT($C35&amp;"K75"))</f>
        <v>2.760813181818182</v>
      </c>
      <c r="K35" s="101" t="str">
        <f ca="1">D32</f>
        <v>31-Corn, SmartStax RIB Complete, No Till, Continuous, 250 bushel Yield, Pivot Irrigated Electric</v>
      </c>
      <c r="L35" s="193">
        <f t="shared" si="4"/>
        <v>42</v>
      </c>
    </row>
    <row r="36" spans="1:12" ht="14.25" customHeight="1" x14ac:dyDescent="0.2">
      <c r="A36">
        <v>35</v>
      </c>
      <c r="B36" t="s">
        <v>320</v>
      </c>
      <c r="C36" t="str">
        <f t="shared" ref="C36:C38" si="7">"'"&amp;A36&amp;"-"&amp;B36&amp;"'!"</f>
        <v>'35-Corn'!</v>
      </c>
      <c r="D36" t="str">
        <f t="shared" ca="1" si="2"/>
        <v>35-Corn, Bt, ECB, RR2, LL, &amp; RIB, No Till, after Beans, 275 bushel Yield, Pivot Irrigated Electric</v>
      </c>
      <c r="E36" s="249">
        <f t="shared" ca="1" si="0"/>
        <v>4.1204918181818186</v>
      </c>
      <c r="K36" s="101" t="str">
        <f t="shared" ca="1" si="5"/>
        <v>33-Corn, Bt, ECB, &amp; RIB, No Till, after Beans, 275 bushel Yield, Pivot Irrigated Electric</v>
      </c>
      <c r="L36" s="193">
        <f t="shared" si="4"/>
        <v>43</v>
      </c>
    </row>
    <row r="37" spans="1:12" ht="14.25" customHeight="1" x14ac:dyDescent="0.2">
      <c r="A37">
        <v>36</v>
      </c>
      <c r="B37" t="s">
        <v>320</v>
      </c>
      <c r="C37" t="str">
        <f t="shared" si="7"/>
        <v>'36-Corn'!</v>
      </c>
      <c r="D37" t="str">
        <f t="shared" ca="1" si="2"/>
        <v>36-Corn, Bt, ECB, RW, &amp; RIB, Conventional Tillage, Continuous, 235 bushel Yield, Pivot Irrigated Diesel</v>
      </c>
      <c r="E37" s="249">
        <f t="shared" ca="1" si="0"/>
        <v>4.7537808510638291</v>
      </c>
      <c r="K37" s="101" t="str">
        <f t="shared" ca="1" si="5"/>
        <v>34-Corn, Enlist, Bt, ECB, &amp; RIB, No Till, after Beans, 275 bushel Yield, Pivot Irrigated Electric</v>
      </c>
      <c r="L37" s="193">
        <f t="shared" si="4"/>
        <v>44</v>
      </c>
    </row>
    <row r="38" spans="1:12" ht="14.25" customHeight="1" x14ac:dyDescent="0.2">
      <c r="A38">
        <v>37</v>
      </c>
      <c r="B38" t="s">
        <v>320</v>
      </c>
      <c r="C38" t="str">
        <f t="shared" si="7"/>
        <v>'37-Corn'!</v>
      </c>
      <c r="D38" t="str">
        <f t="shared" ca="1" si="2"/>
        <v>37-Corn, Bt, ECB, &amp; RIB, Conventional Tillage, after Beans, 245 bushel Yield, Pivot Irrigated Diesel</v>
      </c>
      <c r="E38" s="249">
        <f t="shared" ca="1" si="0"/>
        <v>4.3985719387755093</v>
      </c>
      <c r="K38" s="101" t="str">
        <f t="shared" ca="1" si="5"/>
        <v>35-Corn, Bt, ECB, RR2, LL, &amp; RIB, No Till, after Beans, 275 bushel Yield, Pivot Irrigated Electric</v>
      </c>
      <c r="L38" s="193">
        <f t="shared" si="4"/>
        <v>45</v>
      </c>
    </row>
    <row r="39" spans="1:12" ht="14.25" customHeight="1" x14ac:dyDescent="0.2">
      <c r="A39">
        <v>38</v>
      </c>
      <c r="B39" t="s">
        <v>320</v>
      </c>
      <c r="C39" t="str">
        <f t="shared" ref="C39:C84" si="8">"'"&amp;A39&amp;"-"&amp;B39&amp;"'!"</f>
        <v>'38-Corn'!</v>
      </c>
      <c r="D39" t="str">
        <f t="shared" ca="1" si="2"/>
        <v>38-Corn, SmartStax RIB Complete, Panhandle, Conventional Tillage, Continuous, 175 bushel Yield, Pivot Irrigated Electric</v>
      </c>
      <c r="E39" s="249">
        <f t="shared" ca="1" si="0"/>
        <v>3.6907699999999997</v>
      </c>
      <c r="K39" s="101" t="str">
        <f t="shared" ca="1" si="5"/>
        <v>36-Corn, Bt, ECB, RW, &amp; RIB, Conventional Tillage, Continuous, 235 bushel Yield, Pivot Irrigated Diesel</v>
      </c>
      <c r="L39" s="193">
        <f t="shared" ref="L39:L70" si="9">L38+1</f>
        <v>46</v>
      </c>
    </row>
    <row r="40" spans="1:12" ht="14.25" customHeight="1" x14ac:dyDescent="0.2">
      <c r="A40">
        <v>39</v>
      </c>
      <c r="B40" t="s">
        <v>320</v>
      </c>
      <c r="C40" t="str">
        <f t="shared" si="8"/>
        <v>'39-Corn'!</v>
      </c>
      <c r="D40" t="str">
        <f t="shared" ca="1" si="2"/>
        <v>39-Corn, Bt, ECB, RR2, LL, &amp; RIB, Panhandle, Conventional Tillage, after Beans, 185 bushel Yield, Pivot Irrigated Electric</v>
      </c>
      <c r="E40" s="249">
        <f t="shared" ca="1" si="0"/>
        <v>3.3953141891891896</v>
      </c>
      <c r="K40" s="101" t="str">
        <f t="shared" ca="1" si="5"/>
        <v>37-Corn, Bt, ECB, &amp; RIB, Conventional Tillage, after Beans, 245 bushel Yield, Pivot Irrigated Diesel</v>
      </c>
      <c r="L40" s="193">
        <f t="shared" si="9"/>
        <v>47</v>
      </c>
    </row>
    <row r="41" spans="1:12" ht="14.25" customHeight="1" x14ac:dyDescent="0.2">
      <c r="A41">
        <v>40</v>
      </c>
      <c r="B41" t="s">
        <v>320</v>
      </c>
      <c r="C41" t="str">
        <f t="shared" si="8"/>
        <v>'40-Corn'!</v>
      </c>
      <c r="D41" t="str">
        <f t="shared" ca="1" si="2"/>
        <v>40-Corn, SmartStax RIB Complete, Conventional Tillage, Continuous, 240 bushel Yield, Pivot Irrigated Electric</v>
      </c>
      <c r="E41" s="249">
        <f t="shared" ca="1" si="0"/>
        <v>1175.832375</v>
      </c>
      <c r="K41" s="101" t="str">
        <f t="shared" ca="1" si="5"/>
        <v>38-Corn, SmartStax RIB Complete, Panhandle, Conventional Tillage, Continuous, 175 bushel Yield, Pivot Irrigated Electric</v>
      </c>
      <c r="L41" s="193">
        <f t="shared" si="9"/>
        <v>48</v>
      </c>
    </row>
    <row r="42" spans="1:12" ht="14.25" customHeight="1" x14ac:dyDescent="0.2">
      <c r="A42">
        <v>41</v>
      </c>
      <c r="B42" t="s">
        <v>320</v>
      </c>
      <c r="C42" t="str">
        <f t="shared" si="8"/>
        <v>'41-Corn'!</v>
      </c>
      <c r="D42" t="str">
        <f t="shared" ca="1" si="2"/>
        <v>41-Corn, Silage, No Till, Continuous, 28 ton Yield, Pivot Irrigated Diesel</v>
      </c>
      <c r="E42" s="249">
        <f t="shared" ca="1" si="0"/>
        <v>47.444571428571429</v>
      </c>
      <c r="K42" s="101" t="str">
        <f t="shared" ca="1" si="5"/>
        <v>39-Corn, Bt, ECB, RR2, LL, &amp; RIB, Panhandle, Conventional Tillage, after Beans, 185 bushel Yield, Pivot Irrigated Electric</v>
      </c>
      <c r="L42" s="193">
        <f t="shared" si="9"/>
        <v>49</v>
      </c>
    </row>
    <row r="43" spans="1:12" ht="14.25" customHeight="1" x14ac:dyDescent="0.2">
      <c r="A43" s="369">
        <v>42</v>
      </c>
      <c r="B43" t="s">
        <v>946</v>
      </c>
      <c r="C43" t="str">
        <f t="shared" si="8"/>
        <v>'42-Popcorn'!</v>
      </c>
      <c r="D43" t="s">
        <v>971</v>
      </c>
      <c r="E43" s="249">
        <f t="shared" ca="1" si="0"/>
        <v>8.3281656250000002E-2</v>
      </c>
      <c r="K43" s="101"/>
      <c r="L43" s="193"/>
    </row>
    <row r="44" spans="1:12" ht="14.25" customHeight="1" x14ac:dyDescent="0.2">
      <c r="A44">
        <v>43</v>
      </c>
      <c r="B44" t="s">
        <v>807</v>
      </c>
      <c r="C44" t="str">
        <f t="shared" si="8"/>
        <v>'43-Dry Beans'!</v>
      </c>
      <c r="D44" t="str">
        <f t="shared" ca="1" si="2"/>
        <v>43-Dry Beans, Panhandle, Reduced Till, after Harvest Cover Crop, 27 cwt Yield, Pivot Irrigated Electric</v>
      </c>
      <c r="E44" s="249">
        <f t="shared" ca="1" si="0"/>
        <v>20.607805555555554</v>
      </c>
      <c r="K44" s="101" t="str">
        <f ca="1">D41</f>
        <v>40-Corn, SmartStax RIB Complete, Conventional Tillage, Continuous, 240 bushel Yield, Pivot Irrigated Electric</v>
      </c>
      <c r="L44" s="193">
        <f>L42+1</f>
        <v>50</v>
      </c>
    </row>
    <row r="45" spans="1:12" ht="14.25" customHeight="1" x14ac:dyDescent="0.2">
      <c r="A45">
        <v>44</v>
      </c>
      <c r="B45" t="s">
        <v>807</v>
      </c>
      <c r="C45" t="str">
        <f t="shared" si="8"/>
        <v>'44-Dry Beans'!</v>
      </c>
      <c r="D45" t="str">
        <f t="shared" ca="1" si="2"/>
        <v>44-Dry Beans, Panhandle, Conventional Tillage, 27 cwt Yield, Gravity Irrigated, fed by canal</v>
      </c>
      <c r="E45" s="249">
        <f t="shared" ca="1" si="0"/>
        <v>27.724870370370372</v>
      </c>
      <c r="K45" s="101" t="str">
        <f ca="1">D42</f>
        <v>41-Corn, Silage, No Till, Continuous, 28 ton Yield, Pivot Irrigated Diesel</v>
      </c>
      <c r="L45" s="193">
        <f t="shared" si="9"/>
        <v>51</v>
      </c>
    </row>
    <row r="46" spans="1:12" ht="14.25" customHeight="1" x14ac:dyDescent="0.2">
      <c r="A46">
        <v>45</v>
      </c>
      <c r="B46" t="s">
        <v>807</v>
      </c>
      <c r="C46" t="str">
        <f t="shared" si="8"/>
        <v>'45-Dry Beans'!</v>
      </c>
      <c r="D46" t="str">
        <f t="shared" ca="1" si="2"/>
        <v>45-Dry Beans, Panhandle, Conventional Tillage, 27 cwt Yield, Pivot Irrigated Electric</v>
      </c>
      <c r="E46" s="249">
        <f t="shared" ca="1" si="0"/>
        <v>20.73653240740741</v>
      </c>
    </row>
    <row r="47" spans="1:12" ht="14.25" customHeight="1" x14ac:dyDescent="0.2">
      <c r="A47">
        <v>46</v>
      </c>
      <c r="B47" t="s">
        <v>807</v>
      </c>
      <c r="C47" t="str">
        <f t="shared" si="8"/>
        <v>'46-Dry Beans'!</v>
      </c>
      <c r="D47" t="str">
        <f t="shared" ca="1" si="2"/>
        <v>46-Dry Beans, Direct Harvest, Panhandle, Conventional Tillage, 27 cwt Yield, Pivot Irrigated Electric</v>
      </c>
      <c r="E47" s="249">
        <f t="shared" ca="1" si="0"/>
        <v>21.314842592592594</v>
      </c>
      <c r="K47" s="195" t="s">
        <v>804</v>
      </c>
      <c r="L47" s="192" t="s">
        <v>805</v>
      </c>
    </row>
    <row r="48" spans="1:12" ht="14.25" customHeight="1" x14ac:dyDescent="0.2">
      <c r="A48">
        <v>47</v>
      </c>
      <c r="B48" t="s">
        <v>808</v>
      </c>
      <c r="C48" t="str">
        <f t="shared" si="8"/>
        <v>'47-Grain Sorghum'!</v>
      </c>
      <c r="D48" t="str">
        <f t="shared" ca="1" si="2"/>
        <v>47-Grain Sorghum, Southwest, Conventional Tillage, 85 bushel Yield, Dryland</v>
      </c>
      <c r="E48" s="249">
        <f t="shared" ca="1" si="0"/>
        <v>4.6294661764705882</v>
      </c>
      <c r="K48" s="101" t="str">
        <f ca="1">D44</f>
        <v>43-Dry Beans, Panhandle, Reduced Till, after Harvest Cover Crop, 27 cwt Yield, Pivot Irrigated Electric</v>
      </c>
      <c r="L48" s="193">
        <f>L45+1</f>
        <v>52</v>
      </c>
    </row>
    <row r="49" spans="1:12" ht="14.25" customHeight="1" x14ac:dyDescent="0.2">
      <c r="A49">
        <v>48</v>
      </c>
      <c r="B49" t="s">
        <v>808</v>
      </c>
      <c r="C49" t="str">
        <f t="shared" si="8"/>
        <v>'48-Grain Sorghum'!</v>
      </c>
      <c r="D49" t="str">
        <f t="shared" ca="1" si="2"/>
        <v>48-Grain Sorghum, No Till, 135 bushel Yield, Dryland</v>
      </c>
      <c r="E49" s="249">
        <f t="shared" ca="1" si="0"/>
        <v>3.8326277777777782</v>
      </c>
      <c r="K49" s="101" t="str">
        <f ca="1">D45</f>
        <v>44-Dry Beans, Panhandle, Conventional Tillage, 27 cwt Yield, Gravity Irrigated, fed by canal</v>
      </c>
      <c r="L49" s="193">
        <f>L48+1</f>
        <v>53</v>
      </c>
    </row>
    <row r="50" spans="1:12" ht="14.25" customHeight="1" x14ac:dyDescent="0.2">
      <c r="A50">
        <v>49</v>
      </c>
      <c r="B50" t="s">
        <v>808</v>
      </c>
      <c r="C50" t="str">
        <f t="shared" si="8"/>
        <v>'49-Grain Sorghum'!</v>
      </c>
      <c r="D50" t="str">
        <f t="shared" ca="1" si="2"/>
        <v>49-Grain Sorghum, Southwest, Ecofallow, after Wheat, Two Crops in Three Years, 120 bushel Yield, Dryland</v>
      </c>
      <c r="E50" s="249">
        <f t="shared" ca="1" si="0"/>
        <v>3.4219677083333337</v>
      </c>
      <c r="K50" s="101" t="str">
        <f t="shared" ref="K50:K84" ca="1" si="10">D46</f>
        <v>45-Dry Beans, Panhandle, Conventional Tillage, 27 cwt Yield, Pivot Irrigated Electric</v>
      </c>
      <c r="L50" s="193">
        <f>L49+1</f>
        <v>54</v>
      </c>
    </row>
    <row r="51" spans="1:12" ht="14.25" customHeight="1" x14ac:dyDescent="0.2">
      <c r="A51">
        <v>50</v>
      </c>
      <c r="B51" t="s">
        <v>808</v>
      </c>
      <c r="C51" t="str">
        <f t="shared" si="8"/>
        <v>'50-Grain Sorghum'!</v>
      </c>
      <c r="D51" t="str">
        <f ca="1">INDIRECT(C51&amp;"A6")</f>
        <v>50-Grain Sorghum, No Till, Limited Irrigation, 170 bushel Yield, Pivot Irrigated Diesel</v>
      </c>
      <c r="E51" s="249">
        <f t="shared" ca="1" si="0"/>
        <v>4.2115514705882351</v>
      </c>
      <c r="K51" s="101" t="str">
        <f t="shared" ca="1" si="10"/>
        <v>46-Dry Beans, Direct Harvest, Panhandle, Conventional Tillage, 27 cwt Yield, Pivot Irrigated Electric</v>
      </c>
      <c r="L51" s="193">
        <f t="shared" si="9"/>
        <v>55</v>
      </c>
    </row>
    <row r="52" spans="1:12" ht="14.25" customHeight="1" x14ac:dyDescent="0.2">
      <c r="A52">
        <v>51</v>
      </c>
      <c r="B52" t="s">
        <v>809</v>
      </c>
      <c r="C52" t="str">
        <f t="shared" si="8"/>
        <v>'51-Grass'!</v>
      </c>
      <c r="D52" t="str">
        <f t="shared" ca="1" si="2"/>
        <v>51-Grass, Fall Establishment, Pivot Irrigated Diesel</v>
      </c>
      <c r="E52" s="249" t="str">
        <f t="shared" ca="1" si="0"/>
        <v/>
      </c>
      <c r="K52" s="101" t="str">
        <f t="shared" ca="1" si="10"/>
        <v>47-Grain Sorghum, Southwest, Conventional Tillage, 85 bushel Yield, Dryland</v>
      </c>
      <c r="L52" s="193">
        <f t="shared" si="9"/>
        <v>56</v>
      </c>
    </row>
    <row r="53" spans="1:12" ht="14.25" customHeight="1" x14ac:dyDescent="0.2">
      <c r="A53">
        <v>52</v>
      </c>
      <c r="B53" t="s">
        <v>810</v>
      </c>
      <c r="C53" t="str">
        <f t="shared" si="8"/>
        <v>'52-Grass Hay'!</v>
      </c>
      <c r="D53" t="str">
        <f t="shared" ca="1" si="2"/>
        <v>52-Grass Hay, Large Round Bales, 3.3 ton Yield</v>
      </c>
      <c r="E53" s="249">
        <f t="shared" ca="1" si="0"/>
        <v>105.15276515151515</v>
      </c>
      <c r="K53" s="101" t="str">
        <f t="shared" ca="1" si="10"/>
        <v>48-Grain Sorghum, No Till, 135 bushel Yield, Dryland</v>
      </c>
      <c r="L53" s="193">
        <f t="shared" si="9"/>
        <v>57</v>
      </c>
    </row>
    <row r="54" spans="1:12" ht="14.25" customHeight="1" x14ac:dyDescent="0.2">
      <c r="A54">
        <v>53</v>
      </c>
      <c r="B54" t="s">
        <v>811</v>
      </c>
      <c r="C54" t="str">
        <f t="shared" si="8"/>
        <v>'53-Millet-Proso'!</v>
      </c>
      <c r="D54" t="str">
        <f t="shared" ca="1" si="2"/>
        <v>53-Millet-Proso, Panhandle, Stubble Mulch Fallow, Followed by Wheat, Two Crops in Three Years, 22 cwt Yield, Dryland</v>
      </c>
      <c r="E54" s="249">
        <v>105.15276515151515</v>
      </c>
      <c r="K54" s="101" t="str">
        <f t="shared" ca="1" si="10"/>
        <v>49-Grain Sorghum, Southwest, Ecofallow, after Wheat, Two Crops in Three Years, 120 bushel Yield, Dryland</v>
      </c>
      <c r="L54" s="193">
        <f t="shared" si="9"/>
        <v>58</v>
      </c>
    </row>
    <row r="55" spans="1:12" ht="14.25" customHeight="1" x14ac:dyDescent="0.2">
      <c r="A55">
        <v>54</v>
      </c>
      <c r="B55" t="s">
        <v>811</v>
      </c>
      <c r="C55" t="str">
        <f t="shared" si="8"/>
        <v>'54-Millet-Proso'!</v>
      </c>
      <c r="D55" t="str">
        <f t="shared" ca="1" si="2"/>
        <v>54-Millet-Proso, Panhandle, No Till, 22 cwt Yield, Dryland</v>
      </c>
      <c r="E55" s="249">
        <f t="shared" ca="1" si="0"/>
        <v>6.5245454545454544</v>
      </c>
      <c r="K55" s="101" t="str">
        <f t="shared" ca="1" si="10"/>
        <v>50-Grain Sorghum, No Till, Limited Irrigation, 170 bushel Yield, Pivot Irrigated Diesel</v>
      </c>
      <c r="L55" s="193">
        <f t="shared" si="9"/>
        <v>59</v>
      </c>
    </row>
    <row r="56" spans="1:12" ht="14.25" customHeight="1" x14ac:dyDescent="0.2">
      <c r="A56">
        <v>55</v>
      </c>
      <c r="B56" t="s">
        <v>335</v>
      </c>
      <c r="C56" t="str">
        <f t="shared" si="8"/>
        <v>'55-Oats'!</v>
      </c>
      <c r="D56" t="str">
        <f t="shared" ca="1" si="2"/>
        <v>55-Oats, No Till, 85 bushel Yield, Dryland</v>
      </c>
      <c r="E56" s="249">
        <f t="shared" ca="1" si="0"/>
        <v>2.7291235294117646</v>
      </c>
      <c r="K56" s="101" t="str">
        <f t="shared" ca="1" si="10"/>
        <v>51-Grass, Fall Establishment, Pivot Irrigated Diesel</v>
      </c>
      <c r="L56" s="193">
        <f t="shared" si="9"/>
        <v>60</v>
      </c>
    </row>
    <row r="57" spans="1:12" ht="14.25" customHeight="1" x14ac:dyDescent="0.2">
      <c r="A57">
        <v>56</v>
      </c>
      <c r="B57" t="s">
        <v>812</v>
      </c>
      <c r="C57" t="str">
        <f t="shared" si="8"/>
        <v>'56-Pasture'!</v>
      </c>
      <c r="D57" t="str">
        <f t="shared" ca="1" si="2"/>
        <v>56-Pasture, Grazing, 11 AUM Yield, Pivot Irrigated Diesel</v>
      </c>
      <c r="E57" s="249">
        <f t="shared" ca="1" si="0"/>
        <v>60.991931818181804</v>
      </c>
      <c r="K57" s="101" t="str">
        <f t="shared" ca="1" si="10"/>
        <v>52-Grass Hay, Large Round Bales, 3.3 ton Yield</v>
      </c>
      <c r="L57" s="193">
        <f t="shared" si="9"/>
        <v>61</v>
      </c>
    </row>
    <row r="58" spans="1:12" ht="14.25" customHeight="1" x14ac:dyDescent="0.2">
      <c r="A58">
        <v>57</v>
      </c>
      <c r="B58" t="s">
        <v>336</v>
      </c>
      <c r="C58" t="str">
        <f t="shared" si="8"/>
        <v>'57-Peas'!</v>
      </c>
      <c r="D58" t="str">
        <f t="shared" ca="1" si="2"/>
        <v>57-Peas, Panhandle, No Till, 35 bushel Yield, Dryland</v>
      </c>
      <c r="E58" s="249">
        <f t="shared" ca="1" si="0"/>
        <v>6.9071821428571427</v>
      </c>
      <c r="K58" s="101" t="str">
        <f t="shared" ca="1" si="10"/>
        <v>53-Millet-Proso, Panhandle, Stubble Mulch Fallow, Followed by Wheat, Two Crops in Three Years, 22 cwt Yield, Dryland</v>
      </c>
      <c r="L58" s="193">
        <f t="shared" si="9"/>
        <v>62</v>
      </c>
    </row>
    <row r="59" spans="1:12" ht="14.25" customHeight="1" x14ac:dyDescent="0.2">
      <c r="A59">
        <v>58</v>
      </c>
      <c r="B59" t="s">
        <v>813</v>
      </c>
      <c r="C59" t="str">
        <f t="shared" si="8"/>
        <v>'58-Sorghum-Sudan'!</v>
      </c>
      <c r="D59" t="str">
        <f t="shared" ca="1" si="2"/>
        <v>58-Sorghum-Sudan, Annually Planted, Conventional Tillage, Large Round Bales, 5 ton Yield, Dryland</v>
      </c>
      <c r="E59" s="249">
        <f t="shared" ca="1" si="0"/>
        <v>88.081625000000003</v>
      </c>
      <c r="K59" s="101" t="str">
        <f t="shared" ca="1" si="10"/>
        <v>54-Millet-Proso, Panhandle, No Till, 22 cwt Yield, Dryland</v>
      </c>
      <c r="L59" s="193">
        <f t="shared" si="9"/>
        <v>63</v>
      </c>
    </row>
    <row r="60" spans="1:12" ht="14.25" customHeight="1" x14ac:dyDescent="0.2">
      <c r="A60">
        <v>59</v>
      </c>
      <c r="B60" t="s">
        <v>814</v>
      </c>
      <c r="C60" t="str">
        <f t="shared" si="8"/>
        <v>'59-Soybeans'!</v>
      </c>
      <c r="D60" t="str">
        <f t="shared" ca="1" si="2"/>
        <v>59-Soybeans, Roundup Ready 2 Yield®, Conventional Tillage, after Corn, 45 bushel Yield, Dryland</v>
      </c>
      <c r="E60" s="249">
        <f t="shared" ca="1" si="0"/>
        <v>135.9</v>
      </c>
      <c r="K60" s="101" t="str">
        <f t="shared" ca="1" si="10"/>
        <v>55-Oats, No Till, 85 bushel Yield, Dryland</v>
      </c>
      <c r="L60" s="193">
        <f t="shared" si="9"/>
        <v>64</v>
      </c>
    </row>
    <row r="61" spans="1:12" ht="14.25" customHeight="1" x14ac:dyDescent="0.2">
      <c r="A61">
        <v>60</v>
      </c>
      <c r="B61" t="s">
        <v>814</v>
      </c>
      <c r="C61" t="str">
        <f t="shared" si="8"/>
        <v>'60-Soybeans'!</v>
      </c>
      <c r="D61" t="str">
        <f t="shared" ca="1" si="2"/>
        <v>60-Soybeans, Roundup Ready 2 Yield®, No Till,  after Corn, 50 bushel Yield, Dryland</v>
      </c>
      <c r="E61" s="249">
        <f t="shared" ca="1" si="0"/>
        <v>58.89</v>
      </c>
      <c r="K61" s="101" t="str">
        <f t="shared" ca="1" si="10"/>
        <v>56-Pasture, Grazing, 11 AUM Yield, Pivot Irrigated Diesel</v>
      </c>
      <c r="L61" s="193">
        <f t="shared" si="9"/>
        <v>65</v>
      </c>
    </row>
    <row r="62" spans="1:12" ht="14.25" customHeight="1" x14ac:dyDescent="0.2">
      <c r="A62">
        <v>61</v>
      </c>
      <c r="B62" t="s">
        <v>814</v>
      </c>
      <c r="C62" t="str">
        <f t="shared" si="8"/>
        <v>'61-Soybeans'!</v>
      </c>
      <c r="D62" t="str">
        <f t="shared" ca="1" si="2"/>
        <v>61-Soybeans, Roundup Ready 2 Yield®, No Till, Continuous, 45 bushel Yield, Dryland</v>
      </c>
      <c r="E62" s="249">
        <f t="shared" ca="1" si="0"/>
        <v>135.9</v>
      </c>
      <c r="K62" s="101" t="str">
        <f t="shared" ca="1" si="10"/>
        <v>57-Peas, Panhandle, No Till, 35 bushel Yield, Dryland</v>
      </c>
      <c r="L62" s="193">
        <f t="shared" si="9"/>
        <v>66</v>
      </c>
    </row>
    <row r="63" spans="1:12" ht="14.25" customHeight="1" x14ac:dyDescent="0.2">
      <c r="A63">
        <v>62</v>
      </c>
      <c r="B63" t="s">
        <v>814</v>
      </c>
      <c r="C63" t="str">
        <f t="shared" si="8"/>
        <v>'62-Soybeans'!</v>
      </c>
      <c r="D63" t="str">
        <f t="shared" ca="1" si="2"/>
        <v>62-Soybeans, Roundup Ready 2 Yield®, Conventional Tillage, after Corn, 67 bushel Yield, Pivot Irrigated Diesel</v>
      </c>
      <c r="E63" s="249" t="str">
        <f t="shared" ca="1" si="0"/>
        <v>N/A</v>
      </c>
      <c r="K63" s="101" t="str">
        <f t="shared" ca="1" si="10"/>
        <v>58-Sorghum-Sudan, Annually Planted, Conventional Tillage, Large Round Bales, 5 ton Yield, Dryland</v>
      </c>
      <c r="L63" s="193">
        <f t="shared" si="9"/>
        <v>67</v>
      </c>
    </row>
    <row r="64" spans="1:12" ht="14.25" customHeight="1" x14ac:dyDescent="0.2">
      <c r="A64">
        <v>63</v>
      </c>
      <c r="B64" t="s">
        <v>814</v>
      </c>
      <c r="C64" t="str">
        <f t="shared" si="8"/>
        <v>'63-Soybeans'!</v>
      </c>
      <c r="D64" t="str">
        <f t="shared" ca="1" si="2"/>
        <v>63-Soybeans, Roundup Ready 2 Yield®, Ridge Till, after Corn, 70 bushel Yield, Gravity Irrigated Diesel, fed by a well</v>
      </c>
      <c r="E64" s="249" t="str">
        <f t="shared" ca="1" si="0"/>
        <v>N/A</v>
      </c>
      <c r="K64" s="101" t="str">
        <f ca="1">D61</f>
        <v>60-Soybeans, Roundup Ready 2 Yield®, No Till,  after Corn, 50 bushel Yield, Dryland</v>
      </c>
      <c r="L64" s="193" t="e">
        <f>#REF!+1</f>
        <v>#REF!</v>
      </c>
    </row>
    <row r="65" spans="1:12" ht="14.25" customHeight="1" x14ac:dyDescent="0.2">
      <c r="A65">
        <v>64</v>
      </c>
      <c r="B65" t="s">
        <v>814</v>
      </c>
      <c r="C65" t="str">
        <f t="shared" si="8"/>
        <v>'64-Soybeans'!</v>
      </c>
      <c r="D65" t="str">
        <f t="shared" ca="1" si="2"/>
        <v>64-Soybeans, Roundup Ready 2 Yield® Treated, No Till, Narrow Row, Continuous, 64 bushel Yield, Pivot Irrigated Diesel</v>
      </c>
      <c r="E65" s="249">
        <f t="shared" ca="1" si="0"/>
        <v>779.37262499999997</v>
      </c>
      <c r="K65" s="101" t="str">
        <f ca="1">D62</f>
        <v>61-Soybeans, Roundup Ready 2 Yield®, No Till, Continuous, 45 bushel Yield, Dryland</v>
      </c>
      <c r="L65" s="193" t="e">
        <f t="shared" si="9"/>
        <v>#REF!</v>
      </c>
    </row>
    <row r="66" spans="1:12" ht="14.25" customHeight="1" x14ac:dyDescent="0.2">
      <c r="A66">
        <v>65</v>
      </c>
      <c r="B66" t="s">
        <v>814</v>
      </c>
      <c r="C66" t="str">
        <f t="shared" si="8"/>
        <v>'65-Soybeans'!</v>
      </c>
      <c r="D66" t="str">
        <f t="shared" ca="1" si="2"/>
        <v>65-Soybeans, LibertyLink® Treated, No Till Drilled 7.5-inch Rows, after Corn, 78 bushel Yield, Pivot Irrigated Diesel</v>
      </c>
      <c r="E66" s="249" t="str">
        <f t="shared" ca="1" si="0"/>
        <v>N/A</v>
      </c>
      <c r="K66" s="101" t="str">
        <f ca="1">D63</f>
        <v>62-Soybeans, Roundup Ready 2 Yield®, Conventional Tillage, after Corn, 67 bushel Yield, Pivot Irrigated Diesel</v>
      </c>
      <c r="L66" s="193" t="e">
        <f t="shared" si="9"/>
        <v>#REF!</v>
      </c>
    </row>
    <row r="67" spans="1:12" ht="14.25" customHeight="1" x14ac:dyDescent="0.2">
      <c r="A67">
        <v>66</v>
      </c>
      <c r="B67" t="s">
        <v>814</v>
      </c>
      <c r="C67" t="str">
        <f t="shared" ref="C67" si="11">"'"&amp;A67&amp;"-"&amp;B67&amp;"'!"</f>
        <v>'66-Soybeans'!</v>
      </c>
      <c r="D67" t="str">
        <f t="shared" ca="1" si="2"/>
        <v>66-Soybeans, Enlist E3™ Treated, No Till Drilled 7.5-inch Rows, after Corn, 78 bushel Yield, Pivot Irrigated Diesel</v>
      </c>
      <c r="E67" s="249" t="str">
        <f t="shared" ref="E67:E72" ca="1" si="12">IF(INDIRECT($C67&amp;"K75")=0,"N/A",INDIRECT($C67&amp;"K75"))</f>
        <v>N/A</v>
      </c>
      <c r="K67" s="101" t="str">
        <f ca="1">D64</f>
        <v>63-Soybeans, Roundup Ready 2 Yield®, Ridge Till, after Corn, 70 bushel Yield, Gravity Irrigated Diesel, fed by a well</v>
      </c>
      <c r="L67" s="193" t="e">
        <f>#REF!+1</f>
        <v>#REF!</v>
      </c>
    </row>
    <row r="68" spans="1:12" ht="14.25" customHeight="1" x14ac:dyDescent="0.2">
      <c r="A68">
        <v>67</v>
      </c>
      <c r="B68" t="s">
        <v>815</v>
      </c>
      <c r="C68" t="str">
        <f t="shared" si="8"/>
        <v>'67-Sugarbeet'!</v>
      </c>
      <c r="D68" t="str">
        <f t="shared" ca="1" si="2"/>
        <v>67-Sugarbeet, Roundup Ready®, Panhandle, One Pass Zone-Tillage, 30 ton Yield, Gravity Irrigated, fed by canal</v>
      </c>
      <c r="E68" s="249" t="str">
        <f t="shared" ca="1" si="12"/>
        <v>N/A</v>
      </c>
      <c r="K68" s="101" t="str">
        <f ca="1">D65</f>
        <v>64-Soybeans, Roundup Ready 2 Yield® Treated, No Till, Narrow Row, Continuous, 64 bushel Yield, Pivot Irrigated Diesel</v>
      </c>
      <c r="L68" s="193" t="e">
        <f t="shared" si="9"/>
        <v>#REF!</v>
      </c>
    </row>
    <row r="69" spans="1:12" ht="14.25" customHeight="1" x14ac:dyDescent="0.2">
      <c r="A69">
        <v>68</v>
      </c>
      <c r="B69" t="s">
        <v>815</v>
      </c>
      <c r="C69" t="str">
        <f t="shared" si="8"/>
        <v>'68-Sugarbeet'!</v>
      </c>
      <c r="D69" t="str">
        <f t="shared" ca="1" si="2"/>
        <v>68-Sugarbeet, Roundup Ready®, Panhandle, Conventional Tillage, 30 ton Yield, Gravity Irrigated, fed by canal</v>
      </c>
      <c r="E69" s="249">
        <f t="shared" ca="1" si="12"/>
        <v>1356.5988749999999</v>
      </c>
      <c r="K69" s="101" t="e">
        <f>#REF!</f>
        <v>#REF!</v>
      </c>
      <c r="L69" s="193" t="e">
        <f t="shared" si="9"/>
        <v>#REF!</v>
      </c>
    </row>
    <row r="70" spans="1:12" ht="14.25" customHeight="1" x14ac:dyDescent="0.2">
      <c r="A70">
        <v>69</v>
      </c>
      <c r="B70" t="s">
        <v>815</v>
      </c>
      <c r="C70" t="str">
        <f t="shared" si="8"/>
        <v>'69-Sugarbeet'!</v>
      </c>
      <c r="D70" t="str">
        <f t="shared" ca="1" si="2"/>
        <v>69-Sugarbeet, Roundup Ready®, Panhandle, One Pass Zone-Tillage, 30 ton Yield, Pivot Irrigated Diesel</v>
      </c>
      <c r="E70" s="249">
        <f t="shared" ca="1" si="12"/>
        <v>51.61</v>
      </c>
      <c r="K70" s="101" t="str">
        <f ca="1">D66</f>
        <v>65-Soybeans, LibertyLink® Treated, No Till Drilled 7.5-inch Rows, after Corn, 78 bushel Yield, Pivot Irrigated Diesel</v>
      </c>
      <c r="L70" s="193" t="e">
        <f t="shared" si="9"/>
        <v>#REF!</v>
      </c>
    </row>
    <row r="71" spans="1:12" ht="14.25" customHeight="1" x14ac:dyDescent="0.2">
      <c r="A71">
        <v>70</v>
      </c>
      <c r="B71" t="s">
        <v>815</v>
      </c>
      <c r="C71" t="str">
        <f t="shared" si="8"/>
        <v>'70-Sugarbeet'!</v>
      </c>
      <c r="D71" t="str">
        <f t="shared" ca="1" si="2"/>
        <v>70-Sugarbeet, Roundup Ready®, Panhandle, Conventional Tillage, 30 ton Yield, Pivot Irrigated Diesel</v>
      </c>
      <c r="E71" s="249">
        <f t="shared" ca="1" si="12"/>
        <v>35</v>
      </c>
      <c r="K71" s="101"/>
      <c r="L71" s="193"/>
    </row>
    <row r="72" spans="1:12" ht="14.25" customHeight="1" x14ac:dyDescent="0.2">
      <c r="A72">
        <v>71</v>
      </c>
      <c r="B72" t="s">
        <v>816</v>
      </c>
      <c r="C72" t="str">
        <f t="shared" si="8"/>
        <v>'71-Sunflower'!</v>
      </c>
      <c r="D72" t="str">
        <f t="shared" ref="D72:D79" ca="1" si="13">INDIRECT(C72&amp;"A6")</f>
        <v>71-Sunflower, Clearfield, Panhandle, No Till, Following Corn or Grain Sorghum, 13 cwt Yield, Dryland</v>
      </c>
      <c r="E72" s="249">
        <f t="shared" ca="1" si="12"/>
        <v>15.010375000000002</v>
      </c>
      <c r="K72" s="101" t="e">
        <f>#REF!</f>
        <v>#REF!</v>
      </c>
      <c r="L72" s="193" t="e">
        <f>L70+1</f>
        <v>#REF!</v>
      </c>
    </row>
    <row r="73" spans="1:12" ht="14.25" customHeight="1" x14ac:dyDescent="0.2">
      <c r="A73">
        <v>72</v>
      </c>
      <c r="B73" t="s">
        <v>816</v>
      </c>
      <c r="C73" t="str">
        <f t="shared" si="8"/>
        <v>'72-Sunflower'!</v>
      </c>
      <c r="D73" t="str">
        <f t="shared" ca="1" si="13"/>
        <v>72-Sunflower, Clearfield, Panhandle, Ecofallow, after Wheat, Two Crops in Three Years, 16 cwt Yield, Dryland</v>
      </c>
      <c r="E73" s="249">
        <f t="shared" ref="E73:E84" ca="1" si="14">IF(INDIRECT($C73&amp;"K75")=0,"N/A",INDIRECT($C73&amp;"K75"))</f>
        <v>14.295570312500001</v>
      </c>
      <c r="K73" s="101" t="e">
        <f>#REF!</f>
        <v>#REF!</v>
      </c>
      <c r="L73" s="193" t="e">
        <f t="shared" ref="L73:L84" si="15">L72+1</f>
        <v>#REF!</v>
      </c>
    </row>
    <row r="74" spans="1:12" ht="14.25" customHeight="1" x14ac:dyDescent="0.2">
      <c r="A74">
        <v>73</v>
      </c>
      <c r="B74" t="s">
        <v>816</v>
      </c>
      <c r="C74" t="str">
        <f t="shared" si="8"/>
        <v>'73-Sunflower'!</v>
      </c>
      <c r="D74" t="str">
        <f t="shared" ca="1" si="13"/>
        <v>73-Sunflower, Clearfield, Panhandle, No Till, 30 cwt Yield, Pivot Irrigated Electric</v>
      </c>
      <c r="E74" s="249" t="str">
        <f t="shared" ca="1" si="14"/>
        <v>N/A</v>
      </c>
      <c r="K74" s="101" t="str">
        <f ca="1">D67</f>
        <v>66-Soybeans, Enlist E3™ Treated, No Till Drilled 7.5-inch Rows, after Corn, 78 bushel Yield, Pivot Irrigated Diesel</v>
      </c>
      <c r="L74" s="193" t="e">
        <f t="shared" si="15"/>
        <v>#REF!</v>
      </c>
    </row>
    <row r="75" spans="1:12" ht="14.25" customHeight="1" x14ac:dyDescent="0.2">
      <c r="A75">
        <v>74</v>
      </c>
      <c r="B75" t="s">
        <v>817</v>
      </c>
      <c r="C75" t="str">
        <f t="shared" si="8"/>
        <v>'74-Wheat-Spring'!</v>
      </c>
      <c r="D75" t="str">
        <f t="shared" ca="1" si="13"/>
        <v>74-Wheat-Spring, Southwest, No Till, Wheat after Row Crop, 40 bushel Yield, Dryland</v>
      </c>
      <c r="E75" s="249">
        <f t="shared" ca="1" si="14"/>
        <v>5.178725</v>
      </c>
      <c r="K75" s="101"/>
      <c r="L75" s="193"/>
    </row>
    <row r="76" spans="1:12" ht="14.25" customHeight="1" x14ac:dyDescent="0.2">
      <c r="A76">
        <v>75</v>
      </c>
      <c r="B76" t="s">
        <v>818</v>
      </c>
      <c r="C76" t="str">
        <f t="shared" si="8"/>
        <v>'75-Wheat-Winter'!</v>
      </c>
      <c r="D76" t="str">
        <f t="shared" ca="1" si="13"/>
        <v>75-Wheat-Winter, Southwest, No Till, Wheat after Row Crop, 55 bushel Yield, Dryland</v>
      </c>
      <c r="E76" s="249">
        <f t="shared" ca="1" si="14"/>
        <v>3.7921886363636359</v>
      </c>
      <c r="K76" s="101" t="str">
        <f ca="1">D68</f>
        <v>67-Sugarbeet, Roundup Ready®, Panhandle, One Pass Zone-Tillage, 30 ton Yield, Gravity Irrigated, fed by canal</v>
      </c>
      <c r="L76" s="193" t="e">
        <f>L74+1</f>
        <v>#REF!</v>
      </c>
    </row>
    <row r="77" spans="1:12" ht="14.25" customHeight="1" x14ac:dyDescent="0.2">
      <c r="A77">
        <v>76</v>
      </c>
      <c r="B77" t="s">
        <v>818</v>
      </c>
      <c r="C77" t="str">
        <f t="shared" si="8"/>
        <v>'76-Wheat-Winter'!</v>
      </c>
      <c r="D77" t="str">
        <f t="shared" ca="1" si="13"/>
        <v>76-Wheat-Winter, Panhandle, No Till, Fallow, One Crop in Two Years, 70 bushel Yield, Dryland</v>
      </c>
      <c r="E77" s="249">
        <f t="shared" ca="1" si="14"/>
        <v>3.5428714285714284</v>
      </c>
      <c r="K77" s="101" t="str">
        <f ca="1">D72</f>
        <v>71-Sunflower, Clearfield, Panhandle, No Till, Following Corn or Grain Sorghum, 13 cwt Yield, Dryland</v>
      </c>
      <c r="L77" s="193" t="e">
        <f t="shared" si="15"/>
        <v>#REF!</v>
      </c>
    </row>
    <row r="78" spans="1:12" ht="14.25" customHeight="1" x14ac:dyDescent="0.2">
      <c r="A78">
        <v>77</v>
      </c>
      <c r="B78" t="s">
        <v>818</v>
      </c>
      <c r="C78" t="str">
        <f t="shared" si="8"/>
        <v>'77-Wheat-Winter'!</v>
      </c>
      <c r="D78" t="str">
        <f t="shared" ca="1" si="13"/>
        <v>77-Wheat-Winter, Panhandle, Stubble Mulch Fallow, One Crop in Two Years, 65 bushel Yield, Dryland</v>
      </c>
      <c r="E78" s="249">
        <f t="shared" ca="1" si="14"/>
        <v>3.4240230769230768</v>
      </c>
      <c r="K78" s="101" t="str">
        <f ca="1">D73</f>
        <v>72-Sunflower, Clearfield, Panhandle, Ecofallow, after Wheat, Two Crops in Three Years, 16 cwt Yield, Dryland</v>
      </c>
      <c r="L78" s="193" t="e">
        <f t="shared" si="15"/>
        <v>#REF!</v>
      </c>
    </row>
    <row r="79" spans="1:12" ht="14.25" customHeight="1" x14ac:dyDescent="0.2">
      <c r="A79">
        <v>78</v>
      </c>
      <c r="B79" t="s">
        <v>818</v>
      </c>
      <c r="C79" t="str">
        <f t="shared" si="8"/>
        <v>'78-Wheat-Winter'!</v>
      </c>
      <c r="D79" t="str">
        <f t="shared" ca="1" si="13"/>
        <v>78-Wheat-Winter, Panhandle, Conventional Tillage, One Crop in Two Years, 60 bushel Yield, Dryland</v>
      </c>
      <c r="E79" s="249">
        <f t="shared" ca="1" si="14"/>
        <v>3.6014583333333334</v>
      </c>
      <c r="K79" s="101" t="str">
        <f ca="1">D74</f>
        <v>73-Sunflower, Clearfield, Panhandle, No Till, 30 cwt Yield, Pivot Irrigated Electric</v>
      </c>
      <c r="L79" s="193" t="e">
        <f t="shared" si="15"/>
        <v>#REF!</v>
      </c>
    </row>
    <row r="80" spans="1:12" ht="14.25" customHeight="1" x14ac:dyDescent="0.2">
      <c r="A80">
        <v>79</v>
      </c>
      <c r="B80" t="s">
        <v>818</v>
      </c>
      <c r="C80" t="str">
        <f t="shared" si="8"/>
        <v>'79-Wheat-Winter'!</v>
      </c>
      <c r="D80" t="str">
        <f ca="1">INDIRECT(C80&amp;"A6")</f>
        <v>79-Wheat-Winter, Southwest, No Till, Wheat before Corn, Two Crops in Three Years, 80 bushel Yield, Dryland</v>
      </c>
      <c r="E80" s="249">
        <f t="shared" ca="1" si="14"/>
        <v>3.45930625</v>
      </c>
      <c r="K80" s="101" t="str">
        <f t="shared" ca="1" si="10"/>
        <v>75-Wheat-Winter, Southwest, No Till, Wheat after Row Crop, 55 bushel Yield, Dryland</v>
      </c>
      <c r="L80" s="193" t="e">
        <f t="shared" si="15"/>
        <v>#REF!</v>
      </c>
    </row>
    <row r="81" spans="1:12" x14ac:dyDescent="0.2">
      <c r="A81">
        <v>80</v>
      </c>
      <c r="B81" t="s">
        <v>818</v>
      </c>
      <c r="C81" t="str">
        <f t="shared" si="8"/>
        <v>'80-Wheat-Winter'!</v>
      </c>
      <c r="D81" t="str">
        <f t="shared" ref="D81:D84" ca="1" si="16">INDIRECT(C81&amp;"A6")</f>
        <v>80-Wheat-Winter, Panhandle, No Till, after Dry Beans, 105 bushel Yield, Pivot Irrigated Diesel</v>
      </c>
      <c r="E81" s="249">
        <f t="shared" ca="1" si="14"/>
        <v>3.811869047619048</v>
      </c>
      <c r="K81" s="101" t="str">
        <f t="shared" ca="1" si="10"/>
        <v>76-Wheat-Winter, Panhandle, No Till, Fallow, One Crop in Two Years, 70 bushel Yield, Dryland</v>
      </c>
      <c r="L81" s="193" t="e">
        <f t="shared" si="15"/>
        <v>#REF!</v>
      </c>
    </row>
    <row r="82" spans="1:12" x14ac:dyDescent="0.2">
      <c r="A82">
        <v>81</v>
      </c>
      <c r="B82" t="s">
        <v>818</v>
      </c>
      <c r="C82" t="str">
        <f t="shared" si="8"/>
        <v>'81-Wheat-Winter'!</v>
      </c>
      <c r="D82" t="str">
        <f t="shared" ca="1" si="16"/>
        <v>81-Wheat-Winter, Panhandle, No Till, in Rotation, 90 bushel Yield, Pivot Irrigated Electric</v>
      </c>
      <c r="E82" s="249">
        <f t="shared" ca="1" si="14"/>
        <v>4.9767666666666672</v>
      </c>
      <c r="K82" s="101" t="str">
        <f t="shared" ca="1" si="10"/>
        <v>77-Wheat-Winter, Panhandle, Stubble Mulch Fallow, One Crop in Two Years, 65 bushel Yield, Dryland</v>
      </c>
      <c r="L82" s="193" t="e">
        <f t="shared" si="15"/>
        <v>#REF!</v>
      </c>
    </row>
    <row r="83" spans="1:12" x14ac:dyDescent="0.2">
      <c r="A83">
        <v>82</v>
      </c>
      <c r="B83" t="s">
        <v>330</v>
      </c>
      <c r="C83" t="str">
        <f t="shared" si="8"/>
        <v>'82-Cover Crop'!</v>
      </c>
      <c r="D83" t="str">
        <f t="shared" ca="1" si="16"/>
        <v>82-Cover Crop, Conventional Tillage</v>
      </c>
      <c r="E83" s="249">
        <f t="shared" ca="1" si="14"/>
        <v>123.945125</v>
      </c>
      <c r="K83" s="101" t="str">
        <f t="shared" ca="1" si="10"/>
        <v>78-Wheat-Winter, Panhandle, Conventional Tillage, One Crop in Two Years, 60 bushel Yield, Dryland</v>
      </c>
      <c r="L83" s="193" t="e">
        <f t="shared" si="15"/>
        <v>#REF!</v>
      </c>
    </row>
    <row r="84" spans="1:12" x14ac:dyDescent="0.2">
      <c r="A84">
        <v>83</v>
      </c>
      <c r="B84" t="s">
        <v>819</v>
      </c>
      <c r="C84" t="str">
        <f t="shared" si="8"/>
        <v>'83-Cover Crop Grazing'!</v>
      </c>
      <c r="D84" t="str">
        <f t="shared" ca="1" si="16"/>
        <v>83-Cover Crop Grazing, No Till</v>
      </c>
      <c r="E84" s="249" t="str">
        <f t="shared" ca="1" si="14"/>
        <v>N/A</v>
      </c>
      <c r="K84" s="101" t="str">
        <f t="shared" ca="1" si="10"/>
        <v>79-Wheat-Winter, Southwest, No Till, Wheat before Corn, Two Crops in Three Years, 80 bushel Yield, Dryland</v>
      </c>
      <c r="L84" s="193" t="e">
        <f t="shared" si="15"/>
        <v>#REF!</v>
      </c>
    </row>
    <row r="85" spans="1:12" x14ac:dyDescent="0.2">
      <c r="B85" s="22"/>
    </row>
    <row r="86" spans="1:12" x14ac:dyDescent="0.2">
      <c r="B86" s="22">
        <f>AVERAGE(Start:Stop!K75)</f>
        <v>0</v>
      </c>
    </row>
    <row r="88" spans="1:12" x14ac:dyDescent="0.2">
      <c r="A88">
        <f>SUM(Start:Stop!K74)</f>
        <v>0</v>
      </c>
    </row>
    <row r="89" spans="1:12" x14ac:dyDescent="0.2">
      <c r="A89">
        <f>SUM(Start:Stop!K75)</f>
        <v>0</v>
      </c>
    </row>
  </sheetData>
  <pageMargins left="0.7" right="0.7" top="0.75" bottom="0.75" header="0.3" footer="0.3"/>
  <pageSetup fitToHeight="3"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4">
    <pageSetUpPr fitToPage="1"/>
  </sheetPr>
  <dimension ref="A3:R49"/>
  <sheetViews>
    <sheetView topLeftCell="A23" zoomScaleNormal="100" workbookViewId="0">
      <selection activeCell="M17" sqref="M17"/>
    </sheetView>
  </sheetViews>
  <sheetFormatPr defaultRowHeight="12.75" x14ac:dyDescent="0.2"/>
  <cols>
    <col min="1" max="1" width="9.28515625" style="164" bestFit="1" customWidth="1"/>
    <col min="2" max="2" width="22" style="164" customWidth="1"/>
    <col min="3" max="3" width="19.42578125" style="164" customWidth="1"/>
    <col min="4" max="4" width="9.85546875" style="164" customWidth="1"/>
    <col min="5" max="5" width="7.42578125" style="164" bestFit="1" customWidth="1"/>
    <col min="6" max="6" width="6.7109375" style="164" customWidth="1"/>
    <col min="7" max="7" width="6.28515625" style="164" bestFit="1" customWidth="1"/>
    <col min="8" max="8" width="7.5703125" style="164" bestFit="1" customWidth="1"/>
    <col min="9" max="9" width="7.28515625" style="164" bestFit="1" customWidth="1"/>
    <col min="10" max="11" width="7.5703125" style="164" bestFit="1" customWidth="1"/>
    <col min="12" max="12" width="8.85546875" style="164" bestFit="1" customWidth="1"/>
    <col min="13" max="13" width="9.85546875" style="164" bestFit="1" customWidth="1"/>
    <col min="14" max="14" width="7.28515625" style="164" bestFit="1" customWidth="1"/>
    <col min="15" max="15" width="12.42578125" style="164" customWidth="1"/>
    <col min="16" max="16" width="11" style="164" customWidth="1"/>
    <col min="17" max="17" width="7.140625" style="164" bestFit="1" customWidth="1"/>
    <col min="18" max="18" width="12.140625" style="164" customWidth="1"/>
    <col min="19" max="257" width="9.140625" style="164"/>
    <col min="258" max="258" width="22" style="164" customWidth="1"/>
    <col min="259" max="259" width="19.42578125" style="164" customWidth="1"/>
    <col min="260" max="260" width="5.28515625" style="164" bestFit="1" customWidth="1"/>
    <col min="261" max="261" width="7.28515625" style="164" bestFit="1" customWidth="1"/>
    <col min="262" max="262" width="6.7109375" style="164" customWidth="1"/>
    <col min="263" max="263" width="6.140625" style="164" bestFit="1" customWidth="1"/>
    <col min="264" max="264" width="7.42578125" style="164" bestFit="1" customWidth="1"/>
    <col min="265" max="265" width="7.140625" style="164" bestFit="1" customWidth="1"/>
    <col min="266" max="266" width="7.42578125" style="164" bestFit="1" customWidth="1"/>
    <col min="267" max="267" width="6" style="164" bestFit="1" customWidth="1"/>
    <col min="268" max="268" width="8.7109375" style="164" bestFit="1" customWidth="1"/>
    <col min="269" max="269" width="7.42578125" style="164" bestFit="1" customWidth="1"/>
    <col min="270" max="270" width="5.5703125" style="164" bestFit="1" customWidth="1"/>
    <col min="271" max="271" width="12.42578125" style="164" customWidth="1"/>
    <col min="272" max="272" width="11" style="164" customWidth="1"/>
    <col min="273" max="273" width="7" style="164" bestFit="1" customWidth="1"/>
    <col min="274" max="274" width="12.140625" style="164" customWidth="1"/>
    <col min="275" max="513" width="9.140625" style="164"/>
    <col min="514" max="514" width="22" style="164" customWidth="1"/>
    <col min="515" max="515" width="19.42578125" style="164" customWidth="1"/>
    <col min="516" max="516" width="5.28515625" style="164" bestFit="1" customWidth="1"/>
    <col min="517" max="517" width="7.28515625" style="164" bestFit="1" customWidth="1"/>
    <col min="518" max="518" width="6.7109375" style="164" customWidth="1"/>
    <col min="519" max="519" width="6.140625" style="164" bestFit="1" customWidth="1"/>
    <col min="520" max="520" width="7.42578125" style="164" bestFit="1" customWidth="1"/>
    <col min="521" max="521" width="7.140625" style="164" bestFit="1" customWidth="1"/>
    <col min="522" max="522" width="7.42578125" style="164" bestFit="1" customWidth="1"/>
    <col min="523" max="523" width="6" style="164" bestFit="1" customWidth="1"/>
    <col min="524" max="524" width="8.7109375" style="164" bestFit="1" customWidth="1"/>
    <col min="525" max="525" width="7.42578125" style="164" bestFit="1" customWidth="1"/>
    <col min="526" max="526" width="5.5703125" style="164" bestFit="1" customWidth="1"/>
    <col min="527" max="527" width="12.42578125" style="164" customWidth="1"/>
    <col min="528" max="528" width="11" style="164" customWidth="1"/>
    <col min="529" max="529" width="7" style="164" bestFit="1" customWidth="1"/>
    <col min="530" max="530" width="12.140625" style="164" customWidth="1"/>
    <col min="531" max="769" width="9.140625" style="164"/>
    <col min="770" max="770" width="22" style="164" customWidth="1"/>
    <col min="771" max="771" width="19.42578125" style="164" customWidth="1"/>
    <col min="772" max="772" width="5.28515625" style="164" bestFit="1" customWidth="1"/>
    <col min="773" max="773" width="7.28515625" style="164" bestFit="1" customWidth="1"/>
    <col min="774" max="774" width="6.7109375" style="164" customWidth="1"/>
    <col min="775" max="775" width="6.140625" style="164" bestFit="1" customWidth="1"/>
    <col min="776" max="776" width="7.42578125" style="164" bestFit="1" customWidth="1"/>
    <col min="777" max="777" width="7.140625" style="164" bestFit="1" customWidth="1"/>
    <col min="778" max="778" width="7.42578125" style="164" bestFit="1" customWidth="1"/>
    <col min="779" max="779" width="6" style="164" bestFit="1" customWidth="1"/>
    <col min="780" max="780" width="8.7109375" style="164" bestFit="1" customWidth="1"/>
    <col min="781" max="781" width="7.42578125" style="164" bestFit="1" customWidth="1"/>
    <col min="782" max="782" width="5.5703125" style="164" bestFit="1" customWidth="1"/>
    <col min="783" max="783" width="12.42578125" style="164" customWidth="1"/>
    <col min="784" max="784" width="11" style="164" customWidth="1"/>
    <col min="785" max="785" width="7" style="164" bestFit="1" customWidth="1"/>
    <col min="786" max="786" width="12.140625" style="164" customWidth="1"/>
    <col min="787" max="1025" width="9.140625" style="164"/>
    <col min="1026" max="1026" width="22" style="164" customWidth="1"/>
    <col min="1027" max="1027" width="19.42578125" style="164" customWidth="1"/>
    <col min="1028" max="1028" width="5.28515625" style="164" bestFit="1" customWidth="1"/>
    <col min="1029" max="1029" width="7.28515625" style="164" bestFit="1" customWidth="1"/>
    <col min="1030" max="1030" width="6.7109375" style="164" customWidth="1"/>
    <col min="1031" max="1031" width="6.140625" style="164" bestFit="1" customWidth="1"/>
    <col min="1032" max="1032" width="7.42578125" style="164" bestFit="1" customWidth="1"/>
    <col min="1033" max="1033" width="7.140625" style="164" bestFit="1" customWidth="1"/>
    <col min="1034" max="1034" width="7.42578125" style="164" bestFit="1" customWidth="1"/>
    <col min="1035" max="1035" width="6" style="164" bestFit="1" customWidth="1"/>
    <col min="1036" max="1036" width="8.7109375" style="164" bestFit="1" customWidth="1"/>
    <col min="1037" max="1037" width="7.42578125" style="164" bestFit="1" customWidth="1"/>
    <col min="1038" max="1038" width="5.5703125" style="164" bestFit="1" customWidth="1"/>
    <col min="1039" max="1039" width="12.42578125" style="164" customWidth="1"/>
    <col min="1040" max="1040" width="11" style="164" customWidth="1"/>
    <col min="1041" max="1041" width="7" style="164" bestFit="1" customWidth="1"/>
    <col min="1042" max="1042" width="12.140625" style="164" customWidth="1"/>
    <col min="1043" max="1281" width="9.140625" style="164"/>
    <col min="1282" max="1282" width="22" style="164" customWidth="1"/>
    <col min="1283" max="1283" width="19.42578125" style="164" customWidth="1"/>
    <col min="1284" max="1284" width="5.28515625" style="164" bestFit="1" customWidth="1"/>
    <col min="1285" max="1285" width="7.28515625" style="164" bestFit="1" customWidth="1"/>
    <col min="1286" max="1286" width="6.7109375" style="164" customWidth="1"/>
    <col min="1287" max="1287" width="6.140625" style="164" bestFit="1" customWidth="1"/>
    <col min="1288" max="1288" width="7.42578125" style="164" bestFit="1" customWidth="1"/>
    <col min="1289" max="1289" width="7.140625" style="164" bestFit="1" customWidth="1"/>
    <col min="1290" max="1290" width="7.42578125" style="164" bestFit="1" customWidth="1"/>
    <col min="1291" max="1291" width="6" style="164" bestFit="1" customWidth="1"/>
    <col min="1292" max="1292" width="8.7109375" style="164" bestFit="1" customWidth="1"/>
    <col min="1293" max="1293" width="7.42578125" style="164" bestFit="1" customWidth="1"/>
    <col min="1294" max="1294" width="5.5703125" style="164" bestFit="1" customWidth="1"/>
    <col min="1295" max="1295" width="12.42578125" style="164" customWidth="1"/>
    <col min="1296" max="1296" width="11" style="164" customWidth="1"/>
    <col min="1297" max="1297" width="7" style="164" bestFit="1" customWidth="1"/>
    <col min="1298" max="1298" width="12.140625" style="164" customWidth="1"/>
    <col min="1299" max="1537" width="9.140625" style="164"/>
    <col min="1538" max="1538" width="22" style="164" customWidth="1"/>
    <col min="1539" max="1539" width="19.42578125" style="164" customWidth="1"/>
    <col min="1540" max="1540" width="5.28515625" style="164" bestFit="1" customWidth="1"/>
    <col min="1541" max="1541" width="7.28515625" style="164" bestFit="1" customWidth="1"/>
    <col min="1542" max="1542" width="6.7109375" style="164" customWidth="1"/>
    <col min="1543" max="1543" width="6.140625" style="164" bestFit="1" customWidth="1"/>
    <col min="1544" max="1544" width="7.42578125" style="164" bestFit="1" customWidth="1"/>
    <col min="1545" max="1545" width="7.140625" style="164" bestFit="1" customWidth="1"/>
    <col min="1546" max="1546" width="7.42578125" style="164" bestFit="1" customWidth="1"/>
    <col min="1547" max="1547" width="6" style="164" bestFit="1" customWidth="1"/>
    <col min="1548" max="1548" width="8.7109375" style="164" bestFit="1" customWidth="1"/>
    <col min="1549" max="1549" width="7.42578125" style="164" bestFit="1" customWidth="1"/>
    <col min="1550" max="1550" width="5.5703125" style="164" bestFit="1" customWidth="1"/>
    <col min="1551" max="1551" width="12.42578125" style="164" customWidth="1"/>
    <col min="1552" max="1552" width="11" style="164" customWidth="1"/>
    <col min="1553" max="1553" width="7" style="164" bestFit="1" customWidth="1"/>
    <col min="1554" max="1554" width="12.140625" style="164" customWidth="1"/>
    <col min="1555" max="1793" width="9.140625" style="164"/>
    <col min="1794" max="1794" width="22" style="164" customWidth="1"/>
    <col min="1795" max="1795" width="19.42578125" style="164" customWidth="1"/>
    <col min="1796" max="1796" width="5.28515625" style="164" bestFit="1" customWidth="1"/>
    <col min="1797" max="1797" width="7.28515625" style="164" bestFit="1" customWidth="1"/>
    <col min="1798" max="1798" width="6.7109375" style="164" customWidth="1"/>
    <col min="1799" max="1799" width="6.140625" style="164" bestFit="1" customWidth="1"/>
    <col min="1800" max="1800" width="7.42578125" style="164" bestFit="1" customWidth="1"/>
    <col min="1801" max="1801" width="7.140625" style="164" bestFit="1" customWidth="1"/>
    <col min="1802" max="1802" width="7.42578125" style="164" bestFit="1" customWidth="1"/>
    <col min="1803" max="1803" width="6" style="164" bestFit="1" customWidth="1"/>
    <col min="1804" max="1804" width="8.7109375" style="164" bestFit="1" customWidth="1"/>
    <col min="1805" max="1805" width="7.42578125" style="164" bestFit="1" customWidth="1"/>
    <col min="1806" max="1806" width="5.5703125" style="164" bestFit="1" customWidth="1"/>
    <col min="1807" max="1807" width="12.42578125" style="164" customWidth="1"/>
    <col min="1808" max="1808" width="11" style="164" customWidth="1"/>
    <col min="1809" max="1809" width="7" style="164" bestFit="1" customWidth="1"/>
    <col min="1810" max="1810" width="12.140625" style="164" customWidth="1"/>
    <col min="1811" max="2049" width="9.140625" style="164"/>
    <col min="2050" max="2050" width="22" style="164" customWidth="1"/>
    <col min="2051" max="2051" width="19.42578125" style="164" customWidth="1"/>
    <col min="2052" max="2052" width="5.28515625" style="164" bestFit="1" customWidth="1"/>
    <col min="2053" max="2053" width="7.28515625" style="164" bestFit="1" customWidth="1"/>
    <col min="2054" max="2054" width="6.7109375" style="164" customWidth="1"/>
    <col min="2055" max="2055" width="6.140625" style="164" bestFit="1" customWidth="1"/>
    <col min="2056" max="2056" width="7.42578125" style="164" bestFit="1" customWidth="1"/>
    <col min="2057" max="2057" width="7.140625" style="164" bestFit="1" customWidth="1"/>
    <col min="2058" max="2058" width="7.42578125" style="164" bestFit="1" customWidth="1"/>
    <col min="2059" max="2059" width="6" style="164" bestFit="1" customWidth="1"/>
    <col min="2060" max="2060" width="8.7109375" style="164" bestFit="1" customWidth="1"/>
    <col min="2061" max="2061" width="7.42578125" style="164" bestFit="1" customWidth="1"/>
    <col min="2062" max="2062" width="5.5703125" style="164" bestFit="1" customWidth="1"/>
    <col min="2063" max="2063" width="12.42578125" style="164" customWidth="1"/>
    <col min="2064" max="2064" width="11" style="164" customWidth="1"/>
    <col min="2065" max="2065" width="7" style="164" bestFit="1" customWidth="1"/>
    <col min="2066" max="2066" width="12.140625" style="164" customWidth="1"/>
    <col min="2067" max="2305" width="9.140625" style="164"/>
    <col min="2306" max="2306" width="22" style="164" customWidth="1"/>
    <col min="2307" max="2307" width="19.42578125" style="164" customWidth="1"/>
    <col min="2308" max="2308" width="5.28515625" style="164" bestFit="1" customWidth="1"/>
    <col min="2309" max="2309" width="7.28515625" style="164" bestFit="1" customWidth="1"/>
    <col min="2310" max="2310" width="6.7109375" style="164" customWidth="1"/>
    <col min="2311" max="2311" width="6.140625" style="164" bestFit="1" customWidth="1"/>
    <col min="2312" max="2312" width="7.42578125" style="164" bestFit="1" customWidth="1"/>
    <col min="2313" max="2313" width="7.140625" style="164" bestFit="1" customWidth="1"/>
    <col min="2314" max="2314" width="7.42578125" style="164" bestFit="1" customWidth="1"/>
    <col min="2315" max="2315" width="6" style="164" bestFit="1" customWidth="1"/>
    <col min="2316" max="2316" width="8.7109375" style="164" bestFit="1" customWidth="1"/>
    <col min="2317" max="2317" width="7.42578125" style="164" bestFit="1" customWidth="1"/>
    <col min="2318" max="2318" width="5.5703125" style="164" bestFit="1" customWidth="1"/>
    <col min="2319" max="2319" width="12.42578125" style="164" customWidth="1"/>
    <col min="2320" max="2320" width="11" style="164" customWidth="1"/>
    <col min="2321" max="2321" width="7" style="164" bestFit="1" customWidth="1"/>
    <col min="2322" max="2322" width="12.140625" style="164" customWidth="1"/>
    <col min="2323" max="2561" width="9.140625" style="164"/>
    <col min="2562" max="2562" width="22" style="164" customWidth="1"/>
    <col min="2563" max="2563" width="19.42578125" style="164" customWidth="1"/>
    <col min="2564" max="2564" width="5.28515625" style="164" bestFit="1" customWidth="1"/>
    <col min="2565" max="2565" width="7.28515625" style="164" bestFit="1" customWidth="1"/>
    <col min="2566" max="2566" width="6.7109375" style="164" customWidth="1"/>
    <col min="2567" max="2567" width="6.140625" style="164" bestFit="1" customWidth="1"/>
    <col min="2568" max="2568" width="7.42578125" style="164" bestFit="1" customWidth="1"/>
    <col min="2569" max="2569" width="7.140625" style="164" bestFit="1" customWidth="1"/>
    <col min="2570" max="2570" width="7.42578125" style="164" bestFit="1" customWidth="1"/>
    <col min="2571" max="2571" width="6" style="164" bestFit="1" customWidth="1"/>
    <col min="2572" max="2572" width="8.7109375" style="164" bestFit="1" customWidth="1"/>
    <col min="2573" max="2573" width="7.42578125" style="164" bestFit="1" customWidth="1"/>
    <col min="2574" max="2574" width="5.5703125" style="164" bestFit="1" customWidth="1"/>
    <col min="2575" max="2575" width="12.42578125" style="164" customWidth="1"/>
    <col min="2576" max="2576" width="11" style="164" customWidth="1"/>
    <col min="2577" max="2577" width="7" style="164" bestFit="1" customWidth="1"/>
    <col min="2578" max="2578" width="12.140625" style="164" customWidth="1"/>
    <col min="2579" max="2817" width="9.140625" style="164"/>
    <col min="2818" max="2818" width="22" style="164" customWidth="1"/>
    <col min="2819" max="2819" width="19.42578125" style="164" customWidth="1"/>
    <col min="2820" max="2820" width="5.28515625" style="164" bestFit="1" customWidth="1"/>
    <col min="2821" max="2821" width="7.28515625" style="164" bestFit="1" customWidth="1"/>
    <col min="2822" max="2822" width="6.7109375" style="164" customWidth="1"/>
    <col min="2823" max="2823" width="6.140625" style="164" bestFit="1" customWidth="1"/>
    <col min="2824" max="2824" width="7.42578125" style="164" bestFit="1" customWidth="1"/>
    <col min="2825" max="2825" width="7.140625" style="164" bestFit="1" customWidth="1"/>
    <col min="2826" max="2826" width="7.42578125" style="164" bestFit="1" customWidth="1"/>
    <col min="2827" max="2827" width="6" style="164" bestFit="1" customWidth="1"/>
    <col min="2828" max="2828" width="8.7109375" style="164" bestFit="1" customWidth="1"/>
    <col min="2829" max="2829" width="7.42578125" style="164" bestFit="1" customWidth="1"/>
    <col min="2830" max="2830" width="5.5703125" style="164" bestFit="1" customWidth="1"/>
    <col min="2831" max="2831" width="12.42578125" style="164" customWidth="1"/>
    <col min="2832" max="2832" width="11" style="164" customWidth="1"/>
    <col min="2833" max="2833" width="7" style="164" bestFit="1" customWidth="1"/>
    <col min="2834" max="2834" width="12.140625" style="164" customWidth="1"/>
    <col min="2835" max="3073" width="9.140625" style="164"/>
    <col min="3074" max="3074" width="22" style="164" customWidth="1"/>
    <col min="3075" max="3075" width="19.42578125" style="164" customWidth="1"/>
    <col min="3076" max="3076" width="5.28515625" style="164" bestFit="1" customWidth="1"/>
    <col min="3077" max="3077" width="7.28515625" style="164" bestFit="1" customWidth="1"/>
    <col min="3078" max="3078" width="6.7109375" style="164" customWidth="1"/>
    <col min="3079" max="3079" width="6.140625" style="164" bestFit="1" customWidth="1"/>
    <col min="3080" max="3080" width="7.42578125" style="164" bestFit="1" customWidth="1"/>
    <col min="3081" max="3081" width="7.140625" style="164" bestFit="1" customWidth="1"/>
    <col min="3082" max="3082" width="7.42578125" style="164" bestFit="1" customWidth="1"/>
    <col min="3083" max="3083" width="6" style="164" bestFit="1" customWidth="1"/>
    <col min="3084" max="3084" width="8.7109375" style="164" bestFit="1" customWidth="1"/>
    <col min="3085" max="3085" width="7.42578125" style="164" bestFit="1" customWidth="1"/>
    <col min="3086" max="3086" width="5.5703125" style="164" bestFit="1" customWidth="1"/>
    <col min="3087" max="3087" width="12.42578125" style="164" customWidth="1"/>
    <col min="3088" max="3088" width="11" style="164" customWidth="1"/>
    <col min="3089" max="3089" width="7" style="164" bestFit="1" customWidth="1"/>
    <col min="3090" max="3090" width="12.140625" style="164" customWidth="1"/>
    <col min="3091" max="3329" width="9.140625" style="164"/>
    <col min="3330" max="3330" width="22" style="164" customWidth="1"/>
    <col min="3331" max="3331" width="19.42578125" style="164" customWidth="1"/>
    <col min="3332" max="3332" width="5.28515625" style="164" bestFit="1" customWidth="1"/>
    <col min="3333" max="3333" width="7.28515625" style="164" bestFit="1" customWidth="1"/>
    <col min="3334" max="3334" width="6.7109375" style="164" customWidth="1"/>
    <col min="3335" max="3335" width="6.140625" style="164" bestFit="1" customWidth="1"/>
    <col min="3336" max="3336" width="7.42578125" style="164" bestFit="1" customWidth="1"/>
    <col min="3337" max="3337" width="7.140625" style="164" bestFit="1" customWidth="1"/>
    <col min="3338" max="3338" width="7.42578125" style="164" bestFit="1" customWidth="1"/>
    <col min="3339" max="3339" width="6" style="164" bestFit="1" customWidth="1"/>
    <col min="3340" max="3340" width="8.7109375" style="164" bestFit="1" customWidth="1"/>
    <col min="3341" max="3341" width="7.42578125" style="164" bestFit="1" customWidth="1"/>
    <col min="3342" max="3342" width="5.5703125" style="164" bestFit="1" customWidth="1"/>
    <col min="3343" max="3343" width="12.42578125" style="164" customWidth="1"/>
    <col min="3344" max="3344" width="11" style="164" customWidth="1"/>
    <col min="3345" max="3345" width="7" style="164" bestFit="1" customWidth="1"/>
    <col min="3346" max="3346" width="12.140625" style="164" customWidth="1"/>
    <col min="3347" max="3585" width="9.140625" style="164"/>
    <col min="3586" max="3586" width="22" style="164" customWidth="1"/>
    <col min="3587" max="3587" width="19.42578125" style="164" customWidth="1"/>
    <col min="3588" max="3588" width="5.28515625" style="164" bestFit="1" customWidth="1"/>
    <col min="3589" max="3589" width="7.28515625" style="164" bestFit="1" customWidth="1"/>
    <col min="3590" max="3590" width="6.7109375" style="164" customWidth="1"/>
    <col min="3591" max="3591" width="6.140625" style="164" bestFit="1" customWidth="1"/>
    <col min="3592" max="3592" width="7.42578125" style="164" bestFit="1" customWidth="1"/>
    <col min="3593" max="3593" width="7.140625" style="164" bestFit="1" customWidth="1"/>
    <col min="3594" max="3594" width="7.42578125" style="164" bestFit="1" customWidth="1"/>
    <col min="3595" max="3595" width="6" style="164" bestFit="1" customWidth="1"/>
    <col min="3596" max="3596" width="8.7109375" style="164" bestFit="1" customWidth="1"/>
    <col min="3597" max="3597" width="7.42578125" style="164" bestFit="1" customWidth="1"/>
    <col min="3598" max="3598" width="5.5703125" style="164" bestFit="1" customWidth="1"/>
    <col min="3599" max="3599" width="12.42578125" style="164" customWidth="1"/>
    <col min="3600" max="3600" width="11" style="164" customWidth="1"/>
    <col min="3601" max="3601" width="7" style="164" bestFit="1" customWidth="1"/>
    <col min="3602" max="3602" width="12.140625" style="164" customWidth="1"/>
    <col min="3603" max="3841" width="9.140625" style="164"/>
    <col min="3842" max="3842" width="22" style="164" customWidth="1"/>
    <col min="3843" max="3843" width="19.42578125" style="164" customWidth="1"/>
    <col min="3844" max="3844" width="5.28515625" style="164" bestFit="1" customWidth="1"/>
    <col min="3845" max="3845" width="7.28515625" style="164" bestFit="1" customWidth="1"/>
    <col min="3846" max="3846" width="6.7109375" style="164" customWidth="1"/>
    <col min="3847" max="3847" width="6.140625" style="164" bestFit="1" customWidth="1"/>
    <col min="3848" max="3848" width="7.42578125" style="164" bestFit="1" customWidth="1"/>
    <col min="3849" max="3849" width="7.140625" style="164" bestFit="1" customWidth="1"/>
    <col min="3850" max="3850" width="7.42578125" style="164" bestFit="1" customWidth="1"/>
    <col min="3851" max="3851" width="6" style="164" bestFit="1" customWidth="1"/>
    <col min="3852" max="3852" width="8.7109375" style="164" bestFit="1" customWidth="1"/>
    <col min="3853" max="3853" width="7.42578125" style="164" bestFit="1" customWidth="1"/>
    <col min="3854" max="3854" width="5.5703125" style="164" bestFit="1" customWidth="1"/>
    <col min="3855" max="3855" width="12.42578125" style="164" customWidth="1"/>
    <col min="3856" max="3856" width="11" style="164" customWidth="1"/>
    <col min="3857" max="3857" width="7" style="164" bestFit="1" customWidth="1"/>
    <col min="3858" max="3858" width="12.140625" style="164" customWidth="1"/>
    <col min="3859" max="4097" width="9.140625" style="164"/>
    <col min="4098" max="4098" width="22" style="164" customWidth="1"/>
    <col min="4099" max="4099" width="19.42578125" style="164" customWidth="1"/>
    <col min="4100" max="4100" width="5.28515625" style="164" bestFit="1" customWidth="1"/>
    <col min="4101" max="4101" width="7.28515625" style="164" bestFit="1" customWidth="1"/>
    <col min="4102" max="4102" width="6.7109375" style="164" customWidth="1"/>
    <col min="4103" max="4103" width="6.140625" style="164" bestFit="1" customWidth="1"/>
    <col min="4104" max="4104" width="7.42578125" style="164" bestFit="1" customWidth="1"/>
    <col min="4105" max="4105" width="7.140625" style="164" bestFit="1" customWidth="1"/>
    <col min="4106" max="4106" width="7.42578125" style="164" bestFit="1" customWidth="1"/>
    <col min="4107" max="4107" width="6" style="164" bestFit="1" customWidth="1"/>
    <col min="4108" max="4108" width="8.7109375" style="164" bestFit="1" customWidth="1"/>
    <col min="4109" max="4109" width="7.42578125" style="164" bestFit="1" customWidth="1"/>
    <col min="4110" max="4110" width="5.5703125" style="164" bestFit="1" customWidth="1"/>
    <col min="4111" max="4111" width="12.42578125" style="164" customWidth="1"/>
    <col min="4112" max="4112" width="11" style="164" customWidth="1"/>
    <col min="4113" max="4113" width="7" style="164" bestFit="1" customWidth="1"/>
    <col min="4114" max="4114" width="12.140625" style="164" customWidth="1"/>
    <col min="4115" max="4353" width="9.140625" style="164"/>
    <col min="4354" max="4354" width="22" style="164" customWidth="1"/>
    <col min="4355" max="4355" width="19.42578125" style="164" customWidth="1"/>
    <col min="4356" max="4356" width="5.28515625" style="164" bestFit="1" customWidth="1"/>
    <col min="4357" max="4357" width="7.28515625" style="164" bestFit="1" customWidth="1"/>
    <col min="4358" max="4358" width="6.7109375" style="164" customWidth="1"/>
    <col min="4359" max="4359" width="6.140625" style="164" bestFit="1" customWidth="1"/>
    <col min="4360" max="4360" width="7.42578125" style="164" bestFit="1" customWidth="1"/>
    <col min="4361" max="4361" width="7.140625" style="164" bestFit="1" customWidth="1"/>
    <col min="4362" max="4362" width="7.42578125" style="164" bestFit="1" customWidth="1"/>
    <col min="4363" max="4363" width="6" style="164" bestFit="1" customWidth="1"/>
    <col min="4364" max="4364" width="8.7109375" style="164" bestFit="1" customWidth="1"/>
    <col min="4365" max="4365" width="7.42578125" style="164" bestFit="1" customWidth="1"/>
    <col min="4366" max="4366" width="5.5703125" style="164" bestFit="1" customWidth="1"/>
    <col min="4367" max="4367" width="12.42578125" style="164" customWidth="1"/>
    <col min="4368" max="4368" width="11" style="164" customWidth="1"/>
    <col min="4369" max="4369" width="7" style="164" bestFit="1" customWidth="1"/>
    <col min="4370" max="4370" width="12.140625" style="164" customWidth="1"/>
    <col min="4371" max="4609" width="9.140625" style="164"/>
    <col min="4610" max="4610" width="22" style="164" customWidth="1"/>
    <col min="4611" max="4611" width="19.42578125" style="164" customWidth="1"/>
    <col min="4612" max="4612" width="5.28515625" style="164" bestFit="1" customWidth="1"/>
    <col min="4613" max="4613" width="7.28515625" style="164" bestFit="1" customWidth="1"/>
    <col min="4614" max="4614" width="6.7109375" style="164" customWidth="1"/>
    <col min="4615" max="4615" width="6.140625" style="164" bestFit="1" customWidth="1"/>
    <col min="4616" max="4616" width="7.42578125" style="164" bestFit="1" customWidth="1"/>
    <col min="4617" max="4617" width="7.140625" style="164" bestFit="1" customWidth="1"/>
    <col min="4618" max="4618" width="7.42578125" style="164" bestFit="1" customWidth="1"/>
    <col min="4619" max="4619" width="6" style="164" bestFit="1" customWidth="1"/>
    <col min="4620" max="4620" width="8.7109375" style="164" bestFit="1" customWidth="1"/>
    <col min="4621" max="4621" width="7.42578125" style="164" bestFit="1" customWidth="1"/>
    <col min="4622" max="4622" width="5.5703125" style="164" bestFit="1" customWidth="1"/>
    <col min="4623" max="4623" width="12.42578125" style="164" customWidth="1"/>
    <col min="4624" max="4624" width="11" style="164" customWidth="1"/>
    <col min="4625" max="4625" width="7" style="164" bestFit="1" customWidth="1"/>
    <col min="4626" max="4626" width="12.140625" style="164" customWidth="1"/>
    <col min="4627" max="4865" width="9.140625" style="164"/>
    <col min="4866" max="4866" width="22" style="164" customWidth="1"/>
    <col min="4867" max="4867" width="19.42578125" style="164" customWidth="1"/>
    <col min="4868" max="4868" width="5.28515625" style="164" bestFit="1" customWidth="1"/>
    <col min="4869" max="4869" width="7.28515625" style="164" bestFit="1" customWidth="1"/>
    <col min="4870" max="4870" width="6.7109375" style="164" customWidth="1"/>
    <col min="4871" max="4871" width="6.140625" style="164" bestFit="1" customWidth="1"/>
    <col min="4872" max="4872" width="7.42578125" style="164" bestFit="1" customWidth="1"/>
    <col min="4873" max="4873" width="7.140625" style="164" bestFit="1" customWidth="1"/>
    <col min="4874" max="4874" width="7.42578125" style="164" bestFit="1" customWidth="1"/>
    <col min="4875" max="4875" width="6" style="164" bestFit="1" customWidth="1"/>
    <col min="4876" max="4876" width="8.7109375" style="164" bestFit="1" customWidth="1"/>
    <col min="4877" max="4877" width="7.42578125" style="164" bestFit="1" customWidth="1"/>
    <col min="4878" max="4878" width="5.5703125" style="164" bestFit="1" customWidth="1"/>
    <col min="4879" max="4879" width="12.42578125" style="164" customWidth="1"/>
    <col min="4880" max="4880" width="11" style="164" customWidth="1"/>
    <col min="4881" max="4881" width="7" style="164" bestFit="1" customWidth="1"/>
    <col min="4882" max="4882" width="12.140625" style="164" customWidth="1"/>
    <col min="4883" max="5121" width="9.140625" style="164"/>
    <col min="5122" max="5122" width="22" style="164" customWidth="1"/>
    <col min="5123" max="5123" width="19.42578125" style="164" customWidth="1"/>
    <col min="5124" max="5124" width="5.28515625" style="164" bestFit="1" customWidth="1"/>
    <col min="5125" max="5125" width="7.28515625" style="164" bestFit="1" customWidth="1"/>
    <col min="5126" max="5126" width="6.7109375" style="164" customWidth="1"/>
    <col min="5127" max="5127" width="6.140625" style="164" bestFit="1" customWidth="1"/>
    <col min="5128" max="5128" width="7.42578125" style="164" bestFit="1" customWidth="1"/>
    <col min="5129" max="5129" width="7.140625" style="164" bestFit="1" customWidth="1"/>
    <col min="5130" max="5130" width="7.42578125" style="164" bestFit="1" customWidth="1"/>
    <col min="5131" max="5131" width="6" style="164" bestFit="1" customWidth="1"/>
    <col min="5132" max="5132" width="8.7109375" style="164" bestFit="1" customWidth="1"/>
    <col min="5133" max="5133" width="7.42578125" style="164" bestFit="1" customWidth="1"/>
    <col min="5134" max="5134" width="5.5703125" style="164" bestFit="1" customWidth="1"/>
    <col min="5135" max="5135" width="12.42578125" style="164" customWidth="1"/>
    <col min="5136" max="5136" width="11" style="164" customWidth="1"/>
    <col min="5137" max="5137" width="7" style="164" bestFit="1" customWidth="1"/>
    <col min="5138" max="5138" width="12.140625" style="164" customWidth="1"/>
    <col min="5139" max="5377" width="9.140625" style="164"/>
    <col min="5378" max="5378" width="22" style="164" customWidth="1"/>
    <col min="5379" max="5379" width="19.42578125" style="164" customWidth="1"/>
    <col min="5380" max="5380" width="5.28515625" style="164" bestFit="1" customWidth="1"/>
    <col min="5381" max="5381" width="7.28515625" style="164" bestFit="1" customWidth="1"/>
    <col min="5382" max="5382" width="6.7109375" style="164" customWidth="1"/>
    <col min="5383" max="5383" width="6.140625" style="164" bestFit="1" customWidth="1"/>
    <col min="5384" max="5384" width="7.42578125" style="164" bestFit="1" customWidth="1"/>
    <col min="5385" max="5385" width="7.140625" style="164" bestFit="1" customWidth="1"/>
    <col min="5386" max="5386" width="7.42578125" style="164" bestFit="1" customWidth="1"/>
    <col min="5387" max="5387" width="6" style="164" bestFit="1" customWidth="1"/>
    <col min="5388" max="5388" width="8.7109375" style="164" bestFit="1" customWidth="1"/>
    <col min="5389" max="5389" width="7.42578125" style="164" bestFit="1" customWidth="1"/>
    <col min="5390" max="5390" width="5.5703125" style="164" bestFit="1" customWidth="1"/>
    <col min="5391" max="5391" width="12.42578125" style="164" customWidth="1"/>
    <col min="5392" max="5392" width="11" style="164" customWidth="1"/>
    <col min="5393" max="5393" width="7" style="164" bestFit="1" customWidth="1"/>
    <col min="5394" max="5394" width="12.140625" style="164" customWidth="1"/>
    <col min="5395" max="5633" width="9.140625" style="164"/>
    <col min="5634" max="5634" width="22" style="164" customWidth="1"/>
    <col min="5635" max="5635" width="19.42578125" style="164" customWidth="1"/>
    <col min="5636" max="5636" width="5.28515625" style="164" bestFit="1" customWidth="1"/>
    <col min="5637" max="5637" width="7.28515625" style="164" bestFit="1" customWidth="1"/>
    <col min="5638" max="5638" width="6.7109375" style="164" customWidth="1"/>
    <col min="5639" max="5639" width="6.140625" style="164" bestFit="1" customWidth="1"/>
    <col min="5640" max="5640" width="7.42578125" style="164" bestFit="1" customWidth="1"/>
    <col min="5641" max="5641" width="7.140625" style="164" bestFit="1" customWidth="1"/>
    <col min="5642" max="5642" width="7.42578125" style="164" bestFit="1" customWidth="1"/>
    <col min="5643" max="5643" width="6" style="164" bestFit="1" customWidth="1"/>
    <col min="5644" max="5644" width="8.7109375" style="164" bestFit="1" customWidth="1"/>
    <col min="5645" max="5645" width="7.42578125" style="164" bestFit="1" customWidth="1"/>
    <col min="5646" max="5646" width="5.5703125" style="164" bestFit="1" customWidth="1"/>
    <col min="5647" max="5647" width="12.42578125" style="164" customWidth="1"/>
    <col min="5648" max="5648" width="11" style="164" customWidth="1"/>
    <col min="5649" max="5649" width="7" style="164" bestFit="1" customWidth="1"/>
    <col min="5650" max="5650" width="12.140625" style="164" customWidth="1"/>
    <col min="5651" max="5889" width="9.140625" style="164"/>
    <col min="5890" max="5890" width="22" style="164" customWidth="1"/>
    <col min="5891" max="5891" width="19.42578125" style="164" customWidth="1"/>
    <col min="5892" max="5892" width="5.28515625" style="164" bestFit="1" customWidth="1"/>
    <col min="5893" max="5893" width="7.28515625" style="164" bestFit="1" customWidth="1"/>
    <col min="5894" max="5894" width="6.7109375" style="164" customWidth="1"/>
    <col min="5895" max="5895" width="6.140625" style="164" bestFit="1" customWidth="1"/>
    <col min="5896" max="5896" width="7.42578125" style="164" bestFit="1" customWidth="1"/>
    <col min="5897" max="5897" width="7.140625" style="164" bestFit="1" customWidth="1"/>
    <col min="5898" max="5898" width="7.42578125" style="164" bestFit="1" customWidth="1"/>
    <col min="5899" max="5899" width="6" style="164" bestFit="1" customWidth="1"/>
    <col min="5900" max="5900" width="8.7109375" style="164" bestFit="1" customWidth="1"/>
    <col min="5901" max="5901" width="7.42578125" style="164" bestFit="1" customWidth="1"/>
    <col min="5902" max="5902" width="5.5703125" style="164" bestFit="1" customWidth="1"/>
    <col min="5903" max="5903" width="12.42578125" style="164" customWidth="1"/>
    <col min="5904" max="5904" width="11" style="164" customWidth="1"/>
    <col min="5905" max="5905" width="7" style="164" bestFit="1" customWidth="1"/>
    <col min="5906" max="5906" width="12.140625" style="164" customWidth="1"/>
    <col min="5907" max="6145" width="9.140625" style="164"/>
    <col min="6146" max="6146" width="22" style="164" customWidth="1"/>
    <col min="6147" max="6147" width="19.42578125" style="164" customWidth="1"/>
    <col min="6148" max="6148" width="5.28515625" style="164" bestFit="1" customWidth="1"/>
    <col min="6149" max="6149" width="7.28515625" style="164" bestFit="1" customWidth="1"/>
    <col min="6150" max="6150" width="6.7109375" style="164" customWidth="1"/>
    <col min="6151" max="6151" width="6.140625" style="164" bestFit="1" customWidth="1"/>
    <col min="6152" max="6152" width="7.42578125" style="164" bestFit="1" customWidth="1"/>
    <col min="6153" max="6153" width="7.140625" style="164" bestFit="1" customWidth="1"/>
    <col min="6154" max="6154" width="7.42578125" style="164" bestFit="1" customWidth="1"/>
    <col min="6155" max="6155" width="6" style="164" bestFit="1" customWidth="1"/>
    <col min="6156" max="6156" width="8.7109375" style="164" bestFit="1" customWidth="1"/>
    <col min="6157" max="6157" width="7.42578125" style="164" bestFit="1" customWidth="1"/>
    <col min="6158" max="6158" width="5.5703125" style="164" bestFit="1" customWidth="1"/>
    <col min="6159" max="6159" width="12.42578125" style="164" customWidth="1"/>
    <col min="6160" max="6160" width="11" style="164" customWidth="1"/>
    <col min="6161" max="6161" width="7" style="164" bestFit="1" customWidth="1"/>
    <col min="6162" max="6162" width="12.140625" style="164" customWidth="1"/>
    <col min="6163" max="6401" width="9.140625" style="164"/>
    <col min="6402" max="6402" width="22" style="164" customWidth="1"/>
    <col min="6403" max="6403" width="19.42578125" style="164" customWidth="1"/>
    <col min="6404" max="6404" width="5.28515625" style="164" bestFit="1" customWidth="1"/>
    <col min="6405" max="6405" width="7.28515625" style="164" bestFit="1" customWidth="1"/>
    <col min="6406" max="6406" width="6.7109375" style="164" customWidth="1"/>
    <col min="6407" max="6407" width="6.140625" style="164" bestFit="1" customWidth="1"/>
    <col min="6408" max="6408" width="7.42578125" style="164" bestFit="1" customWidth="1"/>
    <col min="6409" max="6409" width="7.140625" style="164" bestFit="1" customWidth="1"/>
    <col min="6410" max="6410" width="7.42578125" style="164" bestFit="1" customWidth="1"/>
    <col min="6411" max="6411" width="6" style="164" bestFit="1" customWidth="1"/>
    <col min="6412" max="6412" width="8.7109375" style="164" bestFit="1" customWidth="1"/>
    <col min="6413" max="6413" width="7.42578125" style="164" bestFit="1" customWidth="1"/>
    <col min="6414" max="6414" width="5.5703125" style="164" bestFit="1" customWidth="1"/>
    <col min="6415" max="6415" width="12.42578125" style="164" customWidth="1"/>
    <col min="6416" max="6416" width="11" style="164" customWidth="1"/>
    <col min="6417" max="6417" width="7" style="164" bestFit="1" customWidth="1"/>
    <col min="6418" max="6418" width="12.140625" style="164" customWidth="1"/>
    <col min="6419" max="6657" width="9.140625" style="164"/>
    <col min="6658" max="6658" width="22" style="164" customWidth="1"/>
    <col min="6659" max="6659" width="19.42578125" style="164" customWidth="1"/>
    <col min="6660" max="6660" width="5.28515625" style="164" bestFit="1" customWidth="1"/>
    <col min="6661" max="6661" width="7.28515625" style="164" bestFit="1" customWidth="1"/>
    <col min="6662" max="6662" width="6.7109375" style="164" customWidth="1"/>
    <col min="6663" max="6663" width="6.140625" style="164" bestFit="1" customWidth="1"/>
    <col min="6664" max="6664" width="7.42578125" style="164" bestFit="1" customWidth="1"/>
    <col min="6665" max="6665" width="7.140625" style="164" bestFit="1" customWidth="1"/>
    <col min="6666" max="6666" width="7.42578125" style="164" bestFit="1" customWidth="1"/>
    <col min="6667" max="6667" width="6" style="164" bestFit="1" customWidth="1"/>
    <col min="6668" max="6668" width="8.7109375" style="164" bestFit="1" customWidth="1"/>
    <col min="6669" max="6669" width="7.42578125" style="164" bestFit="1" customWidth="1"/>
    <col min="6670" max="6670" width="5.5703125" style="164" bestFit="1" customWidth="1"/>
    <col min="6671" max="6671" width="12.42578125" style="164" customWidth="1"/>
    <col min="6672" max="6672" width="11" style="164" customWidth="1"/>
    <col min="6673" max="6673" width="7" style="164" bestFit="1" customWidth="1"/>
    <col min="6674" max="6674" width="12.140625" style="164" customWidth="1"/>
    <col min="6675" max="6913" width="9.140625" style="164"/>
    <col min="6914" max="6914" width="22" style="164" customWidth="1"/>
    <col min="6915" max="6915" width="19.42578125" style="164" customWidth="1"/>
    <col min="6916" max="6916" width="5.28515625" style="164" bestFit="1" customWidth="1"/>
    <col min="6917" max="6917" width="7.28515625" style="164" bestFit="1" customWidth="1"/>
    <col min="6918" max="6918" width="6.7109375" style="164" customWidth="1"/>
    <col min="6919" max="6919" width="6.140625" style="164" bestFit="1" customWidth="1"/>
    <col min="6920" max="6920" width="7.42578125" style="164" bestFit="1" customWidth="1"/>
    <col min="6921" max="6921" width="7.140625" style="164" bestFit="1" customWidth="1"/>
    <col min="6922" max="6922" width="7.42578125" style="164" bestFit="1" customWidth="1"/>
    <col min="6923" max="6923" width="6" style="164" bestFit="1" customWidth="1"/>
    <col min="6924" max="6924" width="8.7109375" style="164" bestFit="1" customWidth="1"/>
    <col min="6925" max="6925" width="7.42578125" style="164" bestFit="1" customWidth="1"/>
    <col min="6926" max="6926" width="5.5703125" style="164" bestFit="1" customWidth="1"/>
    <col min="6927" max="6927" width="12.42578125" style="164" customWidth="1"/>
    <col min="6928" max="6928" width="11" style="164" customWidth="1"/>
    <col min="6929" max="6929" width="7" style="164" bestFit="1" customWidth="1"/>
    <col min="6930" max="6930" width="12.140625" style="164" customWidth="1"/>
    <col min="6931" max="7169" width="9.140625" style="164"/>
    <col min="7170" max="7170" width="22" style="164" customWidth="1"/>
    <col min="7171" max="7171" width="19.42578125" style="164" customWidth="1"/>
    <col min="7172" max="7172" width="5.28515625" style="164" bestFit="1" customWidth="1"/>
    <col min="7173" max="7173" width="7.28515625" style="164" bestFit="1" customWidth="1"/>
    <col min="7174" max="7174" width="6.7109375" style="164" customWidth="1"/>
    <col min="7175" max="7175" width="6.140625" style="164" bestFit="1" customWidth="1"/>
    <col min="7176" max="7176" width="7.42578125" style="164" bestFit="1" customWidth="1"/>
    <col min="7177" max="7177" width="7.140625" style="164" bestFit="1" customWidth="1"/>
    <col min="7178" max="7178" width="7.42578125" style="164" bestFit="1" customWidth="1"/>
    <col min="7179" max="7179" width="6" style="164" bestFit="1" customWidth="1"/>
    <col min="7180" max="7180" width="8.7109375" style="164" bestFit="1" customWidth="1"/>
    <col min="7181" max="7181" width="7.42578125" style="164" bestFit="1" customWidth="1"/>
    <col min="7182" max="7182" width="5.5703125" style="164" bestFit="1" customWidth="1"/>
    <col min="7183" max="7183" width="12.42578125" style="164" customWidth="1"/>
    <col min="7184" max="7184" width="11" style="164" customWidth="1"/>
    <col min="7185" max="7185" width="7" style="164" bestFit="1" customWidth="1"/>
    <col min="7186" max="7186" width="12.140625" style="164" customWidth="1"/>
    <col min="7187" max="7425" width="9.140625" style="164"/>
    <col min="7426" max="7426" width="22" style="164" customWidth="1"/>
    <col min="7427" max="7427" width="19.42578125" style="164" customWidth="1"/>
    <col min="7428" max="7428" width="5.28515625" style="164" bestFit="1" customWidth="1"/>
    <col min="7429" max="7429" width="7.28515625" style="164" bestFit="1" customWidth="1"/>
    <col min="7430" max="7430" width="6.7109375" style="164" customWidth="1"/>
    <col min="7431" max="7431" width="6.140625" style="164" bestFit="1" customWidth="1"/>
    <col min="7432" max="7432" width="7.42578125" style="164" bestFit="1" customWidth="1"/>
    <col min="7433" max="7433" width="7.140625" style="164" bestFit="1" customWidth="1"/>
    <col min="7434" max="7434" width="7.42578125" style="164" bestFit="1" customWidth="1"/>
    <col min="7435" max="7435" width="6" style="164" bestFit="1" customWidth="1"/>
    <col min="7436" max="7436" width="8.7109375" style="164" bestFit="1" customWidth="1"/>
    <col min="7437" max="7437" width="7.42578125" style="164" bestFit="1" customWidth="1"/>
    <col min="7438" max="7438" width="5.5703125" style="164" bestFit="1" customWidth="1"/>
    <col min="7439" max="7439" width="12.42578125" style="164" customWidth="1"/>
    <col min="7440" max="7440" width="11" style="164" customWidth="1"/>
    <col min="7441" max="7441" width="7" style="164" bestFit="1" customWidth="1"/>
    <col min="7442" max="7442" width="12.140625" style="164" customWidth="1"/>
    <col min="7443" max="7681" width="9.140625" style="164"/>
    <col min="7682" max="7682" width="22" style="164" customWidth="1"/>
    <col min="7683" max="7683" width="19.42578125" style="164" customWidth="1"/>
    <col min="7684" max="7684" width="5.28515625" style="164" bestFit="1" customWidth="1"/>
    <col min="7685" max="7685" width="7.28515625" style="164" bestFit="1" customWidth="1"/>
    <col min="7686" max="7686" width="6.7109375" style="164" customWidth="1"/>
    <col min="7687" max="7687" width="6.140625" style="164" bestFit="1" customWidth="1"/>
    <col min="7688" max="7688" width="7.42578125" style="164" bestFit="1" customWidth="1"/>
    <col min="7689" max="7689" width="7.140625" style="164" bestFit="1" customWidth="1"/>
    <col min="7690" max="7690" width="7.42578125" style="164" bestFit="1" customWidth="1"/>
    <col min="7691" max="7691" width="6" style="164" bestFit="1" customWidth="1"/>
    <col min="7692" max="7692" width="8.7109375" style="164" bestFit="1" customWidth="1"/>
    <col min="7693" max="7693" width="7.42578125" style="164" bestFit="1" customWidth="1"/>
    <col min="7694" max="7694" width="5.5703125" style="164" bestFit="1" customWidth="1"/>
    <col min="7695" max="7695" width="12.42578125" style="164" customWidth="1"/>
    <col min="7696" max="7696" width="11" style="164" customWidth="1"/>
    <col min="7697" max="7697" width="7" style="164" bestFit="1" customWidth="1"/>
    <col min="7698" max="7698" width="12.140625" style="164" customWidth="1"/>
    <col min="7699" max="7937" width="9.140625" style="164"/>
    <col min="7938" max="7938" width="22" style="164" customWidth="1"/>
    <col min="7939" max="7939" width="19.42578125" style="164" customWidth="1"/>
    <col min="7940" max="7940" width="5.28515625" style="164" bestFit="1" customWidth="1"/>
    <col min="7941" max="7941" width="7.28515625" style="164" bestFit="1" customWidth="1"/>
    <col min="7942" max="7942" width="6.7109375" style="164" customWidth="1"/>
    <col min="7943" max="7943" width="6.140625" style="164" bestFit="1" customWidth="1"/>
    <col min="7944" max="7944" width="7.42578125" style="164" bestFit="1" customWidth="1"/>
    <col min="7945" max="7945" width="7.140625" style="164" bestFit="1" customWidth="1"/>
    <col min="7946" max="7946" width="7.42578125" style="164" bestFit="1" customWidth="1"/>
    <col min="7947" max="7947" width="6" style="164" bestFit="1" customWidth="1"/>
    <col min="7948" max="7948" width="8.7109375" style="164" bestFit="1" customWidth="1"/>
    <col min="7949" max="7949" width="7.42578125" style="164" bestFit="1" customWidth="1"/>
    <col min="7950" max="7950" width="5.5703125" style="164" bestFit="1" customWidth="1"/>
    <col min="7951" max="7951" width="12.42578125" style="164" customWidth="1"/>
    <col min="7952" max="7952" width="11" style="164" customWidth="1"/>
    <col min="7953" max="7953" width="7" style="164" bestFit="1" customWidth="1"/>
    <col min="7954" max="7954" width="12.140625" style="164" customWidth="1"/>
    <col min="7955" max="8193" width="9.140625" style="164"/>
    <col min="8194" max="8194" width="22" style="164" customWidth="1"/>
    <col min="8195" max="8195" width="19.42578125" style="164" customWidth="1"/>
    <col min="8196" max="8196" width="5.28515625" style="164" bestFit="1" customWidth="1"/>
    <col min="8197" max="8197" width="7.28515625" style="164" bestFit="1" customWidth="1"/>
    <col min="8198" max="8198" width="6.7109375" style="164" customWidth="1"/>
    <col min="8199" max="8199" width="6.140625" style="164" bestFit="1" customWidth="1"/>
    <col min="8200" max="8200" width="7.42578125" style="164" bestFit="1" customWidth="1"/>
    <col min="8201" max="8201" width="7.140625" style="164" bestFit="1" customWidth="1"/>
    <col min="8202" max="8202" width="7.42578125" style="164" bestFit="1" customWidth="1"/>
    <col min="8203" max="8203" width="6" style="164" bestFit="1" customWidth="1"/>
    <col min="8204" max="8204" width="8.7109375" style="164" bestFit="1" customWidth="1"/>
    <col min="8205" max="8205" width="7.42578125" style="164" bestFit="1" customWidth="1"/>
    <col min="8206" max="8206" width="5.5703125" style="164" bestFit="1" customWidth="1"/>
    <col min="8207" max="8207" width="12.42578125" style="164" customWidth="1"/>
    <col min="8208" max="8208" width="11" style="164" customWidth="1"/>
    <col min="8209" max="8209" width="7" style="164" bestFit="1" customWidth="1"/>
    <col min="8210" max="8210" width="12.140625" style="164" customWidth="1"/>
    <col min="8211" max="8449" width="9.140625" style="164"/>
    <col min="8450" max="8450" width="22" style="164" customWidth="1"/>
    <col min="8451" max="8451" width="19.42578125" style="164" customWidth="1"/>
    <col min="8452" max="8452" width="5.28515625" style="164" bestFit="1" customWidth="1"/>
    <col min="8453" max="8453" width="7.28515625" style="164" bestFit="1" customWidth="1"/>
    <col min="8454" max="8454" width="6.7109375" style="164" customWidth="1"/>
    <col min="8455" max="8455" width="6.140625" style="164" bestFit="1" customWidth="1"/>
    <col min="8456" max="8456" width="7.42578125" style="164" bestFit="1" customWidth="1"/>
    <col min="8457" max="8457" width="7.140625" style="164" bestFit="1" customWidth="1"/>
    <col min="8458" max="8458" width="7.42578125" style="164" bestFit="1" customWidth="1"/>
    <col min="8459" max="8459" width="6" style="164" bestFit="1" customWidth="1"/>
    <col min="8460" max="8460" width="8.7109375" style="164" bestFit="1" customWidth="1"/>
    <col min="8461" max="8461" width="7.42578125" style="164" bestFit="1" customWidth="1"/>
    <col min="8462" max="8462" width="5.5703125" style="164" bestFit="1" customWidth="1"/>
    <col min="8463" max="8463" width="12.42578125" style="164" customWidth="1"/>
    <col min="8464" max="8464" width="11" style="164" customWidth="1"/>
    <col min="8465" max="8465" width="7" style="164" bestFit="1" customWidth="1"/>
    <col min="8466" max="8466" width="12.140625" style="164" customWidth="1"/>
    <col min="8467" max="8705" width="9.140625" style="164"/>
    <col min="8706" max="8706" width="22" style="164" customWidth="1"/>
    <col min="8707" max="8707" width="19.42578125" style="164" customWidth="1"/>
    <col min="8708" max="8708" width="5.28515625" style="164" bestFit="1" customWidth="1"/>
    <col min="8709" max="8709" width="7.28515625" style="164" bestFit="1" customWidth="1"/>
    <col min="8710" max="8710" width="6.7109375" style="164" customWidth="1"/>
    <col min="8711" max="8711" width="6.140625" style="164" bestFit="1" customWidth="1"/>
    <col min="8712" max="8712" width="7.42578125" style="164" bestFit="1" customWidth="1"/>
    <col min="8713" max="8713" width="7.140625" style="164" bestFit="1" customWidth="1"/>
    <col min="8714" max="8714" width="7.42578125" style="164" bestFit="1" customWidth="1"/>
    <col min="8715" max="8715" width="6" style="164" bestFit="1" customWidth="1"/>
    <col min="8716" max="8716" width="8.7109375" style="164" bestFit="1" customWidth="1"/>
    <col min="8717" max="8717" width="7.42578125" style="164" bestFit="1" customWidth="1"/>
    <col min="8718" max="8718" width="5.5703125" style="164" bestFit="1" customWidth="1"/>
    <col min="8719" max="8719" width="12.42578125" style="164" customWidth="1"/>
    <col min="8720" max="8720" width="11" style="164" customWidth="1"/>
    <col min="8721" max="8721" width="7" style="164" bestFit="1" customWidth="1"/>
    <col min="8722" max="8722" width="12.140625" style="164" customWidth="1"/>
    <col min="8723" max="8961" width="9.140625" style="164"/>
    <col min="8962" max="8962" width="22" style="164" customWidth="1"/>
    <col min="8963" max="8963" width="19.42578125" style="164" customWidth="1"/>
    <col min="8964" max="8964" width="5.28515625" style="164" bestFit="1" customWidth="1"/>
    <col min="8965" max="8965" width="7.28515625" style="164" bestFit="1" customWidth="1"/>
    <col min="8966" max="8966" width="6.7109375" style="164" customWidth="1"/>
    <col min="8967" max="8967" width="6.140625" style="164" bestFit="1" customWidth="1"/>
    <col min="8968" max="8968" width="7.42578125" style="164" bestFit="1" customWidth="1"/>
    <col min="8969" max="8969" width="7.140625" style="164" bestFit="1" customWidth="1"/>
    <col min="8970" max="8970" width="7.42578125" style="164" bestFit="1" customWidth="1"/>
    <col min="8971" max="8971" width="6" style="164" bestFit="1" customWidth="1"/>
    <col min="8972" max="8972" width="8.7109375" style="164" bestFit="1" customWidth="1"/>
    <col min="8973" max="8973" width="7.42578125" style="164" bestFit="1" customWidth="1"/>
    <col min="8974" max="8974" width="5.5703125" style="164" bestFit="1" customWidth="1"/>
    <col min="8975" max="8975" width="12.42578125" style="164" customWidth="1"/>
    <col min="8976" max="8976" width="11" style="164" customWidth="1"/>
    <col min="8977" max="8977" width="7" style="164" bestFit="1" customWidth="1"/>
    <col min="8978" max="8978" width="12.140625" style="164" customWidth="1"/>
    <col min="8979" max="9217" width="9.140625" style="164"/>
    <col min="9218" max="9218" width="22" style="164" customWidth="1"/>
    <col min="9219" max="9219" width="19.42578125" style="164" customWidth="1"/>
    <col min="9220" max="9220" width="5.28515625" style="164" bestFit="1" customWidth="1"/>
    <col min="9221" max="9221" width="7.28515625" style="164" bestFit="1" customWidth="1"/>
    <col min="9222" max="9222" width="6.7109375" style="164" customWidth="1"/>
    <col min="9223" max="9223" width="6.140625" style="164" bestFit="1" customWidth="1"/>
    <col min="9224" max="9224" width="7.42578125" style="164" bestFit="1" customWidth="1"/>
    <col min="9225" max="9225" width="7.140625" style="164" bestFit="1" customWidth="1"/>
    <col min="9226" max="9226" width="7.42578125" style="164" bestFit="1" customWidth="1"/>
    <col min="9227" max="9227" width="6" style="164" bestFit="1" customWidth="1"/>
    <col min="9228" max="9228" width="8.7109375" style="164" bestFit="1" customWidth="1"/>
    <col min="9229" max="9229" width="7.42578125" style="164" bestFit="1" customWidth="1"/>
    <col min="9230" max="9230" width="5.5703125" style="164" bestFit="1" customWidth="1"/>
    <col min="9231" max="9231" width="12.42578125" style="164" customWidth="1"/>
    <col min="9232" max="9232" width="11" style="164" customWidth="1"/>
    <col min="9233" max="9233" width="7" style="164" bestFit="1" customWidth="1"/>
    <col min="9234" max="9234" width="12.140625" style="164" customWidth="1"/>
    <col min="9235" max="9473" width="9.140625" style="164"/>
    <col min="9474" max="9474" width="22" style="164" customWidth="1"/>
    <col min="9475" max="9475" width="19.42578125" style="164" customWidth="1"/>
    <col min="9476" max="9476" width="5.28515625" style="164" bestFit="1" customWidth="1"/>
    <col min="9477" max="9477" width="7.28515625" style="164" bestFit="1" customWidth="1"/>
    <col min="9478" max="9478" width="6.7109375" style="164" customWidth="1"/>
    <col min="9479" max="9479" width="6.140625" style="164" bestFit="1" customWidth="1"/>
    <col min="9480" max="9480" width="7.42578125" style="164" bestFit="1" customWidth="1"/>
    <col min="9481" max="9481" width="7.140625" style="164" bestFit="1" customWidth="1"/>
    <col min="9482" max="9482" width="7.42578125" style="164" bestFit="1" customWidth="1"/>
    <col min="9483" max="9483" width="6" style="164" bestFit="1" customWidth="1"/>
    <col min="9484" max="9484" width="8.7109375" style="164" bestFit="1" customWidth="1"/>
    <col min="9485" max="9485" width="7.42578125" style="164" bestFit="1" customWidth="1"/>
    <col min="9486" max="9486" width="5.5703125" style="164" bestFit="1" customWidth="1"/>
    <col min="9487" max="9487" width="12.42578125" style="164" customWidth="1"/>
    <col min="9488" max="9488" width="11" style="164" customWidth="1"/>
    <col min="9489" max="9489" width="7" style="164" bestFit="1" customWidth="1"/>
    <col min="9490" max="9490" width="12.140625" style="164" customWidth="1"/>
    <col min="9491" max="9729" width="9.140625" style="164"/>
    <col min="9730" max="9730" width="22" style="164" customWidth="1"/>
    <col min="9731" max="9731" width="19.42578125" style="164" customWidth="1"/>
    <col min="9732" max="9732" width="5.28515625" style="164" bestFit="1" customWidth="1"/>
    <col min="9733" max="9733" width="7.28515625" style="164" bestFit="1" customWidth="1"/>
    <col min="9734" max="9734" width="6.7109375" style="164" customWidth="1"/>
    <col min="9735" max="9735" width="6.140625" style="164" bestFit="1" customWidth="1"/>
    <col min="9736" max="9736" width="7.42578125" style="164" bestFit="1" customWidth="1"/>
    <col min="9737" max="9737" width="7.140625" style="164" bestFit="1" customWidth="1"/>
    <col min="9738" max="9738" width="7.42578125" style="164" bestFit="1" customWidth="1"/>
    <col min="9739" max="9739" width="6" style="164" bestFit="1" customWidth="1"/>
    <col min="9740" max="9740" width="8.7109375" style="164" bestFit="1" customWidth="1"/>
    <col min="9741" max="9741" width="7.42578125" style="164" bestFit="1" customWidth="1"/>
    <col min="9742" max="9742" width="5.5703125" style="164" bestFit="1" customWidth="1"/>
    <col min="9743" max="9743" width="12.42578125" style="164" customWidth="1"/>
    <col min="9744" max="9744" width="11" style="164" customWidth="1"/>
    <col min="9745" max="9745" width="7" style="164" bestFit="1" customWidth="1"/>
    <col min="9746" max="9746" width="12.140625" style="164" customWidth="1"/>
    <col min="9747" max="9985" width="9.140625" style="164"/>
    <col min="9986" max="9986" width="22" style="164" customWidth="1"/>
    <col min="9987" max="9987" width="19.42578125" style="164" customWidth="1"/>
    <col min="9988" max="9988" width="5.28515625" style="164" bestFit="1" customWidth="1"/>
    <col min="9989" max="9989" width="7.28515625" style="164" bestFit="1" customWidth="1"/>
    <col min="9990" max="9990" width="6.7109375" style="164" customWidth="1"/>
    <col min="9991" max="9991" width="6.140625" style="164" bestFit="1" customWidth="1"/>
    <col min="9992" max="9992" width="7.42578125" style="164" bestFit="1" customWidth="1"/>
    <col min="9993" max="9993" width="7.140625" style="164" bestFit="1" customWidth="1"/>
    <col min="9994" max="9994" width="7.42578125" style="164" bestFit="1" customWidth="1"/>
    <col min="9995" max="9995" width="6" style="164" bestFit="1" customWidth="1"/>
    <col min="9996" max="9996" width="8.7109375" style="164" bestFit="1" customWidth="1"/>
    <col min="9997" max="9997" width="7.42578125" style="164" bestFit="1" customWidth="1"/>
    <col min="9998" max="9998" width="5.5703125" style="164" bestFit="1" customWidth="1"/>
    <col min="9999" max="9999" width="12.42578125" style="164" customWidth="1"/>
    <col min="10000" max="10000" width="11" style="164" customWidth="1"/>
    <col min="10001" max="10001" width="7" style="164" bestFit="1" customWidth="1"/>
    <col min="10002" max="10002" width="12.140625" style="164" customWidth="1"/>
    <col min="10003" max="10241" width="9.140625" style="164"/>
    <col min="10242" max="10242" width="22" style="164" customWidth="1"/>
    <col min="10243" max="10243" width="19.42578125" style="164" customWidth="1"/>
    <col min="10244" max="10244" width="5.28515625" style="164" bestFit="1" customWidth="1"/>
    <col min="10245" max="10245" width="7.28515625" style="164" bestFit="1" customWidth="1"/>
    <col min="10246" max="10246" width="6.7109375" style="164" customWidth="1"/>
    <col min="10247" max="10247" width="6.140625" style="164" bestFit="1" customWidth="1"/>
    <col min="10248" max="10248" width="7.42578125" style="164" bestFit="1" customWidth="1"/>
    <col min="10249" max="10249" width="7.140625" style="164" bestFit="1" customWidth="1"/>
    <col min="10250" max="10250" width="7.42578125" style="164" bestFit="1" customWidth="1"/>
    <col min="10251" max="10251" width="6" style="164" bestFit="1" customWidth="1"/>
    <col min="10252" max="10252" width="8.7109375" style="164" bestFit="1" customWidth="1"/>
    <col min="10253" max="10253" width="7.42578125" style="164" bestFit="1" customWidth="1"/>
    <col min="10254" max="10254" width="5.5703125" style="164" bestFit="1" customWidth="1"/>
    <col min="10255" max="10255" width="12.42578125" style="164" customWidth="1"/>
    <col min="10256" max="10256" width="11" style="164" customWidth="1"/>
    <col min="10257" max="10257" width="7" style="164" bestFit="1" customWidth="1"/>
    <col min="10258" max="10258" width="12.140625" style="164" customWidth="1"/>
    <col min="10259" max="10497" width="9.140625" style="164"/>
    <col min="10498" max="10498" width="22" style="164" customWidth="1"/>
    <col min="10499" max="10499" width="19.42578125" style="164" customWidth="1"/>
    <col min="10500" max="10500" width="5.28515625" style="164" bestFit="1" customWidth="1"/>
    <col min="10501" max="10501" width="7.28515625" style="164" bestFit="1" customWidth="1"/>
    <col min="10502" max="10502" width="6.7109375" style="164" customWidth="1"/>
    <col min="10503" max="10503" width="6.140625" style="164" bestFit="1" customWidth="1"/>
    <col min="10504" max="10504" width="7.42578125" style="164" bestFit="1" customWidth="1"/>
    <col min="10505" max="10505" width="7.140625" style="164" bestFit="1" customWidth="1"/>
    <col min="10506" max="10506" width="7.42578125" style="164" bestFit="1" customWidth="1"/>
    <col min="10507" max="10507" width="6" style="164" bestFit="1" customWidth="1"/>
    <col min="10508" max="10508" width="8.7109375" style="164" bestFit="1" customWidth="1"/>
    <col min="10509" max="10509" width="7.42578125" style="164" bestFit="1" customWidth="1"/>
    <col min="10510" max="10510" width="5.5703125" style="164" bestFit="1" customWidth="1"/>
    <col min="10511" max="10511" width="12.42578125" style="164" customWidth="1"/>
    <col min="10512" max="10512" width="11" style="164" customWidth="1"/>
    <col min="10513" max="10513" width="7" style="164" bestFit="1" customWidth="1"/>
    <col min="10514" max="10514" width="12.140625" style="164" customWidth="1"/>
    <col min="10515" max="10753" width="9.140625" style="164"/>
    <col min="10754" max="10754" width="22" style="164" customWidth="1"/>
    <col min="10755" max="10755" width="19.42578125" style="164" customWidth="1"/>
    <col min="10756" max="10756" width="5.28515625" style="164" bestFit="1" customWidth="1"/>
    <col min="10757" max="10757" width="7.28515625" style="164" bestFit="1" customWidth="1"/>
    <col min="10758" max="10758" width="6.7109375" style="164" customWidth="1"/>
    <col min="10759" max="10759" width="6.140625" style="164" bestFit="1" customWidth="1"/>
    <col min="10760" max="10760" width="7.42578125" style="164" bestFit="1" customWidth="1"/>
    <col min="10761" max="10761" width="7.140625" style="164" bestFit="1" customWidth="1"/>
    <col min="10762" max="10762" width="7.42578125" style="164" bestFit="1" customWidth="1"/>
    <col min="10763" max="10763" width="6" style="164" bestFit="1" customWidth="1"/>
    <col min="10764" max="10764" width="8.7109375" style="164" bestFit="1" customWidth="1"/>
    <col min="10765" max="10765" width="7.42578125" style="164" bestFit="1" customWidth="1"/>
    <col min="10766" max="10766" width="5.5703125" style="164" bestFit="1" customWidth="1"/>
    <col min="10767" max="10767" width="12.42578125" style="164" customWidth="1"/>
    <col min="10768" max="10768" width="11" style="164" customWidth="1"/>
    <col min="10769" max="10769" width="7" style="164" bestFit="1" customWidth="1"/>
    <col min="10770" max="10770" width="12.140625" style="164" customWidth="1"/>
    <col min="10771" max="11009" width="9.140625" style="164"/>
    <col min="11010" max="11010" width="22" style="164" customWidth="1"/>
    <col min="11011" max="11011" width="19.42578125" style="164" customWidth="1"/>
    <col min="11012" max="11012" width="5.28515625" style="164" bestFit="1" customWidth="1"/>
    <col min="11013" max="11013" width="7.28515625" style="164" bestFit="1" customWidth="1"/>
    <col min="11014" max="11014" width="6.7109375" style="164" customWidth="1"/>
    <col min="11015" max="11015" width="6.140625" style="164" bestFit="1" customWidth="1"/>
    <col min="11016" max="11016" width="7.42578125" style="164" bestFit="1" customWidth="1"/>
    <col min="11017" max="11017" width="7.140625" style="164" bestFit="1" customWidth="1"/>
    <col min="11018" max="11018" width="7.42578125" style="164" bestFit="1" customWidth="1"/>
    <col min="11019" max="11019" width="6" style="164" bestFit="1" customWidth="1"/>
    <col min="11020" max="11020" width="8.7109375" style="164" bestFit="1" customWidth="1"/>
    <col min="11021" max="11021" width="7.42578125" style="164" bestFit="1" customWidth="1"/>
    <col min="11022" max="11022" width="5.5703125" style="164" bestFit="1" customWidth="1"/>
    <col min="11023" max="11023" width="12.42578125" style="164" customWidth="1"/>
    <col min="11024" max="11024" width="11" style="164" customWidth="1"/>
    <col min="11025" max="11025" width="7" style="164" bestFit="1" customWidth="1"/>
    <col min="11026" max="11026" width="12.140625" style="164" customWidth="1"/>
    <col min="11027" max="11265" width="9.140625" style="164"/>
    <col min="11266" max="11266" width="22" style="164" customWidth="1"/>
    <col min="11267" max="11267" width="19.42578125" style="164" customWidth="1"/>
    <col min="11268" max="11268" width="5.28515625" style="164" bestFit="1" customWidth="1"/>
    <col min="11269" max="11269" width="7.28515625" style="164" bestFit="1" customWidth="1"/>
    <col min="11270" max="11270" width="6.7109375" style="164" customWidth="1"/>
    <col min="11271" max="11271" width="6.140625" style="164" bestFit="1" customWidth="1"/>
    <col min="11272" max="11272" width="7.42578125" style="164" bestFit="1" customWidth="1"/>
    <col min="11273" max="11273" width="7.140625" style="164" bestFit="1" customWidth="1"/>
    <col min="11274" max="11274" width="7.42578125" style="164" bestFit="1" customWidth="1"/>
    <col min="11275" max="11275" width="6" style="164" bestFit="1" customWidth="1"/>
    <col min="11276" max="11276" width="8.7109375" style="164" bestFit="1" customWidth="1"/>
    <col min="11277" max="11277" width="7.42578125" style="164" bestFit="1" customWidth="1"/>
    <col min="11278" max="11278" width="5.5703125" style="164" bestFit="1" customWidth="1"/>
    <col min="11279" max="11279" width="12.42578125" style="164" customWidth="1"/>
    <col min="11280" max="11280" width="11" style="164" customWidth="1"/>
    <col min="11281" max="11281" width="7" style="164" bestFit="1" customWidth="1"/>
    <col min="11282" max="11282" width="12.140625" style="164" customWidth="1"/>
    <col min="11283" max="11521" width="9.140625" style="164"/>
    <col min="11522" max="11522" width="22" style="164" customWidth="1"/>
    <col min="11523" max="11523" width="19.42578125" style="164" customWidth="1"/>
    <col min="11524" max="11524" width="5.28515625" style="164" bestFit="1" customWidth="1"/>
    <col min="11525" max="11525" width="7.28515625" style="164" bestFit="1" customWidth="1"/>
    <col min="11526" max="11526" width="6.7109375" style="164" customWidth="1"/>
    <col min="11527" max="11527" width="6.140625" style="164" bestFit="1" customWidth="1"/>
    <col min="11528" max="11528" width="7.42578125" style="164" bestFit="1" customWidth="1"/>
    <col min="11529" max="11529" width="7.140625" style="164" bestFit="1" customWidth="1"/>
    <col min="11530" max="11530" width="7.42578125" style="164" bestFit="1" customWidth="1"/>
    <col min="11531" max="11531" width="6" style="164" bestFit="1" customWidth="1"/>
    <col min="11532" max="11532" width="8.7109375" style="164" bestFit="1" customWidth="1"/>
    <col min="11533" max="11533" width="7.42578125" style="164" bestFit="1" customWidth="1"/>
    <col min="11534" max="11534" width="5.5703125" style="164" bestFit="1" customWidth="1"/>
    <col min="11535" max="11535" width="12.42578125" style="164" customWidth="1"/>
    <col min="11536" max="11536" width="11" style="164" customWidth="1"/>
    <col min="11537" max="11537" width="7" style="164" bestFit="1" customWidth="1"/>
    <col min="11538" max="11538" width="12.140625" style="164" customWidth="1"/>
    <col min="11539" max="11777" width="9.140625" style="164"/>
    <col min="11778" max="11778" width="22" style="164" customWidth="1"/>
    <col min="11779" max="11779" width="19.42578125" style="164" customWidth="1"/>
    <col min="11780" max="11780" width="5.28515625" style="164" bestFit="1" customWidth="1"/>
    <col min="11781" max="11781" width="7.28515625" style="164" bestFit="1" customWidth="1"/>
    <col min="11782" max="11782" width="6.7109375" style="164" customWidth="1"/>
    <col min="11783" max="11783" width="6.140625" style="164" bestFit="1" customWidth="1"/>
    <col min="11784" max="11784" width="7.42578125" style="164" bestFit="1" customWidth="1"/>
    <col min="11785" max="11785" width="7.140625" style="164" bestFit="1" customWidth="1"/>
    <col min="11786" max="11786" width="7.42578125" style="164" bestFit="1" customWidth="1"/>
    <col min="11787" max="11787" width="6" style="164" bestFit="1" customWidth="1"/>
    <col min="11788" max="11788" width="8.7109375" style="164" bestFit="1" customWidth="1"/>
    <col min="11789" max="11789" width="7.42578125" style="164" bestFit="1" customWidth="1"/>
    <col min="11790" max="11790" width="5.5703125" style="164" bestFit="1" customWidth="1"/>
    <col min="11791" max="11791" width="12.42578125" style="164" customWidth="1"/>
    <col min="11792" max="11792" width="11" style="164" customWidth="1"/>
    <col min="11793" max="11793" width="7" style="164" bestFit="1" customWidth="1"/>
    <col min="11794" max="11794" width="12.140625" style="164" customWidth="1"/>
    <col min="11795" max="12033" width="9.140625" style="164"/>
    <col min="12034" max="12034" width="22" style="164" customWidth="1"/>
    <col min="12035" max="12035" width="19.42578125" style="164" customWidth="1"/>
    <col min="12036" max="12036" width="5.28515625" style="164" bestFit="1" customWidth="1"/>
    <col min="12037" max="12037" width="7.28515625" style="164" bestFit="1" customWidth="1"/>
    <col min="12038" max="12038" width="6.7109375" style="164" customWidth="1"/>
    <col min="12039" max="12039" width="6.140625" style="164" bestFit="1" customWidth="1"/>
    <col min="12040" max="12040" width="7.42578125" style="164" bestFit="1" customWidth="1"/>
    <col min="12041" max="12041" width="7.140625" style="164" bestFit="1" customWidth="1"/>
    <col min="12042" max="12042" width="7.42578125" style="164" bestFit="1" customWidth="1"/>
    <col min="12043" max="12043" width="6" style="164" bestFit="1" customWidth="1"/>
    <col min="12044" max="12044" width="8.7109375" style="164" bestFit="1" customWidth="1"/>
    <col min="12045" max="12045" width="7.42578125" style="164" bestFit="1" customWidth="1"/>
    <col min="12046" max="12046" width="5.5703125" style="164" bestFit="1" customWidth="1"/>
    <col min="12047" max="12047" width="12.42578125" style="164" customWidth="1"/>
    <col min="12048" max="12048" width="11" style="164" customWidth="1"/>
    <col min="12049" max="12049" width="7" style="164" bestFit="1" customWidth="1"/>
    <col min="12050" max="12050" width="12.140625" style="164" customWidth="1"/>
    <col min="12051" max="12289" width="9.140625" style="164"/>
    <col min="12290" max="12290" width="22" style="164" customWidth="1"/>
    <col min="12291" max="12291" width="19.42578125" style="164" customWidth="1"/>
    <col min="12292" max="12292" width="5.28515625" style="164" bestFit="1" customWidth="1"/>
    <col min="12293" max="12293" width="7.28515625" style="164" bestFit="1" customWidth="1"/>
    <col min="12294" max="12294" width="6.7109375" style="164" customWidth="1"/>
    <col min="12295" max="12295" width="6.140625" style="164" bestFit="1" customWidth="1"/>
    <col min="12296" max="12296" width="7.42578125" style="164" bestFit="1" customWidth="1"/>
    <col min="12297" max="12297" width="7.140625" style="164" bestFit="1" customWidth="1"/>
    <col min="12298" max="12298" width="7.42578125" style="164" bestFit="1" customWidth="1"/>
    <col min="12299" max="12299" width="6" style="164" bestFit="1" customWidth="1"/>
    <col min="12300" max="12300" width="8.7109375" style="164" bestFit="1" customWidth="1"/>
    <col min="12301" max="12301" width="7.42578125" style="164" bestFit="1" customWidth="1"/>
    <col min="12302" max="12302" width="5.5703125" style="164" bestFit="1" customWidth="1"/>
    <col min="12303" max="12303" width="12.42578125" style="164" customWidth="1"/>
    <col min="12304" max="12304" width="11" style="164" customWidth="1"/>
    <col min="12305" max="12305" width="7" style="164" bestFit="1" customWidth="1"/>
    <col min="12306" max="12306" width="12.140625" style="164" customWidth="1"/>
    <col min="12307" max="12545" width="9.140625" style="164"/>
    <col min="12546" max="12546" width="22" style="164" customWidth="1"/>
    <col min="12547" max="12547" width="19.42578125" style="164" customWidth="1"/>
    <col min="12548" max="12548" width="5.28515625" style="164" bestFit="1" customWidth="1"/>
    <col min="12549" max="12549" width="7.28515625" style="164" bestFit="1" customWidth="1"/>
    <col min="12550" max="12550" width="6.7109375" style="164" customWidth="1"/>
    <col min="12551" max="12551" width="6.140625" style="164" bestFit="1" customWidth="1"/>
    <col min="12552" max="12552" width="7.42578125" style="164" bestFit="1" customWidth="1"/>
    <col min="12553" max="12553" width="7.140625" style="164" bestFit="1" customWidth="1"/>
    <col min="12554" max="12554" width="7.42578125" style="164" bestFit="1" customWidth="1"/>
    <col min="12555" max="12555" width="6" style="164" bestFit="1" customWidth="1"/>
    <col min="12556" max="12556" width="8.7109375" style="164" bestFit="1" customWidth="1"/>
    <col min="12557" max="12557" width="7.42578125" style="164" bestFit="1" customWidth="1"/>
    <col min="12558" max="12558" width="5.5703125" style="164" bestFit="1" customWidth="1"/>
    <col min="12559" max="12559" width="12.42578125" style="164" customWidth="1"/>
    <col min="12560" max="12560" width="11" style="164" customWidth="1"/>
    <col min="12561" max="12561" width="7" style="164" bestFit="1" customWidth="1"/>
    <col min="12562" max="12562" width="12.140625" style="164" customWidth="1"/>
    <col min="12563" max="12801" width="9.140625" style="164"/>
    <col min="12802" max="12802" width="22" style="164" customWidth="1"/>
    <col min="12803" max="12803" width="19.42578125" style="164" customWidth="1"/>
    <col min="12804" max="12804" width="5.28515625" style="164" bestFit="1" customWidth="1"/>
    <col min="12805" max="12805" width="7.28515625" style="164" bestFit="1" customWidth="1"/>
    <col min="12806" max="12806" width="6.7109375" style="164" customWidth="1"/>
    <col min="12807" max="12807" width="6.140625" style="164" bestFit="1" customWidth="1"/>
    <col min="12808" max="12808" width="7.42578125" style="164" bestFit="1" customWidth="1"/>
    <col min="12809" max="12809" width="7.140625" style="164" bestFit="1" customWidth="1"/>
    <col min="12810" max="12810" width="7.42578125" style="164" bestFit="1" customWidth="1"/>
    <col min="12811" max="12811" width="6" style="164" bestFit="1" customWidth="1"/>
    <col min="12812" max="12812" width="8.7109375" style="164" bestFit="1" customWidth="1"/>
    <col min="12813" max="12813" width="7.42578125" style="164" bestFit="1" customWidth="1"/>
    <col min="12814" max="12814" width="5.5703125" style="164" bestFit="1" customWidth="1"/>
    <col min="12815" max="12815" width="12.42578125" style="164" customWidth="1"/>
    <col min="12816" max="12816" width="11" style="164" customWidth="1"/>
    <col min="12817" max="12817" width="7" style="164" bestFit="1" customWidth="1"/>
    <col min="12818" max="12818" width="12.140625" style="164" customWidth="1"/>
    <col min="12819" max="13057" width="9.140625" style="164"/>
    <col min="13058" max="13058" width="22" style="164" customWidth="1"/>
    <col min="13059" max="13059" width="19.42578125" style="164" customWidth="1"/>
    <col min="13060" max="13060" width="5.28515625" style="164" bestFit="1" customWidth="1"/>
    <col min="13061" max="13061" width="7.28515625" style="164" bestFit="1" customWidth="1"/>
    <col min="13062" max="13062" width="6.7109375" style="164" customWidth="1"/>
    <col min="13063" max="13063" width="6.140625" style="164" bestFit="1" customWidth="1"/>
    <col min="13064" max="13064" width="7.42578125" style="164" bestFit="1" customWidth="1"/>
    <col min="13065" max="13065" width="7.140625" style="164" bestFit="1" customWidth="1"/>
    <col min="13066" max="13066" width="7.42578125" style="164" bestFit="1" customWidth="1"/>
    <col min="13067" max="13067" width="6" style="164" bestFit="1" customWidth="1"/>
    <col min="13068" max="13068" width="8.7109375" style="164" bestFit="1" customWidth="1"/>
    <col min="13069" max="13069" width="7.42578125" style="164" bestFit="1" customWidth="1"/>
    <col min="13070" max="13070" width="5.5703125" style="164" bestFit="1" customWidth="1"/>
    <col min="13071" max="13071" width="12.42578125" style="164" customWidth="1"/>
    <col min="13072" max="13072" width="11" style="164" customWidth="1"/>
    <col min="13073" max="13073" width="7" style="164" bestFit="1" customWidth="1"/>
    <col min="13074" max="13074" width="12.140625" style="164" customWidth="1"/>
    <col min="13075" max="13313" width="9.140625" style="164"/>
    <col min="13314" max="13314" width="22" style="164" customWidth="1"/>
    <col min="13315" max="13315" width="19.42578125" style="164" customWidth="1"/>
    <col min="13316" max="13316" width="5.28515625" style="164" bestFit="1" customWidth="1"/>
    <col min="13317" max="13317" width="7.28515625" style="164" bestFit="1" customWidth="1"/>
    <col min="13318" max="13318" width="6.7109375" style="164" customWidth="1"/>
    <col min="13319" max="13319" width="6.140625" style="164" bestFit="1" customWidth="1"/>
    <col min="13320" max="13320" width="7.42578125" style="164" bestFit="1" customWidth="1"/>
    <col min="13321" max="13321" width="7.140625" style="164" bestFit="1" customWidth="1"/>
    <col min="13322" max="13322" width="7.42578125" style="164" bestFit="1" customWidth="1"/>
    <col min="13323" max="13323" width="6" style="164" bestFit="1" customWidth="1"/>
    <col min="13324" max="13324" width="8.7109375" style="164" bestFit="1" customWidth="1"/>
    <col min="13325" max="13325" width="7.42578125" style="164" bestFit="1" customWidth="1"/>
    <col min="13326" max="13326" width="5.5703125" style="164" bestFit="1" customWidth="1"/>
    <col min="13327" max="13327" width="12.42578125" style="164" customWidth="1"/>
    <col min="13328" max="13328" width="11" style="164" customWidth="1"/>
    <col min="13329" max="13329" width="7" style="164" bestFit="1" customWidth="1"/>
    <col min="13330" max="13330" width="12.140625" style="164" customWidth="1"/>
    <col min="13331" max="13569" width="9.140625" style="164"/>
    <col min="13570" max="13570" width="22" style="164" customWidth="1"/>
    <col min="13571" max="13571" width="19.42578125" style="164" customWidth="1"/>
    <col min="13572" max="13572" width="5.28515625" style="164" bestFit="1" customWidth="1"/>
    <col min="13573" max="13573" width="7.28515625" style="164" bestFit="1" customWidth="1"/>
    <col min="13574" max="13574" width="6.7109375" style="164" customWidth="1"/>
    <col min="13575" max="13575" width="6.140625" style="164" bestFit="1" customWidth="1"/>
    <col min="13576" max="13576" width="7.42578125" style="164" bestFit="1" customWidth="1"/>
    <col min="13577" max="13577" width="7.140625" style="164" bestFit="1" customWidth="1"/>
    <col min="13578" max="13578" width="7.42578125" style="164" bestFit="1" customWidth="1"/>
    <col min="13579" max="13579" width="6" style="164" bestFit="1" customWidth="1"/>
    <col min="13580" max="13580" width="8.7109375" style="164" bestFit="1" customWidth="1"/>
    <col min="13581" max="13581" width="7.42578125" style="164" bestFit="1" customWidth="1"/>
    <col min="13582" max="13582" width="5.5703125" style="164" bestFit="1" customWidth="1"/>
    <col min="13583" max="13583" width="12.42578125" style="164" customWidth="1"/>
    <col min="13584" max="13584" width="11" style="164" customWidth="1"/>
    <col min="13585" max="13585" width="7" style="164" bestFit="1" customWidth="1"/>
    <col min="13586" max="13586" width="12.140625" style="164" customWidth="1"/>
    <col min="13587" max="13825" width="9.140625" style="164"/>
    <col min="13826" max="13826" width="22" style="164" customWidth="1"/>
    <col min="13827" max="13827" width="19.42578125" style="164" customWidth="1"/>
    <col min="13828" max="13828" width="5.28515625" style="164" bestFit="1" customWidth="1"/>
    <col min="13829" max="13829" width="7.28515625" style="164" bestFit="1" customWidth="1"/>
    <col min="13830" max="13830" width="6.7109375" style="164" customWidth="1"/>
    <col min="13831" max="13831" width="6.140625" style="164" bestFit="1" customWidth="1"/>
    <col min="13832" max="13832" width="7.42578125" style="164" bestFit="1" customWidth="1"/>
    <col min="13833" max="13833" width="7.140625" style="164" bestFit="1" customWidth="1"/>
    <col min="13834" max="13834" width="7.42578125" style="164" bestFit="1" customWidth="1"/>
    <col min="13835" max="13835" width="6" style="164" bestFit="1" customWidth="1"/>
    <col min="13836" max="13836" width="8.7109375" style="164" bestFit="1" customWidth="1"/>
    <col min="13837" max="13837" width="7.42578125" style="164" bestFit="1" customWidth="1"/>
    <col min="13838" max="13838" width="5.5703125" style="164" bestFit="1" customWidth="1"/>
    <col min="13839" max="13839" width="12.42578125" style="164" customWidth="1"/>
    <col min="13840" max="13840" width="11" style="164" customWidth="1"/>
    <col min="13841" max="13841" width="7" style="164" bestFit="1" customWidth="1"/>
    <col min="13842" max="13842" width="12.140625" style="164" customWidth="1"/>
    <col min="13843" max="14081" width="9.140625" style="164"/>
    <col min="14082" max="14082" width="22" style="164" customWidth="1"/>
    <col min="14083" max="14083" width="19.42578125" style="164" customWidth="1"/>
    <col min="14084" max="14084" width="5.28515625" style="164" bestFit="1" customWidth="1"/>
    <col min="14085" max="14085" width="7.28515625" style="164" bestFit="1" customWidth="1"/>
    <col min="14086" max="14086" width="6.7109375" style="164" customWidth="1"/>
    <col min="14087" max="14087" width="6.140625" style="164" bestFit="1" customWidth="1"/>
    <col min="14088" max="14088" width="7.42578125" style="164" bestFit="1" customWidth="1"/>
    <col min="14089" max="14089" width="7.140625" style="164" bestFit="1" customWidth="1"/>
    <col min="14090" max="14090" width="7.42578125" style="164" bestFit="1" customWidth="1"/>
    <col min="14091" max="14091" width="6" style="164" bestFit="1" customWidth="1"/>
    <col min="14092" max="14092" width="8.7109375" style="164" bestFit="1" customWidth="1"/>
    <col min="14093" max="14093" width="7.42578125" style="164" bestFit="1" customWidth="1"/>
    <col min="14094" max="14094" width="5.5703125" style="164" bestFit="1" customWidth="1"/>
    <col min="14095" max="14095" width="12.42578125" style="164" customWidth="1"/>
    <col min="14096" max="14096" width="11" style="164" customWidth="1"/>
    <col min="14097" max="14097" width="7" style="164" bestFit="1" customWidth="1"/>
    <col min="14098" max="14098" width="12.140625" style="164" customWidth="1"/>
    <col min="14099" max="14337" width="9.140625" style="164"/>
    <col min="14338" max="14338" width="22" style="164" customWidth="1"/>
    <col min="14339" max="14339" width="19.42578125" style="164" customWidth="1"/>
    <col min="14340" max="14340" width="5.28515625" style="164" bestFit="1" customWidth="1"/>
    <col min="14341" max="14341" width="7.28515625" style="164" bestFit="1" customWidth="1"/>
    <col min="14342" max="14342" width="6.7109375" style="164" customWidth="1"/>
    <col min="14343" max="14343" width="6.140625" style="164" bestFit="1" customWidth="1"/>
    <col min="14344" max="14344" width="7.42578125" style="164" bestFit="1" customWidth="1"/>
    <col min="14345" max="14345" width="7.140625" style="164" bestFit="1" customWidth="1"/>
    <col min="14346" max="14346" width="7.42578125" style="164" bestFit="1" customWidth="1"/>
    <col min="14347" max="14347" width="6" style="164" bestFit="1" customWidth="1"/>
    <col min="14348" max="14348" width="8.7109375" style="164" bestFit="1" customWidth="1"/>
    <col min="14349" max="14349" width="7.42578125" style="164" bestFit="1" customWidth="1"/>
    <col min="14350" max="14350" width="5.5703125" style="164" bestFit="1" customWidth="1"/>
    <col min="14351" max="14351" width="12.42578125" style="164" customWidth="1"/>
    <col min="14352" max="14352" width="11" style="164" customWidth="1"/>
    <col min="14353" max="14353" width="7" style="164" bestFit="1" customWidth="1"/>
    <col min="14354" max="14354" width="12.140625" style="164" customWidth="1"/>
    <col min="14355" max="14593" width="9.140625" style="164"/>
    <col min="14594" max="14594" width="22" style="164" customWidth="1"/>
    <col min="14595" max="14595" width="19.42578125" style="164" customWidth="1"/>
    <col min="14596" max="14596" width="5.28515625" style="164" bestFit="1" customWidth="1"/>
    <col min="14597" max="14597" width="7.28515625" style="164" bestFit="1" customWidth="1"/>
    <col min="14598" max="14598" width="6.7109375" style="164" customWidth="1"/>
    <col min="14599" max="14599" width="6.140625" style="164" bestFit="1" customWidth="1"/>
    <col min="14600" max="14600" width="7.42578125" style="164" bestFit="1" customWidth="1"/>
    <col min="14601" max="14601" width="7.140625" style="164" bestFit="1" customWidth="1"/>
    <col min="14602" max="14602" width="7.42578125" style="164" bestFit="1" customWidth="1"/>
    <col min="14603" max="14603" width="6" style="164" bestFit="1" customWidth="1"/>
    <col min="14604" max="14604" width="8.7109375" style="164" bestFit="1" customWidth="1"/>
    <col min="14605" max="14605" width="7.42578125" style="164" bestFit="1" customWidth="1"/>
    <col min="14606" max="14606" width="5.5703125" style="164" bestFit="1" customWidth="1"/>
    <col min="14607" max="14607" width="12.42578125" style="164" customWidth="1"/>
    <col min="14608" max="14608" width="11" style="164" customWidth="1"/>
    <col min="14609" max="14609" width="7" style="164" bestFit="1" customWidth="1"/>
    <col min="14610" max="14610" width="12.140625" style="164" customWidth="1"/>
    <col min="14611" max="14849" width="9.140625" style="164"/>
    <col min="14850" max="14850" width="22" style="164" customWidth="1"/>
    <col min="14851" max="14851" width="19.42578125" style="164" customWidth="1"/>
    <col min="14852" max="14852" width="5.28515625" style="164" bestFit="1" customWidth="1"/>
    <col min="14853" max="14853" width="7.28515625" style="164" bestFit="1" customWidth="1"/>
    <col min="14854" max="14854" width="6.7109375" style="164" customWidth="1"/>
    <col min="14855" max="14855" width="6.140625" style="164" bestFit="1" customWidth="1"/>
    <col min="14856" max="14856" width="7.42578125" style="164" bestFit="1" customWidth="1"/>
    <col min="14857" max="14857" width="7.140625" style="164" bestFit="1" customWidth="1"/>
    <col min="14858" max="14858" width="7.42578125" style="164" bestFit="1" customWidth="1"/>
    <col min="14859" max="14859" width="6" style="164" bestFit="1" customWidth="1"/>
    <col min="14860" max="14860" width="8.7109375" style="164" bestFit="1" customWidth="1"/>
    <col min="14861" max="14861" width="7.42578125" style="164" bestFit="1" customWidth="1"/>
    <col min="14862" max="14862" width="5.5703125" style="164" bestFit="1" customWidth="1"/>
    <col min="14863" max="14863" width="12.42578125" style="164" customWidth="1"/>
    <col min="14864" max="14864" width="11" style="164" customWidth="1"/>
    <col min="14865" max="14865" width="7" style="164" bestFit="1" customWidth="1"/>
    <col min="14866" max="14866" width="12.140625" style="164" customWidth="1"/>
    <col min="14867" max="15105" width="9.140625" style="164"/>
    <col min="15106" max="15106" width="22" style="164" customWidth="1"/>
    <col min="15107" max="15107" width="19.42578125" style="164" customWidth="1"/>
    <col min="15108" max="15108" width="5.28515625" style="164" bestFit="1" customWidth="1"/>
    <col min="15109" max="15109" width="7.28515625" style="164" bestFit="1" customWidth="1"/>
    <col min="15110" max="15110" width="6.7109375" style="164" customWidth="1"/>
    <col min="15111" max="15111" width="6.140625" style="164" bestFit="1" customWidth="1"/>
    <col min="15112" max="15112" width="7.42578125" style="164" bestFit="1" customWidth="1"/>
    <col min="15113" max="15113" width="7.140625" style="164" bestFit="1" customWidth="1"/>
    <col min="15114" max="15114" width="7.42578125" style="164" bestFit="1" customWidth="1"/>
    <col min="15115" max="15115" width="6" style="164" bestFit="1" customWidth="1"/>
    <col min="15116" max="15116" width="8.7109375" style="164" bestFit="1" customWidth="1"/>
    <col min="15117" max="15117" width="7.42578125" style="164" bestFit="1" customWidth="1"/>
    <col min="15118" max="15118" width="5.5703125" style="164" bestFit="1" customWidth="1"/>
    <col min="15119" max="15119" width="12.42578125" style="164" customWidth="1"/>
    <col min="15120" max="15120" width="11" style="164" customWidth="1"/>
    <col min="15121" max="15121" width="7" style="164" bestFit="1" customWidth="1"/>
    <col min="15122" max="15122" width="12.140625" style="164" customWidth="1"/>
    <col min="15123" max="15361" width="9.140625" style="164"/>
    <col min="15362" max="15362" width="22" style="164" customWidth="1"/>
    <col min="15363" max="15363" width="19.42578125" style="164" customWidth="1"/>
    <col min="15364" max="15364" width="5.28515625" style="164" bestFit="1" customWidth="1"/>
    <col min="15365" max="15365" width="7.28515625" style="164" bestFit="1" customWidth="1"/>
    <col min="15366" max="15366" width="6.7109375" style="164" customWidth="1"/>
    <col min="15367" max="15367" width="6.140625" style="164" bestFit="1" customWidth="1"/>
    <col min="15368" max="15368" width="7.42578125" style="164" bestFit="1" customWidth="1"/>
    <col min="15369" max="15369" width="7.140625" style="164" bestFit="1" customWidth="1"/>
    <col min="15370" max="15370" width="7.42578125" style="164" bestFit="1" customWidth="1"/>
    <col min="15371" max="15371" width="6" style="164" bestFit="1" customWidth="1"/>
    <col min="15372" max="15372" width="8.7109375" style="164" bestFit="1" customWidth="1"/>
    <col min="15373" max="15373" width="7.42578125" style="164" bestFit="1" customWidth="1"/>
    <col min="15374" max="15374" width="5.5703125" style="164" bestFit="1" customWidth="1"/>
    <col min="15375" max="15375" width="12.42578125" style="164" customWidth="1"/>
    <col min="15376" max="15376" width="11" style="164" customWidth="1"/>
    <col min="15377" max="15377" width="7" style="164" bestFit="1" customWidth="1"/>
    <col min="15378" max="15378" width="12.140625" style="164" customWidth="1"/>
    <col min="15379" max="15617" width="9.140625" style="164"/>
    <col min="15618" max="15618" width="22" style="164" customWidth="1"/>
    <col min="15619" max="15619" width="19.42578125" style="164" customWidth="1"/>
    <col min="15620" max="15620" width="5.28515625" style="164" bestFit="1" customWidth="1"/>
    <col min="15621" max="15621" width="7.28515625" style="164" bestFit="1" customWidth="1"/>
    <col min="15622" max="15622" width="6.7109375" style="164" customWidth="1"/>
    <col min="15623" max="15623" width="6.140625" style="164" bestFit="1" customWidth="1"/>
    <col min="15624" max="15624" width="7.42578125" style="164" bestFit="1" customWidth="1"/>
    <col min="15625" max="15625" width="7.140625" style="164" bestFit="1" customWidth="1"/>
    <col min="15626" max="15626" width="7.42578125" style="164" bestFit="1" customWidth="1"/>
    <col min="15627" max="15627" width="6" style="164" bestFit="1" customWidth="1"/>
    <col min="15628" max="15628" width="8.7109375" style="164" bestFit="1" customWidth="1"/>
    <col min="15629" max="15629" width="7.42578125" style="164" bestFit="1" customWidth="1"/>
    <col min="15630" max="15630" width="5.5703125" style="164" bestFit="1" customWidth="1"/>
    <col min="15631" max="15631" width="12.42578125" style="164" customWidth="1"/>
    <col min="15632" max="15632" width="11" style="164" customWidth="1"/>
    <col min="15633" max="15633" width="7" style="164" bestFit="1" customWidth="1"/>
    <col min="15634" max="15634" width="12.140625" style="164" customWidth="1"/>
    <col min="15635" max="15873" width="9.140625" style="164"/>
    <col min="15874" max="15874" width="22" style="164" customWidth="1"/>
    <col min="15875" max="15875" width="19.42578125" style="164" customWidth="1"/>
    <col min="15876" max="15876" width="5.28515625" style="164" bestFit="1" customWidth="1"/>
    <col min="15877" max="15877" width="7.28515625" style="164" bestFit="1" customWidth="1"/>
    <col min="15878" max="15878" width="6.7109375" style="164" customWidth="1"/>
    <col min="15879" max="15879" width="6.140625" style="164" bestFit="1" customWidth="1"/>
    <col min="15880" max="15880" width="7.42578125" style="164" bestFit="1" customWidth="1"/>
    <col min="15881" max="15881" width="7.140625" style="164" bestFit="1" customWidth="1"/>
    <col min="15882" max="15882" width="7.42578125" style="164" bestFit="1" customWidth="1"/>
    <col min="15883" max="15883" width="6" style="164" bestFit="1" customWidth="1"/>
    <col min="15884" max="15884" width="8.7109375" style="164" bestFit="1" customWidth="1"/>
    <col min="15885" max="15885" width="7.42578125" style="164" bestFit="1" customWidth="1"/>
    <col min="15886" max="15886" width="5.5703125" style="164" bestFit="1" customWidth="1"/>
    <col min="15887" max="15887" width="12.42578125" style="164" customWidth="1"/>
    <col min="15888" max="15888" width="11" style="164" customWidth="1"/>
    <col min="15889" max="15889" width="7" style="164" bestFit="1" customWidth="1"/>
    <col min="15890" max="15890" width="12.140625" style="164" customWidth="1"/>
    <col min="15891" max="16129" width="9.140625" style="164"/>
    <col min="16130" max="16130" width="22" style="164" customWidth="1"/>
    <col min="16131" max="16131" width="19.42578125" style="164" customWidth="1"/>
    <col min="16132" max="16132" width="5.28515625" style="164" bestFit="1" customWidth="1"/>
    <col min="16133" max="16133" width="7.28515625" style="164" bestFit="1" customWidth="1"/>
    <col min="16134" max="16134" width="6.7109375" style="164" customWidth="1"/>
    <col min="16135" max="16135" width="6.140625" style="164" bestFit="1" customWidth="1"/>
    <col min="16136" max="16136" width="7.42578125" style="164" bestFit="1" customWidth="1"/>
    <col min="16137" max="16137" width="7.140625" style="164" bestFit="1" customWidth="1"/>
    <col min="16138" max="16138" width="7.42578125" style="164" bestFit="1" customWidth="1"/>
    <col min="16139" max="16139" width="6" style="164" bestFit="1" customWidth="1"/>
    <col min="16140" max="16140" width="8.7109375" style="164" bestFit="1" customWidth="1"/>
    <col min="16141" max="16141" width="7.42578125" style="164" bestFit="1" customWidth="1"/>
    <col min="16142" max="16142" width="5.5703125" style="164" bestFit="1" customWidth="1"/>
    <col min="16143" max="16143" width="12.42578125" style="164" customWidth="1"/>
    <col min="16144" max="16144" width="11" style="164" customWidth="1"/>
    <col min="16145" max="16145" width="7" style="164" bestFit="1" customWidth="1"/>
    <col min="16146" max="16146" width="12.140625" style="164" customWidth="1"/>
    <col min="16147" max="16384" width="9.140625" style="164"/>
  </cols>
  <sheetData>
    <row r="3" spans="2:6" s="163" customFormat="1" ht="27" customHeight="1" x14ac:dyDescent="0.3">
      <c r="B3" s="162" t="s">
        <v>820</v>
      </c>
      <c r="E3" s="163" t="s">
        <v>821</v>
      </c>
      <c r="F3" s="164" t="s">
        <v>822</v>
      </c>
    </row>
    <row r="4" spans="2:6" x14ac:dyDescent="0.2">
      <c r="B4" s="164" t="s">
        <v>823</v>
      </c>
      <c r="C4" s="164">
        <v>3.44</v>
      </c>
    </row>
    <row r="5" spans="2:6" x14ac:dyDescent="0.2">
      <c r="B5" s="164" t="s">
        <v>824</v>
      </c>
      <c r="C5" s="164">
        <v>3.44</v>
      </c>
    </row>
    <row r="6" spans="2:6" x14ac:dyDescent="0.2">
      <c r="B6" s="164" t="s">
        <v>825</v>
      </c>
      <c r="C6" s="164">
        <v>3.44</v>
      </c>
    </row>
    <row r="7" spans="2:6" x14ac:dyDescent="0.2">
      <c r="B7" s="164" t="s">
        <v>826</v>
      </c>
      <c r="C7" s="164">
        <v>8.14</v>
      </c>
    </row>
    <row r="8" spans="2:6" x14ac:dyDescent="0.2">
      <c r="B8" s="164" t="s">
        <v>827</v>
      </c>
      <c r="C8" s="164">
        <v>8.14</v>
      </c>
    </row>
    <row r="9" spans="2:6" x14ac:dyDescent="0.2">
      <c r="B9" s="164" t="s">
        <v>828</v>
      </c>
      <c r="C9" s="164">
        <v>9.6199999999999992</v>
      </c>
    </row>
    <row r="10" spans="2:6" x14ac:dyDescent="0.2">
      <c r="B10" s="164" t="s">
        <v>829</v>
      </c>
      <c r="C10" s="165">
        <f>$E$10*0.56</f>
        <v>3.1416000000000004</v>
      </c>
      <c r="E10" s="164">
        <v>5.61</v>
      </c>
      <c r="F10" s="164" t="s">
        <v>830</v>
      </c>
    </row>
    <row r="11" spans="2:6" x14ac:dyDescent="0.2">
      <c r="B11" s="164" t="s">
        <v>831</v>
      </c>
      <c r="C11" s="165">
        <f>$E$10*0.56</f>
        <v>3.1416000000000004</v>
      </c>
    </row>
    <row r="12" spans="2:6" x14ac:dyDescent="0.2">
      <c r="B12" s="164" t="s">
        <v>832</v>
      </c>
      <c r="C12" s="165">
        <f>$E$10*0.56</f>
        <v>3.1416000000000004</v>
      </c>
    </row>
    <row r="15" spans="2:6" ht="20.25" x14ac:dyDescent="0.3">
      <c r="B15" s="162" t="s">
        <v>833</v>
      </c>
    </row>
    <row r="16" spans="2:6" x14ac:dyDescent="0.2">
      <c r="B16" s="164" t="s">
        <v>207</v>
      </c>
      <c r="C16" s="164">
        <v>0.47</v>
      </c>
    </row>
    <row r="17" spans="1:18" x14ac:dyDescent="0.2">
      <c r="B17" s="164" t="s">
        <v>201</v>
      </c>
      <c r="C17" s="164">
        <v>2.8</v>
      </c>
    </row>
    <row r="18" spans="1:18" x14ac:dyDescent="0.2">
      <c r="B18" s="164" t="s">
        <v>205</v>
      </c>
      <c r="C18" s="164">
        <v>0.32</v>
      </c>
    </row>
    <row r="19" spans="1:18" x14ac:dyDescent="0.2">
      <c r="B19" s="164" t="s">
        <v>834</v>
      </c>
      <c r="C19" s="164">
        <v>0.11</v>
      </c>
    </row>
    <row r="20" spans="1:18" x14ac:dyDescent="0.2">
      <c r="B20" s="164" t="s">
        <v>835</v>
      </c>
      <c r="C20" s="164">
        <v>0.09</v>
      </c>
    </row>
    <row r="21" spans="1:18" x14ac:dyDescent="0.2">
      <c r="B21" s="164" t="s">
        <v>836</v>
      </c>
      <c r="C21" s="164">
        <v>2.25</v>
      </c>
    </row>
    <row r="22" spans="1:18" x14ac:dyDescent="0.2">
      <c r="B22" s="164" t="s">
        <v>837</v>
      </c>
      <c r="C22" s="166">
        <f>'30-Corn'!K15/'30-Corn'!C15</f>
        <v>6.9577777777777774</v>
      </c>
    </row>
    <row r="25" spans="1:18" s="167" customFormat="1" x14ac:dyDescent="0.2">
      <c r="B25" s="167">
        <v>1</v>
      </c>
      <c r="C25" s="167">
        <v>2</v>
      </c>
      <c r="D25" s="167">
        <v>3</v>
      </c>
      <c r="E25" s="167">
        <v>4</v>
      </c>
      <c r="F25" s="167">
        <v>5</v>
      </c>
      <c r="G25" s="167">
        <v>6</v>
      </c>
      <c r="H25" s="167">
        <v>7</v>
      </c>
      <c r="I25" s="167">
        <v>8</v>
      </c>
      <c r="J25" s="167">
        <v>9</v>
      </c>
      <c r="K25" s="167">
        <v>10</v>
      </c>
      <c r="L25" s="167">
        <v>11</v>
      </c>
      <c r="M25" s="167">
        <v>12</v>
      </c>
      <c r="N25" s="167">
        <v>13</v>
      </c>
      <c r="O25" s="167">
        <v>14</v>
      </c>
      <c r="P25" s="167">
        <v>15</v>
      </c>
      <c r="Q25" s="167">
        <v>16</v>
      </c>
      <c r="R25" s="167">
        <v>17</v>
      </c>
    </row>
    <row r="26" spans="1:18" ht="20.25" x14ac:dyDescent="0.3">
      <c r="B26" s="162" t="s">
        <v>838</v>
      </c>
      <c r="G26" s="164" t="s">
        <v>202</v>
      </c>
    </row>
    <row r="27" spans="1:18" ht="38.25" x14ac:dyDescent="0.2">
      <c r="A27" s="164" t="s">
        <v>839</v>
      </c>
      <c r="B27" s="163"/>
      <c r="D27" s="168" t="s">
        <v>650</v>
      </c>
      <c r="E27" s="168" t="s">
        <v>840</v>
      </c>
      <c r="F27" s="168" t="s">
        <v>841</v>
      </c>
      <c r="G27" s="168" t="s">
        <v>842</v>
      </c>
      <c r="H27" s="168" t="s">
        <v>843</v>
      </c>
      <c r="I27" s="168" t="s">
        <v>842</v>
      </c>
      <c r="J27" s="168" t="s">
        <v>844</v>
      </c>
      <c r="K27" s="168" t="s">
        <v>845</v>
      </c>
      <c r="L27" s="168" t="s">
        <v>846</v>
      </c>
      <c r="M27" s="168" t="s">
        <v>847</v>
      </c>
      <c r="N27" s="168" t="s">
        <v>848</v>
      </c>
      <c r="O27" s="168" t="s">
        <v>849</v>
      </c>
      <c r="P27" s="168" t="s">
        <v>850</v>
      </c>
      <c r="Q27" s="168" t="s">
        <v>851</v>
      </c>
      <c r="R27" s="168" t="s">
        <v>852</v>
      </c>
    </row>
    <row r="28" spans="1:18" x14ac:dyDescent="0.2">
      <c r="A28" s="164">
        <v>27</v>
      </c>
      <c r="B28" s="164" t="s">
        <v>823</v>
      </c>
      <c r="C28" s="164" t="s">
        <v>853</v>
      </c>
      <c r="D28" s="164" t="e">
        <f>'30-Corn'!#REF!</f>
        <v>#REF!</v>
      </c>
      <c r="E28" s="165">
        <f>'30-Corn'!G33-'30-Corn'!G15+'30-Corn'!H33-'30-Corn'!H15</f>
        <v>22.83</v>
      </c>
      <c r="F28" s="165">
        <f>('30-Corn'!F33-'30-Corn'!F15)/2.25</f>
        <v>3.7314222222222231</v>
      </c>
      <c r="G28" s="164" t="s">
        <v>207</v>
      </c>
      <c r="H28" s="169">
        <f>'30-Corn'!H46</f>
        <v>1</v>
      </c>
      <c r="I28" s="164" t="s">
        <v>201</v>
      </c>
      <c r="J28" s="164">
        <f>'30-Corn'!H45</f>
        <v>5</v>
      </c>
      <c r="K28" s="165">
        <f>'30-Corn'!K41+'30-Corn'!K42</f>
        <v>163.1</v>
      </c>
      <c r="L28" s="165">
        <f>SUM('30-Corn'!K37:K40,'30-Corn'!K43,'30-Corn'!K47:K50,'30-Corn'!K52:K53,'30-Corn'!K55)</f>
        <v>182.92000000000002</v>
      </c>
      <c r="M28" s="165">
        <f>SUM('30-Corn'!J51,'30-Corn'!J54,'30-Corn'!J58)</f>
        <v>1.4</v>
      </c>
      <c r="N28" s="165">
        <f>('30-Corn'!E33-'30-Corn'!E15)</f>
        <v>13.269400000000001</v>
      </c>
      <c r="O28" s="165">
        <f>'30-Corn'!J56</f>
        <v>13</v>
      </c>
      <c r="P28" s="165" t="str">
        <f>'30-Corn'!J57</f>
        <v/>
      </c>
      <c r="Q28" s="164">
        <v>0</v>
      </c>
      <c r="R28" s="164">
        <v>9</v>
      </c>
    </row>
    <row r="29" spans="1:18" x14ac:dyDescent="0.2">
      <c r="A29" s="164">
        <v>32</v>
      </c>
      <c r="B29" s="164" t="s">
        <v>824</v>
      </c>
      <c r="C29" s="164" t="s">
        <v>854</v>
      </c>
      <c r="D29" s="164" t="e">
        <f>'33-Corn'!#REF!</f>
        <v>#REF!</v>
      </c>
      <c r="E29" s="165">
        <f>'33-Corn'!G33-'33-Corn'!G15+'33-Corn'!H33-'33-Corn'!H15</f>
        <v>24.047200000000004</v>
      </c>
      <c r="F29" s="164">
        <f>('33-Corn'!F33-'33-Corn'!F15)/2.25</f>
        <v>4.0120444444444452</v>
      </c>
      <c r="G29" s="164" t="s">
        <v>207</v>
      </c>
      <c r="H29" s="164">
        <v>180</v>
      </c>
      <c r="I29" s="164" t="s">
        <v>201</v>
      </c>
      <c r="J29" s="164">
        <v>6</v>
      </c>
      <c r="K29" s="165">
        <f>'33-Corn'!K43+'33-Corn'!K44</f>
        <v>166.63</v>
      </c>
      <c r="L29" s="165">
        <f>SUM('33-Corn'!K37:K42,'33-Corn'!K48:K51,'33-Corn'!K53:K54,'33-Corn'!K56)</f>
        <v>122.61</v>
      </c>
      <c r="M29" s="165" t="e">
        <f>'33-Corn'!J52+'33-Corn'!J55+'33-Corn'!J59</f>
        <v>#VALUE!</v>
      </c>
      <c r="N29" s="165">
        <f>('33-Corn'!E33-'33-Corn'!E15)</f>
        <v>14.0184</v>
      </c>
      <c r="O29" s="164">
        <f>C19</f>
        <v>0.11</v>
      </c>
      <c r="P29" s="164">
        <f>C20</f>
        <v>0.09</v>
      </c>
      <c r="Q29" s="164">
        <v>0</v>
      </c>
      <c r="R29" s="164">
        <v>9</v>
      </c>
    </row>
    <row r="30" spans="1:18" x14ac:dyDescent="0.2">
      <c r="B30" s="164" t="s">
        <v>825</v>
      </c>
    </row>
    <row r="31" spans="1:18" x14ac:dyDescent="0.2">
      <c r="A31" s="164">
        <v>55</v>
      </c>
      <c r="B31" s="164" t="s">
        <v>826</v>
      </c>
      <c r="C31" s="164" t="s">
        <v>855</v>
      </c>
      <c r="D31" s="164" t="e">
        <f>#REF!</f>
        <v>#REF!</v>
      </c>
      <c r="E31" s="165" t="e">
        <f>#REF!-#REF!+#REF!-#REF!</f>
        <v>#REF!</v>
      </c>
      <c r="F31" s="164" t="e">
        <f>(#REF!-#REF!)/2.25</f>
        <v>#REF!</v>
      </c>
      <c r="G31" s="164">
        <v>0</v>
      </c>
      <c r="H31" s="164">
        <v>0</v>
      </c>
      <c r="I31" s="164">
        <v>0</v>
      </c>
      <c r="J31" s="164">
        <v>0</v>
      </c>
      <c r="K31" s="165" t="e">
        <f>#REF!</f>
        <v>#REF!</v>
      </c>
      <c r="L31" s="165" t="e">
        <f>SUM(#REF!,#REF!,#REF!,#REF!)</f>
        <v>#REF!</v>
      </c>
      <c r="M31" s="165" t="e">
        <f>#REF!+#REF!</f>
        <v>#REF!</v>
      </c>
      <c r="N31" s="165" t="e">
        <f>#REF!-#REF!</f>
        <v>#REF!</v>
      </c>
      <c r="O31" s="164">
        <f>C19</f>
        <v>0.11</v>
      </c>
      <c r="P31" s="164">
        <v>0</v>
      </c>
      <c r="Q31" s="164">
        <v>0</v>
      </c>
      <c r="R31" s="164">
        <v>6</v>
      </c>
    </row>
    <row r="32" spans="1:18" x14ac:dyDescent="0.2">
      <c r="A32" s="164">
        <v>56</v>
      </c>
      <c r="B32" s="164" t="s">
        <v>827</v>
      </c>
      <c r="C32" s="164" t="s">
        <v>853</v>
      </c>
      <c r="D32" s="164" t="e">
        <f>'64-Soybeans'!#REF!</f>
        <v>#REF!</v>
      </c>
      <c r="E32" s="165">
        <f>'64-Soybeans'!G33-'64-Soybeans'!G17+'64-Soybeans'!H33-'64-Soybeans'!H17</f>
        <v>15.8017</v>
      </c>
      <c r="F32" s="164">
        <f>('64-Soybeans'!F33-'64-Soybeans'!F17)/2.25</f>
        <v>2.1448888888888891</v>
      </c>
      <c r="G32" s="164">
        <v>0</v>
      </c>
      <c r="H32" s="164">
        <v>0</v>
      </c>
      <c r="I32" s="164">
        <v>0</v>
      </c>
      <c r="J32" s="164">
        <v>0</v>
      </c>
      <c r="K32" s="165">
        <f>'64-Soybeans'!K41</f>
        <v>83</v>
      </c>
      <c r="L32" s="165">
        <f>SUM('64-Soybeans'!K37:K40,'64-Soybeans'!K43:K45,'64-Soybeans'!K47,'64-Soybeans'!K49)</f>
        <v>74.680000000000007</v>
      </c>
      <c r="M32" s="165">
        <f>'64-Soybeans'!K48+'64-Soybeans'!K51</f>
        <v>17.399999999999999</v>
      </c>
      <c r="N32" s="165">
        <f>'64-Soybeans'!E33-'64-Soybeans'!E17</f>
        <v>8.3642000000000003</v>
      </c>
      <c r="O32" s="164">
        <f>C19</f>
        <v>0.11</v>
      </c>
      <c r="P32" s="164">
        <v>0</v>
      </c>
      <c r="Q32" s="164">
        <v>0</v>
      </c>
      <c r="R32" s="164">
        <v>6</v>
      </c>
    </row>
    <row r="33" spans="1:18" x14ac:dyDescent="0.2">
      <c r="B33" s="164" t="s">
        <v>828</v>
      </c>
    </row>
    <row r="34" spans="1:18" x14ac:dyDescent="0.2">
      <c r="A34" s="164">
        <v>41</v>
      </c>
      <c r="B34" s="164" t="s">
        <v>829</v>
      </c>
      <c r="C34" s="164" t="s">
        <v>855</v>
      </c>
      <c r="D34" s="164" t="e">
        <f>'50-Grain Sorghum'!#REF!</f>
        <v>#REF!</v>
      </c>
      <c r="E34" s="165">
        <f>'50-Grain Sorghum'!G33-'50-Grain Sorghum'!G18+'50-Grain Sorghum'!H33-'50-Grain Sorghum'!H18</f>
        <v>21.352799999999998</v>
      </c>
      <c r="F34" s="164">
        <f>('50-Grain Sorghum'!F33-'50-Grain Sorghum'!F18)/C21</f>
        <v>3.4691111111111121</v>
      </c>
      <c r="G34" s="164" t="s">
        <v>207</v>
      </c>
      <c r="H34" s="164">
        <v>150</v>
      </c>
      <c r="I34" s="164" t="s">
        <v>201</v>
      </c>
      <c r="J34" s="164">
        <v>6</v>
      </c>
      <c r="K34" s="165">
        <f>'50-Grain Sorghum'!K44</f>
        <v>22.2</v>
      </c>
      <c r="L34" s="165">
        <f>SUM('50-Grain Sorghum'!K37:K39,'50-Grain Sorghum'!K41:K42,'50-Grain Sorghum'!K45:K46,'50-Grain Sorghum'!K48)</f>
        <v>73.37</v>
      </c>
      <c r="M34" s="165">
        <f>'50-Grain Sorghum'!K47+'50-Grain Sorghum'!K50</f>
        <v>11.65</v>
      </c>
      <c r="N34" s="165">
        <f>'50-Grain Sorghum'!E33-'50-Grain Sorghum'!E18</f>
        <v>14.017500000000002</v>
      </c>
      <c r="O34" s="164">
        <f>C19</f>
        <v>0.11</v>
      </c>
      <c r="R34" s="164">
        <f>'50-Grain Sorghum'!K3</f>
        <v>6</v>
      </c>
    </row>
    <row r="35" spans="1:18" x14ac:dyDescent="0.2">
      <c r="B35" s="164" t="s">
        <v>831</v>
      </c>
      <c r="C35" s="164" t="s">
        <v>855</v>
      </c>
      <c r="D35" s="164" t="e">
        <f>D34+5</f>
        <v>#REF!</v>
      </c>
      <c r="E35" s="165">
        <f>E34</f>
        <v>21.352799999999998</v>
      </c>
      <c r="F35" s="165">
        <f>F34</f>
        <v>3.4691111111111121</v>
      </c>
      <c r="G35" s="165" t="str">
        <f>G34</f>
        <v>32-0-0</v>
      </c>
      <c r="H35" s="164">
        <f>H34-30</f>
        <v>120</v>
      </c>
      <c r="I35" s="164" t="str">
        <f>I34</f>
        <v>10-34-0</v>
      </c>
      <c r="J35" s="164">
        <f t="shared" ref="J35:O35" si="0">J34</f>
        <v>6</v>
      </c>
      <c r="K35" s="164">
        <f t="shared" si="0"/>
        <v>22.2</v>
      </c>
      <c r="L35" s="164">
        <f t="shared" si="0"/>
        <v>73.37</v>
      </c>
      <c r="M35" s="164">
        <f t="shared" si="0"/>
        <v>11.65</v>
      </c>
      <c r="N35" s="164">
        <f t="shared" si="0"/>
        <v>14.017500000000002</v>
      </c>
      <c r="O35" s="164">
        <f t="shared" si="0"/>
        <v>0.11</v>
      </c>
      <c r="R35" s="164">
        <f>R34</f>
        <v>6</v>
      </c>
    </row>
    <row r="36" spans="1:18" x14ac:dyDescent="0.2">
      <c r="B36" s="164" t="s">
        <v>832</v>
      </c>
    </row>
    <row r="38" spans="1:18" s="167" customFormat="1" x14ac:dyDescent="0.2">
      <c r="B38" s="167">
        <v>1</v>
      </c>
      <c r="C38" s="167">
        <v>2</v>
      </c>
      <c r="D38" s="167">
        <v>3</v>
      </c>
      <c r="E38" s="167">
        <v>4</v>
      </c>
      <c r="F38" s="167">
        <v>5</v>
      </c>
      <c r="G38" s="167">
        <v>6</v>
      </c>
      <c r="H38" s="167">
        <v>7</v>
      </c>
      <c r="I38" s="167">
        <v>8</v>
      </c>
      <c r="J38" s="167">
        <v>9</v>
      </c>
      <c r="K38" s="167">
        <v>10</v>
      </c>
      <c r="L38" s="167">
        <v>11</v>
      </c>
      <c r="M38" s="167">
        <v>12</v>
      </c>
      <c r="N38" s="167">
        <v>13</v>
      </c>
      <c r="O38" s="167">
        <v>14</v>
      </c>
      <c r="P38" s="167">
        <v>15</v>
      </c>
    </row>
    <row r="39" spans="1:18" ht="20.25" x14ac:dyDescent="0.3">
      <c r="B39" s="162" t="s">
        <v>856</v>
      </c>
      <c r="G39" s="164" t="s">
        <v>202</v>
      </c>
    </row>
    <row r="40" spans="1:18" ht="25.5" x14ac:dyDescent="0.2">
      <c r="A40" s="164" t="s">
        <v>569</v>
      </c>
      <c r="B40" s="163"/>
      <c r="D40" s="168" t="s">
        <v>650</v>
      </c>
      <c r="E40" s="168" t="s">
        <v>840</v>
      </c>
      <c r="F40" s="168" t="s">
        <v>841</v>
      </c>
      <c r="G40" s="168" t="s">
        <v>842</v>
      </c>
      <c r="H40" s="168" t="s">
        <v>843</v>
      </c>
      <c r="I40" s="168" t="s">
        <v>842</v>
      </c>
      <c r="J40" s="168" t="s">
        <v>843</v>
      </c>
      <c r="K40" s="168" t="s">
        <v>845</v>
      </c>
      <c r="L40" s="168" t="s">
        <v>846</v>
      </c>
      <c r="M40" s="168" t="s">
        <v>847</v>
      </c>
      <c r="N40" s="168" t="s">
        <v>848</v>
      </c>
      <c r="O40" s="168" t="s">
        <v>849</v>
      </c>
      <c r="P40" s="168" t="s">
        <v>850</v>
      </c>
      <c r="Q40" s="168" t="s">
        <v>851</v>
      </c>
      <c r="R40" s="168"/>
    </row>
    <row r="41" spans="1:18" x14ac:dyDescent="0.2">
      <c r="A41" s="164">
        <v>17</v>
      </c>
      <c r="B41" s="164" t="s">
        <v>823</v>
      </c>
      <c r="C41" s="164" t="s">
        <v>853</v>
      </c>
      <c r="D41" s="164" t="e">
        <f>'19-Corn'!#REF!</f>
        <v>#REF!</v>
      </c>
      <c r="E41" s="165">
        <f>'19-Corn'!G33+'19-Corn'!H33</f>
        <v>16.520499999999998</v>
      </c>
      <c r="F41" s="164">
        <f>'19-Corn'!F33/C21</f>
        <v>2.4915555555555553</v>
      </c>
      <c r="G41" s="164" t="s">
        <v>207</v>
      </c>
      <c r="H41" s="169">
        <f>'19-Corn'!H40</f>
        <v>115</v>
      </c>
      <c r="I41" s="164" t="s">
        <v>201</v>
      </c>
      <c r="J41" s="164">
        <v>6</v>
      </c>
      <c r="K41" s="165">
        <f>'19-Corn'!K42+'19-Corn'!K43</f>
        <v>98.68</v>
      </c>
      <c r="L41" s="165">
        <f>SUM('19-Corn'!K37:K39,'19-Corn'!K41,'19-Corn'!K44,'19-Corn'!K46:K48,'19-Corn'!K50:K51)</f>
        <v>103.76999999999998</v>
      </c>
      <c r="M41" s="165">
        <f>'19-Corn'!K49+'19-Corn'!K54</f>
        <v>0.5</v>
      </c>
      <c r="N41" s="165">
        <f>'19-Corn'!E33</f>
        <v>10.094200000000003</v>
      </c>
      <c r="O41" s="164">
        <f>C19</f>
        <v>0.11</v>
      </c>
      <c r="P41" s="164">
        <f>C20</f>
        <v>0.09</v>
      </c>
    </row>
    <row r="42" spans="1:18" x14ac:dyDescent="0.2">
      <c r="A42" s="164">
        <v>21</v>
      </c>
      <c r="B42" s="164" t="s">
        <v>824</v>
      </c>
      <c r="C42" s="164" t="s">
        <v>854</v>
      </c>
      <c r="D42" s="164" t="e">
        <f>'23-Corn'!#REF!</f>
        <v>#REF!</v>
      </c>
      <c r="E42" s="165">
        <f>'23-Corn'!G33+'23-Corn'!H33</f>
        <v>18.211699999999997</v>
      </c>
      <c r="F42" s="164">
        <f>'23-Corn'!F33/C21</f>
        <v>2.7352000000000003</v>
      </c>
      <c r="G42" s="164" t="str">
        <f>G41</f>
        <v>32-0-0</v>
      </c>
      <c r="H42" s="169">
        <f>'23-Corn'!H40</f>
        <v>80</v>
      </c>
      <c r="I42" s="164" t="str">
        <f>I41</f>
        <v>10-34-0</v>
      </c>
      <c r="J42" s="164">
        <f>J41</f>
        <v>6</v>
      </c>
      <c r="K42" s="165">
        <f>'23-Corn'!K41+'23-Corn'!K42</f>
        <v>96.490000000000009</v>
      </c>
      <c r="L42" s="165">
        <f>SUM('23-Corn'!K37:K39,'23-Corn'!K44:K50,'23-Corn'!K52:K53)</f>
        <v>68.33</v>
      </c>
      <c r="M42" s="165">
        <f>'23-Corn'!K51+'23-Corn'!K56</f>
        <v>0.52</v>
      </c>
      <c r="N42" s="165">
        <f>'23-Corn'!E33</f>
        <v>11.432700000000001</v>
      </c>
      <c r="O42" s="164">
        <f>C19</f>
        <v>0.11</v>
      </c>
      <c r="P42" s="164">
        <f>C20</f>
        <v>0.09</v>
      </c>
    </row>
    <row r="43" spans="1:18" x14ac:dyDescent="0.2">
      <c r="B43" s="164" t="s">
        <v>825</v>
      </c>
      <c r="C43" s="164">
        <v>0</v>
      </c>
    </row>
    <row r="44" spans="1:18" x14ac:dyDescent="0.2">
      <c r="A44" s="164">
        <v>51</v>
      </c>
      <c r="B44" s="164" t="s">
        <v>826</v>
      </c>
      <c r="C44" s="164" t="s">
        <v>855</v>
      </c>
      <c r="D44" s="164" t="e">
        <f>'60-Soybeans'!#REF!</f>
        <v>#REF!</v>
      </c>
      <c r="E44" s="165">
        <f>'60-Soybeans'!G34+'60-Soybeans'!H34</f>
        <v>15.335999999999999</v>
      </c>
      <c r="F44" s="164">
        <f>'60-Soybeans'!F34/C21</f>
        <v>2.0751604938271608</v>
      </c>
      <c r="K44" s="165">
        <f>'60-Soybeans'!K44</f>
        <v>70</v>
      </c>
      <c r="L44" s="165">
        <f>SUM('60-Soybeans'!K38:K43,'60-Soybeans'!K46:K48,'60-Soybeans'!K50)</f>
        <v>84.66</v>
      </c>
      <c r="M44" s="165">
        <f>'60-Soybeans'!K49+'60-Soybeans'!K54</f>
        <v>8.18</v>
      </c>
      <c r="N44" s="165">
        <f>'60-Soybeans'!E34</f>
        <v>8.6384444444444437</v>
      </c>
      <c r="O44" s="164">
        <f>C19</f>
        <v>0.11</v>
      </c>
    </row>
    <row r="45" spans="1:18" x14ac:dyDescent="0.2">
      <c r="A45" s="164">
        <v>52</v>
      </c>
      <c r="B45" s="164" t="s">
        <v>827</v>
      </c>
      <c r="C45" s="164" t="s">
        <v>855</v>
      </c>
      <c r="D45" s="164" t="e">
        <f>'61-Soybeans'!#REF!</f>
        <v>#REF!</v>
      </c>
      <c r="E45" s="165">
        <f>'61-Soybeans'!G34+'61-Soybeans'!H34</f>
        <v>13.916399999999999</v>
      </c>
      <c r="F45" s="164">
        <f>'61-Soybeans'!F34/C21</f>
        <v>1.8587555555555555</v>
      </c>
      <c r="K45" s="165">
        <f>'61-Soybeans'!K42</f>
        <v>70</v>
      </c>
      <c r="L45" s="165">
        <f>SUM('61-Soybeans'!K38:K41,'61-Soybeans'!K44:K44,'61-Soybeans'!K46)</f>
        <v>75.570000000000007</v>
      </c>
      <c r="M45" s="165">
        <f>'61-Soybeans'!K45+'61-Soybeans'!K50</f>
        <v>7.43</v>
      </c>
      <c r="N45" s="165">
        <f>'61-Soybeans'!E34</f>
        <v>7.5645999999999995</v>
      </c>
      <c r="O45" s="164">
        <f>C19</f>
        <v>0.11</v>
      </c>
    </row>
    <row r="46" spans="1:18" x14ac:dyDescent="0.2">
      <c r="B46" s="164" t="s">
        <v>828</v>
      </c>
      <c r="C46" s="164">
        <v>0</v>
      </c>
    </row>
    <row r="47" spans="1:18" x14ac:dyDescent="0.2">
      <c r="A47" s="164">
        <v>39</v>
      </c>
      <c r="B47" s="164" t="s">
        <v>829</v>
      </c>
      <c r="C47" s="164">
        <v>0</v>
      </c>
      <c r="D47" s="164" t="e">
        <f>'48-Grain Sorghum'!#REF!</f>
        <v>#REF!</v>
      </c>
      <c r="E47" s="165">
        <f>'48-Grain Sorghum'!G33+'48-Grain Sorghum'!H33</f>
        <v>16.253899999999998</v>
      </c>
      <c r="F47" s="164">
        <f>'48-Grain Sorghum'!F33/C21</f>
        <v>2.5493333333333332</v>
      </c>
      <c r="G47" s="164" t="s">
        <v>207</v>
      </c>
      <c r="H47" s="164">
        <f>'48-Grain Sorghum'!H40</f>
        <v>120</v>
      </c>
      <c r="I47" s="164" t="s">
        <v>201</v>
      </c>
      <c r="J47" s="164">
        <v>6</v>
      </c>
      <c r="K47" s="165">
        <f>'48-Grain Sorghum'!K44</f>
        <v>14.8</v>
      </c>
      <c r="L47" s="165">
        <f>SUM('48-Grain Sorghum'!K37:K39,'48-Grain Sorghum'!K41:K42,'48-Grain Sorghum'!K45:K46,'48-Grain Sorghum'!K48)</f>
        <v>73.37</v>
      </c>
      <c r="M47" s="165">
        <f>'50-Grain Sorghum'!K47+'50-Grain Sorghum'!K50</f>
        <v>11.65</v>
      </c>
      <c r="N47" s="165">
        <f>'48-Grain Sorghum'!E33</f>
        <v>10.604200000000001</v>
      </c>
      <c r="O47" s="164">
        <f>C19</f>
        <v>0.11</v>
      </c>
    </row>
    <row r="48" spans="1:18" x14ac:dyDescent="0.2">
      <c r="A48" s="164" t="s">
        <v>857</v>
      </c>
      <c r="B48" s="164" t="s">
        <v>831</v>
      </c>
      <c r="C48" s="164" t="s">
        <v>855</v>
      </c>
      <c r="D48" s="164" t="e">
        <f>D47+5</f>
        <v>#REF!</v>
      </c>
      <c r="E48" s="165">
        <f>E47</f>
        <v>16.253899999999998</v>
      </c>
      <c r="F48" s="165">
        <f t="shared" ref="F48:O48" si="1">F47</f>
        <v>2.5493333333333332</v>
      </c>
      <c r="G48" s="165" t="str">
        <f t="shared" si="1"/>
        <v>32-0-0</v>
      </c>
      <c r="H48" s="165">
        <f>H47-30</f>
        <v>90</v>
      </c>
      <c r="I48" s="165" t="str">
        <f t="shared" si="1"/>
        <v>10-34-0</v>
      </c>
      <c r="J48" s="165">
        <f t="shared" si="1"/>
        <v>6</v>
      </c>
      <c r="K48" s="165">
        <f t="shared" si="1"/>
        <v>14.8</v>
      </c>
      <c r="L48" s="165">
        <f t="shared" si="1"/>
        <v>73.37</v>
      </c>
      <c r="M48" s="165">
        <f t="shared" si="1"/>
        <v>11.65</v>
      </c>
      <c r="N48" s="165">
        <f t="shared" si="1"/>
        <v>10.604200000000001</v>
      </c>
      <c r="O48" s="165">
        <f t="shared" si="1"/>
        <v>0.11</v>
      </c>
    </row>
    <row r="49" spans="2:3" x14ac:dyDescent="0.2">
      <c r="B49" s="164" t="s">
        <v>832</v>
      </c>
      <c r="C49" s="164" t="s">
        <v>855</v>
      </c>
    </row>
  </sheetData>
  <pageMargins left="0.75" right="0.75" top="1" bottom="1" header="0.5" footer="0.5"/>
  <pageSetup scale="68" orientation="landscape" horizontalDpi="4294967293"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4"/>
  <dimension ref="B3:J31"/>
  <sheetViews>
    <sheetView workbookViewId="0">
      <selection activeCell="B9" sqref="B9"/>
    </sheetView>
  </sheetViews>
  <sheetFormatPr defaultColWidth="9.140625" defaultRowHeight="12.75" x14ac:dyDescent="0.2"/>
  <sheetData>
    <row r="3" spans="2:10" x14ac:dyDescent="0.2">
      <c r="B3" s="70" t="s">
        <v>414</v>
      </c>
      <c r="C3" s="71" t="s">
        <v>858</v>
      </c>
      <c r="D3" s="23">
        <f>IF(B3=0,"",'General Variables'!$B$4*VLOOKUP(B3,Operations!$A$2:$U$79,10,FALSE)/VLOOKUP(B3,Operations!$A$2:$U$79,9,FALSE)*LEFT(C3,2))</f>
        <v>0.76500000000000012</v>
      </c>
      <c r="E3" s="23">
        <f>IF(B3=0,0,IF(VLOOKUP(B3,Operations!$A$2:$U$79,12,FALSE)=0,VLOOKUP(B3,Operations!$A$2:$U$79,13,FALSE)*'General Variables'!$B$8,VLOOKUP(B3,Operations!$A$2:$U$79,12,FALSE)*'General Variables'!$B$7)/VLOOKUP(B3,Operations!$A$2:$U$79,9,FALSE)*LEFT(C3,2))</f>
        <v>0.24704090909090909</v>
      </c>
      <c r="F3" s="23">
        <f>IF(B3=0,0,VLOOKUP(VLOOKUP(B3,Operations!$A$2:$U$79,11,FALSE),PowerUnits[],10,FALSE)/VLOOKUP(B3,Operations!$A$2:$U$79,9,FALSE)*LEFT(C3,2))</f>
        <v>2.1597727272727279E-2</v>
      </c>
      <c r="G3" s="23">
        <f>IF(B3=0,"",VLOOKUP($B3,Operations!$A$2:$U$79,15,FALSE)*LEFT(C3,2))</f>
        <v>0.47063093018200547</v>
      </c>
      <c r="H3" s="23">
        <f>IF(B3=0,0,VLOOKUP(VLOOKUP(B3,Operations!$A$2:$U$79,11,FALSE),PowerUnits[],16,FALSE)/VLOOKUP(B3,Operations!$A$2:$U$79,9,FALSE)*LEFT(C3,2))</f>
        <v>1.1148656606571175</v>
      </c>
      <c r="I3" s="23">
        <f>IF(B3=0,"",VLOOKUP($B3,Operations!$A$2:$U$79,21,FALSE)*LEFT(C3,2))</f>
        <v>0.9385890233738845</v>
      </c>
      <c r="J3" s="23">
        <f>SUM(D3:I3)</f>
        <v>3.5577242505766442</v>
      </c>
    </row>
    <row r="4" spans="2:10" x14ac:dyDescent="0.2">
      <c r="B4" s="70" t="s">
        <v>414</v>
      </c>
      <c r="C4" s="71" t="s">
        <v>859</v>
      </c>
      <c r="D4" s="23">
        <f>IF(B4=0,"",'General Variables'!$B$4*VLOOKUP(B4,Operations!$A$2:$U$79,10,FALSE)/VLOOKUP(B4,Operations!$A$2:$U$79,9,FALSE)*LEFT(C4,3))</f>
        <v>0.90000000000000013</v>
      </c>
      <c r="E4" s="23">
        <f>IF(B4=0,0,IF(VLOOKUP(B4,Operations!$A$2:$U$79,12,FALSE)=0,VLOOKUP(B4,Operations!$A$2:$U$79,13,FALSE)*'General Variables'!$B$8,VLOOKUP(B4,Operations!$A$2:$U$79,12,FALSE)*'General Variables'!$B$7)/VLOOKUP(B4,Operations!$A$2:$U$79,9,FALSE)*LEFT(C4,3))</f>
        <v>0.29063636363636364</v>
      </c>
      <c r="F4" s="23">
        <f>IF(B4=0,0,VLOOKUP(VLOOKUP(B4,Operations!$A$2:$U$79,11,FALSE),PowerUnits[],10,FALSE)/VLOOKUP(B4,Operations!$A$2:$U$79,9,FALSE)*LEFT(C4,3))</f>
        <v>2.5409090909090916E-2</v>
      </c>
      <c r="G4" s="23">
        <f>IF(B4=0,"",VLOOKUP($B4,Operations!$A$2:$U$79,15,FALSE)*LEFT(C4,3))</f>
        <v>0.5536834472729476</v>
      </c>
      <c r="H4" s="23">
        <f>IF(B4=0,0,VLOOKUP(VLOOKUP(B4,Operations!$A$2:$U$79,11,FALSE),PowerUnits[],16,FALSE)/VLOOKUP(B4,Operations!$A$2:$U$79,9,FALSE)*LEFT(C4,3))</f>
        <v>1.3116066595966087</v>
      </c>
      <c r="I4" s="23">
        <f>IF(B4=0,"",VLOOKUP($B4,Operations!$A$2:$U$79,21,FALSE)*LEFT(C4,3))</f>
        <v>1.1042223804398641</v>
      </c>
      <c r="J4" s="23">
        <f>SUM(D4:I4)</f>
        <v>4.1855579418548752</v>
      </c>
    </row>
    <row r="5" spans="2:10" x14ac:dyDescent="0.2">
      <c r="B5" s="70" t="s">
        <v>482</v>
      </c>
      <c r="C5" s="71" t="s">
        <v>860</v>
      </c>
      <c r="D5" s="23">
        <f>IF(B5=0,"",'General Variables'!$B$4*VLOOKUP(B5,Operations!$A$2:$U$79,10,FALSE)/VLOOKUP(B5,Operations!$A$2:$U$79,9,FALSE)*LEFT(C5,2))</f>
        <v>33</v>
      </c>
      <c r="E5" s="23"/>
      <c r="F5" s="23"/>
      <c r="G5" s="23"/>
      <c r="H5" s="23"/>
      <c r="I5" s="23"/>
      <c r="J5" s="23">
        <f>SUM(D5:I5)</f>
        <v>33</v>
      </c>
    </row>
    <row r="6" spans="2:10" x14ac:dyDescent="0.2">
      <c r="B6" s="70" t="s">
        <v>861</v>
      </c>
      <c r="C6" s="71" t="s">
        <v>862</v>
      </c>
      <c r="D6" s="23" t="e">
        <f>IF(B6=0,"",'General Variables'!$B$4*VLOOKUP(B6,Operations!$A$2:$U$79,10,FALSE)/VLOOKUP(B6,Operations!$A$2:$U$79,9,FALSE)*LEFT(C6,2))</f>
        <v>#N/A</v>
      </c>
      <c r="E6" s="23" t="e">
        <f>IF(B6=0,0,IF(VLOOKUP(B6,Operations!$A$2:$U$79,12,FALSE)=0,VLOOKUP(B6,Operations!$A$2:$U$79,13,FALSE)*'General Variables'!$B$8,VLOOKUP(B6,Operations!$A$2:$U$79,12,FALSE)*'General Variables'!$B$7)/VLOOKUP(B6,Operations!$A$2:$U$79,9,FALSE)*LEFT(C6,2))</f>
        <v>#N/A</v>
      </c>
      <c r="F6" s="23" t="e">
        <f>IF(B6=0,0,VLOOKUP(VLOOKUP(B6,Operations!$A$2:$U$79,11,FALSE),PowerUnits[],10,FALSE)/VLOOKUP(B6,Operations!$A$2:$U$79,9,FALSE)*LEFT(C6,2))</f>
        <v>#N/A</v>
      </c>
      <c r="G6" s="23" t="e">
        <f>IF(B6=0,"",VLOOKUP($B6,Operations!$A$2:$U$79,15,FALSE)*LEFT(C6,2))</f>
        <v>#N/A</v>
      </c>
      <c r="H6" s="23" t="e">
        <f>IF(B6=0,0,VLOOKUP(VLOOKUP(B6,Operations!$A$2:$U$79,11,FALSE),PowerUnits[],16,FALSE)/VLOOKUP(B6,Operations!$A$2:$U$79,9,FALSE)*LEFT(C6,2))</f>
        <v>#N/A</v>
      </c>
      <c r="I6" s="23" t="e">
        <f>IF(B6=0,"",VLOOKUP($B6,Operations!$A$2:$U$79,21,FALSE)*LEFT(C6,2))</f>
        <v>#N/A</v>
      </c>
      <c r="J6" s="23" t="e">
        <f>SUM(D6:I6)</f>
        <v>#N/A</v>
      </c>
    </row>
    <row r="7" spans="2:10" x14ac:dyDescent="0.2">
      <c r="B7" s="70" t="s">
        <v>863</v>
      </c>
      <c r="C7" s="71" t="s">
        <v>864</v>
      </c>
      <c r="D7" s="23" t="e">
        <f>IF(B7=0,"",'General Variables'!$B$4*VLOOKUP(B7,Operations!$A$2:$U$79,10,FALSE)/VLOOKUP(B7,Operations!$A$2:$U$79,9,FALSE)*LEFT(C7,1))</f>
        <v>#N/A</v>
      </c>
      <c r="E7" s="23" t="e">
        <f>IF(B7=0,0,IF(VLOOKUP(B7,Operations!$A$2:$U$79,12,FALSE)=0,VLOOKUP(B7,Operations!$A$2:$U$79,13,FALSE)*'General Variables'!$B$8,VLOOKUP(B7,Operations!$A$2:$U$79,12,FALSE)*'General Variables'!$B$7)/VLOOKUP(B7,Operations!$A$2:$U$79,9,FALSE)*LEFT(C7,1))</f>
        <v>#N/A</v>
      </c>
      <c r="F7" s="23" t="e">
        <f>IF(B7=0,0,VLOOKUP(VLOOKUP(B7,Operations!$A$2:$U$79,11,FALSE),PowerUnits[],10,FALSE)/VLOOKUP(B7,Operations!$A$2:$U$79,9,FALSE)*LEFT(C7,1))</f>
        <v>#N/A</v>
      </c>
      <c r="G7" s="23" t="e">
        <f>IF(B7=0,"",VLOOKUP($B7,Operations!$A$2:$U$79,15,FALSE)*LEFT(C7,1))</f>
        <v>#N/A</v>
      </c>
      <c r="H7" s="23" t="e">
        <f>IF(B7=0,0,VLOOKUP(VLOOKUP(B7,Operations!$A$2:$U$79,11,FALSE),PowerUnits[],16,FALSE)/VLOOKUP(B7,Operations!$A$2:$U$79,9,FALSE)*LEFT(C7,1))</f>
        <v>#N/A</v>
      </c>
      <c r="I7" s="23" t="e">
        <f>IF(B7=0,"",VLOOKUP($B7,Operations!$A$2:$U$79,21,FALSE)*LEFT(C7,1))</f>
        <v>#N/A</v>
      </c>
      <c r="J7" s="23" t="e">
        <f>SUM(D7:I7)</f>
        <v>#N/A</v>
      </c>
    </row>
    <row r="9" spans="2:10" x14ac:dyDescent="0.2">
      <c r="B9">
        <f>SUM(Start:Stop!K74)</f>
        <v>0</v>
      </c>
    </row>
    <row r="10" spans="2:10" x14ac:dyDescent="0.2">
      <c r="B10">
        <f>SUM(Start:Stop!K75)</f>
        <v>0</v>
      </c>
      <c r="E10" s="22">
        <f>'82-Cover Crop'!K12+'83-Cover Crop Grazing'!K12</f>
        <v>34.879999999999995</v>
      </c>
    </row>
    <row r="11" spans="2:10" x14ac:dyDescent="0.2">
      <c r="B11">
        <f>SUM(Start:Stop!K76)</f>
        <v>101.66175000000001</v>
      </c>
    </row>
    <row r="12" spans="2:10" x14ac:dyDescent="0.2">
      <c r="B12">
        <f>SUM(Start:Stop!K77)</f>
        <v>0</v>
      </c>
    </row>
    <row r="13" spans="2:10" x14ac:dyDescent="0.2">
      <c r="B13">
        <f>SUM(Start:Stop!K78)</f>
        <v>0</v>
      </c>
    </row>
    <row r="14" spans="2:10" x14ac:dyDescent="0.2">
      <c r="B14">
        <f>SUM(Start:Stop!K79)</f>
        <v>0</v>
      </c>
    </row>
    <row r="15" spans="2:10" x14ac:dyDescent="0.2">
      <c r="B15">
        <f>SUM(Start:Stop!K80)</f>
        <v>0</v>
      </c>
    </row>
    <row r="16" spans="2:10" x14ac:dyDescent="0.2">
      <c r="B16">
        <f>SUM(Start:Stop!K81)</f>
        <v>0</v>
      </c>
    </row>
    <row r="17" spans="2:2" x14ac:dyDescent="0.2">
      <c r="B17">
        <f>SUM(Start:Stop!K82)</f>
        <v>0</v>
      </c>
    </row>
    <row r="18" spans="2:2" x14ac:dyDescent="0.2">
      <c r="B18">
        <f>SUM(Start:Stop!K83)</f>
        <v>0</v>
      </c>
    </row>
    <row r="19" spans="2:2" x14ac:dyDescent="0.2">
      <c r="B19">
        <f>SUM(Start:Stop!K84)</f>
        <v>0</v>
      </c>
    </row>
    <row r="20" spans="2:2" x14ac:dyDescent="0.2">
      <c r="B20">
        <f>SUM(Start:Stop!K85)</f>
        <v>0</v>
      </c>
    </row>
    <row r="21" spans="2:2" x14ac:dyDescent="0.2">
      <c r="B21">
        <f>SUM(Start:Stop!K86)</f>
        <v>0</v>
      </c>
    </row>
    <row r="22" spans="2:2" x14ac:dyDescent="0.2">
      <c r="B22">
        <f>SUM(Start:Stop!K87)</f>
        <v>0</v>
      </c>
    </row>
    <row r="23" spans="2:2" x14ac:dyDescent="0.2">
      <c r="B23">
        <f>SUM(Start:Stop!K88)</f>
        <v>0</v>
      </c>
    </row>
    <row r="24" spans="2:2" x14ac:dyDescent="0.2">
      <c r="B24">
        <f>SUM(Start:Stop!K89)</f>
        <v>0</v>
      </c>
    </row>
    <row r="25" spans="2:2" x14ac:dyDescent="0.2">
      <c r="B25">
        <f>SUM(Start:Stop!K90)</f>
        <v>0</v>
      </c>
    </row>
    <row r="26" spans="2:2" x14ac:dyDescent="0.2">
      <c r="B26">
        <f>SUM(Start:Stop!K91)</f>
        <v>0</v>
      </c>
    </row>
    <row r="27" spans="2:2" x14ac:dyDescent="0.2">
      <c r="B27">
        <f>SUM(Start:Stop!K92)</f>
        <v>0</v>
      </c>
    </row>
    <row r="28" spans="2:2" x14ac:dyDescent="0.2">
      <c r="B28">
        <f>SUM(Start:Stop!K93)</f>
        <v>0</v>
      </c>
    </row>
    <row r="29" spans="2:2" x14ac:dyDescent="0.2">
      <c r="B29">
        <f>SUM(Start:Stop!K94)</f>
        <v>0</v>
      </c>
    </row>
    <row r="30" spans="2:2" x14ac:dyDescent="0.2">
      <c r="B30">
        <f>SUM(Start:Stop!K95)</f>
        <v>0</v>
      </c>
    </row>
    <row r="31" spans="2:2" x14ac:dyDescent="0.2">
      <c r="B31">
        <f>SUM(Start:Stop!K96)</f>
        <v>0</v>
      </c>
    </row>
  </sheetData>
  <dataValidations count="2">
    <dataValidation type="list" allowBlank="1" showInputMessage="1" showErrorMessage="1" sqref="B3" xr:uid="{00000000-0002-0000-5E00-000000000000}">
      <formula1>$B$99:$B$198</formula1>
    </dataValidation>
    <dataValidation type="list" allowBlank="1" showInputMessage="1" showErrorMessage="1" sqref="B4:B7" xr:uid="{00000000-0002-0000-5E00-000001000000}">
      <formula1>$B$100:$B$199</formula1>
    </dataValidation>
  </dataValidation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8"/>
  <dimension ref="A1:V34"/>
  <sheetViews>
    <sheetView workbookViewId="0"/>
  </sheetViews>
  <sheetFormatPr defaultColWidth="9.140625" defaultRowHeight="12.75" x14ac:dyDescent="0.2"/>
  <cols>
    <col min="2" max="2" width="10.5703125" customWidth="1"/>
    <col min="3" max="3" width="12" customWidth="1"/>
    <col min="4" max="4" width="11.42578125" customWidth="1"/>
    <col min="5" max="5" width="11.28515625" customWidth="1"/>
    <col min="6" max="6" width="11.5703125" customWidth="1"/>
    <col min="7" max="7" width="11.42578125" customWidth="1"/>
    <col min="8" max="8" width="15" customWidth="1"/>
    <col min="9" max="9" width="12" customWidth="1"/>
    <col min="10" max="10" width="14.85546875" customWidth="1"/>
  </cols>
  <sheetData>
    <row r="1" spans="12:22" x14ac:dyDescent="0.2">
      <c r="L1" t="s">
        <v>865</v>
      </c>
      <c r="M1" t="s">
        <v>866</v>
      </c>
      <c r="N1" t="s">
        <v>867</v>
      </c>
      <c r="O1" t="s">
        <v>868</v>
      </c>
      <c r="P1" t="s">
        <v>869</v>
      </c>
      <c r="Q1" t="s">
        <v>870</v>
      </c>
      <c r="R1" t="s">
        <v>871</v>
      </c>
      <c r="S1" t="s">
        <v>872</v>
      </c>
      <c r="T1" t="s">
        <v>873</v>
      </c>
      <c r="U1" t="s">
        <v>874</v>
      </c>
    </row>
    <row r="2" spans="12:22" x14ac:dyDescent="0.2">
      <c r="L2">
        <v>1</v>
      </c>
      <c r="M2">
        <f t="shared" ref="M2:U21" si="0">(B$33-B$34*$L2^0.5)^2</f>
        <v>0.93508899999999973</v>
      </c>
      <c r="N2">
        <f t="shared" si="0"/>
        <v>0.47472100000000006</v>
      </c>
      <c r="O2">
        <f t="shared" si="0"/>
        <v>0.56400099999999997</v>
      </c>
      <c r="P2">
        <f t="shared" si="0"/>
        <v>0.4900000000000001</v>
      </c>
      <c r="Q2">
        <f t="shared" si="0"/>
        <v>0.47196899999999992</v>
      </c>
      <c r="R2">
        <f t="shared" si="0"/>
        <v>0.60996100000000009</v>
      </c>
      <c r="S2">
        <f t="shared" si="0"/>
        <v>0.52272900000000011</v>
      </c>
      <c r="T2">
        <f t="shared" si="0"/>
        <v>0.64802500000000007</v>
      </c>
      <c r="U2">
        <f t="shared" si="0"/>
        <v>0.69222399999999995</v>
      </c>
      <c r="V2" s="9"/>
    </row>
    <row r="3" spans="12:22" x14ac:dyDescent="0.2">
      <c r="L3">
        <f>1+L2</f>
        <v>2</v>
      </c>
      <c r="M3">
        <f t="shared" si="0"/>
        <v>0.80758038163990642</v>
      </c>
      <c r="N3">
        <f t="shared" si="0"/>
        <v>0.43724850927735592</v>
      </c>
      <c r="O3">
        <f t="shared" si="0"/>
        <v>0.50291418906134078</v>
      </c>
      <c r="P3">
        <f t="shared" si="0"/>
        <v>0.4386499871336445</v>
      </c>
      <c r="Q3">
        <f t="shared" si="0"/>
        <v>0.44338965987880286</v>
      </c>
      <c r="R3">
        <f t="shared" si="0"/>
        <v>0.54086685750362595</v>
      </c>
      <c r="S3">
        <f t="shared" si="0"/>
        <v>0.48567594563681826</v>
      </c>
      <c r="T3">
        <f t="shared" si="0"/>
        <v>0.59705191021023085</v>
      </c>
      <c r="U3">
        <f t="shared" si="0"/>
        <v>0.61783104757144203</v>
      </c>
      <c r="V3" s="9"/>
    </row>
    <row r="4" spans="12:22" x14ac:dyDescent="0.2">
      <c r="L4">
        <f t="shared" ref="L4:L12" si="1">1+L3</f>
        <v>3</v>
      </c>
      <c r="M4">
        <f t="shared" si="0"/>
        <v>0.71607410032456997</v>
      </c>
      <c r="N4">
        <f t="shared" si="0"/>
        <v>0.40953932499004247</v>
      </c>
      <c r="O4">
        <f t="shared" si="0"/>
        <v>0.45841412781416585</v>
      </c>
      <c r="P4">
        <f t="shared" si="0"/>
        <v>0.40117450164076934</v>
      </c>
      <c r="Q4">
        <f t="shared" si="0"/>
        <v>0.42206514340944518</v>
      </c>
      <c r="R4">
        <f t="shared" si="0"/>
        <v>0.49066440070034867</v>
      </c>
      <c r="S4">
        <f t="shared" si="0"/>
        <v>0.45816761622160873</v>
      </c>
      <c r="T4">
        <f t="shared" si="0"/>
        <v>0.55935446535900235</v>
      </c>
      <c r="U4">
        <f t="shared" si="0"/>
        <v>0.56361409163868581</v>
      </c>
      <c r="V4" s="9"/>
    </row>
    <row r="5" spans="12:22" x14ac:dyDescent="0.2">
      <c r="L5">
        <f t="shared" si="1"/>
        <v>4</v>
      </c>
      <c r="M5">
        <f t="shared" si="0"/>
        <v>0.64320399999999966</v>
      </c>
      <c r="N5">
        <f t="shared" si="0"/>
        <v>0.38688400000000001</v>
      </c>
      <c r="O5">
        <f t="shared" si="0"/>
        <v>0.42249999999999988</v>
      </c>
      <c r="P5">
        <f t="shared" si="0"/>
        <v>0.37088099999999996</v>
      </c>
      <c r="Q5">
        <f t="shared" si="0"/>
        <v>0.40449600000000002</v>
      </c>
      <c r="R5">
        <f t="shared" si="0"/>
        <v>0.45024100000000006</v>
      </c>
      <c r="S5">
        <f t="shared" si="0"/>
        <v>0.43560000000000004</v>
      </c>
      <c r="T5">
        <f t="shared" si="0"/>
        <v>0.52852899999999992</v>
      </c>
      <c r="U5">
        <f t="shared" si="0"/>
        <v>0.519841</v>
      </c>
      <c r="V5" s="9"/>
    </row>
    <row r="6" spans="12:22" x14ac:dyDescent="0.2">
      <c r="L6">
        <f t="shared" si="1"/>
        <v>5</v>
      </c>
      <c r="M6">
        <f t="shared" si="0"/>
        <v>0.58224344632517844</v>
      </c>
      <c r="N6">
        <f t="shared" si="0"/>
        <v>0.36745836960736133</v>
      </c>
      <c r="O6">
        <f t="shared" si="0"/>
        <v>0.39207275680037612</v>
      </c>
      <c r="P6">
        <f t="shared" si="0"/>
        <v>0.34517718182317542</v>
      </c>
      <c r="Q6">
        <f t="shared" si="0"/>
        <v>0.38932674692572572</v>
      </c>
      <c r="R6">
        <f t="shared" si="0"/>
        <v>0.41606695505049113</v>
      </c>
      <c r="S6">
        <f t="shared" si="0"/>
        <v>0.4161897717803309</v>
      </c>
      <c r="T6">
        <f t="shared" si="0"/>
        <v>0.50209510823535897</v>
      </c>
      <c r="U6">
        <f t="shared" si="0"/>
        <v>0.4827421131823289</v>
      </c>
      <c r="V6" s="9"/>
    </row>
    <row r="7" spans="12:22" x14ac:dyDescent="0.2">
      <c r="L7">
        <f t="shared" si="1"/>
        <v>6</v>
      </c>
      <c r="M7">
        <f t="shared" si="0"/>
        <v>0.52974261168591585</v>
      </c>
      <c r="N7">
        <f t="shared" si="0"/>
        <v>0.35032689109709297</v>
      </c>
      <c r="O7">
        <f t="shared" si="0"/>
        <v>0.36554301730804389</v>
      </c>
      <c r="P7">
        <f t="shared" si="0"/>
        <v>0.32273355764944822</v>
      </c>
      <c r="Q7">
        <f t="shared" si="0"/>
        <v>0.3758622101222534</v>
      </c>
      <c r="R7">
        <f t="shared" si="0"/>
        <v>0.38633202061964145</v>
      </c>
      <c r="S7">
        <f t="shared" si="0"/>
        <v>0.39902233383372521</v>
      </c>
      <c r="T7">
        <f t="shared" si="0"/>
        <v>0.47878068691110282</v>
      </c>
      <c r="U7">
        <f t="shared" si="0"/>
        <v>0.45038412030731279</v>
      </c>
      <c r="V7" s="9"/>
    </row>
    <row r="8" spans="12:22" x14ac:dyDescent="0.2">
      <c r="L8">
        <f t="shared" si="1"/>
        <v>7</v>
      </c>
      <c r="M8">
        <f t="shared" si="0"/>
        <v>0.48365214023871145</v>
      </c>
      <c r="N8">
        <f t="shared" si="0"/>
        <v>0.33493380918391269</v>
      </c>
      <c r="O8">
        <f t="shared" si="0"/>
        <v>0.34196661636053971</v>
      </c>
      <c r="P8">
        <f t="shared" si="0"/>
        <v>0.3027603497565195</v>
      </c>
      <c r="Q8">
        <f t="shared" si="0"/>
        <v>0.36368942430830187</v>
      </c>
      <c r="R8">
        <f t="shared" si="0"/>
        <v>0.35996082800511897</v>
      </c>
      <c r="S8">
        <f t="shared" si="0"/>
        <v>0.38355437315740726</v>
      </c>
      <c r="T8">
        <f t="shared" si="0"/>
        <v>0.45783004840347474</v>
      </c>
      <c r="U8">
        <f t="shared" si="0"/>
        <v>0.42161854603387217</v>
      </c>
      <c r="V8" s="9"/>
    </row>
    <row r="9" spans="12:22" x14ac:dyDescent="0.2">
      <c r="L9">
        <f t="shared" si="1"/>
        <v>8</v>
      </c>
      <c r="M9">
        <f t="shared" si="0"/>
        <v>0.44263676327981305</v>
      </c>
      <c r="N9">
        <f t="shared" si="0"/>
        <v>0.320917018554712</v>
      </c>
      <c r="O9">
        <f t="shared" si="0"/>
        <v>0.32072837812268157</v>
      </c>
      <c r="P9">
        <f t="shared" si="0"/>
        <v>0.28474297426728906</v>
      </c>
      <c r="Q9">
        <f t="shared" si="0"/>
        <v>0.35253931975760572</v>
      </c>
      <c r="R9">
        <f t="shared" si="0"/>
        <v>0.33625271500725185</v>
      </c>
      <c r="S9">
        <f t="shared" si="0"/>
        <v>0.36943189127363629</v>
      </c>
      <c r="T9">
        <f t="shared" si="0"/>
        <v>0.43875082042046182</v>
      </c>
      <c r="U9">
        <f t="shared" si="0"/>
        <v>0.39569709514288404</v>
      </c>
      <c r="V9" s="9"/>
    </row>
    <row r="10" spans="12:22" x14ac:dyDescent="0.2">
      <c r="L10">
        <f t="shared" si="1"/>
        <v>9</v>
      </c>
      <c r="M10">
        <f t="shared" si="0"/>
        <v>0.40576899999999988</v>
      </c>
      <c r="N10">
        <f t="shared" si="0"/>
        <v>0.30802499999999994</v>
      </c>
      <c r="O10">
        <f t="shared" si="0"/>
        <v>0.30140099999999992</v>
      </c>
      <c r="P10">
        <f t="shared" si="0"/>
        <v>0.26832400000000001</v>
      </c>
      <c r="Q10">
        <f t="shared" si="0"/>
        <v>0.34222499999999995</v>
      </c>
      <c r="R10">
        <f t="shared" si="0"/>
        <v>0.31472099999999992</v>
      </c>
      <c r="S10">
        <f t="shared" si="0"/>
        <v>0.35640899999999998</v>
      </c>
      <c r="T10">
        <f t="shared" si="0"/>
        <v>0.42120100000000005</v>
      </c>
      <c r="U10">
        <f t="shared" si="0"/>
        <v>0.37209999999999988</v>
      </c>
      <c r="V10" s="9"/>
    </row>
    <row r="11" spans="12:22" x14ac:dyDescent="0.2">
      <c r="L11">
        <f t="shared" si="1"/>
        <v>10</v>
      </c>
      <c r="M11">
        <f t="shared" si="0"/>
        <v>0.37237355726750004</v>
      </c>
      <c r="N11">
        <f t="shared" si="0"/>
        <v>0.2960746239143025</v>
      </c>
      <c r="O11">
        <f t="shared" si="0"/>
        <v>0.28367336557438111</v>
      </c>
      <c r="P11">
        <f t="shared" si="0"/>
        <v>0.25324318348683983</v>
      </c>
      <c r="Q11">
        <f t="shared" si="0"/>
        <v>0.33261038685316513</v>
      </c>
      <c r="R11">
        <f t="shared" si="0"/>
        <v>0.29501133305379423</v>
      </c>
      <c r="S11">
        <f t="shared" si="0"/>
        <v>0.3443066696475644</v>
      </c>
      <c r="T11">
        <f t="shared" si="0"/>
        <v>0.40493157686712605</v>
      </c>
      <c r="U11">
        <f t="shared" si="0"/>
        <v>0.35044882095439045</v>
      </c>
      <c r="V11" s="9"/>
    </row>
    <row r="12" spans="12:22" x14ac:dyDescent="0.2">
      <c r="L12">
        <f t="shared" si="1"/>
        <v>11</v>
      </c>
      <c r="M12">
        <f t="shared" si="0"/>
        <v>0.34194064331483676</v>
      </c>
      <c r="N12">
        <f t="shared" si="0"/>
        <v>0.28492764223783656</v>
      </c>
      <c r="O12">
        <f t="shared" si="0"/>
        <v>0.26731060708067417</v>
      </c>
      <c r="P12">
        <f t="shared" si="0"/>
        <v>0.23930406193085599</v>
      </c>
      <c r="Q12">
        <f t="shared" si="0"/>
        <v>0.32359275228120699</v>
      </c>
      <c r="R12">
        <f t="shared" si="0"/>
        <v>0.27685620859453458</v>
      </c>
      <c r="S12">
        <f t="shared" si="0"/>
        <v>0.33298974726236269</v>
      </c>
      <c r="T12">
        <f t="shared" si="0"/>
        <v>0.38975456837812444</v>
      </c>
      <c r="U12">
        <f t="shared" si="0"/>
        <v>0.33045786663825838</v>
      </c>
      <c r="V12" s="9"/>
    </row>
    <row r="13" spans="12:22" x14ac:dyDescent="0.2">
      <c r="L13">
        <f>1+L12</f>
        <v>12</v>
      </c>
      <c r="M13">
        <f t="shared" si="0"/>
        <v>0.31407420064914032</v>
      </c>
      <c r="N13">
        <f t="shared" si="0"/>
        <v>0.27447664998008492</v>
      </c>
      <c r="O13">
        <f t="shared" si="0"/>
        <v>0.25213025562833186</v>
      </c>
      <c r="P13">
        <f t="shared" si="0"/>
        <v>0.22635400328153865</v>
      </c>
      <c r="Q13">
        <f t="shared" si="0"/>
        <v>0.3150922868188904</v>
      </c>
      <c r="R13">
        <f t="shared" si="0"/>
        <v>0.26004780140069728</v>
      </c>
      <c r="S13">
        <f t="shared" si="0"/>
        <v>0.32235323244321745</v>
      </c>
      <c r="T13">
        <f t="shared" si="0"/>
        <v>0.37552393071800461</v>
      </c>
      <c r="U13">
        <f t="shared" si="0"/>
        <v>0.3119051832773716</v>
      </c>
      <c r="V13" s="9"/>
    </row>
    <row r="14" spans="12:22" x14ac:dyDescent="0.2">
      <c r="L14">
        <f t="shared" ref="L14:L19" si="2">1+L13</f>
        <v>13</v>
      </c>
      <c r="M14">
        <f t="shared" si="0"/>
        <v>0.28845926553767204</v>
      </c>
      <c r="N14">
        <f t="shared" si="0"/>
        <v>0.26463623359039606</v>
      </c>
      <c r="O14">
        <f t="shared" si="0"/>
        <v>0.23798720328754555</v>
      </c>
      <c r="P14">
        <f t="shared" si="0"/>
        <v>0.21427162728165322</v>
      </c>
      <c r="Q14">
        <f t="shared" si="0"/>
        <v>0.30704552218817283</v>
      </c>
      <c r="R14">
        <f t="shared" si="0"/>
        <v>0.24442083898354883</v>
      </c>
      <c r="S14">
        <f t="shared" si="0"/>
        <v>0.31231362388314837</v>
      </c>
      <c r="T14">
        <f t="shared" si="0"/>
        <v>0.36212352290738653</v>
      </c>
      <c r="U14">
        <f t="shared" si="0"/>
        <v>0.29461426268671564</v>
      </c>
      <c r="V14" s="9"/>
    </row>
    <row r="15" spans="12:22" x14ac:dyDescent="0.2">
      <c r="L15">
        <f t="shared" si="2"/>
        <v>14</v>
      </c>
      <c r="M15">
        <f t="shared" si="0"/>
        <v>0.26484046659672628</v>
      </c>
      <c r="N15">
        <f t="shared" si="0"/>
        <v>0.25533714009025266</v>
      </c>
      <c r="O15">
        <f t="shared" si="0"/>
        <v>0.22476379710665753</v>
      </c>
      <c r="P15">
        <f t="shared" si="0"/>
        <v>0.20295851928524988</v>
      </c>
      <c r="Q15">
        <f t="shared" si="0"/>
        <v>0.29940099855320479</v>
      </c>
      <c r="R15">
        <f t="shared" si="0"/>
        <v>0.22984131904457203</v>
      </c>
      <c r="S15">
        <f t="shared" si="0"/>
        <v>0.30280321904345592</v>
      </c>
      <c r="T15">
        <f t="shared" si="0"/>
        <v>0.34945917828666312</v>
      </c>
      <c r="U15">
        <f t="shared" si="0"/>
        <v>0.27844199270842246</v>
      </c>
      <c r="V15" s="9"/>
    </row>
    <row r="16" spans="12:22" x14ac:dyDescent="0.2">
      <c r="L16">
        <f t="shared" si="2"/>
        <v>15</v>
      </c>
      <c r="M16">
        <f t="shared" si="0"/>
        <v>0.2430073411907572</v>
      </c>
      <c r="N16">
        <f t="shared" si="0"/>
        <v>0.24652229509580381</v>
      </c>
      <c r="O16">
        <f t="shared" si="0"/>
        <v>0.21236307418431866</v>
      </c>
      <c r="P16">
        <f t="shared" si="0"/>
        <v>0.19233357151328787</v>
      </c>
      <c r="Q16">
        <f t="shared" si="0"/>
        <v>0.29211630563089042</v>
      </c>
      <c r="R16">
        <f t="shared" si="0"/>
        <v>0.21619880447642217</v>
      </c>
      <c r="S16">
        <f t="shared" si="0"/>
        <v>0.29376622132500235</v>
      </c>
      <c r="T16">
        <f t="shared" si="0"/>
        <v>0.33745329002662078</v>
      </c>
      <c r="U16">
        <f t="shared" si="0"/>
        <v>0.26327042840486203</v>
      </c>
      <c r="V16" s="9"/>
    </row>
    <row r="17" spans="2:22" x14ac:dyDescent="0.2">
      <c r="L17">
        <f t="shared" si="2"/>
        <v>16</v>
      </c>
      <c r="M17">
        <f t="shared" si="0"/>
        <v>0.22278399999999987</v>
      </c>
      <c r="N17">
        <f t="shared" si="0"/>
        <v>0.23814399999999999</v>
      </c>
      <c r="O17">
        <f t="shared" si="0"/>
        <v>0.20070399999999997</v>
      </c>
      <c r="P17">
        <f t="shared" si="0"/>
        <v>0.18232900000000005</v>
      </c>
      <c r="Q17">
        <f t="shared" si="0"/>
        <v>0.28515600000000002</v>
      </c>
      <c r="R17">
        <f t="shared" si="0"/>
        <v>0.203401</v>
      </c>
      <c r="S17">
        <f t="shared" si="0"/>
        <v>0.28515600000000002</v>
      </c>
      <c r="T17">
        <f t="shared" si="0"/>
        <v>0.32604099999999997</v>
      </c>
      <c r="U17">
        <f t="shared" si="0"/>
        <v>0.24900099999999994</v>
      </c>
      <c r="V17" s="9"/>
    </row>
    <row r="18" spans="2:22" x14ac:dyDescent="0.2">
      <c r="L18">
        <f t="shared" si="2"/>
        <v>17</v>
      </c>
      <c r="M18">
        <f t="shared" si="0"/>
        <v>0.20402166249426656</v>
      </c>
      <c r="N18">
        <f t="shared" si="0"/>
        <v>0.23016190770242853</v>
      </c>
      <c r="O18">
        <f t="shared" si="0"/>
        <v>0.18971802940869809</v>
      </c>
      <c r="P18">
        <f t="shared" si="0"/>
        <v>0.17288746792483037</v>
      </c>
      <c r="Q18">
        <f t="shared" si="0"/>
        <v>0.27849010092600496</v>
      </c>
      <c r="R18">
        <f t="shared" si="0"/>
        <v>0.19136983526642617</v>
      </c>
      <c r="S18">
        <f t="shared" si="0"/>
        <v>0.27693311126132947</v>
      </c>
      <c r="T18">
        <f t="shared" si="0"/>
        <v>0.3151674462824185</v>
      </c>
      <c r="U18">
        <f t="shared" si="0"/>
        <v>0.23555032969944517</v>
      </c>
      <c r="V18" s="9"/>
    </row>
    <row r="19" spans="2:22" x14ac:dyDescent="0.2">
      <c r="L19">
        <f t="shared" si="2"/>
        <v>18</v>
      </c>
      <c r="M19">
        <f t="shared" si="0"/>
        <v>0.18659314491971973</v>
      </c>
      <c r="N19">
        <f t="shared" si="0"/>
        <v>0.22254152783206796</v>
      </c>
      <c r="O19">
        <f t="shared" si="0"/>
        <v>0.17934656718402256</v>
      </c>
      <c r="P19">
        <f t="shared" si="0"/>
        <v>0.16395996140093352</v>
      </c>
      <c r="Q19">
        <f t="shared" si="0"/>
        <v>0.27209297963640872</v>
      </c>
      <c r="R19">
        <f t="shared" si="0"/>
        <v>0.18003857251087776</v>
      </c>
      <c r="S19">
        <f t="shared" si="0"/>
        <v>0.26906383691045449</v>
      </c>
      <c r="T19">
        <f t="shared" si="0"/>
        <v>0.30478573063069264</v>
      </c>
      <c r="U19">
        <f t="shared" si="0"/>
        <v>0.22284714271432615</v>
      </c>
      <c r="V19" s="9"/>
    </row>
    <row r="20" spans="2:22" x14ac:dyDescent="0.2">
      <c r="L20">
        <f>1+L19</f>
        <v>19</v>
      </c>
      <c r="M20">
        <f t="shared" si="0"/>
        <v>0.17038871065094577</v>
      </c>
      <c r="N20">
        <f t="shared" si="0"/>
        <v>0.21525310142355558</v>
      </c>
      <c r="O20">
        <f t="shared" si="0"/>
        <v>0.16953905622087587</v>
      </c>
      <c r="P20">
        <f t="shared" si="0"/>
        <v>0.15550419028999754</v>
      </c>
      <c r="Q20">
        <f t="shared" si="0"/>
        <v>0.26594252312603217</v>
      </c>
      <c r="R20">
        <f t="shared" si="0"/>
        <v>0.16934962908715717</v>
      </c>
      <c r="S20">
        <f t="shared" si="0"/>
        <v>0.26151908422750586</v>
      </c>
      <c r="T20">
        <f t="shared" si="0"/>
        <v>0.29485538832515923</v>
      </c>
      <c r="U20">
        <f t="shared" si="0"/>
        <v>0.21082994176553407</v>
      </c>
      <c r="V20" s="9"/>
    </row>
    <row r="21" spans="2:22" x14ac:dyDescent="0.2">
      <c r="L21">
        <f>1+L20</f>
        <v>20</v>
      </c>
      <c r="M21">
        <f t="shared" si="0"/>
        <v>0.15531289265035694</v>
      </c>
      <c r="N21">
        <f t="shared" si="0"/>
        <v>0.20827073921472258</v>
      </c>
      <c r="O21">
        <f t="shared" si="0"/>
        <v>0.16025151360075235</v>
      </c>
      <c r="P21">
        <f t="shared" si="0"/>
        <v>0.14748336364635059</v>
      </c>
      <c r="Q21">
        <f t="shared" si="0"/>
        <v>0.26001949385145162</v>
      </c>
      <c r="R21">
        <f t="shared" si="0"/>
        <v>0.15925291010098244</v>
      </c>
      <c r="S21">
        <f t="shared" si="0"/>
        <v>0.25427354356066173</v>
      </c>
      <c r="T21">
        <f t="shared" si="0"/>
        <v>0.28534121647071786</v>
      </c>
      <c r="U21">
        <f t="shared" si="0"/>
        <v>0.19944522636465797</v>
      </c>
      <c r="V21" s="9"/>
    </row>
    <row r="31" spans="2:22" ht="47.25" x14ac:dyDescent="0.25">
      <c r="B31" s="11" t="s">
        <v>135</v>
      </c>
      <c r="C31" s="12" t="s">
        <v>135</v>
      </c>
      <c r="D31" s="13" t="s">
        <v>135</v>
      </c>
      <c r="E31" s="12" t="s">
        <v>135</v>
      </c>
      <c r="F31" s="13" t="s">
        <v>409</v>
      </c>
      <c r="G31" s="12" t="s">
        <v>409</v>
      </c>
      <c r="H31" s="13" t="s">
        <v>875</v>
      </c>
      <c r="I31" s="12" t="s">
        <v>875</v>
      </c>
      <c r="J31" s="13" t="s">
        <v>875</v>
      </c>
      <c r="K31" s="12" t="s">
        <v>436</v>
      </c>
    </row>
    <row r="32" spans="2:22" ht="83.25" customHeight="1" x14ac:dyDescent="0.25">
      <c r="B32" s="14" t="s">
        <v>136</v>
      </c>
      <c r="C32" s="15" t="s">
        <v>381</v>
      </c>
      <c r="D32" s="16" t="s">
        <v>392</v>
      </c>
      <c r="E32" s="15" t="s">
        <v>145</v>
      </c>
      <c r="F32" s="16" t="s">
        <v>410</v>
      </c>
      <c r="G32" s="15" t="s">
        <v>418</v>
      </c>
      <c r="H32" s="16" t="s">
        <v>152</v>
      </c>
      <c r="I32" s="15" t="s">
        <v>433</v>
      </c>
      <c r="J32" s="16" t="s">
        <v>442</v>
      </c>
      <c r="K32" s="15" t="s">
        <v>450</v>
      </c>
    </row>
    <row r="33" spans="1:10" ht="15.75" x14ac:dyDescent="0.25">
      <c r="A33" t="s">
        <v>876</v>
      </c>
      <c r="B33" s="10" t="s">
        <v>137</v>
      </c>
      <c r="C33" s="5" t="s">
        <v>382</v>
      </c>
      <c r="D33" s="6" t="s">
        <v>393</v>
      </c>
      <c r="E33" s="5" t="s">
        <v>146</v>
      </c>
      <c r="F33" s="6" t="s">
        <v>411</v>
      </c>
      <c r="G33" s="5" t="s">
        <v>419</v>
      </c>
      <c r="H33" s="6" t="s">
        <v>153</v>
      </c>
      <c r="I33" s="5" t="s">
        <v>434</v>
      </c>
      <c r="J33" s="6" t="s">
        <v>443</v>
      </c>
    </row>
    <row r="34" spans="1:10" ht="15.75" x14ac:dyDescent="0.25">
      <c r="A34" t="s">
        <v>877</v>
      </c>
      <c r="B34" s="10" t="s">
        <v>138</v>
      </c>
      <c r="C34" s="5" t="s">
        <v>383</v>
      </c>
      <c r="D34" s="6" t="s">
        <v>394</v>
      </c>
      <c r="E34" s="5" t="s">
        <v>147</v>
      </c>
      <c r="F34" s="6" t="s">
        <v>412</v>
      </c>
      <c r="G34" s="5" t="s">
        <v>420</v>
      </c>
      <c r="H34" s="6" t="s">
        <v>154</v>
      </c>
      <c r="I34" s="5" t="s">
        <v>435</v>
      </c>
      <c r="J34" s="6" t="s">
        <v>444</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EAC2CD02B269489D2968333A35022A" ma:contentTypeVersion="14" ma:contentTypeDescription="Create a new document." ma:contentTypeScope="" ma:versionID="c226eb250f6bd0879b70a102584eb801">
  <xsd:schema xmlns:xsd="http://www.w3.org/2001/XMLSchema" xmlns:xs="http://www.w3.org/2001/XMLSchema" xmlns:p="http://schemas.microsoft.com/office/2006/metadata/properties" xmlns:ns3="3ced5e5e-b86e-4ca4-8688-b9142fbd645f" xmlns:ns4="de7eb468-e3f3-45ae-941f-500c6b778c35" targetNamespace="http://schemas.microsoft.com/office/2006/metadata/properties" ma:root="true" ma:fieldsID="96a2b74cc914ae3e8f92038160064549" ns3:_="" ns4:_="">
    <xsd:import namespace="3ced5e5e-b86e-4ca4-8688-b9142fbd645f"/>
    <xsd:import namespace="de7eb468-e3f3-45ae-941f-500c6b778c3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ed5e5e-b86e-4ca4-8688-b9142fbd6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7eb468-e3f3-45ae-941f-500c6b778c3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95E182-DA15-40DF-89C2-FA486D106E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ed5e5e-b86e-4ca4-8688-b9142fbd645f"/>
    <ds:schemaRef ds:uri="de7eb468-e3f3-45ae-941f-500c6b778c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BDD307-E4C7-4549-91E1-6D59F61D93DE}">
  <ds:schemaRefs>
    <ds:schemaRef ds:uri="http://schemas.microsoft.com/sharepoint/v3/contenttype/forms"/>
  </ds:schemaRefs>
</ds:datastoreItem>
</file>

<file path=customXml/itemProps3.xml><?xml version="1.0" encoding="utf-8"?>
<ds:datastoreItem xmlns:ds="http://schemas.openxmlformats.org/officeDocument/2006/customXml" ds:itemID="{45FB0F92-4807-4513-A90B-B9FA92A2B05E}">
  <ds:schemaRefs>
    <ds:schemaRef ds:uri="http://www.w3.org/XML/1998/namespace"/>
    <ds:schemaRef ds:uri="http://purl.org/dc/terms/"/>
    <ds:schemaRef ds:uri="http://schemas.openxmlformats.org/package/2006/metadata/core-properties"/>
    <ds:schemaRef ds:uri="http://purl.org/dc/dcmitype/"/>
    <ds:schemaRef ds:uri="http://schemas.microsoft.com/office/2006/metadata/properties"/>
    <ds:schemaRef ds:uri="http://purl.org/dc/elements/1.1/"/>
    <ds:schemaRef ds:uri="http://schemas.microsoft.com/office/2006/documentManagement/types"/>
    <ds:schemaRef ds:uri="de7eb468-e3f3-45ae-941f-500c6b778c35"/>
    <ds:schemaRef ds:uri="http://schemas.microsoft.com/office/infopath/2007/PartnerControls"/>
    <ds:schemaRef ds:uri="3ced5e5e-b86e-4ca4-8688-b9142fbd645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229</vt:i4>
      </vt:variant>
    </vt:vector>
  </HeadingPairs>
  <TitlesOfParts>
    <vt:vector size="325" baseType="lpstr">
      <vt:lpstr>Title</vt:lpstr>
      <vt:lpstr>General Variables</vt:lpstr>
      <vt:lpstr>Materials</vt:lpstr>
      <vt:lpstr>Power Units</vt:lpstr>
      <vt:lpstr>Operations</vt:lpstr>
      <vt:lpstr>Crop Insurance</vt:lpstr>
      <vt:lpstr>1-Alfalfa</vt:lpstr>
      <vt:lpstr>2-Alfalfa</vt:lpstr>
      <vt:lpstr>3-Alfalfa</vt:lpstr>
      <vt:lpstr>4-Alfalfa</vt:lpstr>
      <vt:lpstr>5-Alfalfa</vt:lpstr>
      <vt:lpstr>6-Alfalfa</vt:lpstr>
      <vt:lpstr>7-Alfalfa</vt:lpstr>
      <vt:lpstr>8-Alfalfa</vt:lpstr>
      <vt:lpstr>9-Alfalfa</vt:lpstr>
      <vt:lpstr>10-Alfalfa</vt:lpstr>
      <vt:lpstr>11-Alfalfa</vt:lpstr>
      <vt:lpstr>12-Alfalfa</vt:lpstr>
      <vt:lpstr>13-Alfalfa</vt:lpstr>
      <vt:lpstr>14-Alfalfa</vt:lpstr>
      <vt:lpstr>15-Corn</vt:lpstr>
      <vt:lpstr>16-Corn</vt:lpstr>
      <vt:lpstr>17-Corn</vt:lpstr>
      <vt:lpstr>18-Corn</vt:lpstr>
      <vt:lpstr>19-Corn</vt:lpstr>
      <vt:lpstr>20-Corn</vt:lpstr>
      <vt:lpstr>21-Corn</vt:lpstr>
      <vt:lpstr>22-Corn</vt:lpstr>
      <vt:lpstr>23-Corn</vt:lpstr>
      <vt:lpstr>24-Corn</vt:lpstr>
      <vt:lpstr>25-Corn</vt:lpstr>
      <vt:lpstr>26-Corn</vt:lpstr>
      <vt:lpstr>27-Corn</vt:lpstr>
      <vt:lpstr>28-Corn</vt:lpstr>
      <vt:lpstr>29-Corn</vt:lpstr>
      <vt:lpstr>30-Corn</vt:lpstr>
      <vt:lpstr>31-Corn</vt:lpstr>
      <vt:lpstr>32-Corn</vt:lpstr>
      <vt:lpstr>33-Corn</vt:lpstr>
      <vt:lpstr>34-Corn</vt:lpstr>
      <vt:lpstr>35-Corn</vt:lpstr>
      <vt:lpstr>36-Corn</vt:lpstr>
      <vt:lpstr>37-Corn</vt:lpstr>
      <vt:lpstr>38-Corn</vt:lpstr>
      <vt:lpstr>39-Corn</vt:lpstr>
      <vt:lpstr>40-Corn</vt:lpstr>
      <vt:lpstr>41-Corn</vt:lpstr>
      <vt:lpstr>42-Popcorn</vt:lpstr>
      <vt:lpstr>43-Dry Beans</vt:lpstr>
      <vt:lpstr>44-Dry Beans</vt:lpstr>
      <vt:lpstr>45-Dry Beans</vt:lpstr>
      <vt:lpstr>46-Dry Beans</vt:lpstr>
      <vt:lpstr>47-Grain Sorghum</vt:lpstr>
      <vt:lpstr>48-Grain Sorghum</vt:lpstr>
      <vt:lpstr>49-Grain Sorghum</vt:lpstr>
      <vt:lpstr>50-Grain Sorghum</vt:lpstr>
      <vt:lpstr>51-Grass</vt:lpstr>
      <vt:lpstr>52-Grass Hay</vt:lpstr>
      <vt:lpstr>53-Millet-Proso</vt:lpstr>
      <vt:lpstr>54-Millet-Proso</vt:lpstr>
      <vt:lpstr>55-Oats</vt:lpstr>
      <vt:lpstr>56-Pasture</vt:lpstr>
      <vt:lpstr>57-Peas</vt:lpstr>
      <vt:lpstr>58-Sorghum-Sudan</vt:lpstr>
      <vt:lpstr>59-Soybeans</vt:lpstr>
      <vt:lpstr>60-Soybeans</vt:lpstr>
      <vt:lpstr>61-Soybeans</vt:lpstr>
      <vt:lpstr>62-Soybeans</vt:lpstr>
      <vt:lpstr>63-Soybeans</vt:lpstr>
      <vt:lpstr>64-Soybeans</vt:lpstr>
      <vt:lpstr>65-Soybeans</vt:lpstr>
      <vt:lpstr>66-Soybeans</vt:lpstr>
      <vt:lpstr>67-Sugarbeet</vt:lpstr>
      <vt:lpstr>68-Sugarbeet</vt:lpstr>
      <vt:lpstr>69-Sugarbeet</vt:lpstr>
      <vt:lpstr>70-Sugarbeet</vt:lpstr>
      <vt:lpstr>71-Sunflower</vt:lpstr>
      <vt:lpstr>72-Sunflower</vt:lpstr>
      <vt:lpstr>73-Sunflower</vt:lpstr>
      <vt:lpstr>74-Wheat-Spring</vt:lpstr>
      <vt:lpstr>75-Wheat-Winter</vt:lpstr>
      <vt:lpstr>76-Wheat-Winter</vt:lpstr>
      <vt:lpstr>77-Wheat-Winter</vt:lpstr>
      <vt:lpstr>78-Wheat-Winter</vt:lpstr>
      <vt:lpstr>79-Wheat-Winter</vt:lpstr>
      <vt:lpstr>80-Wheat-Winter</vt:lpstr>
      <vt:lpstr>81-Wheat-Winter</vt:lpstr>
      <vt:lpstr>82-Cover Crop</vt:lpstr>
      <vt:lpstr>Start</vt:lpstr>
      <vt:lpstr>83-Cover Crop Grazing</vt:lpstr>
      <vt:lpstr>Master</vt:lpstr>
      <vt:lpstr>Stop</vt:lpstr>
      <vt:lpstr>Budget Listing</vt:lpstr>
      <vt:lpstr>Crop after Crop Data</vt:lpstr>
      <vt:lpstr>Formulas</vt:lpstr>
      <vt:lpstr>Depreciation Graph</vt:lpstr>
      <vt:lpstr>CommodityPrices</vt:lpstr>
      <vt:lpstr>'31-Corn'!CropInsurance</vt:lpstr>
      <vt:lpstr>'32-Corn'!CropInsurance</vt:lpstr>
      <vt:lpstr>CropInsurance</vt:lpstr>
      <vt:lpstr>croppingsystem</vt:lpstr>
      <vt:lpstr>Dryland</vt:lpstr>
      <vt:lpstr>'31-Corn'!ImpDepLookup</vt:lpstr>
      <vt:lpstr>'32-Corn'!ImpDepLookup</vt:lpstr>
      <vt:lpstr>ImpDepLookup</vt:lpstr>
      <vt:lpstr>InputPrices</vt:lpstr>
      <vt:lpstr>Irrigated</vt:lpstr>
      <vt:lpstr>'16-Corn'!MaterialList</vt:lpstr>
      <vt:lpstr>'18-Corn'!MaterialList</vt:lpstr>
      <vt:lpstr>'27-Corn'!MaterialList</vt:lpstr>
      <vt:lpstr>'31-Corn'!MaterialList</vt:lpstr>
      <vt:lpstr>'32-Corn'!MaterialList</vt:lpstr>
      <vt:lpstr>'34-Corn'!MaterialList</vt:lpstr>
      <vt:lpstr>'35-Corn'!MaterialList</vt:lpstr>
      <vt:lpstr>'37-Corn'!MaterialList</vt:lpstr>
      <vt:lpstr>'39-Corn'!MaterialList</vt:lpstr>
      <vt:lpstr>'42-Popcorn'!MaterialList</vt:lpstr>
      <vt:lpstr>'66-Soybeans'!MaterialList</vt:lpstr>
      <vt:lpstr>'74-Wheat-Spring'!MaterialList</vt:lpstr>
      <vt:lpstr>MaterialList</vt:lpstr>
      <vt:lpstr>'16-Corn'!Materials</vt:lpstr>
      <vt:lpstr>'18-Corn'!Materials</vt:lpstr>
      <vt:lpstr>'27-Corn'!Materials</vt:lpstr>
      <vt:lpstr>'31-Corn'!Materials</vt:lpstr>
      <vt:lpstr>'32-Corn'!Materials</vt:lpstr>
      <vt:lpstr>'34-Corn'!Materials</vt:lpstr>
      <vt:lpstr>'35-Corn'!Materials</vt:lpstr>
      <vt:lpstr>'37-Corn'!Materials</vt:lpstr>
      <vt:lpstr>'39-Corn'!Materials</vt:lpstr>
      <vt:lpstr>'42-Popcorn'!Materials</vt:lpstr>
      <vt:lpstr>'66-Soybeans'!Materials</vt:lpstr>
      <vt:lpstr>'74-Wheat-Spring'!Materials</vt:lpstr>
      <vt:lpstr>Materials</vt:lpstr>
      <vt:lpstr>'16-Corn'!OperationList</vt:lpstr>
      <vt:lpstr>'18-Corn'!OperationList</vt:lpstr>
      <vt:lpstr>'27-Corn'!OperationList</vt:lpstr>
      <vt:lpstr>'31-Corn'!OperationList</vt:lpstr>
      <vt:lpstr>'32-Corn'!OperationList</vt:lpstr>
      <vt:lpstr>'34-Corn'!OperationList</vt:lpstr>
      <vt:lpstr>'35-Corn'!OperationList</vt:lpstr>
      <vt:lpstr>'37-Corn'!OperationList</vt:lpstr>
      <vt:lpstr>'39-Corn'!OperationList</vt:lpstr>
      <vt:lpstr>'42-Popcorn'!OperationList</vt:lpstr>
      <vt:lpstr>'66-Soybeans'!OperationList</vt:lpstr>
      <vt:lpstr>'74-Wheat-Spring'!OperationList</vt:lpstr>
      <vt:lpstr>OperationList</vt:lpstr>
      <vt:lpstr>'16-Corn'!pd</vt:lpstr>
      <vt:lpstr>'17-Corn'!pd</vt:lpstr>
      <vt:lpstr>'18-Corn'!pd</vt:lpstr>
      <vt:lpstr>'20-Corn'!pd</vt:lpstr>
      <vt:lpstr>'22-Corn'!pd</vt:lpstr>
      <vt:lpstr>'24-Corn'!pd</vt:lpstr>
      <vt:lpstr>'27-Corn'!pd</vt:lpstr>
      <vt:lpstr>'31-Corn'!pd</vt:lpstr>
      <vt:lpstr>'32-Corn'!pd</vt:lpstr>
      <vt:lpstr>'34-Corn'!pd</vt:lpstr>
      <vt:lpstr>'35-Corn'!pd</vt:lpstr>
      <vt:lpstr>'37-Corn'!pd</vt:lpstr>
      <vt:lpstr>'39-Corn'!pd</vt:lpstr>
      <vt:lpstr>'42-Popcorn'!pd</vt:lpstr>
      <vt:lpstr>'66-Soybeans'!pd</vt:lpstr>
      <vt:lpstr>'74-Wheat-Spring'!pd</vt:lpstr>
      <vt:lpstr>'Budget Listing'!pd</vt:lpstr>
      <vt:lpstr>pd</vt:lpstr>
      <vt:lpstr>'10-Alfalfa'!Print_Area</vt:lpstr>
      <vt:lpstr>'11-Alfalfa'!Print_Area</vt:lpstr>
      <vt:lpstr>'12-Alfalfa'!Print_Area</vt:lpstr>
      <vt:lpstr>'13-Alfalfa'!Print_Area</vt:lpstr>
      <vt:lpstr>'14-Alfalfa'!Print_Area</vt:lpstr>
      <vt:lpstr>'15-Corn'!Print_Area</vt:lpstr>
      <vt:lpstr>'16-Corn'!Print_Area</vt:lpstr>
      <vt:lpstr>'17-Corn'!Print_Area</vt:lpstr>
      <vt:lpstr>'18-Corn'!Print_Area</vt:lpstr>
      <vt:lpstr>'19-Corn'!Print_Area</vt:lpstr>
      <vt:lpstr>'1-Alfalfa'!Print_Area</vt:lpstr>
      <vt:lpstr>'20-Corn'!Print_Area</vt:lpstr>
      <vt:lpstr>'21-Corn'!Print_Area</vt:lpstr>
      <vt:lpstr>'22-Corn'!Print_Area</vt:lpstr>
      <vt:lpstr>'23-Corn'!Print_Area</vt:lpstr>
      <vt:lpstr>'24-Corn'!Print_Area</vt:lpstr>
      <vt:lpstr>'25-Corn'!Print_Area</vt:lpstr>
      <vt:lpstr>'26-Corn'!Print_Area</vt:lpstr>
      <vt:lpstr>'27-Corn'!Print_Area</vt:lpstr>
      <vt:lpstr>'28-Corn'!Print_Area</vt:lpstr>
      <vt:lpstr>'29-Corn'!Print_Area</vt:lpstr>
      <vt:lpstr>'2-Alfalfa'!Print_Area</vt:lpstr>
      <vt:lpstr>'30-Corn'!Print_Area</vt:lpstr>
      <vt:lpstr>'31-Corn'!Print_Area</vt:lpstr>
      <vt:lpstr>'32-Corn'!Print_Area</vt:lpstr>
      <vt:lpstr>'33-Corn'!Print_Area</vt:lpstr>
      <vt:lpstr>'34-Corn'!Print_Area</vt:lpstr>
      <vt:lpstr>'35-Corn'!Print_Area</vt:lpstr>
      <vt:lpstr>'36-Corn'!Print_Area</vt:lpstr>
      <vt:lpstr>'37-Corn'!Print_Area</vt:lpstr>
      <vt:lpstr>'38-Corn'!Print_Area</vt:lpstr>
      <vt:lpstr>'39-Corn'!Print_Area</vt:lpstr>
      <vt:lpstr>'3-Alfalfa'!Print_Area</vt:lpstr>
      <vt:lpstr>'40-Corn'!Print_Area</vt:lpstr>
      <vt:lpstr>'41-Corn'!Print_Area</vt:lpstr>
      <vt:lpstr>'42-Popcorn'!Print_Area</vt:lpstr>
      <vt:lpstr>'43-Dry Beans'!Print_Area</vt:lpstr>
      <vt:lpstr>'44-Dry Beans'!Print_Area</vt:lpstr>
      <vt:lpstr>'45-Dry Beans'!Print_Area</vt:lpstr>
      <vt:lpstr>'46-Dry Beans'!Print_Area</vt:lpstr>
      <vt:lpstr>'47-Grain Sorghum'!Print_Area</vt:lpstr>
      <vt:lpstr>'48-Grain Sorghum'!Print_Area</vt:lpstr>
      <vt:lpstr>'49-Grain Sorghum'!Print_Area</vt:lpstr>
      <vt:lpstr>'4-Alfalfa'!Print_Area</vt:lpstr>
      <vt:lpstr>'50-Grain Sorghum'!Print_Area</vt:lpstr>
      <vt:lpstr>'51-Grass'!Print_Area</vt:lpstr>
      <vt:lpstr>'52-Grass Hay'!Print_Area</vt:lpstr>
      <vt:lpstr>'53-Millet-Proso'!Print_Area</vt:lpstr>
      <vt:lpstr>'54-Millet-Proso'!Print_Area</vt:lpstr>
      <vt:lpstr>'55-Oats'!Print_Area</vt:lpstr>
      <vt:lpstr>'56-Pasture'!Print_Area</vt:lpstr>
      <vt:lpstr>'57-Peas'!Print_Area</vt:lpstr>
      <vt:lpstr>'58-Sorghum-Sudan'!Print_Area</vt:lpstr>
      <vt:lpstr>'59-Soybeans'!Print_Area</vt:lpstr>
      <vt:lpstr>'5-Alfalfa'!Print_Area</vt:lpstr>
      <vt:lpstr>'60-Soybeans'!Print_Area</vt:lpstr>
      <vt:lpstr>'61-Soybeans'!Print_Area</vt:lpstr>
      <vt:lpstr>'62-Soybeans'!Print_Area</vt:lpstr>
      <vt:lpstr>'63-Soybeans'!Print_Area</vt:lpstr>
      <vt:lpstr>'64-Soybeans'!Print_Area</vt:lpstr>
      <vt:lpstr>'65-Soybeans'!Print_Area</vt:lpstr>
      <vt:lpstr>'66-Soybeans'!Print_Area</vt:lpstr>
      <vt:lpstr>'67-Sugarbeet'!Print_Area</vt:lpstr>
      <vt:lpstr>'68-Sugarbeet'!Print_Area</vt:lpstr>
      <vt:lpstr>'69-Sugarbeet'!Print_Area</vt:lpstr>
      <vt:lpstr>'6-Alfalfa'!Print_Area</vt:lpstr>
      <vt:lpstr>'70-Sugarbeet'!Print_Area</vt:lpstr>
      <vt:lpstr>'71-Sunflower'!Print_Area</vt:lpstr>
      <vt:lpstr>'72-Sunflower'!Print_Area</vt:lpstr>
      <vt:lpstr>'73-Sunflower'!Print_Area</vt:lpstr>
      <vt:lpstr>'74-Wheat-Spring'!Print_Area</vt:lpstr>
      <vt:lpstr>'75-Wheat-Winter'!Print_Area</vt:lpstr>
      <vt:lpstr>'76-Wheat-Winter'!Print_Area</vt:lpstr>
      <vt:lpstr>'77-Wheat-Winter'!Print_Area</vt:lpstr>
      <vt:lpstr>'78-Wheat-Winter'!Print_Area</vt:lpstr>
      <vt:lpstr>'79-Wheat-Winter'!Print_Area</vt:lpstr>
      <vt:lpstr>'7-Alfalfa'!Print_Area</vt:lpstr>
      <vt:lpstr>'80-Wheat-Winter'!Print_Area</vt:lpstr>
      <vt:lpstr>'81-Wheat-Winter'!Print_Area</vt:lpstr>
      <vt:lpstr>'82-Cover Crop'!Print_Area</vt:lpstr>
      <vt:lpstr>'83-Cover Crop Grazing'!Print_Area</vt:lpstr>
      <vt:lpstr>'8-Alfalfa'!Print_Area</vt:lpstr>
      <vt:lpstr>'9-Alfalfa'!Print_Area</vt:lpstr>
      <vt:lpstr>'Budget Listing'!Print_Area</vt:lpstr>
      <vt:lpstr>'General Variables'!Print_Area</vt:lpstr>
      <vt:lpstr>Master!Print_Area</vt:lpstr>
      <vt:lpstr>Materials!Print_Area</vt:lpstr>
      <vt:lpstr>Operations!Print_Area</vt:lpstr>
      <vt:lpstr>'16-Corn'!PwrDepreciation</vt:lpstr>
      <vt:lpstr>'17-Corn'!PwrDepreciation</vt:lpstr>
      <vt:lpstr>'18-Corn'!PwrDepreciation</vt:lpstr>
      <vt:lpstr>'20-Corn'!PwrDepreciation</vt:lpstr>
      <vt:lpstr>'22-Corn'!PwrDepreciation</vt:lpstr>
      <vt:lpstr>'24-Corn'!PwrDepreciation</vt:lpstr>
      <vt:lpstr>'27-Corn'!PwrDepreciation</vt:lpstr>
      <vt:lpstr>'31-Corn'!PwrDepreciation</vt:lpstr>
      <vt:lpstr>'32-Corn'!PwrDepreciation</vt:lpstr>
      <vt:lpstr>'34-Corn'!PwrDepreciation</vt:lpstr>
      <vt:lpstr>'35-Corn'!PwrDepreciation</vt:lpstr>
      <vt:lpstr>'37-Corn'!PwrDepreciation</vt:lpstr>
      <vt:lpstr>'39-Corn'!PwrDepreciation</vt:lpstr>
      <vt:lpstr>'42-Popcorn'!PwrDepreciation</vt:lpstr>
      <vt:lpstr>'46-Dry Beans'!PwrDepreciation</vt:lpstr>
      <vt:lpstr>'54-Millet-Proso'!PwrDepreciation</vt:lpstr>
      <vt:lpstr>'57-Peas'!PwrDepreciation</vt:lpstr>
      <vt:lpstr>'66-Soybeans'!PwrDepreciation</vt:lpstr>
      <vt:lpstr>'73-Sunflower'!PwrDepreciation</vt:lpstr>
      <vt:lpstr>'74-Wheat-Spring'!PwrDepreciation</vt:lpstr>
      <vt:lpstr>'81-Wheat-Winter'!PwrDepreciation</vt:lpstr>
      <vt:lpstr>'82-Cover Crop'!PwrDepreciation</vt:lpstr>
      <vt:lpstr>'83-Cover Crop Grazing'!PwrDepreciation</vt:lpstr>
      <vt:lpstr>'Budget Listing'!PwrDepreciation</vt:lpstr>
      <vt:lpstr>'Depreciation Graph'!PwrDepreciation</vt:lpstr>
      <vt:lpstr>PwrDepreciation</vt:lpstr>
      <vt:lpstr>PwrUnit</vt:lpstr>
      <vt:lpstr>'16-Corn'!RealEstateList</vt:lpstr>
      <vt:lpstr>'18-Corn'!RealEstateList</vt:lpstr>
      <vt:lpstr>'27-Corn'!RealEstateList</vt:lpstr>
      <vt:lpstr>'31-Corn'!RealEstateList</vt:lpstr>
      <vt:lpstr>'32-Corn'!RealEstateList</vt:lpstr>
      <vt:lpstr>'34-Corn'!RealEstateList</vt:lpstr>
      <vt:lpstr>'35-Corn'!RealEstateList</vt:lpstr>
      <vt:lpstr>'37-Corn'!RealEstateList</vt:lpstr>
      <vt:lpstr>'39-Corn'!RealEstateList</vt:lpstr>
      <vt:lpstr>'42-Popcorn'!RealEstateList</vt:lpstr>
      <vt:lpstr>'66-Soybeans'!RealEstateList</vt:lpstr>
      <vt:lpstr>'74-Wheat-Spring'!RealEstateList</vt:lpstr>
      <vt:lpstr>RealEstateList</vt:lpstr>
      <vt:lpstr>Region</vt:lpstr>
      <vt:lpstr>'16-Corn'!RETable</vt:lpstr>
      <vt:lpstr>'17-Corn'!RETable</vt:lpstr>
      <vt:lpstr>'18-Corn'!RETable</vt:lpstr>
      <vt:lpstr>'20-Corn'!RETable</vt:lpstr>
      <vt:lpstr>'22-Corn'!RETable</vt:lpstr>
      <vt:lpstr>'24-Corn'!RETable</vt:lpstr>
      <vt:lpstr>'27-Corn'!RETable</vt:lpstr>
      <vt:lpstr>'31-Corn'!RETable</vt:lpstr>
      <vt:lpstr>'32-Corn'!RETable</vt:lpstr>
      <vt:lpstr>'34-Corn'!RETable</vt:lpstr>
      <vt:lpstr>'35-Corn'!RETable</vt:lpstr>
      <vt:lpstr>'37-Corn'!RETable</vt:lpstr>
      <vt:lpstr>'39-Corn'!RETable</vt:lpstr>
      <vt:lpstr>'42-Popcorn'!RETable</vt:lpstr>
      <vt:lpstr>'46-Dry Beans'!RETable</vt:lpstr>
      <vt:lpstr>'54-Millet-Proso'!RETable</vt:lpstr>
      <vt:lpstr>'57-Peas'!RETable</vt:lpstr>
      <vt:lpstr>'66-Soybeans'!RETable</vt:lpstr>
      <vt:lpstr>'73-Sunflower'!RETable</vt:lpstr>
      <vt:lpstr>'74-Wheat-Spring'!RETable</vt:lpstr>
      <vt:lpstr>'81-Wheat-Winter'!RETable</vt:lpstr>
      <vt:lpstr>'82-Cover Crop'!RETable</vt:lpstr>
      <vt:lpstr>'83-Cover Crop Grazing'!RETable</vt:lpstr>
      <vt:lpstr>'Budget Listing'!RETable</vt:lpstr>
      <vt:lpstr>RETable</vt:lpstr>
      <vt:lpstr>REValue</vt:lpstr>
      <vt:lpstr>'31-Corn'!TillageSystem</vt:lpstr>
      <vt:lpstr>'32-Corn'!TillageSystem</vt:lpstr>
      <vt:lpstr>TillageSystem</vt:lpstr>
      <vt:lpstr>'31-Corn'!watersource</vt:lpstr>
      <vt:lpstr>'32-Corn'!watersource</vt:lpstr>
      <vt:lpstr>watersource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Roger Wilson</dc:creator>
  <cp:keywords/>
  <dc:description/>
  <cp:lastModifiedBy>Glennis McClure</cp:lastModifiedBy>
  <cp:revision/>
  <cp:lastPrinted>2024-10-31T20:52:41Z</cp:lastPrinted>
  <dcterms:created xsi:type="dcterms:W3CDTF">2009-07-27T21:13:45Z</dcterms:created>
  <dcterms:modified xsi:type="dcterms:W3CDTF">2024-10-31T20:57:37Z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c90fe96a-b563-481c-88ad-9ccf5644d312</vt:lpwstr>
  </property>
  <property fmtid="{D5CDD505-2E9C-101B-9397-08002B2CF9AE}" pid="3" name="ContentTypeId">
    <vt:lpwstr>0x01010020EAC2CD02B269489D2968333A35022A</vt:lpwstr>
  </property>
</Properties>
</file>